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2"/>
  <workbookPr showInkAnnotation="0" defaultThemeVersion="124226"/>
  <mc:AlternateContent xmlns:mc="http://schemas.openxmlformats.org/markup-compatibility/2006">
    <mc:Choice Requires="x15">
      <x15ac:absPath xmlns:x15ac="http://schemas.microsoft.com/office/spreadsheetml/2010/11/ac" url="/Users/odermatt/Dropbox/CPDS/Bearbeitung CPDS/Bearbeitung CPDS/CPDS Update 2021 (1960-2019)/Upload 2021/"/>
    </mc:Choice>
  </mc:AlternateContent>
  <xr:revisionPtr revIDLastSave="0" documentId="13_ncr:1_{9C6E06FA-E532-F641-BEAF-FEDD3F7F1F31}" xr6:coauthVersionLast="36" xr6:coauthVersionMax="47" xr10:uidLastSave="{00000000-0000-0000-0000-000000000000}"/>
  <bookViews>
    <workbookView xWindow="0" yWindow="460" windowWidth="38400" windowHeight="19540" tabRatio="842" xr2:uid="{00000000-000D-0000-FFFF-FFFF00000000}"/>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81029"/>
</workbook>
</file>

<file path=xl/calcChain.xml><?xml version="1.0" encoding="utf-8"?>
<calcChain xmlns="http://schemas.openxmlformats.org/spreadsheetml/2006/main">
  <c r="D81" i="38" l="1"/>
  <c r="H85" i="38"/>
  <c r="C99" i="38"/>
  <c r="S80" i="38"/>
  <c r="H80" i="38"/>
  <c r="K7" i="38" l="1"/>
  <c r="B80" i="38" s="1"/>
  <c r="M7" i="38"/>
  <c r="K8" i="38"/>
  <c r="M8" i="38"/>
  <c r="K21" i="38"/>
  <c r="M21" i="38"/>
  <c r="B193" i="8" l="1"/>
  <c r="W182" i="2" l="1"/>
  <c r="W180" i="2"/>
  <c r="U182" i="2"/>
  <c r="T182" i="2"/>
  <c r="S182" i="2"/>
  <c r="S180" i="2"/>
  <c r="L182" i="2"/>
  <c r="J182" i="2"/>
  <c r="H182" i="2"/>
  <c r="H180" i="2"/>
  <c r="D183" i="2"/>
  <c r="C182" i="2"/>
  <c r="E182" i="2"/>
  <c r="D182" i="2"/>
  <c r="B182" i="2"/>
  <c r="B180" i="2"/>
  <c r="R99" i="2"/>
  <c r="M99" i="2"/>
  <c r="N99" i="2" s="1"/>
  <c r="L99" i="2"/>
  <c r="K99" i="2"/>
  <c r="C207" i="22" l="1"/>
  <c r="B205" i="22"/>
  <c r="B149" i="6" l="1"/>
  <c r="B150" i="6"/>
  <c r="C148" i="6"/>
  <c r="U147" i="6"/>
  <c r="T147" i="6"/>
  <c r="T148" i="6"/>
  <c r="U148" i="6"/>
  <c r="S147" i="6"/>
  <c r="L147" i="6"/>
  <c r="J147" i="6"/>
  <c r="H147" i="6"/>
  <c r="H148" i="6"/>
  <c r="D147" i="6"/>
  <c r="C147" i="6"/>
  <c r="B147" i="6"/>
  <c r="R94" i="6"/>
  <c r="N94" i="6"/>
  <c r="M94" i="6"/>
  <c r="L94" i="6"/>
  <c r="K94" i="6"/>
  <c r="S208" i="22" l="1"/>
  <c r="L159" i="26"/>
  <c r="J159" i="26"/>
  <c r="T159" i="26"/>
  <c r="H159" i="26"/>
  <c r="L158" i="26"/>
  <c r="J158" i="26"/>
  <c r="H158" i="26"/>
  <c r="U159" i="26"/>
  <c r="S159" i="26"/>
  <c r="U158" i="26"/>
  <c r="T158" i="26"/>
  <c r="S158" i="26"/>
  <c r="R90" i="26"/>
  <c r="R91" i="26"/>
  <c r="R92" i="26"/>
  <c r="R89" i="26"/>
  <c r="J105" i="38"/>
  <c r="T105" i="38"/>
  <c r="S138" i="35"/>
  <c r="S150" i="6"/>
  <c r="U150" i="6"/>
  <c r="T150" i="6"/>
  <c r="R102" i="6"/>
  <c r="M102" i="6"/>
  <c r="L102" i="6"/>
  <c r="K102" i="6"/>
  <c r="N102" i="6" s="1"/>
  <c r="K100" i="6"/>
  <c r="L100" i="6"/>
  <c r="M100" i="6"/>
  <c r="R100" i="6"/>
  <c r="L201" i="1"/>
  <c r="T201" i="1"/>
  <c r="B201" i="1"/>
  <c r="U201" i="1"/>
  <c r="S201" i="1"/>
  <c r="R140" i="22"/>
  <c r="J209" i="22" s="1"/>
  <c r="R141" i="22"/>
  <c r="R139" i="22"/>
  <c r="B209" i="22"/>
  <c r="S209" i="22"/>
  <c r="T209" i="22"/>
  <c r="U209" i="22"/>
  <c r="M141" i="22"/>
  <c r="L141" i="22"/>
  <c r="K141" i="22"/>
  <c r="M140" i="22"/>
  <c r="L140" i="22"/>
  <c r="K140" i="22"/>
  <c r="U197" i="23"/>
  <c r="T197" i="23"/>
  <c r="S197" i="23"/>
  <c r="L197" i="23"/>
  <c r="J197" i="23"/>
  <c r="H197" i="23"/>
  <c r="D197" i="23"/>
  <c r="C197" i="23"/>
  <c r="B197" i="23"/>
  <c r="R129" i="23"/>
  <c r="M129" i="23"/>
  <c r="L129" i="23"/>
  <c r="K129" i="23"/>
  <c r="R128" i="23"/>
  <c r="K128" i="23"/>
  <c r="N128" i="23" s="1"/>
  <c r="L128" i="23"/>
  <c r="M128" i="23"/>
  <c r="R127" i="23"/>
  <c r="M127" i="23"/>
  <c r="L127" i="23"/>
  <c r="K127" i="23"/>
  <c r="B195" i="24"/>
  <c r="S195" i="24"/>
  <c r="T195" i="24"/>
  <c r="U195" i="24"/>
  <c r="R127" i="24"/>
  <c r="M127" i="24"/>
  <c r="L127" i="24"/>
  <c r="K127" i="24"/>
  <c r="R126" i="24"/>
  <c r="H195" i="24" s="1"/>
  <c r="M126" i="24"/>
  <c r="D195" i="24" s="1"/>
  <c r="L126" i="24"/>
  <c r="C195" i="24" s="1"/>
  <c r="K126" i="24"/>
  <c r="U195" i="25"/>
  <c r="J195" i="25"/>
  <c r="B195" i="25"/>
  <c r="S195" i="25"/>
  <c r="T195" i="25"/>
  <c r="W195" i="25"/>
  <c r="R127" i="25"/>
  <c r="K127" i="25"/>
  <c r="L127" i="25"/>
  <c r="M127" i="25"/>
  <c r="N127" i="25" s="1"/>
  <c r="R126" i="25"/>
  <c r="H195" i="25" s="1"/>
  <c r="M126" i="25"/>
  <c r="L126" i="25"/>
  <c r="C195" i="25" s="1"/>
  <c r="K126" i="25"/>
  <c r="D159" i="26"/>
  <c r="C159" i="26"/>
  <c r="B159" i="26"/>
  <c r="M91" i="26"/>
  <c r="L91" i="26"/>
  <c r="K91" i="26"/>
  <c r="N91" i="26" s="1"/>
  <c r="M92" i="26"/>
  <c r="L92" i="26"/>
  <c r="K92" i="26"/>
  <c r="M90" i="26"/>
  <c r="L90" i="26"/>
  <c r="K90" i="26"/>
  <c r="U106" i="38"/>
  <c r="J106" i="38"/>
  <c r="B106" i="38"/>
  <c r="S106" i="38"/>
  <c r="T106" i="38"/>
  <c r="W106" i="38"/>
  <c r="R69" i="38"/>
  <c r="M69" i="38"/>
  <c r="L69" i="38"/>
  <c r="K69" i="38"/>
  <c r="R68" i="38"/>
  <c r="H106" i="38" s="1"/>
  <c r="M68" i="38"/>
  <c r="D106" i="38" s="1"/>
  <c r="L68" i="38"/>
  <c r="C106" i="38" s="1"/>
  <c r="K68" i="38"/>
  <c r="U111" i="37"/>
  <c r="J111" i="37"/>
  <c r="B111" i="37"/>
  <c r="S111" i="37"/>
  <c r="T111" i="37"/>
  <c r="R73" i="37"/>
  <c r="M73" i="37"/>
  <c r="L73" i="37"/>
  <c r="K73" i="37"/>
  <c r="R72" i="37"/>
  <c r="H111" i="37" s="1"/>
  <c r="M72" i="37"/>
  <c r="D111" i="37" s="1"/>
  <c r="L72" i="37"/>
  <c r="C111" i="37" s="1"/>
  <c r="K72" i="37"/>
  <c r="U130" i="36"/>
  <c r="T130" i="36"/>
  <c r="S130" i="36"/>
  <c r="D130" i="36"/>
  <c r="C130" i="36"/>
  <c r="B130" i="36"/>
  <c r="R93" i="36"/>
  <c r="R94" i="36"/>
  <c r="L130" i="36" s="1"/>
  <c r="K94" i="36"/>
  <c r="L94" i="36"/>
  <c r="M94" i="36"/>
  <c r="M93" i="36"/>
  <c r="L93" i="36"/>
  <c r="K93" i="36"/>
  <c r="M92" i="36"/>
  <c r="L92" i="36"/>
  <c r="K92" i="36"/>
  <c r="M91" i="36"/>
  <c r="L91" i="36"/>
  <c r="K91" i="36"/>
  <c r="M90" i="36"/>
  <c r="L90" i="36"/>
  <c r="K90" i="36"/>
  <c r="U166" i="16"/>
  <c r="T166" i="16"/>
  <c r="S166" i="16"/>
  <c r="L166" i="16"/>
  <c r="J166" i="16"/>
  <c r="H166" i="16"/>
  <c r="B166" i="16"/>
  <c r="K99" i="16"/>
  <c r="L99" i="16"/>
  <c r="M99" i="16"/>
  <c r="N99" i="16"/>
  <c r="R99" i="16"/>
  <c r="R98" i="16"/>
  <c r="M98" i="16"/>
  <c r="L98" i="16"/>
  <c r="K98" i="16"/>
  <c r="R97" i="16"/>
  <c r="M97" i="16"/>
  <c r="D166" i="16" s="1"/>
  <c r="L97" i="16"/>
  <c r="C166" i="16" s="1"/>
  <c r="K97" i="16"/>
  <c r="U138" i="35"/>
  <c r="T138" i="35"/>
  <c r="L138" i="35"/>
  <c r="J138" i="35"/>
  <c r="H138" i="35"/>
  <c r="D138" i="35"/>
  <c r="C138" i="35"/>
  <c r="B138" i="35"/>
  <c r="R101" i="35"/>
  <c r="K101" i="35"/>
  <c r="L101" i="35"/>
  <c r="M101" i="35"/>
  <c r="M99" i="35"/>
  <c r="L99" i="35"/>
  <c r="K99" i="35"/>
  <c r="M100" i="35"/>
  <c r="L100" i="35"/>
  <c r="K100" i="35"/>
  <c r="M98" i="35"/>
  <c r="L98" i="35"/>
  <c r="K98" i="35"/>
  <c r="U196" i="17"/>
  <c r="S196" i="17"/>
  <c r="W196" i="17" s="1"/>
  <c r="T196" i="17"/>
  <c r="R128" i="17"/>
  <c r="M128" i="17"/>
  <c r="L128" i="17"/>
  <c r="K128" i="17"/>
  <c r="R129" i="17"/>
  <c r="J196" i="17" s="1"/>
  <c r="M129" i="17"/>
  <c r="L129" i="17"/>
  <c r="K129" i="17"/>
  <c r="B196" i="17" s="1"/>
  <c r="U198" i="18"/>
  <c r="J198" i="18"/>
  <c r="B198" i="18"/>
  <c r="S198" i="18"/>
  <c r="T198" i="18"/>
  <c r="R131" i="18"/>
  <c r="M131" i="18"/>
  <c r="L131" i="18"/>
  <c r="K131" i="18"/>
  <c r="R130" i="18"/>
  <c r="H198" i="18" s="1"/>
  <c r="M130" i="18"/>
  <c r="D198" i="18" s="1"/>
  <c r="L130" i="18"/>
  <c r="C198" i="18" s="1"/>
  <c r="K130" i="18"/>
  <c r="U213" i="13"/>
  <c r="T213" i="13"/>
  <c r="S213" i="13"/>
  <c r="D213" i="13"/>
  <c r="C213" i="13"/>
  <c r="B213" i="13"/>
  <c r="R143" i="13"/>
  <c r="K143" i="13"/>
  <c r="L143" i="13"/>
  <c r="M143" i="13"/>
  <c r="N143" i="13"/>
  <c r="T202" i="19"/>
  <c r="H202" i="19"/>
  <c r="B202" i="19"/>
  <c r="U202" i="19"/>
  <c r="S202" i="19"/>
  <c r="L202" i="19"/>
  <c r="R133" i="19"/>
  <c r="R132" i="19"/>
  <c r="J202" i="19" s="1"/>
  <c r="K133" i="19"/>
  <c r="L133" i="19"/>
  <c r="M133" i="19"/>
  <c r="K132" i="19"/>
  <c r="L132" i="19"/>
  <c r="C202" i="19" s="1"/>
  <c r="M132" i="19"/>
  <c r="D202" i="19" s="1"/>
  <c r="S174" i="20"/>
  <c r="J174" i="20"/>
  <c r="D174" i="20"/>
  <c r="T174" i="20"/>
  <c r="U174" i="20"/>
  <c r="W174" i="20"/>
  <c r="R113" i="20"/>
  <c r="M113" i="20"/>
  <c r="L113" i="20"/>
  <c r="K113" i="20"/>
  <c r="R112" i="20"/>
  <c r="H174" i="20" s="1"/>
  <c r="M112" i="20"/>
  <c r="L112" i="20"/>
  <c r="C174" i="20" s="1"/>
  <c r="K112" i="20"/>
  <c r="N112" i="20" s="1"/>
  <c r="T194" i="21"/>
  <c r="L194" i="21"/>
  <c r="B194" i="21"/>
  <c r="S194" i="21"/>
  <c r="U194" i="21"/>
  <c r="W194" i="21"/>
  <c r="R127" i="21"/>
  <c r="M127" i="21"/>
  <c r="L127" i="21"/>
  <c r="K127" i="21"/>
  <c r="R126" i="21"/>
  <c r="H194" i="21" s="1"/>
  <c r="M126" i="21"/>
  <c r="D194" i="21" s="1"/>
  <c r="L126" i="21"/>
  <c r="C194" i="21" s="1"/>
  <c r="K126" i="21"/>
  <c r="N126" i="21" s="1"/>
  <c r="U103" i="34"/>
  <c r="D103" i="34"/>
  <c r="B103" i="34"/>
  <c r="S103" i="34"/>
  <c r="T103" i="34"/>
  <c r="R66" i="34"/>
  <c r="M66" i="34"/>
  <c r="L66" i="34"/>
  <c r="K66" i="34"/>
  <c r="R65" i="34"/>
  <c r="M65" i="34"/>
  <c r="L65" i="34"/>
  <c r="K65" i="34"/>
  <c r="R67" i="34"/>
  <c r="M67" i="34"/>
  <c r="L67" i="34"/>
  <c r="K67" i="34"/>
  <c r="S104" i="33"/>
  <c r="B104" i="33"/>
  <c r="T104" i="33"/>
  <c r="W104" i="33" s="1"/>
  <c r="U104" i="33"/>
  <c r="R67" i="33"/>
  <c r="K67" i="33"/>
  <c r="L67" i="33"/>
  <c r="M67" i="33"/>
  <c r="R66" i="33"/>
  <c r="H104" i="33" s="1"/>
  <c r="M66" i="33"/>
  <c r="L66" i="33"/>
  <c r="K66" i="33"/>
  <c r="S211" i="9"/>
  <c r="H211" i="9"/>
  <c r="B211" i="9"/>
  <c r="T211" i="9"/>
  <c r="U211" i="9"/>
  <c r="W211" i="9"/>
  <c r="R143" i="9"/>
  <c r="M143" i="9"/>
  <c r="L143" i="9"/>
  <c r="K143" i="9"/>
  <c r="R142" i="9"/>
  <c r="M142" i="9"/>
  <c r="D211" i="9" s="1"/>
  <c r="L142" i="9"/>
  <c r="C211" i="9" s="1"/>
  <c r="K142" i="9"/>
  <c r="N142" i="9" s="1"/>
  <c r="U218" i="10"/>
  <c r="W218" i="10" s="1"/>
  <c r="T218" i="10"/>
  <c r="S218" i="10"/>
  <c r="L218" i="10"/>
  <c r="J218" i="10"/>
  <c r="H218" i="10"/>
  <c r="D218" i="10"/>
  <c r="C218" i="10"/>
  <c r="B218" i="10"/>
  <c r="R151" i="10"/>
  <c r="M151" i="10"/>
  <c r="L151" i="10"/>
  <c r="K151" i="10"/>
  <c r="R150" i="10"/>
  <c r="M150" i="10"/>
  <c r="L150" i="10"/>
  <c r="K150" i="10"/>
  <c r="N150" i="10" s="1"/>
  <c r="K149" i="10"/>
  <c r="R148" i="10"/>
  <c r="M148" i="10"/>
  <c r="L148" i="10"/>
  <c r="K148" i="10"/>
  <c r="R149" i="10"/>
  <c r="M149" i="10"/>
  <c r="L149" i="10"/>
  <c r="T199" i="11"/>
  <c r="J199" i="11"/>
  <c r="C199" i="11"/>
  <c r="S199" i="11"/>
  <c r="U199" i="11"/>
  <c r="R131" i="11"/>
  <c r="M131" i="11"/>
  <c r="L131" i="11"/>
  <c r="K131" i="11"/>
  <c r="R130" i="11"/>
  <c r="M130" i="11"/>
  <c r="D199" i="11" s="1"/>
  <c r="L130" i="11"/>
  <c r="K130" i="11"/>
  <c r="B199" i="11" s="1"/>
  <c r="D197" i="12"/>
  <c r="H197" i="12"/>
  <c r="J197" i="12"/>
  <c r="L197" i="12"/>
  <c r="S197" i="12"/>
  <c r="T197" i="12"/>
  <c r="U197" i="12"/>
  <c r="R129" i="12"/>
  <c r="M129" i="12"/>
  <c r="L129" i="12"/>
  <c r="K129" i="12"/>
  <c r="R128" i="12"/>
  <c r="M128" i="12"/>
  <c r="L128" i="12"/>
  <c r="C197" i="12" s="1"/>
  <c r="K128" i="12"/>
  <c r="S105" i="32"/>
  <c r="T105" i="32"/>
  <c r="U105" i="32"/>
  <c r="R69" i="32"/>
  <c r="M69" i="32"/>
  <c r="L69" i="32"/>
  <c r="K69" i="32"/>
  <c r="R68" i="32"/>
  <c r="M68" i="32"/>
  <c r="D105" i="32" s="1"/>
  <c r="L68" i="32"/>
  <c r="C105" i="32" s="1"/>
  <c r="K68" i="32"/>
  <c r="R145" i="13"/>
  <c r="M145" i="13"/>
  <c r="L145" i="13"/>
  <c r="K145" i="13"/>
  <c r="R144" i="13"/>
  <c r="J213" i="13" s="1"/>
  <c r="M144" i="13"/>
  <c r="L144" i="13"/>
  <c r="K144" i="13"/>
  <c r="N144" i="13" s="1"/>
  <c r="R142" i="13"/>
  <c r="M142" i="13"/>
  <c r="L142" i="13"/>
  <c r="K142" i="13"/>
  <c r="U199" i="14"/>
  <c r="J199" i="14"/>
  <c r="B199" i="14"/>
  <c r="S199" i="14"/>
  <c r="T199" i="14"/>
  <c r="W199" i="14"/>
  <c r="R132" i="14"/>
  <c r="M132" i="14"/>
  <c r="L132" i="14"/>
  <c r="K132" i="14"/>
  <c r="N132" i="14" s="1"/>
  <c r="R131" i="14"/>
  <c r="H199" i="14" s="1"/>
  <c r="M131" i="14"/>
  <c r="D199" i="14" s="1"/>
  <c r="L131" i="14"/>
  <c r="C199" i="14" s="1"/>
  <c r="K131" i="14"/>
  <c r="S211" i="15"/>
  <c r="T211" i="15"/>
  <c r="U211" i="15"/>
  <c r="K142" i="15"/>
  <c r="L142" i="15"/>
  <c r="M142" i="15"/>
  <c r="R142" i="15"/>
  <c r="L143" i="15"/>
  <c r="M143" i="15"/>
  <c r="R143" i="15"/>
  <c r="U208" i="8"/>
  <c r="T208" i="8"/>
  <c r="S208" i="8"/>
  <c r="R140" i="8"/>
  <c r="R139" i="8"/>
  <c r="K140" i="8"/>
  <c r="L140" i="8"/>
  <c r="M140" i="8"/>
  <c r="M139" i="8"/>
  <c r="K139" i="8"/>
  <c r="L139" i="8"/>
  <c r="R138" i="8"/>
  <c r="M138" i="8"/>
  <c r="L138" i="8"/>
  <c r="C208" i="8" s="1"/>
  <c r="K138" i="8"/>
  <c r="B208" i="8" s="1"/>
  <c r="R137" i="8"/>
  <c r="M137" i="8"/>
  <c r="L137" i="8"/>
  <c r="K137" i="8"/>
  <c r="D208" i="8" l="1"/>
  <c r="H208" i="8"/>
  <c r="L209" i="22"/>
  <c r="H209" i="22"/>
  <c r="N209" i="22" s="1"/>
  <c r="N100" i="6"/>
  <c r="H211" i="15"/>
  <c r="W211" i="15"/>
  <c r="N142" i="15"/>
  <c r="H130" i="36"/>
  <c r="J130" i="36"/>
  <c r="N130" i="36" s="1"/>
  <c r="H213" i="13"/>
  <c r="L213" i="13"/>
  <c r="C209" i="22"/>
  <c r="W209" i="22"/>
  <c r="N140" i="22"/>
  <c r="N141" i="22"/>
  <c r="D209" i="22"/>
  <c r="W197" i="23"/>
  <c r="N127" i="23"/>
  <c r="N129" i="23"/>
  <c r="E197" i="23"/>
  <c r="W195" i="24"/>
  <c r="E195" i="24"/>
  <c r="J195" i="24"/>
  <c r="L195" i="24"/>
  <c r="N195" i="24" s="1"/>
  <c r="N127" i="24"/>
  <c r="N126" i="24"/>
  <c r="D195" i="25"/>
  <c r="L195" i="25"/>
  <c r="N195" i="25"/>
  <c r="N126" i="25"/>
  <c r="E195" i="25"/>
  <c r="W159" i="26"/>
  <c r="N90" i="26"/>
  <c r="E159" i="26"/>
  <c r="N92" i="26"/>
  <c r="N106" i="38"/>
  <c r="L106" i="38"/>
  <c r="N69" i="38"/>
  <c r="E106" i="38"/>
  <c r="N73" i="37"/>
  <c r="W111" i="37"/>
  <c r="E111" i="37"/>
  <c r="N72" i="37"/>
  <c r="L111" i="37"/>
  <c r="W130" i="36"/>
  <c r="E130" i="36"/>
  <c r="N94" i="36"/>
  <c r="N91" i="36"/>
  <c r="N90" i="36"/>
  <c r="N93" i="36"/>
  <c r="N92" i="36"/>
  <c r="N166" i="16"/>
  <c r="E166" i="16"/>
  <c r="W166" i="16"/>
  <c r="N97" i="16"/>
  <c r="N98" i="16"/>
  <c r="N138" i="35"/>
  <c r="N101" i="35"/>
  <c r="W138" i="35"/>
  <c r="E138" i="35"/>
  <c r="N99" i="35"/>
  <c r="N100" i="35"/>
  <c r="N98" i="35"/>
  <c r="C196" i="17"/>
  <c r="D196" i="17"/>
  <c r="H196" i="17"/>
  <c r="L196" i="17"/>
  <c r="N129" i="17"/>
  <c r="N128" i="17"/>
  <c r="W198" i="18"/>
  <c r="N130" i="18"/>
  <c r="L198" i="18"/>
  <c r="E198" i="18"/>
  <c r="N131" i="18"/>
  <c r="J103" i="34"/>
  <c r="W103" i="34"/>
  <c r="J208" i="8"/>
  <c r="L208" i="8"/>
  <c r="E202" i="19"/>
  <c r="W202" i="19"/>
  <c r="N202" i="19"/>
  <c r="N133" i="19"/>
  <c r="N132" i="19"/>
  <c r="N174" i="20"/>
  <c r="N113" i="20"/>
  <c r="L174" i="20"/>
  <c r="B174" i="20"/>
  <c r="E174" i="20" s="1"/>
  <c r="N127" i="21"/>
  <c r="J194" i="21"/>
  <c r="E194" i="21"/>
  <c r="H103" i="34"/>
  <c r="N65" i="34"/>
  <c r="N66" i="34"/>
  <c r="L103" i="34"/>
  <c r="C103" i="34"/>
  <c r="N67" i="34"/>
  <c r="D104" i="33"/>
  <c r="N66" i="33"/>
  <c r="N67" i="33"/>
  <c r="L104" i="33"/>
  <c r="J104" i="33"/>
  <c r="C104" i="33"/>
  <c r="N143" i="9"/>
  <c r="L211" i="9"/>
  <c r="J211" i="9"/>
  <c r="N211" i="9" s="1"/>
  <c r="E211" i="9"/>
  <c r="N148" i="10"/>
  <c r="N151" i="10"/>
  <c r="N149" i="10"/>
  <c r="W199" i="11"/>
  <c r="N130" i="11"/>
  <c r="E199" i="11"/>
  <c r="H199" i="11"/>
  <c r="N131" i="11"/>
  <c r="L199" i="11"/>
  <c r="J105" i="32"/>
  <c r="H105" i="32"/>
  <c r="B105" i="32"/>
  <c r="E105" i="32" s="1"/>
  <c r="N197" i="12"/>
  <c r="N128" i="12"/>
  <c r="N129" i="12"/>
  <c r="W197" i="12"/>
  <c r="B197" i="12"/>
  <c r="E197" i="12" s="1"/>
  <c r="W105" i="32"/>
  <c r="N69" i="32"/>
  <c r="L105" i="32"/>
  <c r="N68" i="32"/>
  <c r="W213" i="13"/>
  <c r="N142" i="13"/>
  <c r="E213" i="13"/>
  <c r="N145" i="13"/>
  <c r="L199" i="14"/>
  <c r="N199" i="14"/>
  <c r="N131" i="14"/>
  <c r="E199" i="14"/>
  <c r="B211" i="15"/>
  <c r="D211" i="15"/>
  <c r="N143" i="15"/>
  <c r="L211" i="15"/>
  <c r="J211" i="15"/>
  <c r="C211" i="15"/>
  <c r="W208" i="8"/>
  <c r="N137" i="8"/>
  <c r="N138" i="8"/>
  <c r="N139" i="8"/>
  <c r="N140" i="8"/>
  <c r="E208" i="8"/>
  <c r="S100" i="31"/>
  <c r="H100" i="31"/>
  <c r="B100" i="31"/>
  <c r="U100" i="31"/>
  <c r="T100" i="31"/>
  <c r="W100" i="31"/>
  <c r="R64" i="31"/>
  <c r="R59" i="31"/>
  <c r="R60" i="31"/>
  <c r="R61" i="31"/>
  <c r="R62" i="31"/>
  <c r="R63" i="31"/>
  <c r="L100" i="31" s="1"/>
  <c r="R58" i="31"/>
  <c r="K64" i="31"/>
  <c r="L64" i="31"/>
  <c r="M64" i="31"/>
  <c r="D100" i="31" s="1"/>
  <c r="M63" i="31"/>
  <c r="L63" i="31"/>
  <c r="C100" i="31" s="1"/>
  <c r="K63" i="31"/>
  <c r="S196" i="7"/>
  <c r="H196" i="7"/>
  <c r="B196" i="7"/>
  <c r="U196" i="7"/>
  <c r="T196" i="7"/>
  <c r="D196" i="7"/>
  <c r="R129" i="7"/>
  <c r="K129" i="7"/>
  <c r="N129" i="7" s="1"/>
  <c r="L129" i="7"/>
  <c r="M129" i="7"/>
  <c r="R128" i="7"/>
  <c r="W196" i="7" s="1"/>
  <c r="M128" i="7"/>
  <c r="L128" i="7"/>
  <c r="K128" i="7"/>
  <c r="S108" i="29"/>
  <c r="H108" i="29"/>
  <c r="B108" i="29"/>
  <c r="U108" i="29"/>
  <c r="T108" i="29"/>
  <c r="L108" i="29"/>
  <c r="J108" i="29"/>
  <c r="R72" i="29"/>
  <c r="M72" i="29"/>
  <c r="L72" i="29"/>
  <c r="K72" i="29"/>
  <c r="R71" i="29"/>
  <c r="N108" i="29" s="1"/>
  <c r="M71" i="29"/>
  <c r="D108" i="29" s="1"/>
  <c r="L71" i="29"/>
  <c r="K71" i="29"/>
  <c r="R101" i="6"/>
  <c r="L150" i="6" s="1"/>
  <c r="K101" i="6"/>
  <c r="L101" i="6"/>
  <c r="C150" i="6" s="1"/>
  <c r="M101" i="6"/>
  <c r="D150" i="6" s="1"/>
  <c r="T87" i="30"/>
  <c r="S87" i="30"/>
  <c r="J87" i="30"/>
  <c r="H87" i="30"/>
  <c r="C87" i="30"/>
  <c r="B87" i="30"/>
  <c r="U87" i="30"/>
  <c r="W87" i="30"/>
  <c r="R52" i="30"/>
  <c r="M52" i="30"/>
  <c r="L52" i="30"/>
  <c r="K52" i="30"/>
  <c r="R51" i="30"/>
  <c r="L87" i="30" s="1"/>
  <c r="M51" i="30"/>
  <c r="D87" i="30" s="1"/>
  <c r="L51" i="30"/>
  <c r="K51" i="30"/>
  <c r="J197" i="5"/>
  <c r="T197" i="5"/>
  <c r="C197" i="5"/>
  <c r="U197" i="5"/>
  <c r="S197" i="5"/>
  <c r="R129" i="5"/>
  <c r="K129" i="5"/>
  <c r="L129" i="5"/>
  <c r="M129" i="5"/>
  <c r="N129" i="5" s="1"/>
  <c r="R128" i="5"/>
  <c r="H197" i="5" s="1"/>
  <c r="M128" i="5"/>
  <c r="D197" i="5" s="1"/>
  <c r="L128" i="5"/>
  <c r="K128" i="5"/>
  <c r="H112" i="28"/>
  <c r="B112" i="28"/>
  <c r="S112" i="28"/>
  <c r="J112" i="28"/>
  <c r="D112" i="28"/>
  <c r="C112" i="28"/>
  <c r="U112" i="28"/>
  <c r="T112" i="28"/>
  <c r="W112" i="28"/>
  <c r="R75" i="28"/>
  <c r="N75" i="28"/>
  <c r="M75" i="28"/>
  <c r="L75" i="28"/>
  <c r="K75" i="28"/>
  <c r="R74" i="28"/>
  <c r="L112" i="28" s="1"/>
  <c r="M74" i="28"/>
  <c r="L74" i="28"/>
  <c r="K74" i="28"/>
  <c r="N74" i="28" s="1"/>
  <c r="U203" i="3"/>
  <c r="T203" i="3"/>
  <c r="S203" i="3"/>
  <c r="R135" i="3"/>
  <c r="R134" i="3"/>
  <c r="K135" i="3"/>
  <c r="L135" i="3"/>
  <c r="M135" i="3"/>
  <c r="D203" i="3" s="1"/>
  <c r="K134" i="3"/>
  <c r="L134" i="3"/>
  <c r="C203" i="3" s="1"/>
  <c r="M134" i="3"/>
  <c r="U196" i="2"/>
  <c r="T196" i="2"/>
  <c r="S196" i="2"/>
  <c r="H196" i="2"/>
  <c r="K127" i="2"/>
  <c r="L127" i="2"/>
  <c r="M127" i="2"/>
  <c r="R127" i="2"/>
  <c r="K128" i="2"/>
  <c r="L128" i="2"/>
  <c r="M128" i="2"/>
  <c r="R128" i="2"/>
  <c r="L196" i="2" s="1"/>
  <c r="K129" i="2"/>
  <c r="L129" i="2"/>
  <c r="M129" i="2"/>
  <c r="R129" i="2"/>
  <c r="K126" i="2"/>
  <c r="B196" i="2" s="1"/>
  <c r="L126" i="2"/>
  <c r="C196" i="2" s="1"/>
  <c r="M126" i="2"/>
  <c r="D196" i="2" s="1"/>
  <c r="R126" i="2"/>
  <c r="W196" i="2" s="1"/>
  <c r="R134" i="1"/>
  <c r="R133" i="1"/>
  <c r="K133" i="1"/>
  <c r="L133" i="1"/>
  <c r="C201" i="1" s="1"/>
  <c r="M133" i="1"/>
  <c r="D201" i="1" s="1"/>
  <c r="K134" i="1"/>
  <c r="L134" i="1"/>
  <c r="M134" i="1"/>
  <c r="B203" i="3" l="1"/>
  <c r="J203" i="3"/>
  <c r="H203" i="3"/>
  <c r="J196" i="2"/>
  <c r="N196" i="2" s="1"/>
  <c r="E196" i="2"/>
  <c r="H150" i="6"/>
  <c r="J150" i="6"/>
  <c r="N150" i="6" s="1"/>
  <c r="N104" i="33"/>
  <c r="N159" i="26"/>
  <c r="N101" i="6"/>
  <c r="E150" i="6"/>
  <c r="W150" i="6"/>
  <c r="W201" i="1"/>
  <c r="J201" i="1"/>
  <c r="H201" i="1"/>
  <c r="N201" i="1" s="1"/>
  <c r="E209" i="22"/>
  <c r="N197" i="23"/>
  <c r="N111" i="37"/>
  <c r="E196" i="17"/>
  <c r="N196" i="17"/>
  <c r="N198" i="18"/>
  <c r="N194" i="21"/>
  <c r="N103" i="34"/>
  <c r="E103" i="34"/>
  <c r="E104" i="33"/>
  <c r="N218" i="10"/>
  <c r="E218" i="10"/>
  <c r="N199" i="11"/>
  <c r="N105" i="32"/>
  <c r="N213" i="13"/>
  <c r="E211" i="15"/>
  <c r="N211" i="15"/>
  <c r="N208" i="8"/>
  <c r="E100" i="31"/>
  <c r="N100" i="31"/>
  <c r="J100" i="31"/>
  <c r="N63" i="31"/>
  <c r="N64" i="31"/>
  <c r="N196" i="7"/>
  <c r="N128" i="7"/>
  <c r="J196" i="7"/>
  <c r="C196" i="7"/>
  <c r="E196" i="7" s="1"/>
  <c r="L196" i="7"/>
  <c r="N72" i="29"/>
  <c r="W108" i="29"/>
  <c r="N71" i="29"/>
  <c r="C108" i="29"/>
  <c r="E108" i="29" s="1"/>
  <c r="E87" i="30"/>
  <c r="N52" i="30"/>
  <c r="N51" i="30"/>
  <c r="N197" i="5"/>
  <c r="L197" i="5"/>
  <c r="W197" i="5"/>
  <c r="N128" i="5"/>
  <c r="B197" i="5"/>
  <c r="E197" i="5" s="1"/>
  <c r="E112" i="28"/>
  <c r="N135" i="3"/>
  <c r="N134" i="3"/>
  <c r="N128" i="2"/>
  <c r="N127" i="2"/>
  <c r="N126" i="2"/>
  <c r="N129" i="2"/>
  <c r="N133" i="1"/>
  <c r="N134" i="1"/>
  <c r="E201" i="1" l="1"/>
  <c r="N87" i="30"/>
  <c r="N112" i="28"/>
  <c r="R147" i="10" l="1"/>
  <c r="H99" i="31" l="1"/>
  <c r="S193" i="21" l="1"/>
  <c r="T193" i="21"/>
  <c r="U193" i="21"/>
  <c r="S197" i="18"/>
  <c r="T197" i="18"/>
  <c r="U197" i="18"/>
  <c r="U208" i="22"/>
  <c r="T208" i="22"/>
  <c r="R138" i="22"/>
  <c r="L208" i="22" s="1"/>
  <c r="K139" i="22"/>
  <c r="L139" i="22"/>
  <c r="M139" i="22"/>
  <c r="K138" i="22"/>
  <c r="B208" i="22" s="1"/>
  <c r="L138" i="22"/>
  <c r="M138" i="22"/>
  <c r="S196" i="23"/>
  <c r="T196" i="23"/>
  <c r="U196" i="23"/>
  <c r="R126" i="23"/>
  <c r="M126" i="23"/>
  <c r="L126" i="23"/>
  <c r="K126" i="23"/>
  <c r="R125" i="23"/>
  <c r="H196" i="23" s="1"/>
  <c r="M125" i="23"/>
  <c r="D196" i="23" s="1"/>
  <c r="L125" i="23"/>
  <c r="C196" i="23" s="1"/>
  <c r="K125" i="23"/>
  <c r="S194" i="24"/>
  <c r="T194" i="24"/>
  <c r="U194" i="24"/>
  <c r="R125" i="24"/>
  <c r="M125" i="24"/>
  <c r="L125" i="24"/>
  <c r="K125" i="24"/>
  <c r="R124" i="24"/>
  <c r="M124" i="24"/>
  <c r="D194" i="24" s="1"/>
  <c r="L124" i="24"/>
  <c r="K124" i="24"/>
  <c r="B194" i="24" s="1"/>
  <c r="U194" i="25"/>
  <c r="S194" i="25"/>
  <c r="T194" i="25"/>
  <c r="R125" i="25"/>
  <c r="R124" i="25"/>
  <c r="R123" i="25"/>
  <c r="K125" i="25"/>
  <c r="L125" i="25"/>
  <c r="M125" i="25"/>
  <c r="K124" i="25"/>
  <c r="L124" i="25"/>
  <c r="M124" i="25"/>
  <c r="L89" i="26"/>
  <c r="M89" i="26"/>
  <c r="K89" i="26"/>
  <c r="R88" i="26"/>
  <c r="M88" i="26"/>
  <c r="L88" i="26"/>
  <c r="K88" i="26"/>
  <c r="B158" i="26" s="1"/>
  <c r="U105" i="38"/>
  <c r="S105" i="38"/>
  <c r="R67" i="38"/>
  <c r="K67" i="38"/>
  <c r="L67" i="38"/>
  <c r="M67" i="38"/>
  <c r="R66" i="38"/>
  <c r="H105" i="38" s="1"/>
  <c r="M66" i="38"/>
  <c r="L66" i="38"/>
  <c r="K66" i="38"/>
  <c r="U110" i="37"/>
  <c r="S110" i="37"/>
  <c r="T110" i="37"/>
  <c r="R71" i="37"/>
  <c r="R70" i="37"/>
  <c r="J110" i="37" s="1"/>
  <c r="K71" i="37"/>
  <c r="L71" i="37"/>
  <c r="M71" i="37"/>
  <c r="K70" i="37"/>
  <c r="L70" i="37"/>
  <c r="C110" i="37" s="1"/>
  <c r="M70" i="37"/>
  <c r="T129" i="36"/>
  <c r="U129" i="36"/>
  <c r="S129" i="36"/>
  <c r="J129" i="36"/>
  <c r="L129" i="36"/>
  <c r="H129" i="36"/>
  <c r="L89" i="36"/>
  <c r="K89" i="36"/>
  <c r="M89" i="36"/>
  <c r="K88" i="36"/>
  <c r="L88" i="36"/>
  <c r="M88" i="36"/>
  <c r="M87" i="36"/>
  <c r="L87" i="36"/>
  <c r="K87" i="36"/>
  <c r="S165" i="16"/>
  <c r="T165" i="16"/>
  <c r="U165" i="16"/>
  <c r="R96" i="16"/>
  <c r="M96" i="16"/>
  <c r="L96" i="16"/>
  <c r="K96" i="16"/>
  <c r="R95" i="16"/>
  <c r="H165" i="16" s="1"/>
  <c r="M95" i="16"/>
  <c r="L95" i="16"/>
  <c r="K95" i="16"/>
  <c r="B165" i="16" s="1"/>
  <c r="S137" i="35"/>
  <c r="H137" i="35"/>
  <c r="J137" i="35"/>
  <c r="L137" i="35"/>
  <c r="T137" i="35"/>
  <c r="U137" i="35"/>
  <c r="K97" i="35"/>
  <c r="L97" i="35"/>
  <c r="M97" i="35"/>
  <c r="K96" i="35"/>
  <c r="B137" i="35" s="1"/>
  <c r="L96" i="35"/>
  <c r="M96" i="35"/>
  <c r="T195" i="17"/>
  <c r="S195" i="17"/>
  <c r="U195" i="17"/>
  <c r="R127" i="17"/>
  <c r="R126" i="17"/>
  <c r="H195" i="17" s="1"/>
  <c r="K127" i="17"/>
  <c r="L127" i="17"/>
  <c r="M127" i="17"/>
  <c r="K126" i="17"/>
  <c r="L126" i="17"/>
  <c r="M126" i="17"/>
  <c r="R129" i="18"/>
  <c r="R128" i="18"/>
  <c r="H197" i="18" s="1"/>
  <c r="K128" i="18"/>
  <c r="L128" i="18"/>
  <c r="M128" i="18"/>
  <c r="K129" i="18"/>
  <c r="L129" i="18"/>
  <c r="M129" i="18"/>
  <c r="U201" i="19"/>
  <c r="T201" i="19"/>
  <c r="S201" i="19"/>
  <c r="R131" i="19"/>
  <c r="R130" i="19"/>
  <c r="K130" i="19"/>
  <c r="B201" i="19" s="1"/>
  <c r="L130" i="19"/>
  <c r="M130" i="19"/>
  <c r="K131" i="19"/>
  <c r="L131" i="19"/>
  <c r="M131" i="19"/>
  <c r="S173" i="20"/>
  <c r="T173" i="20"/>
  <c r="U173" i="20"/>
  <c r="R111" i="20"/>
  <c r="M111" i="20"/>
  <c r="L111" i="20"/>
  <c r="K111" i="20"/>
  <c r="R110" i="20"/>
  <c r="H173" i="20" s="1"/>
  <c r="M110" i="20"/>
  <c r="D173" i="20" s="1"/>
  <c r="L110" i="20"/>
  <c r="C173" i="20" s="1"/>
  <c r="K110" i="20"/>
  <c r="R125" i="21"/>
  <c r="K125" i="21"/>
  <c r="L125" i="21"/>
  <c r="M125" i="21"/>
  <c r="R124" i="21"/>
  <c r="H193" i="21" s="1"/>
  <c r="M124" i="21"/>
  <c r="L124" i="21"/>
  <c r="C193" i="21" s="1"/>
  <c r="K124" i="21"/>
  <c r="T102" i="34"/>
  <c r="S102" i="34"/>
  <c r="U102" i="34"/>
  <c r="R64" i="34"/>
  <c r="K64" i="34"/>
  <c r="L64" i="34"/>
  <c r="M64" i="34"/>
  <c r="T103" i="33"/>
  <c r="S103" i="33"/>
  <c r="U103" i="33"/>
  <c r="R65" i="33"/>
  <c r="K65" i="33"/>
  <c r="L65" i="33"/>
  <c r="M65" i="33"/>
  <c r="R64" i="33"/>
  <c r="M64" i="33"/>
  <c r="L64" i="33"/>
  <c r="C103" i="33" s="1"/>
  <c r="K64" i="33"/>
  <c r="S210" i="9"/>
  <c r="T210" i="9"/>
  <c r="U210" i="9"/>
  <c r="R141" i="9"/>
  <c r="R140" i="9"/>
  <c r="H210" i="9" s="1"/>
  <c r="K141" i="9"/>
  <c r="L141" i="9"/>
  <c r="M141" i="9"/>
  <c r="K140" i="9"/>
  <c r="L140" i="9"/>
  <c r="M140" i="9"/>
  <c r="H103" i="33" l="1"/>
  <c r="N138" i="22"/>
  <c r="N139" i="22"/>
  <c r="H208" i="22"/>
  <c r="W208" i="22"/>
  <c r="C208" i="22"/>
  <c r="W196" i="23"/>
  <c r="J194" i="24"/>
  <c r="W194" i="25"/>
  <c r="D194" i="25"/>
  <c r="C194" i="25"/>
  <c r="N125" i="25"/>
  <c r="L194" i="25"/>
  <c r="H194" i="25"/>
  <c r="C158" i="26"/>
  <c r="N68" i="38"/>
  <c r="B105" i="38"/>
  <c r="B110" i="37"/>
  <c r="E110" i="37" s="1"/>
  <c r="W110" i="37"/>
  <c r="D110" i="37"/>
  <c r="N88" i="36"/>
  <c r="W129" i="36"/>
  <c r="N87" i="36"/>
  <c r="D165" i="16"/>
  <c r="L165" i="16"/>
  <c r="W165" i="16"/>
  <c r="D137" i="35"/>
  <c r="N137" i="35"/>
  <c r="D195" i="17"/>
  <c r="W195" i="17"/>
  <c r="B195" i="17"/>
  <c r="B197" i="18"/>
  <c r="W197" i="18"/>
  <c r="W201" i="19"/>
  <c r="W173" i="20"/>
  <c r="L173" i="20"/>
  <c r="B193" i="21"/>
  <c r="W102" i="34"/>
  <c r="W103" i="33"/>
  <c r="B103" i="33"/>
  <c r="W210" i="9"/>
  <c r="B210" i="9"/>
  <c r="D210" i="9"/>
  <c r="N141" i="9"/>
  <c r="C210" i="9"/>
  <c r="D103" i="33"/>
  <c r="E103" i="33" s="1"/>
  <c r="N110" i="20"/>
  <c r="N111" i="20"/>
  <c r="L201" i="19"/>
  <c r="N129" i="18"/>
  <c r="H110" i="37"/>
  <c r="N97" i="35"/>
  <c r="L105" i="38"/>
  <c r="N89" i="26"/>
  <c r="H194" i="24"/>
  <c r="D208" i="22"/>
  <c r="J208" i="22"/>
  <c r="D201" i="19"/>
  <c r="N130" i="19"/>
  <c r="D197" i="18"/>
  <c r="C137" i="35"/>
  <c r="N67" i="38"/>
  <c r="D105" i="38"/>
  <c r="N65" i="33"/>
  <c r="N128" i="18"/>
  <c r="N127" i="17"/>
  <c r="L195" i="17"/>
  <c r="D129" i="36"/>
  <c r="N129" i="36"/>
  <c r="L110" i="37"/>
  <c r="N88" i="26"/>
  <c r="N124" i="24"/>
  <c r="N125" i="23"/>
  <c r="N126" i="23"/>
  <c r="B196" i="23"/>
  <c r="E196" i="23" s="1"/>
  <c r="W105" i="38"/>
  <c r="C105" i="38"/>
  <c r="C129" i="36"/>
  <c r="N89" i="36"/>
  <c r="B102" i="34"/>
  <c r="C102" i="34"/>
  <c r="D102" i="34"/>
  <c r="H102" i="34"/>
  <c r="J102" i="34"/>
  <c r="W193" i="21"/>
  <c r="L193" i="21"/>
  <c r="N125" i="21"/>
  <c r="D193" i="21"/>
  <c r="J193" i="21"/>
  <c r="L197" i="18"/>
  <c r="J197" i="18"/>
  <c r="C197" i="18"/>
  <c r="L196" i="23"/>
  <c r="J196" i="23"/>
  <c r="N125" i="24"/>
  <c r="W194" i="24"/>
  <c r="L194" i="24"/>
  <c r="C194" i="24"/>
  <c r="E194" i="24" s="1"/>
  <c r="B194" i="25"/>
  <c r="J194" i="25"/>
  <c r="N194" i="25" s="1"/>
  <c r="N124" i="25"/>
  <c r="D158" i="26"/>
  <c r="W158" i="26"/>
  <c r="N70" i="37"/>
  <c r="N71" i="37"/>
  <c r="B129" i="36"/>
  <c r="N95" i="16"/>
  <c r="J165" i="16"/>
  <c r="C165" i="16"/>
  <c r="N96" i="16"/>
  <c r="W137" i="35"/>
  <c r="N96" i="35"/>
  <c r="N126" i="17"/>
  <c r="J195" i="17"/>
  <c r="N195" i="17" s="1"/>
  <c r="C195" i="17"/>
  <c r="H201" i="19"/>
  <c r="J201" i="19"/>
  <c r="N131" i="19"/>
  <c r="C201" i="19"/>
  <c r="J173" i="20"/>
  <c r="B173" i="20"/>
  <c r="E173" i="20" s="1"/>
  <c r="N124" i="21"/>
  <c r="N64" i="34"/>
  <c r="L102" i="34"/>
  <c r="L103" i="33"/>
  <c r="J103" i="33"/>
  <c r="N64" i="33"/>
  <c r="L210" i="9"/>
  <c r="J210" i="9"/>
  <c r="N140" i="9"/>
  <c r="S217" i="10"/>
  <c r="T217" i="10"/>
  <c r="U217" i="10"/>
  <c r="K147" i="10"/>
  <c r="L147" i="10"/>
  <c r="M147" i="10"/>
  <c r="R146" i="10"/>
  <c r="K146" i="10"/>
  <c r="L146" i="10"/>
  <c r="M146" i="10"/>
  <c r="D217" i="10" s="1"/>
  <c r="S198" i="11"/>
  <c r="T198" i="11"/>
  <c r="U198" i="11"/>
  <c r="R129" i="11"/>
  <c r="R128" i="11"/>
  <c r="H198" i="11" s="1"/>
  <c r="K129" i="11"/>
  <c r="L129" i="11"/>
  <c r="M129" i="11"/>
  <c r="K128" i="11"/>
  <c r="L128" i="11"/>
  <c r="M128" i="11"/>
  <c r="T196" i="12"/>
  <c r="U196" i="12"/>
  <c r="S196" i="12"/>
  <c r="L196" i="12"/>
  <c r="J196" i="12"/>
  <c r="H196" i="12"/>
  <c r="R127" i="12"/>
  <c r="R126" i="12"/>
  <c r="K126" i="12"/>
  <c r="L126" i="12"/>
  <c r="M126" i="12"/>
  <c r="K127" i="12"/>
  <c r="L127" i="12"/>
  <c r="M127" i="12"/>
  <c r="T104" i="32"/>
  <c r="U104" i="32"/>
  <c r="S104" i="32"/>
  <c r="R67" i="32"/>
  <c r="R66" i="32"/>
  <c r="K67" i="32"/>
  <c r="L67" i="32"/>
  <c r="M67" i="32"/>
  <c r="K66" i="32"/>
  <c r="L66" i="32"/>
  <c r="M66" i="32"/>
  <c r="S212" i="13"/>
  <c r="T212" i="13"/>
  <c r="U212" i="13"/>
  <c r="R141" i="13"/>
  <c r="R140" i="13"/>
  <c r="K140" i="13"/>
  <c r="L140" i="13"/>
  <c r="M140" i="13"/>
  <c r="K141" i="13"/>
  <c r="L141" i="13"/>
  <c r="M141" i="13"/>
  <c r="T198" i="14"/>
  <c r="U198" i="14"/>
  <c r="S198" i="14"/>
  <c r="R130" i="14"/>
  <c r="K130" i="14"/>
  <c r="L130" i="14"/>
  <c r="M130" i="14"/>
  <c r="R129" i="14"/>
  <c r="J198" i="14" s="1"/>
  <c r="M129" i="14"/>
  <c r="L129" i="14"/>
  <c r="C198" i="14" s="1"/>
  <c r="K129" i="14"/>
  <c r="U210" i="15"/>
  <c r="T210" i="15"/>
  <c r="S210" i="15"/>
  <c r="R141" i="15"/>
  <c r="R140" i="15"/>
  <c r="K141" i="15"/>
  <c r="L141" i="15"/>
  <c r="M141" i="15"/>
  <c r="K140" i="15"/>
  <c r="L140" i="15"/>
  <c r="M140" i="15"/>
  <c r="U207" i="8"/>
  <c r="T207" i="8"/>
  <c r="S207" i="8"/>
  <c r="R136" i="8"/>
  <c r="R135" i="8"/>
  <c r="M136" i="8"/>
  <c r="L136" i="8"/>
  <c r="K136" i="8"/>
  <c r="K135" i="8"/>
  <c r="L135" i="8"/>
  <c r="C207" i="8" s="1"/>
  <c r="M135" i="8"/>
  <c r="U99" i="31"/>
  <c r="J99" i="31"/>
  <c r="L99" i="31"/>
  <c r="S99" i="31"/>
  <c r="T99" i="31"/>
  <c r="M62" i="31"/>
  <c r="L62" i="31"/>
  <c r="K62" i="31"/>
  <c r="M61" i="31"/>
  <c r="L61" i="31"/>
  <c r="K61" i="31"/>
  <c r="S195" i="7"/>
  <c r="T195" i="7"/>
  <c r="U195" i="7"/>
  <c r="R126" i="7"/>
  <c r="R127" i="7"/>
  <c r="K127" i="7"/>
  <c r="L127" i="7"/>
  <c r="M127" i="7"/>
  <c r="K126" i="7"/>
  <c r="L126" i="7"/>
  <c r="N126" i="7" s="1"/>
  <c r="M126" i="7"/>
  <c r="S107" i="29"/>
  <c r="W107" i="29" s="1"/>
  <c r="T107" i="29"/>
  <c r="U107" i="29"/>
  <c r="R70" i="29"/>
  <c r="R69" i="29"/>
  <c r="K70" i="29"/>
  <c r="L70" i="29"/>
  <c r="M70" i="29"/>
  <c r="K69" i="29"/>
  <c r="L69" i="29"/>
  <c r="C107" i="29" s="1"/>
  <c r="M69" i="29"/>
  <c r="U149" i="6"/>
  <c r="S149" i="6"/>
  <c r="T149" i="6"/>
  <c r="R99" i="6"/>
  <c r="R98" i="6"/>
  <c r="K98" i="6"/>
  <c r="L98" i="6"/>
  <c r="C149" i="6" s="1"/>
  <c r="M98" i="6"/>
  <c r="K99" i="6"/>
  <c r="L99" i="6"/>
  <c r="M99" i="6"/>
  <c r="S86" i="30"/>
  <c r="T86" i="30"/>
  <c r="U86" i="30"/>
  <c r="R50" i="30"/>
  <c r="R49" i="30"/>
  <c r="L86" i="30" s="1"/>
  <c r="K49" i="30"/>
  <c r="L49" i="30"/>
  <c r="M49" i="30"/>
  <c r="K50" i="30"/>
  <c r="L50" i="30"/>
  <c r="M50" i="30"/>
  <c r="T196" i="5"/>
  <c r="S196" i="5"/>
  <c r="U196" i="5"/>
  <c r="R127" i="5"/>
  <c r="R126" i="5"/>
  <c r="K127" i="5"/>
  <c r="L127" i="5"/>
  <c r="M127" i="5"/>
  <c r="K126" i="5"/>
  <c r="L126" i="5"/>
  <c r="M126" i="5"/>
  <c r="U111" i="28"/>
  <c r="T111" i="28"/>
  <c r="S111" i="28"/>
  <c r="R73" i="28"/>
  <c r="R72" i="28"/>
  <c r="K73" i="28"/>
  <c r="L73" i="28"/>
  <c r="M73" i="28"/>
  <c r="K72" i="28"/>
  <c r="L72" i="28"/>
  <c r="M72" i="28"/>
  <c r="D111" i="28" s="1"/>
  <c r="U202" i="3"/>
  <c r="T202" i="3"/>
  <c r="S202" i="3"/>
  <c r="R133" i="3"/>
  <c r="M133" i="3"/>
  <c r="L133" i="3"/>
  <c r="K133" i="3"/>
  <c r="R132" i="3"/>
  <c r="R131" i="3"/>
  <c r="K132" i="3"/>
  <c r="L132" i="3"/>
  <c r="M132" i="3"/>
  <c r="K131" i="3"/>
  <c r="L131" i="3"/>
  <c r="M131" i="3"/>
  <c r="H195" i="2"/>
  <c r="S195" i="2"/>
  <c r="J195" i="2"/>
  <c r="L195" i="2"/>
  <c r="T195" i="2"/>
  <c r="U195" i="2"/>
  <c r="R125" i="2"/>
  <c r="R124" i="2"/>
  <c r="K124" i="2"/>
  <c r="L124" i="2"/>
  <c r="M124" i="2"/>
  <c r="D195" i="2" s="1"/>
  <c r="K125" i="2"/>
  <c r="L125" i="2"/>
  <c r="M125" i="2"/>
  <c r="U200" i="1"/>
  <c r="T200" i="1"/>
  <c r="S200" i="1"/>
  <c r="R132" i="1"/>
  <c r="K132" i="1"/>
  <c r="L132" i="1"/>
  <c r="M132" i="1"/>
  <c r="R131" i="1"/>
  <c r="J200" i="1" s="1"/>
  <c r="K131" i="1"/>
  <c r="L131" i="1"/>
  <c r="C200" i="1" s="1"/>
  <c r="M131" i="1"/>
  <c r="D200" i="1" s="1"/>
  <c r="N195" i="2" l="1"/>
  <c r="W149" i="6"/>
  <c r="L210" i="15"/>
  <c r="W210" i="15"/>
  <c r="N208" i="22"/>
  <c r="E208" i="22"/>
  <c r="N196" i="23"/>
  <c r="N194" i="24"/>
  <c r="E194" i="25"/>
  <c r="E158" i="26"/>
  <c r="N158" i="26"/>
  <c r="E105" i="38"/>
  <c r="N110" i="37"/>
  <c r="E129" i="36"/>
  <c r="E165" i="16"/>
  <c r="N165" i="16"/>
  <c r="E137" i="35"/>
  <c r="E195" i="17"/>
  <c r="N197" i="18"/>
  <c r="E201" i="19"/>
  <c r="N173" i="20"/>
  <c r="E193" i="21"/>
  <c r="E102" i="34"/>
  <c r="N102" i="34"/>
  <c r="E210" i="9"/>
  <c r="D198" i="11"/>
  <c r="W196" i="12"/>
  <c r="C196" i="12"/>
  <c r="N126" i="12"/>
  <c r="N127" i="12"/>
  <c r="D196" i="12"/>
  <c r="C104" i="32"/>
  <c r="B104" i="32"/>
  <c r="J104" i="32"/>
  <c r="D104" i="32"/>
  <c r="D212" i="13"/>
  <c r="J212" i="13"/>
  <c r="C212" i="13"/>
  <c r="B212" i="13"/>
  <c r="W198" i="14"/>
  <c r="D198" i="14"/>
  <c r="D210" i="15"/>
  <c r="H210" i="15"/>
  <c r="J210" i="15"/>
  <c r="N140" i="15"/>
  <c r="C210" i="15"/>
  <c r="N141" i="15"/>
  <c r="B207" i="8"/>
  <c r="H207" i="8"/>
  <c r="N99" i="31"/>
  <c r="W99" i="31"/>
  <c r="B195" i="7"/>
  <c r="H195" i="7"/>
  <c r="N70" i="29"/>
  <c r="J107" i="29"/>
  <c r="H107" i="29"/>
  <c r="D107" i="29"/>
  <c r="D149" i="6"/>
  <c r="L149" i="6"/>
  <c r="H149" i="6"/>
  <c r="W86" i="30"/>
  <c r="N50" i="30"/>
  <c r="C86" i="30"/>
  <c r="D86" i="30"/>
  <c r="D196" i="5"/>
  <c r="H196" i="5"/>
  <c r="J196" i="5"/>
  <c r="B196" i="5"/>
  <c r="N127" i="5"/>
  <c r="W196" i="5"/>
  <c r="C111" i="28"/>
  <c r="B111" i="28"/>
  <c r="N73" i="28"/>
  <c r="J111" i="28"/>
  <c r="L111" i="28"/>
  <c r="W203" i="3"/>
  <c r="L203" i="3"/>
  <c r="E203" i="3"/>
  <c r="N131" i="3"/>
  <c r="N132" i="3"/>
  <c r="J202" i="3"/>
  <c r="C202" i="3"/>
  <c r="D202" i="3"/>
  <c r="W195" i="2"/>
  <c r="N124" i="2"/>
  <c r="N131" i="1"/>
  <c r="B200" i="1"/>
  <c r="N132" i="1"/>
  <c r="H202" i="3"/>
  <c r="L202" i="3"/>
  <c r="N72" i="28"/>
  <c r="H86" i="30"/>
  <c r="N98" i="6"/>
  <c r="J149" i="6"/>
  <c r="B107" i="29"/>
  <c r="N62" i="31"/>
  <c r="L198" i="14"/>
  <c r="L104" i="32"/>
  <c r="B195" i="2"/>
  <c r="W202" i="3"/>
  <c r="L200" i="1"/>
  <c r="N133" i="3"/>
  <c r="W200" i="1"/>
  <c r="C195" i="2"/>
  <c r="H111" i="28"/>
  <c r="N49" i="30"/>
  <c r="J86" i="30"/>
  <c r="N99" i="6"/>
  <c r="D195" i="7"/>
  <c r="N61" i="31"/>
  <c r="C99" i="31"/>
  <c r="N135" i="8"/>
  <c r="W207" i="8"/>
  <c r="B210" i="15"/>
  <c r="N66" i="32"/>
  <c r="C198" i="11"/>
  <c r="E198" i="11" s="1"/>
  <c r="J207" i="8"/>
  <c r="N129" i="14"/>
  <c r="H198" i="14"/>
  <c r="H104" i="32"/>
  <c r="W104" i="32"/>
  <c r="B196" i="12"/>
  <c r="B198" i="11"/>
  <c r="W198" i="11"/>
  <c r="H200" i="1"/>
  <c r="N200" i="1" s="1"/>
  <c r="B86" i="30"/>
  <c r="N125" i="2"/>
  <c r="B202" i="3"/>
  <c r="C196" i="5"/>
  <c r="E149" i="6"/>
  <c r="N69" i="29"/>
  <c r="L107" i="29"/>
  <c r="D99" i="31"/>
  <c r="B99" i="31"/>
  <c r="B198" i="14"/>
  <c r="N128" i="11"/>
  <c r="J198" i="11"/>
  <c r="N210" i="9"/>
  <c r="N103" i="33"/>
  <c r="E197" i="18"/>
  <c r="N105" i="38"/>
  <c r="L207" i="8"/>
  <c r="D207" i="8"/>
  <c r="N136" i="8"/>
  <c r="W217" i="10"/>
  <c r="B217" i="10"/>
  <c r="H217" i="10"/>
  <c r="J217" i="10"/>
  <c r="L217" i="10"/>
  <c r="C217" i="10"/>
  <c r="N193" i="21"/>
  <c r="N146" i="10"/>
  <c r="N147" i="10"/>
  <c r="N129" i="11"/>
  <c r="L198" i="11"/>
  <c r="N196" i="12"/>
  <c r="N67" i="32"/>
  <c r="W212" i="13"/>
  <c r="H212" i="13"/>
  <c r="L212" i="13"/>
  <c r="N141" i="13"/>
  <c r="N140" i="13"/>
  <c r="N130" i="14"/>
  <c r="W195" i="7"/>
  <c r="N127" i="7"/>
  <c r="L195" i="7"/>
  <c r="J195" i="7"/>
  <c r="C195" i="7"/>
  <c r="E195" i="7" s="1"/>
  <c r="N107" i="29"/>
  <c r="L196" i="5"/>
  <c r="N126" i="5"/>
  <c r="W111" i="28"/>
  <c r="E111" i="28"/>
  <c r="S200" i="19"/>
  <c r="U209" i="15"/>
  <c r="T209" i="15"/>
  <c r="S209" i="15"/>
  <c r="E217" i="10" l="1"/>
  <c r="N198" i="11"/>
  <c r="N104" i="32"/>
  <c r="E212" i="13"/>
  <c r="E99" i="31"/>
  <c r="E107" i="29"/>
  <c r="N149" i="6"/>
  <c r="E86" i="30"/>
  <c r="N196" i="5"/>
  <c r="E196" i="5"/>
  <c r="N111" i="28"/>
  <c r="N203" i="3"/>
  <c r="E202" i="3"/>
  <c r="N202" i="3"/>
  <c r="E195" i="2"/>
  <c r="E200" i="1"/>
  <c r="N86" i="30"/>
  <c r="N195" i="7"/>
  <c r="N217" i="10"/>
  <c r="N212" i="13"/>
  <c r="U164" i="16"/>
  <c r="S164" i="16"/>
  <c r="U163" i="16"/>
  <c r="S163" i="16"/>
  <c r="U162" i="16"/>
  <c r="S162" i="16"/>
  <c r="R90" i="16"/>
  <c r="R91" i="16"/>
  <c r="R92" i="16"/>
  <c r="R93" i="16"/>
  <c r="R94" i="16"/>
  <c r="L164" i="16" l="1"/>
  <c r="L163" i="16"/>
  <c r="H164" i="16"/>
  <c r="H163" i="16"/>
  <c r="T207" i="22"/>
  <c r="U207" i="22"/>
  <c r="S207" i="22"/>
  <c r="U195" i="23"/>
  <c r="T195" i="23"/>
  <c r="S195" i="23"/>
  <c r="T193" i="24"/>
  <c r="U193" i="24"/>
  <c r="S193" i="24"/>
  <c r="T193" i="25"/>
  <c r="U193" i="25"/>
  <c r="S193" i="25"/>
  <c r="S157" i="26"/>
  <c r="T157" i="26"/>
  <c r="U157" i="26"/>
  <c r="S104" i="38"/>
  <c r="T104" i="38"/>
  <c r="U104" i="38"/>
  <c r="T109" i="37"/>
  <c r="U109" i="37"/>
  <c r="S109" i="37"/>
  <c r="T128" i="36"/>
  <c r="U128" i="36"/>
  <c r="S128" i="36"/>
  <c r="J128" i="36"/>
  <c r="L128" i="36"/>
  <c r="H128" i="36"/>
  <c r="T164" i="16"/>
  <c r="T136" i="35"/>
  <c r="U136" i="35"/>
  <c r="S136" i="35"/>
  <c r="J136" i="35"/>
  <c r="L136" i="35"/>
  <c r="H136" i="35"/>
  <c r="H135" i="35"/>
  <c r="T194" i="17"/>
  <c r="U194" i="17"/>
  <c r="S194" i="17"/>
  <c r="T196" i="18"/>
  <c r="U196" i="18"/>
  <c r="S196" i="18"/>
  <c r="T200" i="19"/>
  <c r="U200" i="19"/>
  <c r="T172" i="20"/>
  <c r="U172" i="20"/>
  <c r="S172" i="20"/>
  <c r="S192" i="21"/>
  <c r="T192" i="21"/>
  <c r="U192" i="21"/>
  <c r="T102" i="33"/>
  <c r="U102" i="33"/>
  <c r="S102" i="33"/>
  <c r="T209" i="9"/>
  <c r="U209" i="9"/>
  <c r="S209" i="9"/>
  <c r="T216" i="10"/>
  <c r="U216" i="10"/>
  <c r="S216" i="10"/>
  <c r="T197" i="11"/>
  <c r="U197" i="11"/>
  <c r="S197" i="11"/>
  <c r="T195" i="12"/>
  <c r="U195" i="12"/>
  <c r="S195" i="12"/>
  <c r="J195" i="12"/>
  <c r="L195" i="12"/>
  <c r="H195" i="12"/>
  <c r="T103" i="32"/>
  <c r="U103" i="32"/>
  <c r="S103" i="32"/>
  <c r="U211" i="13"/>
  <c r="T211" i="13"/>
  <c r="S211" i="13"/>
  <c r="U197" i="14"/>
  <c r="T197" i="14"/>
  <c r="S197" i="14"/>
  <c r="W209" i="15"/>
  <c r="T101" i="34"/>
  <c r="U101" i="34"/>
  <c r="S101" i="34"/>
  <c r="T206" i="8"/>
  <c r="U206" i="8"/>
  <c r="S206" i="8"/>
  <c r="T98" i="31"/>
  <c r="U98" i="31"/>
  <c r="S98" i="31"/>
  <c r="J98" i="31"/>
  <c r="L98" i="31"/>
  <c r="H98" i="31"/>
  <c r="K55" i="31"/>
  <c r="L55" i="31"/>
  <c r="M55" i="31"/>
  <c r="K56" i="31"/>
  <c r="L56" i="31"/>
  <c r="M56" i="31"/>
  <c r="K54" i="31"/>
  <c r="T194" i="7"/>
  <c r="U194" i="7"/>
  <c r="S194" i="7"/>
  <c r="T106" i="29"/>
  <c r="U106" i="29"/>
  <c r="S106" i="29"/>
  <c r="W216" i="10" l="1"/>
  <c r="W106" i="29"/>
  <c r="W207" i="22"/>
  <c r="W195" i="23"/>
  <c r="W193" i="24"/>
  <c r="W193" i="25"/>
  <c r="W157" i="26"/>
  <c r="W104" i="38"/>
  <c r="W109" i="37"/>
  <c r="W128" i="36"/>
  <c r="N128" i="36"/>
  <c r="W164" i="16"/>
  <c r="W136" i="35"/>
  <c r="N136" i="35"/>
  <c r="W194" i="17"/>
  <c r="W196" i="18"/>
  <c r="W200" i="19"/>
  <c r="W172" i="20"/>
  <c r="W192" i="21"/>
  <c r="W102" i="33"/>
  <c r="W209" i="9"/>
  <c r="W197" i="11"/>
  <c r="W195" i="12"/>
  <c r="N195" i="12"/>
  <c r="W103" i="32"/>
  <c r="W211" i="13"/>
  <c r="W197" i="14"/>
  <c r="W101" i="34"/>
  <c r="W206" i="8"/>
  <c r="W98" i="31"/>
  <c r="N98" i="31"/>
  <c r="N56" i="31"/>
  <c r="N55" i="31"/>
  <c r="S148" i="6"/>
  <c r="T85" i="30"/>
  <c r="U85" i="30"/>
  <c r="S85" i="30"/>
  <c r="T195" i="5"/>
  <c r="U195" i="5"/>
  <c r="S195" i="5"/>
  <c r="T110" i="28"/>
  <c r="U110" i="28"/>
  <c r="S110" i="28"/>
  <c r="R70" i="28"/>
  <c r="R71" i="28"/>
  <c r="T201" i="3"/>
  <c r="U201" i="3"/>
  <c r="S201" i="3"/>
  <c r="T194" i="2"/>
  <c r="U194" i="2"/>
  <c r="S193" i="2"/>
  <c r="S194" i="2"/>
  <c r="L194" i="2"/>
  <c r="J194" i="2"/>
  <c r="H194" i="2"/>
  <c r="T199" i="1"/>
  <c r="U199" i="1"/>
  <c r="S199" i="1"/>
  <c r="W148" i="6" l="1"/>
  <c r="W85" i="30"/>
  <c r="W110" i="28"/>
  <c r="N194" i="2"/>
  <c r="K116" i="17"/>
  <c r="L116" i="17"/>
  <c r="M116" i="17"/>
  <c r="K117" i="17"/>
  <c r="L117" i="17"/>
  <c r="M117" i="17"/>
  <c r="K118" i="17"/>
  <c r="L118" i="17"/>
  <c r="M118" i="17"/>
  <c r="K119" i="17"/>
  <c r="L119" i="17"/>
  <c r="M119" i="17"/>
  <c r="K120" i="17"/>
  <c r="L120" i="17"/>
  <c r="M120" i="17"/>
  <c r="K121" i="17"/>
  <c r="L121" i="17"/>
  <c r="M121" i="17"/>
  <c r="K122" i="17"/>
  <c r="L122" i="17"/>
  <c r="M122" i="17"/>
  <c r="K123" i="17"/>
  <c r="L123" i="17"/>
  <c r="M123" i="17"/>
  <c r="K124" i="17"/>
  <c r="L124" i="17"/>
  <c r="M124" i="17"/>
  <c r="K125" i="17"/>
  <c r="L125" i="17"/>
  <c r="M125" i="17"/>
  <c r="K113" i="24"/>
  <c r="L113" i="24"/>
  <c r="M113" i="24"/>
  <c r="K114" i="24"/>
  <c r="L114" i="24"/>
  <c r="M114" i="24"/>
  <c r="K115" i="24"/>
  <c r="L115" i="24"/>
  <c r="M115" i="24"/>
  <c r="K116" i="24"/>
  <c r="L116" i="24"/>
  <c r="M116" i="24"/>
  <c r="K117" i="24"/>
  <c r="L117" i="24"/>
  <c r="M117" i="24"/>
  <c r="K118" i="24"/>
  <c r="L118" i="24"/>
  <c r="M118" i="24"/>
  <c r="K119" i="24"/>
  <c r="L119" i="24"/>
  <c r="M119" i="24"/>
  <c r="K120" i="24"/>
  <c r="L120" i="24"/>
  <c r="M120" i="24"/>
  <c r="K121" i="24"/>
  <c r="L121" i="24"/>
  <c r="M121" i="24"/>
  <c r="K122" i="24"/>
  <c r="L122" i="24"/>
  <c r="M122" i="24"/>
  <c r="K123" i="24"/>
  <c r="L123" i="24"/>
  <c r="M123" i="24"/>
  <c r="R109" i="23"/>
  <c r="R110" i="23"/>
  <c r="R111" i="23"/>
  <c r="R112" i="23"/>
  <c r="R113" i="23"/>
  <c r="R114" i="23"/>
  <c r="R115" i="23"/>
  <c r="R116" i="23"/>
  <c r="R117" i="23"/>
  <c r="R118" i="23"/>
  <c r="R119" i="23"/>
  <c r="R120" i="23"/>
  <c r="R121" i="23"/>
  <c r="R122" i="23"/>
  <c r="R123" i="23"/>
  <c r="R124" i="23"/>
  <c r="R125" i="22"/>
  <c r="R126" i="22"/>
  <c r="R127" i="22"/>
  <c r="R128" i="22"/>
  <c r="R129" i="22"/>
  <c r="R130" i="22"/>
  <c r="R131" i="22"/>
  <c r="R132" i="22"/>
  <c r="R133" i="22"/>
  <c r="R134" i="22"/>
  <c r="R135" i="22"/>
  <c r="R136" i="22"/>
  <c r="R137" i="22"/>
  <c r="K126" i="22"/>
  <c r="L126" i="22"/>
  <c r="M126" i="22"/>
  <c r="K127" i="22"/>
  <c r="L127" i="22"/>
  <c r="M127" i="22"/>
  <c r="K128" i="22"/>
  <c r="L128" i="22"/>
  <c r="M128" i="22"/>
  <c r="K129" i="22"/>
  <c r="L129" i="22"/>
  <c r="M129" i="22"/>
  <c r="K130" i="22"/>
  <c r="L130" i="22"/>
  <c r="M130" i="22"/>
  <c r="K131" i="22"/>
  <c r="L131" i="22"/>
  <c r="M131" i="22"/>
  <c r="K132" i="22"/>
  <c r="L132" i="22"/>
  <c r="M132" i="22"/>
  <c r="K133" i="22"/>
  <c r="L133" i="22"/>
  <c r="M133" i="22"/>
  <c r="K134" i="22"/>
  <c r="L134" i="22"/>
  <c r="M134" i="22"/>
  <c r="K135" i="22"/>
  <c r="L135" i="22"/>
  <c r="M135" i="22"/>
  <c r="K136" i="22"/>
  <c r="L136" i="22"/>
  <c r="M136" i="22"/>
  <c r="K137" i="22"/>
  <c r="L137" i="22"/>
  <c r="M137" i="22"/>
  <c r="K124" i="23"/>
  <c r="L124" i="23"/>
  <c r="M124" i="23"/>
  <c r="K123" i="23"/>
  <c r="L123" i="23"/>
  <c r="M123" i="23"/>
  <c r="R123" i="24"/>
  <c r="R122" i="24"/>
  <c r="K123" i="25"/>
  <c r="L123" i="25"/>
  <c r="M123" i="25"/>
  <c r="R122" i="25"/>
  <c r="M122" i="25"/>
  <c r="L122" i="25"/>
  <c r="C193" i="25" s="1"/>
  <c r="K122" i="25"/>
  <c r="R87" i="26"/>
  <c r="M87" i="26"/>
  <c r="L87" i="26"/>
  <c r="K87" i="26"/>
  <c r="R86" i="26"/>
  <c r="M86" i="26"/>
  <c r="L86" i="26"/>
  <c r="K86" i="26"/>
  <c r="R65" i="38"/>
  <c r="M65" i="38"/>
  <c r="L65" i="38"/>
  <c r="K65" i="38"/>
  <c r="R64" i="38"/>
  <c r="M64" i="38"/>
  <c r="L64" i="38"/>
  <c r="K64" i="38"/>
  <c r="R69" i="37"/>
  <c r="M69" i="37"/>
  <c r="L69" i="37"/>
  <c r="K69" i="37"/>
  <c r="R68" i="37"/>
  <c r="M68" i="37"/>
  <c r="L68" i="37"/>
  <c r="C109" i="37" s="1"/>
  <c r="K68" i="37"/>
  <c r="B109" i="37" s="1"/>
  <c r="B195" i="23" l="1"/>
  <c r="C157" i="26"/>
  <c r="B157" i="26"/>
  <c r="D157" i="26"/>
  <c r="C104" i="38"/>
  <c r="B104" i="38"/>
  <c r="C195" i="23"/>
  <c r="D195" i="23"/>
  <c r="N124" i="23"/>
  <c r="N118" i="24"/>
  <c r="N114" i="24"/>
  <c r="N113" i="24"/>
  <c r="N116" i="24"/>
  <c r="D193" i="24"/>
  <c r="N120" i="24"/>
  <c r="B193" i="25"/>
  <c r="N87" i="26"/>
  <c r="D104" i="38"/>
  <c r="N66" i="38"/>
  <c r="D109" i="37"/>
  <c r="D194" i="17"/>
  <c r="L109" i="37"/>
  <c r="J109" i="37"/>
  <c r="H109" i="37"/>
  <c r="J104" i="38"/>
  <c r="H104" i="38"/>
  <c r="L104" i="38"/>
  <c r="L157" i="26"/>
  <c r="J157" i="26"/>
  <c r="H157" i="26"/>
  <c r="J193" i="25"/>
  <c r="H193" i="25"/>
  <c r="L193" i="25"/>
  <c r="B207" i="22"/>
  <c r="J207" i="22"/>
  <c r="H207" i="22"/>
  <c r="L207" i="22"/>
  <c r="H193" i="24"/>
  <c r="L193" i="24"/>
  <c r="J193" i="24"/>
  <c r="N136" i="22"/>
  <c r="D207" i="22"/>
  <c r="N128" i="22"/>
  <c r="C193" i="24"/>
  <c r="C194" i="17"/>
  <c r="D193" i="25"/>
  <c r="N123" i="25"/>
  <c r="L195" i="23"/>
  <c r="J195" i="23"/>
  <c r="H195" i="23"/>
  <c r="B193" i="24"/>
  <c r="N117" i="24"/>
  <c r="B194" i="17"/>
  <c r="N130" i="22"/>
  <c r="N127" i="22"/>
  <c r="N132" i="22"/>
  <c r="N134" i="22"/>
  <c r="N126" i="22"/>
  <c r="N133" i="22"/>
  <c r="N135" i="22"/>
  <c r="N137" i="22"/>
  <c r="N129" i="22"/>
  <c r="N131" i="22"/>
  <c r="N123" i="23"/>
  <c r="N119" i="24"/>
  <c r="N123" i="24"/>
  <c r="N122" i="24"/>
  <c r="N121" i="24"/>
  <c r="N115" i="24"/>
  <c r="N122" i="25"/>
  <c r="N86" i="26"/>
  <c r="N65" i="38"/>
  <c r="N69" i="37"/>
  <c r="N68" i="37"/>
  <c r="N120" i="17"/>
  <c r="N124" i="17"/>
  <c r="N116" i="17"/>
  <c r="N118" i="17"/>
  <c r="N122" i="17"/>
  <c r="N117" i="17"/>
  <c r="N119" i="17"/>
  <c r="N121" i="17"/>
  <c r="N125" i="17"/>
  <c r="N123" i="17"/>
  <c r="M86" i="36"/>
  <c r="L86" i="36"/>
  <c r="K86" i="36"/>
  <c r="K85" i="36"/>
  <c r="L85" i="36"/>
  <c r="M85" i="36"/>
  <c r="K84" i="36"/>
  <c r="L84" i="36"/>
  <c r="M84" i="36"/>
  <c r="K83" i="36"/>
  <c r="L83" i="36"/>
  <c r="M83" i="36"/>
  <c r="K82" i="36"/>
  <c r="L82" i="36"/>
  <c r="M82" i="36"/>
  <c r="K81" i="36"/>
  <c r="L81" i="36"/>
  <c r="M81" i="36"/>
  <c r="K93" i="16"/>
  <c r="L93" i="16"/>
  <c r="M93" i="16"/>
  <c r="K94" i="16"/>
  <c r="L94" i="16"/>
  <c r="M94" i="16"/>
  <c r="K95" i="35"/>
  <c r="L95" i="35"/>
  <c r="M95" i="35"/>
  <c r="M94" i="35"/>
  <c r="L94" i="35"/>
  <c r="K94" i="35"/>
  <c r="R125" i="17"/>
  <c r="R124" i="17"/>
  <c r="R127" i="18"/>
  <c r="K127" i="18"/>
  <c r="L127" i="18"/>
  <c r="M127" i="18"/>
  <c r="R126" i="18"/>
  <c r="M126" i="18"/>
  <c r="L126" i="18"/>
  <c r="C196" i="18" s="1"/>
  <c r="K126" i="18"/>
  <c r="R129" i="19"/>
  <c r="K129" i="19"/>
  <c r="L129" i="19"/>
  <c r="M129" i="19"/>
  <c r="R128" i="19"/>
  <c r="K128" i="19"/>
  <c r="L128" i="19"/>
  <c r="M128" i="19"/>
  <c r="R127" i="19"/>
  <c r="M127" i="19"/>
  <c r="L127" i="19"/>
  <c r="C200" i="19" s="1"/>
  <c r="K127" i="19"/>
  <c r="R109" i="20"/>
  <c r="K109" i="20"/>
  <c r="L109" i="20"/>
  <c r="M109" i="20"/>
  <c r="R108" i="20"/>
  <c r="M108" i="20"/>
  <c r="L108" i="20"/>
  <c r="K108" i="20"/>
  <c r="R123" i="21"/>
  <c r="R122" i="21"/>
  <c r="K123" i="21"/>
  <c r="L123" i="21"/>
  <c r="M123" i="21"/>
  <c r="K122" i="21"/>
  <c r="L122" i="21"/>
  <c r="M122" i="21"/>
  <c r="R63" i="34"/>
  <c r="R62" i="34"/>
  <c r="K62" i="34"/>
  <c r="L62" i="34"/>
  <c r="M62" i="34"/>
  <c r="K63" i="34"/>
  <c r="L63" i="34"/>
  <c r="M63" i="34"/>
  <c r="R63" i="33"/>
  <c r="R62" i="33"/>
  <c r="K63" i="33"/>
  <c r="L63" i="33"/>
  <c r="M63" i="33"/>
  <c r="K62" i="33"/>
  <c r="L62" i="33"/>
  <c r="M62" i="33"/>
  <c r="R139" i="9"/>
  <c r="R138" i="9"/>
  <c r="K139" i="9"/>
  <c r="L139" i="9"/>
  <c r="M139" i="9"/>
  <c r="K138" i="9"/>
  <c r="L138" i="9"/>
  <c r="M138" i="9"/>
  <c r="R145" i="10"/>
  <c r="R144" i="10"/>
  <c r="K144" i="10"/>
  <c r="L144" i="10"/>
  <c r="M144" i="10"/>
  <c r="K145" i="10"/>
  <c r="L145" i="10"/>
  <c r="M145" i="10"/>
  <c r="R127" i="11"/>
  <c r="K127" i="11"/>
  <c r="L127" i="11"/>
  <c r="M127" i="11"/>
  <c r="R126" i="11"/>
  <c r="K126" i="11"/>
  <c r="B197" i="11" s="1"/>
  <c r="L126" i="11"/>
  <c r="C197" i="11" s="1"/>
  <c r="M126" i="11"/>
  <c r="D197" i="11" s="1"/>
  <c r="R125" i="12"/>
  <c r="M125" i="12"/>
  <c r="K125" i="12"/>
  <c r="L125" i="12"/>
  <c r="R124" i="12"/>
  <c r="K124" i="12"/>
  <c r="L124" i="12"/>
  <c r="M124" i="12"/>
  <c r="R123" i="12"/>
  <c r="K123" i="12"/>
  <c r="L123" i="12"/>
  <c r="M123" i="12"/>
  <c r="R65" i="32"/>
  <c r="R64" i="32"/>
  <c r="R63" i="32"/>
  <c r="K65" i="32"/>
  <c r="L65" i="32"/>
  <c r="M65" i="32"/>
  <c r="K64" i="32"/>
  <c r="L64" i="32"/>
  <c r="M64" i="32"/>
  <c r="K63" i="32"/>
  <c r="L63" i="32"/>
  <c r="M63" i="32"/>
  <c r="R139" i="13"/>
  <c r="R138" i="13"/>
  <c r="K139" i="13"/>
  <c r="L139" i="13"/>
  <c r="M139" i="13"/>
  <c r="K138" i="13"/>
  <c r="L138" i="13"/>
  <c r="M138" i="13"/>
  <c r="R128" i="14"/>
  <c r="M128" i="14"/>
  <c r="L128" i="14"/>
  <c r="K128" i="14"/>
  <c r="R127" i="14"/>
  <c r="R126" i="14"/>
  <c r="M127" i="14"/>
  <c r="L127" i="14"/>
  <c r="K127" i="14"/>
  <c r="M126" i="14"/>
  <c r="L126" i="14"/>
  <c r="K126" i="14"/>
  <c r="R139" i="15"/>
  <c r="K139" i="15"/>
  <c r="E210" i="15" s="1"/>
  <c r="L139" i="15"/>
  <c r="M139" i="15"/>
  <c r="R138" i="15"/>
  <c r="K138" i="15"/>
  <c r="L138" i="15"/>
  <c r="M138" i="15"/>
  <c r="R137" i="15"/>
  <c r="K137" i="15"/>
  <c r="L137" i="15"/>
  <c r="M137" i="15"/>
  <c r="R132" i="8"/>
  <c r="K132" i="8"/>
  <c r="L132" i="8"/>
  <c r="M132" i="8"/>
  <c r="R134" i="8"/>
  <c r="R133" i="8"/>
  <c r="K134" i="8"/>
  <c r="L134" i="8"/>
  <c r="M134" i="8"/>
  <c r="K133" i="8"/>
  <c r="L133" i="8"/>
  <c r="M133" i="8"/>
  <c r="K59" i="31"/>
  <c r="L59" i="31"/>
  <c r="M59" i="31"/>
  <c r="K60" i="31"/>
  <c r="L60" i="31"/>
  <c r="M60" i="31"/>
  <c r="R125" i="7"/>
  <c r="R124" i="7"/>
  <c r="K124" i="7"/>
  <c r="L124" i="7"/>
  <c r="M124" i="7"/>
  <c r="K125" i="7"/>
  <c r="L125" i="7"/>
  <c r="M125" i="7"/>
  <c r="R68" i="29"/>
  <c r="K68" i="29"/>
  <c r="L68" i="29"/>
  <c r="M68" i="29"/>
  <c r="R67" i="29"/>
  <c r="M67" i="29"/>
  <c r="L67" i="29"/>
  <c r="C106" i="29" s="1"/>
  <c r="K67" i="29"/>
  <c r="R95" i="6"/>
  <c r="K95" i="6"/>
  <c r="L95" i="6"/>
  <c r="M95" i="6"/>
  <c r="R97" i="6"/>
  <c r="R96" i="6"/>
  <c r="K97" i="6"/>
  <c r="L97" i="6"/>
  <c r="M97" i="6"/>
  <c r="K96" i="6"/>
  <c r="L96" i="6"/>
  <c r="M96" i="6"/>
  <c r="R47" i="30"/>
  <c r="R48" i="30"/>
  <c r="K47" i="30"/>
  <c r="L47" i="30"/>
  <c r="M47" i="30"/>
  <c r="K48" i="30"/>
  <c r="L48" i="30"/>
  <c r="M48" i="30"/>
  <c r="R124" i="5"/>
  <c r="R125" i="5"/>
  <c r="K125" i="5"/>
  <c r="L125" i="5"/>
  <c r="M125" i="5"/>
  <c r="K124" i="5"/>
  <c r="L124" i="5"/>
  <c r="M124" i="5"/>
  <c r="N207" i="22" l="1"/>
  <c r="E157" i="26"/>
  <c r="E104" i="38"/>
  <c r="C172" i="20"/>
  <c r="B102" i="33"/>
  <c r="C209" i="15"/>
  <c r="N68" i="29"/>
  <c r="C85" i="30"/>
  <c r="C195" i="5"/>
  <c r="D106" i="29"/>
  <c r="B98" i="31"/>
  <c r="C136" i="35"/>
  <c r="D195" i="12"/>
  <c r="B172" i="20"/>
  <c r="B106" i="29"/>
  <c r="L103" i="32"/>
  <c r="J103" i="32"/>
  <c r="H103" i="32"/>
  <c r="C209" i="9"/>
  <c r="B196" i="18"/>
  <c r="E193" i="24"/>
  <c r="E193" i="25"/>
  <c r="N157" i="26"/>
  <c r="N104" i="38"/>
  <c r="B128" i="36"/>
  <c r="N85" i="36"/>
  <c r="B164" i="16"/>
  <c r="C164" i="16"/>
  <c r="D136" i="35"/>
  <c r="B136" i="35"/>
  <c r="E194" i="17"/>
  <c r="B200" i="19"/>
  <c r="D192" i="21"/>
  <c r="C192" i="21"/>
  <c r="B101" i="34"/>
  <c r="C102" i="33"/>
  <c r="D102" i="33"/>
  <c r="N139" i="9"/>
  <c r="D209" i="9"/>
  <c r="N125" i="12"/>
  <c r="E196" i="12"/>
  <c r="E104" i="32"/>
  <c r="C103" i="32"/>
  <c r="D103" i="32"/>
  <c r="C211" i="13"/>
  <c r="D211" i="13"/>
  <c r="N128" i="14"/>
  <c r="E198" i="14"/>
  <c r="C197" i="14"/>
  <c r="B197" i="14"/>
  <c r="N210" i="15"/>
  <c r="E207" i="8"/>
  <c r="N134" i="8"/>
  <c r="N133" i="8"/>
  <c r="C98" i="31"/>
  <c r="B194" i="7"/>
  <c r="D194" i="7"/>
  <c r="C194" i="7"/>
  <c r="N97" i="6"/>
  <c r="D148" i="6"/>
  <c r="D85" i="30"/>
  <c r="D195" i="5"/>
  <c r="N125" i="5"/>
  <c r="D98" i="31"/>
  <c r="D206" i="8"/>
  <c r="D209" i="15"/>
  <c r="C216" i="10"/>
  <c r="C101" i="34"/>
  <c r="L194" i="17"/>
  <c r="J194" i="17"/>
  <c r="H194" i="17"/>
  <c r="C206" i="8"/>
  <c r="C195" i="12"/>
  <c r="N144" i="10"/>
  <c r="B216" i="10"/>
  <c r="N123" i="21"/>
  <c r="B195" i="5"/>
  <c r="B148" i="6"/>
  <c r="L148" i="6"/>
  <c r="J148" i="6"/>
  <c r="N124" i="5"/>
  <c r="J195" i="5"/>
  <c r="H195" i="5"/>
  <c r="W195" i="5"/>
  <c r="L195" i="5"/>
  <c r="N67" i="29"/>
  <c r="N132" i="8"/>
  <c r="B206" i="8"/>
  <c r="E206" i="8" s="1"/>
  <c r="N137" i="15"/>
  <c r="B209" i="15"/>
  <c r="N138" i="15"/>
  <c r="D197" i="14"/>
  <c r="L197" i="14"/>
  <c r="H197" i="14"/>
  <c r="J197" i="14"/>
  <c r="B211" i="13"/>
  <c r="E211" i="13" s="1"/>
  <c r="H211" i="13"/>
  <c r="L211" i="13"/>
  <c r="J211" i="13"/>
  <c r="B103" i="32"/>
  <c r="B195" i="12"/>
  <c r="N145" i="10"/>
  <c r="J216" i="10"/>
  <c r="L216" i="10"/>
  <c r="H216" i="10"/>
  <c r="B209" i="9"/>
  <c r="E209" i="9" s="1"/>
  <c r="H209" i="9"/>
  <c r="L209" i="9"/>
  <c r="J209" i="9"/>
  <c r="J102" i="33"/>
  <c r="H102" i="33"/>
  <c r="L102" i="33"/>
  <c r="L101" i="34"/>
  <c r="H101" i="34"/>
  <c r="J101" i="34"/>
  <c r="B192" i="21"/>
  <c r="H192" i="21"/>
  <c r="L192" i="21"/>
  <c r="J192" i="21"/>
  <c r="D172" i="20"/>
  <c r="D200" i="19"/>
  <c r="D196" i="18"/>
  <c r="N94" i="35"/>
  <c r="N94" i="16"/>
  <c r="D128" i="36"/>
  <c r="B85" i="30"/>
  <c r="E106" i="29"/>
  <c r="L106" i="29"/>
  <c r="H106" i="29"/>
  <c r="J106" i="29"/>
  <c r="W194" i="7"/>
  <c r="J194" i="7"/>
  <c r="H194" i="7"/>
  <c r="L194" i="7"/>
  <c r="N60" i="31"/>
  <c r="J206" i="8"/>
  <c r="L206" i="8"/>
  <c r="H206" i="8"/>
  <c r="L209" i="15"/>
  <c r="J209" i="15"/>
  <c r="H209" i="15"/>
  <c r="L197" i="11"/>
  <c r="J197" i="11"/>
  <c r="H197" i="11"/>
  <c r="D216" i="10"/>
  <c r="D101" i="34"/>
  <c r="H172" i="20"/>
  <c r="L172" i="20"/>
  <c r="J172" i="20"/>
  <c r="H200" i="19"/>
  <c r="L200" i="19"/>
  <c r="J200" i="19"/>
  <c r="H196" i="18"/>
  <c r="L196" i="18"/>
  <c r="J196" i="18"/>
  <c r="N95" i="35"/>
  <c r="D164" i="16"/>
  <c r="C128" i="36"/>
  <c r="N139" i="15"/>
  <c r="L85" i="30"/>
  <c r="H85" i="30"/>
  <c r="J85" i="30"/>
  <c r="J164" i="16"/>
  <c r="E207" i="22"/>
  <c r="E195" i="23"/>
  <c r="N195" i="23"/>
  <c r="N193" i="24"/>
  <c r="N193" i="25"/>
  <c r="N82" i="36"/>
  <c r="N83" i="36"/>
  <c r="N84" i="36"/>
  <c r="N93" i="16"/>
  <c r="N127" i="18"/>
  <c r="N126" i="18"/>
  <c r="N127" i="19"/>
  <c r="N128" i="19"/>
  <c r="N129" i="19"/>
  <c r="N109" i="20"/>
  <c r="N108" i="20"/>
  <c r="N122" i="21"/>
  <c r="N62" i="33"/>
  <c r="N138" i="9"/>
  <c r="N126" i="11"/>
  <c r="N127" i="11"/>
  <c r="N123" i="12"/>
  <c r="N124" i="12"/>
  <c r="N65" i="32"/>
  <c r="N63" i="32"/>
  <c r="N64" i="32"/>
  <c r="N138" i="13"/>
  <c r="N139" i="13"/>
  <c r="N126" i="14"/>
  <c r="N127" i="14"/>
  <c r="N63" i="34"/>
  <c r="N47" i="30"/>
  <c r="N59" i="31"/>
  <c r="N86" i="36"/>
  <c r="N81" i="36"/>
  <c r="N62" i="34"/>
  <c r="N63" i="33"/>
  <c r="N125" i="7"/>
  <c r="N124" i="7"/>
  <c r="N96" i="6"/>
  <c r="N95" i="6"/>
  <c r="N48" i="30"/>
  <c r="K71" i="28"/>
  <c r="L71" i="28"/>
  <c r="M71" i="28"/>
  <c r="K70" i="28"/>
  <c r="L70" i="28"/>
  <c r="M70" i="28"/>
  <c r="R69" i="28"/>
  <c r="K69" i="28"/>
  <c r="L69" i="28"/>
  <c r="M69" i="28"/>
  <c r="E164" i="16" l="1"/>
  <c r="E196" i="18"/>
  <c r="E192" i="21"/>
  <c r="E209" i="15"/>
  <c r="E194" i="7"/>
  <c r="E195" i="5"/>
  <c r="D110" i="28"/>
  <c r="B110" i="28"/>
  <c r="N70" i="28"/>
  <c r="N211" i="13"/>
  <c r="E85" i="30"/>
  <c r="N209" i="15"/>
  <c r="N106" i="29"/>
  <c r="E128" i="36"/>
  <c r="E200" i="19"/>
  <c r="N201" i="19"/>
  <c r="N200" i="19"/>
  <c r="N172" i="20"/>
  <c r="N102" i="33"/>
  <c r="E102" i="33"/>
  <c r="N197" i="11"/>
  <c r="E195" i="12"/>
  <c r="N198" i="14"/>
  <c r="N207" i="8"/>
  <c r="E98" i="31"/>
  <c r="N194" i="7"/>
  <c r="E148" i="6"/>
  <c r="N148" i="6"/>
  <c r="N71" i="28"/>
  <c r="N206" i="8"/>
  <c r="N69" i="28"/>
  <c r="N195" i="5"/>
  <c r="L110" i="28"/>
  <c r="J110" i="28"/>
  <c r="H110" i="28"/>
  <c r="C110" i="28"/>
  <c r="N85" i="30"/>
  <c r="N164" i="16"/>
  <c r="N194" i="17"/>
  <c r="N196" i="18"/>
  <c r="E172" i="20"/>
  <c r="N192" i="21"/>
  <c r="N209" i="9"/>
  <c r="E197" i="11"/>
  <c r="E103" i="32"/>
  <c r="N103" i="32"/>
  <c r="E197" i="14"/>
  <c r="N197" i="14"/>
  <c r="R130" i="3"/>
  <c r="R129" i="3"/>
  <c r="K130" i="3"/>
  <c r="L130" i="3"/>
  <c r="M130" i="3"/>
  <c r="K129" i="3"/>
  <c r="L129" i="3"/>
  <c r="M129" i="3"/>
  <c r="R123" i="2"/>
  <c r="K123" i="2"/>
  <c r="L123" i="2"/>
  <c r="M123" i="2"/>
  <c r="R122" i="2"/>
  <c r="M122" i="2"/>
  <c r="L122" i="2"/>
  <c r="K122" i="2"/>
  <c r="K129" i="1"/>
  <c r="L129" i="1"/>
  <c r="M129" i="1"/>
  <c r="K130" i="1"/>
  <c r="L130" i="1"/>
  <c r="M130" i="1"/>
  <c r="R130" i="1"/>
  <c r="R129" i="1"/>
  <c r="S198" i="1"/>
  <c r="C194" i="2" l="1"/>
  <c r="B194" i="2"/>
  <c r="N130" i="1"/>
  <c r="D194" i="2"/>
  <c r="E110" i="28"/>
  <c r="B199" i="1"/>
  <c r="C201" i="3"/>
  <c r="N130" i="3"/>
  <c r="B201" i="3"/>
  <c r="W194" i="2"/>
  <c r="D199" i="1"/>
  <c r="C199" i="1"/>
  <c r="J199" i="1"/>
  <c r="H199" i="1"/>
  <c r="W199" i="1"/>
  <c r="L199" i="1"/>
  <c r="N129" i="3"/>
  <c r="D201" i="3"/>
  <c r="N110" i="28"/>
  <c r="W201" i="3"/>
  <c r="L201" i="3"/>
  <c r="J201" i="3"/>
  <c r="H201" i="3"/>
  <c r="N129" i="1"/>
  <c r="E199" i="1" s="1"/>
  <c r="N123" i="2"/>
  <c r="N122" i="2"/>
  <c r="J194" i="12"/>
  <c r="H194" i="12"/>
  <c r="H193" i="12"/>
  <c r="S208" i="15"/>
  <c r="T208" i="15"/>
  <c r="U208" i="15"/>
  <c r="U206" i="15"/>
  <c r="T193" i="2"/>
  <c r="E201" i="3" l="1"/>
  <c r="E194" i="2"/>
  <c r="N201" i="3"/>
  <c r="N199" i="1"/>
  <c r="W208" i="15"/>
  <c r="T108" i="37"/>
  <c r="U108" i="37"/>
  <c r="S108" i="37"/>
  <c r="T193" i="7"/>
  <c r="U193" i="7"/>
  <c r="S193" i="7"/>
  <c r="T84" i="30"/>
  <c r="U84" i="30"/>
  <c r="S84" i="30"/>
  <c r="R46" i="30"/>
  <c r="M46" i="30"/>
  <c r="K46" i="30"/>
  <c r="L46" i="30"/>
  <c r="R45" i="30"/>
  <c r="K45" i="30"/>
  <c r="L45" i="30"/>
  <c r="M45" i="30"/>
  <c r="N45" i="30" l="1"/>
  <c r="N46" i="30"/>
  <c r="W108" i="37"/>
  <c r="W84" i="30"/>
  <c r="U101" i="33"/>
  <c r="T101" i="33"/>
  <c r="S101" i="33"/>
  <c r="W101" i="33" l="1"/>
  <c r="U206" i="22"/>
  <c r="T206" i="22"/>
  <c r="S206" i="22"/>
  <c r="L206" i="22"/>
  <c r="J206" i="22"/>
  <c r="H206" i="22"/>
  <c r="D206" i="22"/>
  <c r="C206" i="22"/>
  <c r="B206" i="22"/>
  <c r="U194" i="23"/>
  <c r="T194" i="23"/>
  <c r="S194" i="23"/>
  <c r="L194" i="23"/>
  <c r="J194" i="23"/>
  <c r="H194" i="23"/>
  <c r="K122" i="23"/>
  <c r="L122" i="23"/>
  <c r="M122" i="23"/>
  <c r="K121" i="23"/>
  <c r="L121" i="23"/>
  <c r="M121" i="23"/>
  <c r="S192" i="24"/>
  <c r="U192" i="24"/>
  <c r="T192" i="24"/>
  <c r="D192" i="24"/>
  <c r="C192" i="24"/>
  <c r="B192" i="24"/>
  <c r="R121" i="24"/>
  <c r="R120" i="24"/>
  <c r="U192" i="25"/>
  <c r="T192" i="25"/>
  <c r="S192" i="25"/>
  <c r="R121" i="25"/>
  <c r="R120" i="25"/>
  <c r="K120" i="25"/>
  <c r="L120" i="25"/>
  <c r="M120" i="25"/>
  <c r="K121" i="25"/>
  <c r="L121" i="25"/>
  <c r="M121" i="25"/>
  <c r="U156" i="26"/>
  <c r="T156" i="26"/>
  <c r="S156" i="26"/>
  <c r="R85" i="26"/>
  <c r="K85" i="26"/>
  <c r="L85" i="26"/>
  <c r="M85" i="26"/>
  <c r="R84" i="26"/>
  <c r="L156" i="26" s="1"/>
  <c r="K84" i="26"/>
  <c r="L84" i="26"/>
  <c r="M84" i="26"/>
  <c r="D156" i="26" s="1"/>
  <c r="U103" i="38"/>
  <c r="T103" i="38"/>
  <c r="S103" i="38"/>
  <c r="R63" i="38"/>
  <c r="R62" i="38"/>
  <c r="K63" i="38"/>
  <c r="L63" i="38"/>
  <c r="M63" i="38"/>
  <c r="K62" i="38"/>
  <c r="L62" i="38"/>
  <c r="M62" i="38"/>
  <c r="J192" i="24" l="1"/>
  <c r="B156" i="26"/>
  <c r="C103" i="38"/>
  <c r="B194" i="23"/>
  <c r="D194" i="23"/>
  <c r="C194" i="23"/>
  <c r="N122" i="23"/>
  <c r="J192" i="25"/>
  <c r="D192" i="25"/>
  <c r="C192" i="25"/>
  <c r="N120" i="25"/>
  <c r="N85" i="26"/>
  <c r="B103" i="38"/>
  <c r="H103" i="38"/>
  <c r="D103" i="38"/>
  <c r="W103" i="38"/>
  <c r="C156" i="26"/>
  <c r="L192" i="24"/>
  <c r="L192" i="25"/>
  <c r="H192" i="24"/>
  <c r="J103" i="38"/>
  <c r="H156" i="26"/>
  <c r="N194" i="23"/>
  <c r="W192" i="24"/>
  <c r="E192" i="24"/>
  <c r="B192" i="25"/>
  <c r="H192" i="25"/>
  <c r="N84" i="26"/>
  <c r="J156" i="26"/>
  <c r="L103" i="38"/>
  <c r="N64" i="38"/>
  <c r="N63" i="38"/>
  <c r="N206" i="22"/>
  <c r="W206" i="22"/>
  <c r="E206" i="22"/>
  <c r="W194" i="23"/>
  <c r="N121" i="23"/>
  <c r="N121" i="25"/>
  <c r="W192" i="25"/>
  <c r="W156" i="26"/>
  <c r="R67" i="37"/>
  <c r="K67" i="37"/>
  <c r="L67" i="37"/>
  <c r="M67" i="37"/>
  <c r="N192" i="25" l="1"/>
  <c r="E156" i="26"/>
  <c r="E103" i="38"/>
  <c r="E194" i="23"/>
  <c r="N192" i="24"/>
  <c r="E192" i="25"/>
  <c r="N156" i="26"/>
  <c r="N103" i="38"/>
  <c r="N67" i="37"/>
  <c r="E109" i="37"/>
  <c r="R66" i="37"/>
  <c r="K66" i="37"/>
  <c r="L66" i="37"/>
  <c r="M66" i="37"/>
  <c r="R65" i="37"/>
  <c r="K65" i="37"/>
  <c r="L65" i="37"/>
  <c r="C108" i="37" s="1"/>
  <c r="M65" i="37"/>
  <c r="T127" i="36"/>
  <c r="U127" i="36"/>
  <c r="S127" i="36"/>
  <c r="K79" i="36"/>
  <c r="L79" i="36"/>
  <c r="M79" i="36"/>
  <c r="K80" i="36"/>
  <c r="L80" i="36"/>
  <c r="M80" i="36"/>
  <c r="T163" i="16"/>
  <c r="K91" i="16"/>
  <c r="L91" i="16"/>
  <c r="M91" i="16"/>
  <c r="K92" i="16"/>
  <c r="L92" i="16"/>
  <c r="M92" i="16"/>
  <c r="U135" i="35"/>
  <c r="T135" i="35"/>
  <c r="S135" i="35"/>
  <c r="L135" i="35"/>
  <c r="J135" i="35"/>
  <c r="K93" i="35"/>
  <c r="L93" i="35"/>
  <c r="M93" i="35"/>
  <c r="K92" i="35"/>
  <c r="L92" i="35"/>
  <c r="M92" i="35"/>
  <c r="K91" i="35"/>
  <c r="L91" i="35"/>
  <c r="M91" i="35"/>
  <c r="U193" i="17"/>
  <c r="T193" i="17"/>
  <c r="S193" i="17"/>
  <c r="D193" i="17"/>
  <c r="C193" i="17"/>
  <c r="B193" i="17"/>
  <c r="R123" i="17"/>
  <c r="R122" i="17"/>
  <c r="S195" i="18"/>
  <c r="U195" i="18"/>
  <c r="T195" i="18"/>
  <c r="R125" i="18"/>
  <c r="K125" i="18"/>
  <c r="L125" i="18"/>
  <c r="M125" i="18"/>
  <c r="R124" i="18"/>
  <c r="J195" i="18" s="1"/>
  <c r="M124" i="18"/>
  <c r="L124" i="18"/>
  <c r="C195" i="18" s="1"/>
  <c r="K124" i="18"/>
  <c r="U199" i="19"/>
  <c r="T199" i="19"/>
  <c r="S199" i="19"/>
  <c r="R126" i="19"/>
  <c r="M126" i="19"/>
  <c r="L126" i="19"/>
  <c r="K126" i="19"/>
  <c r="R125" i="19"/>
  <c r="L199" i="19" s="1"/>
  <c r="M125" i="19"/>
  <c r="L125" i="19"/>
  <c r="C199" i="19" s="1"/>
  <c r="K125" i="19"/>
  <c r="R107" i="20"/>
  <c r="R106" i="20"/>
  <c r="U171" i="20"/>
  <c r="T171" i="20"/>
  <c r="S171" i="20"/>
  <c r="K107" i="20"/>
  <c r="L107" i="20"/>
  <c r="M107" i="20"/>
  <c r="K106" i="20"/>
  <c r="L106" i="20"/>
  <c r="M106" i="20"/>
  <c r="U191" i="21"/>
  <c r="T191" i="21"/>
  <c r="S191" i="21"/>
  <c r="R120" i="21"/>
  <c r="R121" i="21"/>
  <c r="K120" i="21"/>
  <c r="L120" i="21"/>
  <c r="M120" i="21"/>
  <c r="K121" i="21"/>
  <c r="L121" i="21"/>
  <c r="M121" i="21"/>
  <c r="D108" i="37" l="1"/>
  <c r="B171" i="20"/>
  <c r="L171" i="20"/>
  <c r="C171" i="20"/>
  <c r="W135" i="35"/>
  <c r="D171" i="20"/>
  <c r="D191" i="21"/>
  <c r="B191" i="21"/>
  <c r="H191" i="21"/>
  <c r="C191" i="21"/>
  <c r="L191" i="21"/>
  <c r="N124" i="18"/>
  <c r="L195" i="18"/>
  <c r="D135" i="35"/>
  <c r="N66" i="37"/>
  <c r="N92" i="35"/>
  <c r="N107" i="20"/>
  <c r="W171" i="20"/>
  <c r="D195" i="18"/>
  <c r="C163" i="16"/>
  <c r="W163" i="16"/>
  <c r="N109" i="37"/>
  <c r="B163" i="16"/>
  <c r="N93" i="35"/>
  <c r="E136" i="35"/>
  <c r="N91" i="35"/>
  <c r="B135" i="35"/>
  <c r="C135" i="35"/>
  <c r="J193" i="17"/>
  <c r="L193" i="17"/>
  <c r="B195" i="18"/>
  <c r="H195" i="18"/>
  <c r="N125" i="19"/>
  <c r="J199" i="19"/>
  <c r="H199" i="19"/>
  <c r="D199" i="19"/>
  <c r="B199" i="19"/>
  <c r="H171" i="20"/>
  <c r="J191" i="21"/>
  <c r="H108" i="37"/>
  <c r="J108" i="37"/>
  <c r="L108" i="37"/>
  <c r="N65" i="37"/>
  <c r="B108" i="37"/>
  <c r="N92" i="16"/>
  <c r="N91" i="16"/>
  <c r="J163" i="16"/>
  <c r="D163" i="16"/>
  <c r="H193" i="17"/>
  <c r="N127" i="36"/>
  <c r="C127" i="36"/>
  <c r="B127" i="36"/>
  <c r="N80" i="36"/>
  <c r="N79" i="36"/>
  <c r="W127" i="36"/>
  <c r="D127" i="36"/>
  <c r="N135" i="35"/>
  <c r="W193" i="17"/>
  <c r="E193" i="17"/>
  <c r="W195" i="18"/>
  <c r="N125" i="18"/>
  <c r="W199" i="19"/>
  <c r="N126" i="19"/>
  <c r="J171" i="20"/>
  <c r="N106" i="20"/>
  <c r="W191" i="21"/>
  <c r="N120" i="21"/>
  <c r="N121" i="21"/>
  <c r="T100" i="34"/>
  <c r="U100" i="34"/>
  <c r="S100" i="34"/>
  <c r="R61" i="34"/>
  <c r="K61" i="34"/>
  <c r="L61" i="34"/>
  <c r="M61" i="34"/>
  <c r="R60" i="34"/>
  <c r="J100" i="34" s="1"/>
  <c r="K60" i="34"/>
  <c r="L60" i="34"/>
  <c r="M60" i="34"/>
  <c r="R61" i="33"/>
  <c r="K61" i="33"/>
  <c r="L61" i="33"/>
  <c r="M61" i="33"/>
  <c r="R60" i="33"/>
  <c r="K60" i="33"/>
  <c r="L60" i="33"/>
  <c r="M60" i="33"/>
  <c r="D101" i="33" s="1"/>
  <c r="U208" i="9"/>
  <c r="T208" i="9"/>
  <c r="S208" i="9"/>
  <c r="R137" i="9"/>
  <c r="M137" i="9"/>
  <c r="L137" i="9"/>
  <c r="K137" i="9"/>
  <c r="R136" i="9"/>
  <c r="K136" i="9"/>
  <c r="L136" i="9"/>
  <c r="C208" i="9" s="1"/>
  <c r="M136" i="9"/>
  <c r="E108" i="37" l="1"/>
  <c r="E135" i="35"/>
  <c r="E195" i="18"/>
  <c r="N195" i="18"/>
  <c r="E171" i="20"/>
  <c r="C101" i="33"/>
  <c r="N199" i="19"/>
  <c r="W208" i="9"/>
  <c r="E163" i="16"/>
  <c r="N171" i="20"/>
  <c r="E191" i="21"/>
  <c r="N191" i="21"/>
  <c r="B208" i="9"/>
  <c r="W100" i="34"/>
  <c r="E199" i="19"/>
  <c r="N193" i="17"/>
  <c r="L208" i="9"/>
  <c r="E101" i="34"/>
  <c r="N101" i="34"/>
  <c r="D100" i="34"/>
  <c r="N108" i="37"/>
  <c r="E127" i="36"/>
  <c r="N163" i="16"/>
  <c r="C100" i="34"/>
  <c r="L100" i="34"/>
  <c r="N61" i="34"/>
  <c r="N60" i="34"/>
  <c r="H100" i="34"/>
  <c r="B100" i="34"/>
  <c r="B101" i="33"/>
  <c r="E101" i="33" s="1"/>
  <c r="L101" i="33"/>
  <c r="J101" i="33"/>
  <c r="H101" i="33"/>
  <c r="N61" i="33"/>
  <c r="D208" i="9"/>
  <c r="H208" i="9"/>
  <c r="J208" i="9"/>
  <c r="N137" i="9"/>
  <c r="N60" i="33"/>
  <c r="N136" i="9"/>
  <c r="U215" i="10"/>
  <c r="T215" i="10"/>
  <c r="S215" i="10"/>
  <c r="K141" i="10"/>
  <c r="L141" i="10"/>
  <c r="M141" i="10"/>
  <c r="R143" i="10"/>
  <c r="K143" i="10"/>
  <c r="L143" i="10"/>
  <c r="M143" i="10"/>
  <c r="R141" i="10"/>
  <c r="R142" i="10"/>
  <c r="K142" i="10"/>
  <c r="L142" i="10"/>
  <c r="M142" i="10"/>
  <c r="U194" i="12"/>
  <c r="T194" i="12"/>
  <c r="S194" i="12"/>
  <c r="L194" i="12"/>
  <c r="N100" i="34" l="1"/>
  <c r="E100" i="34"/>
  <c r="E208" i="9"/>
  <c r="W215" i="10"/>
  <c r="J215" i="10"/>
  <c r="L215" i="10"/>
  <c r="W194" i="12"/>
  <c r="D215" i="10"/>
  <c r="E216" i="10"/>
  <c r="H215" i="10"/>
  <c r="N216" i="10"/>
  <c r="C215" i="10"/>
  <c r="B215" i="10"/>
  <c r="N101" i="33"/>
  <c r="N208" i="9"/>
  <c r="N141" i="10"/>
  <c r="N143" i="10"/>
  <c r="N142" i="10"/>
  <c r="N194" i="12"/>
  <c r="R122" i="12"/>
  <c r="M122" i="12"/>
  <c r="L122" i="12"/>
  <c r="K122" i="12"/>
  <c r="R134" i="15"/>
  <c r="R135" i="15"/>
  <c r="R136" i="15"/>
  <c r="R132" i="15"/>
  <c r="R133" i="15"/>
  <c r="R131" i="15"/>
  <c r="T75" i="30"/>
  <c r="U196" i="11"/>
  <c r="T196" i="11"/>
  <c r="S196" i="11"/>
  <c r="R125" i="11"/>
  <c r="M125" i="11"/>
  <c r="K125" i="11"/>
  <c r="L125" i="11"/>
  <c r="R124" i="11"/>
  <c r="K124" i="11"/>
  <c r="L124" i="11"/>
  <c r="M124" i="11"/>
  <c r="R121" i="12"/>
  <c r="K121" i="12"/>
  <c r="L121" i="12"/>
  <c r="M121" i="12"/>
  <c r="N215" i="10" l="1"/>
  <c r="W196" i="11"/>
  <c r="J196" i="11"/>
  <c r="D196" i="11"/>
  <c r="C196" i="11"/>
  <c r="C194" i="12"/>
  <c r="B194" i="12"/>
  <c r="L196" i="11"/>
  <c r="N124" i="11"/>
  <c r="H196" i="11"/>
  <c r="B196" i="11"/>
  <c r="D194" i="12"/>
  <c r="E215" i="10"/>
  <c r="J208" i="15"/>
  <c r="H208" i="15"/>
  <c r="L208" i="15"/>
  <c r="N121" i="12"/>
  <c r="N122" i="12"/>
  <c r="N125" i="11"/>
  <c r="U102" i="32"/>
  <c r="T102" i="32"/>
  <c r="S102" i="32"/>
  <c r="R61" i="32"/>
  <c r="M61" i="32"/>
  <c r="L61" i="32"/>
  <c r="K61" i="32"/>
  <c r="R62" i="32"/>
  <c r="M62" i="32"/>
  <c r="L62" i="32"/>
  <c r="K62" i="32"/>
  <c r="U210" i="13"/>
  <c r="T210" i="13"/>
  <c r="S210" i="13"/>
  <c r="K137" i="13"/>
  <c r="L137" i="13"/>
  <c r="M137" i="13"/>
  <c r="R136" i="13"/>
  <c r="R137" i="13"/>
  <c r="K136" i="13"/>
  <c r="L136" i="13"/>
  <c r="M136" i="13"/>
  <c r="U196" i="14"/>
  <c r="T196" i="14"/>
  <c r="S196" i="14"/>
  <c r="R124" i="14"/>
  <c r="M124" i="14"/>
  <c r="L124" i="14"/>
  <c r="K124" i="14"/>
  <c r="R125" i="14"/>
  <c r="M125" i="14"/>
  <c r="L125" i="14"/>
  <c r="C196" i="14" s="1"/>
  <c r="K125" i="14"/>
  <c r="K136" i="15"/>
  <c r="L136" i="15"/>
  <c r="M136" i="15"/>
  <c r="K132" i="15"/>
  <c r="L132" i="15"/>
  <c r="M132" i="15"/>
  <c r="K133" i="15"/>
  <c r="L133" i="15"/>
  <c r="M133" i="15"/>
  <c r="K134" i="15"/>
  <c r="L134" i="15"/>
  <c r="M134" i="15"/>
  <c r="K135" i="15"/>
  <c r="L135" i="15"/>
  <c r="M135" i="15"/>
  <c r="U205" i="8"/>
  <c r="T205" i="8"/>
  <c r="S205" i="8"/>
  <c r="K130" i="8"/>
  <c r="L130" i="8"/>
  <c r="M130" i="8"/>
  <c r="R130" i="8"/>
  <c r="K131" i="8"/>
  <c r="L131" i="8"/>
  <c r="M131" i="8"/>
  <c r="D205" i="8" s="1"/>
  <c r="R131" i="8"/>
  <c r="U97" i="31"/>
  <c r="T97" i="31"/>
  <c r="S97" i="31"/>
  <c r="K57" i="31"/>
  <c r="K58" i="31"/>
  <c r="L58" i="31"/>
  <c r="M58" i="31"/>
  <c r="R57" i="31"/>
  <c r="R56" i="31"/>
  <c r="L57" i="31"/>
  <c r="M57" i="31"/>
  <c r="D97" i="31" s="1"/>
  <c r="R123" i="7"/>
  <c r="K123" i="7"/>
  <c r="L123" i="7"/>
  <c r="M123" i="7"/>
  <c r="R122" i="7"/>
  <c r="W193" i="7" s="1"/>
  <c r="K122" i="7"/>
  <c r="L122" i="7"/>
  <c r="M122" i="7"/>
  <c r="U105" i="29"/>
  <c r="T105" i="29"/>
  <c r="S105" i="29"/>
  <c r="K66" i="29"/>
  <c r="L66" i="29"/>
  <c r="M66" i="29"/>
  <c r="R66" i="29"/>
  <c r="R65" i="29"/>
  <c r="K65" i="29"/>
  <c r="L65" i="29"/>
  <c r="M65" i="29"/>
  <c r="D210" i="13" l="1"/>
  <c r="D105" i="29"/>
  <c r="W105" i="29"/>
  <c r="N58" i="31"/>
  <c r="N131" i="8"/>
  <c r="L97" i="31"/>
  <c r="E196" i="11"/>
  <c r="N196" i="11"/>
  <c r="E194" i="12"/>
  <c r="D102" i="32"/>
  <c r="C210" i="13"/>
  <c r="B210" i="13"/>
  <c r="L210" i="13"/>
  <c r="B196" i="14"/>
  <c r="N125" i="14"/>
  <c r="W205" i="8"/>
  <c r="C205" i="8"/>
  <c r="B205" i="8"/>
  <c r="L205" i="8"/>
  <c r="H205" i="8"/>
  <c r="C97" i="31"/>
  <c r="B97" i="31"/>
  <c r="L196" i="14"/>
  <c r="C102" i="32"/>
  <c r="J205" i="8"/>
  <c r="B105" i="29"/>
  <c r="N66" i="29"/>
  <c r="J97" i="31"/>
  <c r="L102" i="32"/>
  <c r="N65" i="29"/>
  <c r="J105" i="29"/>
  <c r="W97" i="31"/>
  <c r="N130" i="8"/>
  <c r="N124" i="14"/>
  <c r="J210" i="13"/>
  <c r="N62" i="32"/>
  <c r="B102" i="32"/>
  <c r="W102" i="32"/>
  <c r="H102" i="32"/>
  <c r="J102" i="32"/>
  <c r="N61" i="32"/>
  <c r="H210" i="13"/>
  <c r="W196" i="14"/>
  <c r="D196" i="14"/>
  <c r="H196" i="14"/>
  <c r="J196" i="14"/>
  <c r="H97" i="31"/>
  <c r="N57" i="31"/>
  <c r="N135" i="15"/>
  <c r="N134" i="15"/>
  <c r="D208" i="15"/>
  <c r="C208" i="15"/>
  <c r="N208" i="15"/>
  <c r="N132" i="15"/>
  <c r="B208" i="15"/>
  <c r="C193" i="7"/>
  <c r="B193" i="7"/>
  <c r="N123" i="7"/>
  <c r="D193" i="7"/>
  <c r="J193" i="7"/>
  <c r="H193" i="7"/>
  <c r="L193" i="7"/>
  <c r="N122" i="7"/>
  <c r="L105" i="29"/>
  <c r="C105" i="29"/>
  <c r="H105" i="29"/>
  <c r="N136" i="15"/>
  <c r="N133" i="15"/>
  <c r="W210" i="13"/>
  <c r="N136" i="13"/>
  <c r="N137" i="13"/>
  <c r="W147" i="6"/>
  <c r="R93" i="6"/>
  <c r="K93" i="6"/>
  <c r="L93" i="6"/>
  <c r="M93" i="6"/>
  <c r="E210" i="13" l="1"/>
  <c r="E196" i="14"/>
  <c r="E205" i="8"/>
  <c r="E102" i="32"/>
  <c r="N210" i="13"/>
  <c r="E208" i="15"/>
  <c r="N205" i="8"/>
  <c r="N97" i="31"/>
  <c r="E105" i="29"/>
  <c r="N105" i="29"/>
  <c r="N196" i="14"/>
  <c r="N102" i="32"/>
  <c r="E193" i="7"/>
  <c r="N193" i="7"/>
  <c r="N93" i="6"/>
  <c r="E147" i="6"/>
  <c r="R44" i="30"/>
  <c r="K44" i="30"/>
  <c r="L44" i="30"/>
  <c r="C84" i="30" s="1"/>
  <c r="M44" i="30"/>
  <c r="D84" i="30" s="1"/>
  <c r="T194" i="5"/>
  <c r="U194" i="5"/>
  <c r="S194" i="5"/>
  <c r="R122" i="5"/>
  <c r="R123" i="5"/>
  <c r="K122" i="5"/>
  <c r="L122" i="5"/>
  <c r="M122" i="5"/>
  <c r="K123" i="5"/>
  <c r="L123" i="5"/>
  <c r="M123" i="5"/>
  <c r="U109" i="28"/>
  <c r="T109" i="28"/>
  <c r="S109" i="28"/>
  <c r="R67" i="28"/>
  <c r="R68" i="28"/>
  <c r="K68" i="28"/>
  <c r="L68" i="28"/>
  <c r="M68" i="28"/>
  <c r="K67" i="28"/>
  <c r="L67" i="28"/>
  <c r="M67" i="28"/>
  <c r="U200" i="3"/>
  <c r="T200" i="3"/>
  <c r="S200" i="3"/>
  <c r="K128" i="3"/>
  <c r="L128" i="3"/>
  <c r="M128" i="3"/>
  <c r="R128" i="3"/>
  <c r="R127" i="3"/>
  <c r="K127" i="3"/>
  <c r="L127" i="3"/>
  <c r="M127" i="3"/>
  <c r="N147" i="6" l="1"/>
  <c r="C200" i="3"/>
  <c r="W200" i="3"/>
  <c r="N128" i="3"/>
  <c r="L194" i="5"/>
  <c r="C194" i="5"/>
  <c r="C109" i="28"/>
  <c r="D109" i="28"/>
  <c r="L109" i="28"/>
  <c r="D200" i="3"/>
  <c r="H200" i="3"/>
  <c r="J200" i="3"/>
  <c r="D194" i="5"/>
  <c r="W194" i="5"/>
  <c r="L200" i="3"/>
  <c r="J194" i="5"/>
  <c r="N122" i="5"/>
  <c r="B194" i="5"/>
  <c r="N44" i="30"/>
  <c r="B84" i="30"/>
  <c r="E84" i="30" s="1"/>
  <c r="L84" i="30"/>
  <c r="J84" i="30"/>
  <c r="H84" i="30"/>
  <c r="B109" i="28"/>
  <c r="N68" i="28"/>
  <c r="H109" i="28"/>
  <c r="J109" i="28"/>
  <c r="H194" i="5"/>
  <c r="N123" i="5"/>
  <c r="W109" i="28"/>
  <c r="N67" i="28"/>
  <c r="N127" i="3"/>
  <c r="U193" i="2"/>
  <c r="L193" i="2"/>
  <c r="J193" i="2"/>
  <c r="H193" i="2"/>
  <c r="H192" i="2"/>
  <c r="R121" i="2"/>
  <c r="K121" i="2"/>
  <c r="L121" i="2"/>
  <c r="M121" i="2"/>
  <c r="R120" i="2"/>
  <c r="K120" i="2"/>
  <c r="L120" i="2"/>
  <c r="M120" i="2"/>
  <c r="U198" i="1"/>
  <c r="T198" i="1"/>
  <c r="R128" i="1"/>
  <c r="L128" i="1"/>
  <c r="M128" i="1"/>
  <c r="K128" i="1"/>
  <c r="N194" i="5" l="1"/>
  <c r="E109" i="28"/>
  <c r="E194" i="5"/>
  <c r="N193" i="2"/>
  <c r="W193" i="2"/>
  <c r="N200" i="3"/>
  <c r="N84" i="30"/>
  <c r="N109" i="28"/>
  <c r="D193" i="2"/>
  <c r="C193" i="2"/>
  <c r="B193" i="2"/>
  <c r="N128" i="1"/>
  <c r="N120" i="2"/>
  <c r="N121" i="2"/>
  <c r="R126" i="1"/>
  <c r="M126" i="1"/>
  <c r="L126" i="1"/>
  <c r="K126" i="1"/>
  <c r="R127" i="1"/>
  <c r="M127" i="1"/>
  <c r="L127" i="1"/>
  <c r="K127" i="1"/>
  <c r="C198" i="1" l="1"/>
  <c r="E193" i="2"/>
  <c r="D198" i="1"/>
  <c r="L198" i="1"/>
  <c r="J198" i="1"/>
  <c r="H198" i="1"/>
  <c r="W198" i="1"/>
  <c r="B198" i="1"/>
  <c r="N126" i="1"/>
  <c r="N127" i="1"/>
  <c r="K115" i="23"/>
  <c r="L115" i="23"/>
  <c r="M115" i="23"/>
  <c r="K116" i="23"/>
  <c r="L116" i="23"/>
  <c r="M116" i="23"/>
  <c r="K117" i="23"/>
  <c r="L117" i="23"/>
  <c r="M117" i="23"/>
  <c r="K118" i="23"/>
  <c r="L118" i="23"/>
  <c r="M118" i="23"/>
  <c r="K119" i="23"/>
  <c r="L119" i="23"/>
  <c r="M119" i="23"/>
  <c r="K120" i="23"/>
  <c r="L120" i="23"/>
  <c r="M120" i="23"/>
  <c r="N117" i="23" l="1"/>
  <c r="B193" i="23"/>
  <c r="E198" i="1"/>
  <c r="N198" i="1"/>
  <c r="N118" i="23"/>
  <c r="N119" i="23"/>
  <c r="N115" i="23"/>
  <c r="D193" i="23"/>
  <c r="N116" i="23"/>
  <c r="C193" i="23"/>
  <c r="N120" i="23"/>
  <c r="E193" i="23" l="1"/>
  <c r="S107" i="37"/>
  <c r="S204" i="8" l="1"/>
  <c r="T204" i="8"/>
  <c r="U108" i="28" l="1"/>
  <c r="T108" i="28"/>
  <c r="S108" i="28"/>
  <c r="U205" i="22" l="1"/>
  <c r="T205" i="22"/>
  <c r="S205" i="22"/>
  <c r="L205" i="22"/>
  <c r="J205" i="22"/>
  <c r="H205" i="22"/>
  <c r="D205" i="22"/>
  <c r="C205" i="22"/>
  <c r="S193" i="23"/>
  <c r="T193" i="23"/>
  <c r="U193" i="23"/>
  <c r="H193" i="23"/>
  <c r="J193" i="23"/>
  <c r="L193" i="23"/>
  <c r="B191" i="24"/>
  <c r="C191" i="24"/>
  <c r="D191" i="24"/>
  <c r="S191" i="24"/>
  <c r="T191" i="24"/>
  <c r="U191" i="24"/>
  <c r="R119" i="24"/>
  <c r="L191" i="24" s="1"/>
  <c r="S191" i="25"/>
  <c r="T191" i="25"/>
  <c r="U191" i="25"/>
  <c r="R119" i="25"/>
  <c r="R118" i="25"/>
  <c r="K118" i="25"/>
  <c r="L118" i="25"/>
  <c r="M118" i="25"/>
  <c r="K119" i="25"/>
  <c r="L119" i="25"/>
  <c r="M119" i="25"/>
  <c r="J191" i="25" l="1"/>
  <c r="W191" i="25"/>
  <c r="J191" i="24"/>
  <c r="H191" i="24"/>
  <c r="D191" i="25"/>
  <c r="C191" i="25"/>
  <c r="E191" i="24"/>
  <c r="W191" i="24"/>
  <c r="H191" i="25"/>
  <c r="N119" i="25"/>
  <c r="B191" i="25"/>
  <c r="N118" i="25"/>
  <c r="L191" i="25"/>
  <c r="N193" i="23"/>
  <c r="W193" i="23"/>
  <c r="W205" i="22"/>
  <c r="N205" i="22"/>
  <c r="E205" i="22"/>
  <c r="S155" i="26"/>
  <c r="T155" i="26"/>
  <c r="U155" i="26"/>
  <c r="R83" i="26"/>
  <c r="R82" i="26"/>
  <c r="K82" i="26"/>
  <c r="L82" i="26"/>
  <c r="M82" i="26"/>
  <c r="K83" i="26"/>
  <c r="L83" i="26"/>
  <c r="M83" i="26"/>
  <c r="U102" i="38"/>
  <c r="T102" i="38"/>
  <c r="S102" i="38"/>
  <c r="R61" i="38"/>
  <c r="R60" i="38"/>
  <c r="K60" i="38"/>
  <c r="L60" i="38"/>
  <c r="M60" i="38"/>
  <c r="K61" i="38"/>
  <c r="L61" i="38"/>
  <c r="M61" i="38"/>
  <c r="T107" i="37"/>
  <c r="U107" i="37"/>
  <c r="R64" i="37"/>
  <c r="R63" i="37"/>
  <c r="K63" i="37"/>
  <c r="L63" i="37"/>
  <c r="M63" i="37"/>
  <c r="K64" i="37"/>
  <c r="L64" i="37"/>
  <c r="M64" i="37"/>
  <c r="U126" i="36"/>
  <c r="T126" i="36"/>
  <c r="S126" i="36"/>
  <c r="U125" i="36"/>
  <c r="T125" i="36"/>
  <c r="S125" i="36"/>
  <c r="R75" i="36"/>
  <c r="H126" i="36" s="1"/>
  <c r="M78" i="36"/>
  <c r="L78" i="36"/>
  <c r="K78" i="36"/>
  <c r="K77" i="36"/>
  <c r="L77" i="36"/>
  <c r="M77" i="36"/>
  <c r="K76" i="36"/>
  <c r="L76" i="36"/>
  <c r="M76" i="36"/>
  <c r="K75" i="36"/>
  <c r="L75" i="36"/>
  <c r="M75" i="36"/>
  <c r="L155" i="26" l="1"/>
  <c r="W107" i="37"/>
  <c r="N191" i="24"/>
  <c r="B155" i="26"/>
  <c r="J107" i="37"/>
  <c r="D107" i="37"/>
  <c r="W102" i="38"/>
  <c r="L107" i="37"/>
  <c r="E191" i="25"/>
  <c r="L102" i="38"/>
  <c r="N191" i="25"/>
  <c r="W155" i="26"/>
  <c r="C155" i="26"/>
  <c r="N83" i="26"/>
  <c r="C102" i="38"/>
  <c r="N64" i="37"/>
  <c r="C107" i="37"/>
  <c r="B107" i="37"/>
  <c r="D155" i="26"/>
  <c r="H102" i="38"/>
  <c r="N62" i="38"/>
  <c r="N61" i="38"/>
  <c r="D102" i="38"/>
  <c r="N75" i="36"/>
  <c r="J126" i="36"/>
  <c r="N78" i="36"/>
  <c r="N77" i="36"/>
  <c r="C126" i="36"/>
  <c r="L126" i="36"/>
  <c r="W126" i="36"/>
  <c r="J155" i="26"/>
  <c r="B126" i="36"/>
  <c r="H107" i="37"/>
  <c r="J102" i="38"/>
  <c r="D126" i="36"/>
  <c r="H155" i="26"/>
  <c r="N76" i="36"/>
  <c r="N63" i="37"/>
  <c r="B102" i="38"/>
  <c r="E102" i="38" s="1"/>
  <c r="N82" i="26"/>
  <c r="T162" i="16"/>
  <c r="M90" i="16"/>
  <c r="L90" i="16"/>
  <c r="K90" i="16"/>
  <c r="R89" i="16"/>
  <c r="R88" i="16"/>
  <c r="K89" i="16"/>
  <c r="L89" i="16"/>
  <c r="M89" i="16"/>
  <c r="K88" i="16"/>
  <c r="L88" i="16"/>
  <c r="M88" i="16"/>
  <c r="S134" i="35"/>
  <c r="T134" i="35"/>
  <c r="U134" i="35"/>
  <c r="R88" i="35"/>
  <c r="R89" i="35"/>
  <c r="K88" i="35"/>
  <c r="L88" i="35"/>
  <c r="M88" i="35"/>
  <c r="K89" i="35"/>
  <c r="L89" i="35"/>
  <c r="M89" i="35"/>
  <c r="K90" i="35"/>
  <c r="L90" i="35"/>
  <c r="M90" i="35"/>
  <c r="S192" i="17"/>
  <c r="T192" i="17"/>
  <c r="U192" i="17"/>
  <c r="B192" i="17"/>
  <c r="C192" i="17"/>
  <c r="D192" i="17"/>
  <c r="R121" i="17"/>
  <c r="R120" i="17"/>
  <c r="U194" i="18"/>
  <c r="T194" i="18"/>
  <c r="S194" i="18"/>
  <c r="R123" i="18"/>
  <c r="R122" i="18"/>
  <c r="K122" i="18"/>
  <c r="L122" i="18"/>
  <c r="M122" i="18"/>
  <c r="K123" i="18"/>
  <c r="L123" i="18"/>
  <c r="M123" i="18"/>
  <c r="S198" i="19"/>
  <c r="T198" i="19"/>
  <c r="U198" i="19"/>
  <c r="R124" i="19"/>
  <c r="R123" i="19"/>
  <c r="K123" i="19"/>
  <c r="L123" i="19"/>
  <c r="M123" i="19"/>
  <c r="K124" i="19"/>
  <c r="L124" i="19"/>
  <c r="M124" i="19"/>
  <c r="N107" i="37" l="1"/>
  <c r="L198" i="19"/>
  <c r="E107" i="37"/>
  <c r="W134" i="35"/>
  <c r="H134" i="35"/>
  <c r="D134" i="35"/>
  <c r="L162" i="16"/>
  <c r="H162" i="16"/>
  <c r="L194" i="18"/>
  <c r="C134" i="35"/>
  <c r="W194" i="18"/>
  <c r="E155" i="26"/>
  <c r="N102" i="38"/>
  <c r="J134" i="35"/>
  <c r="B134" i="35"/>
  <c r="E192" i="17"/>
  <c r="L192" i="17"/>
  <c r="W192" i="17"/>
  <c r="J194" i="18"/>
  <c r="C194" i="18"/>
  <c r="D194" i="18"/>
  <c r="B194" i="18"/>
  <c r="N123" i="19"/>
  <c r="B198" i="19"/>
  <c r="D198" i="19"/>
  <c r="N88" i="16"/>
  <c r="D162" i="16"/>
  <c r="C162" i="16"/>
  <c r="H192" i="17"/>
  <c r="N155" i="26"/>
  <c r="N126" i="36"/>
  <c r="H194" i="18"/>
  <c r="N123" i="18"/>
  <c r="J192" i="17"/>
  <c r="B162" i="16"/>
  <c r="W198" i="19"/>
  <c r="N124" i="19"/>
  <c r="C198" i="19"/>
  <c r="N89" i="35"/>
  <c r="E126" i="36"/>
  <c r="N88" i="35"/>
  <c r="H198" i="19"/>
  <c r="N90" i="35"/>
  <c r="N89" i="16"/>
  <c r="L134" i="35"/>
  <c r="N90" i="16"/>
  <c r="J162" i="16"/>
  <c r="J198" i="19"/>
  <c r="N122" i="18"/>
  <c r="W162" i="16"/>
  <c r="S170" i="20"/>
  <c r="T170" i="20"/>
  <c r="U170" i="20"/>
  <c r="M102" i="20"/>
  <c r="M104" i="20"/>
  <c r="R105" i="20"/>
  <c r="M105" i="20"/>
  <c r="L105" i="20"/>
  <c r="K105" i="20"/>
  <c r="R104" i="20"/>
  <c r="L104" i="20"/>
  <c r="K104" i="20"/>
  <c r="S190" i="21"/>
  <c r="T190" i="21"/>
  <c r="U190" i="21"/>
  <c r="R118" i="21"/>
  <c r="R119" i="21"/>
  <c r="K118" i="21"/>
  <c r="L118" i="21"/>
  <c r="M118" i="21"/>
  <c r="K119" i="21"/>
  <c r="L119" i="21"/>
  <c r="M119" i="21"/>
  <c r="S99" i="34"/>
  <c r="T99" i="34"/>
  <c r="U99" i="34"/>
  <c r="K57" i="34"/>
  <c r="L57" i="34"/>
  <c r="M57" i="34"/>
  <c r="K58" i="34"/>
  <c r="L58" i="34"/>
  <c r="M58" i="34"/>
  <c r="K59" i="34"/>
  <c r="L59" i="34"/>
  <c r="M59" i="34"/>
  <c r="L56" i="34"/>
  <c r="R59" i="34"/>
  <c r="R58" i="34"/>
  <c r="U100" i="33"/>
  <c r="T100" i="33"/>
  <c r="S100" i="33"/>
  <c r="R59" i="33"/>
  <c r="R58" i="33"/>
  <c r="K58" i="33"/>
  <c r="L58" i="33"/>
  <c r="M58" i="33"/>
  <c r="K59" i="33"/>
  <c r="L59" i="33"/>
  <c r="M59" i="33"/>
  <c r="S207" i="9"/>
  <c r="T207" i="9"/>
  <c r="U207" i="9"/>
  <c r="R135" i="9"/>
  <c r="R134" i="9"/>
  <c r="K134" i="9"/>
  <c r="L134" i="9"/>
  <c r="M134" i="9"/>
  <c r="K135" i="9"/>
  <c r="L135" i="9"/>
  <c r="M135" i="9"/>
  <c r="U214" i="10"/>
  <c r="T214" i="10"/>
  <c r="S214" i="10"/>
  <c r="R140" i="10"/>
  <c r="R139" i="10"/>
  <c r="R138" i="10"/>
  <c r="R137" i="10"/>
  <c r="K137" i="10"/>
  <c r="L137" i="10"/>
  <c r="M137" i="10"/>
  <c r="K138" i="10"/>
  <c r="L138" i="10"/>
  <c r="M138" i="10"/>
  <c r="K139" i="10"/>
  <c r="L139" i="10"/>
  <c r="M139" i="10"/>
  <c r="K140" i="10"/>
  <c r="L140" i="10"/>
  <c r="M140" i="10"/>
  <c r="E134" i="35" l="1"/>
  <c r="N134" i="35"/>
  <c r="N194" i="18"/>
  <c r="E194" i="18"/>
  <c r="L190" i="21"/>
  <c r="D100" i="33"/>
  <c r="L100" i="33"/>
  <c r="H207" i="9"/>
  <c r="C99" i="34"/>
  <c r="B190" i="21"/>
  <c r="N59" i="33"/>
  <c r="N59" i="34"/>
  <c r="J190" i="21"/>
  <c r="E162" i="16"/>
  <c r="N192" i="17"/>
  <c r="E198" i="19"/>
  <c r="W170" i="20"/>
  <c r="L170" i="20"/>
  <c r="D190" i="21"/>
  <c r="N162" i="16"/>
  <c r="N57" i="34"/>
  <c r="W214" i="10"/>
  <c r="C100" i="33"/>
  <c r="N58" i="33"/>
  <c r="D207" i="9"/>
  <c r="C207" i="9"/>
  <c r="N198" i="19"/>
  <c r="D170" i="20"/>
  <c r="N104" i="20"/>
  <c r="C170" i="20"/>
  <c r="J170" i="20"/>
  <c r="N119" i="21"/>
  <c r="C190" i="21"/>
  <c r="W190" i="21"/>
  <c r="H190" i="21"/>
  <c r="B100" i="33"/>
  <c r="W207" i="9"/>
  <c r="L207" i="9"/>
  <c r="B207" i="9"/>
  <c r="D214" i="10"/>
  <c r="B214" i="10"/>
  <c r="C214" i="10"/>
  <c r="N138" i="10"/>
  <c r="N140" i="10"/>
  <c r="L214" i="10"/>
  <c r="H170" i="20"/>
  <c r="N137" i="10"/>
  <c r="H214" i="10"/>
  <c r="H99" i="34"/>
  <c r="N58" i="34"/>
  <c r="J207" i="9"/>
  <c r="N139" i="10"/>
  <c r="J214" i="10"/>
  <c r="N135" i="9"/>
  <c r="H100" i="33"/>
  <c r="N105" i="20"/>
  <c r="B170" i="20"/>
  <c r="N134" i="9"/>
  <c r="J100" i="33"/>
  <c r="N118" i="21"/>
  <c r="W99" i="34"/>
  <c r="D99" i="34"/>
  <c r="B99" i="34"/>
  <c r="L99" i="34"/>
  <c r="J99" i="34"/>
  <c r="W100" i="33"/>
  <c r="S195" i="11"/>
  <c r="T195" i="11"/>
  <c r="U195" i="11"/>
  <c r="R123" i="11"/>
  <c r="M123" i="11"/>
  <c r="L123" i="11"/>
  <c r="K123" i="11"/>
  <c r="R122" i="11"/>
  <c r="M122" i="11"/>
  <c r="L122" i="11"/>
  <c r="K122" i="11"/>
  <c r="B195" i="11" s="1"/>
  <c r="T193" i="12"/>
  <c r="S193" i="12"/>
  <c r="U193" i="12"/>
  <c r="J193" i="12"/>
  <c r="L193" i="12"/>
  <c r="R120" i="12"/>
  <c r="M120" i="12"/>
  <c r="L120" i="12"/>
  <c r="K120" i="12"/>
  <c r="R119" i="12"/>
  <c r="M119" i="12"/>
  <c r="L119" i="12"/>
  <c r="K119" i="12"/>
  <c r="S101" i="32"/>
  <c r="T101" i="32"/>
  <c r="U101" i="32"/>
  <c r="S209" i="13"/>
  <c r="R60" i="32"/>
  <c r="M60" i="32"/>
  <c r="L60" i="32"/>
  <c r="K60" i="32"/>
  <c r="R59" i="32"/>
  <c r="L101" i="32" s="1"/>
  <c r="K59" i="32"/>
  <c r="L59" i="32"/>
  <c r="M59" i="32"/>
  <c r="U209" i="13"/>
  <c r="T209" i="13"/>
  <c r="R135" i="13"/>
  <c r="L135" i="13"/>
  <c r="M135" i="13"/>
  <c r="K135" i="13"/>
  <c r="K134" i="13"/>
  <c r="L134" i="13"/>
  <c r="M134" i="13"/>
  <c r="R134" i="13"/>
  <c r="R133" i="13"/>
  <c r="K133" i="13"/>
  <c r="L133" i="13"/>
  <c r="M133" i="13"/>
  <c r="K132" i="13"/>
  <c r="R132" i="13"/>
  <c r="M132" i="13"/>
  <c r="L132" i="13"/>
  <c r="S195" i="14"/>
  <c r="T195" i="14"/>
  <c r="U195" i="14"/>
  <c r="R123" i="14"/>
  <c r="R122" i="14"/>
  <c r="J195" i="14" s="1"/>
  <c r="K122" i="14"/>
  <c r="L122" i="14"/>
  <c r="M122" i="14"/>
  <c r="K123" i="14"/>
  <c r="L123" i="14"/>
  <c r="M123" i="14"/>
  <c r="C195" i="11" l="1"/>
  <c r="W195" i="11"/>
  <c r="N190" i="21"/>
  <c r="N170" i="20"/>
  <c r="E99" i="34"/>
  <c r="C101" i="32"/>
  <c r="D101" i="32"/>
  <c r="N132" i="13"/>
  <c r="N133" i="13"/>
  <c r="D195" i="14"/>
  <c r="W195" i="14"/>
  <c r="L195" i="14"/>
  <c r="N59" i="32"/>
  <c r="D193" i="12"/>
  <c r="N99" i="34"/>
  <c r="E207" i="9"/>
  <c r="N122" i="14"/>
  <c r="E190" i="21"/>
  <c r="E170" i="20"/>
  <c r="E100" i="33"/>
  <c r="D195" i="11"/>
  <c r="E195" i="11" s="1"/>
  <c r="L195" i="11"/>
  <c r="B193" i="12"/>
  <c r="C193" i="12"/>
  <c r="B101" i="32"/>
  <c r="W101" i="32"/>
  <c r="H101" i="32"/>
  <c r="N135" i="13"/>
  <c r="C195" i="14"/>
  <c r="B195" i="14"/>
  <c r="N100" i="33"/>
  <c r="N207" i="9"/>
  <c r="E214" i="10"/>
  <c r="N214" i="10"/>
  <c r="N120" i="12"/>
  <c r="C209" i="13"/>
  <c r="D209" i="13"/>
  <c r="J101" i="32"/>
  <c r="H195" i="14"/>
  <c r="H209" i="13"/>
  <c r="N123" i="11"/>
  <c r="J195" i="11"/>
  <c r="B209" i="13"/>
  <c r="N134" i="13"/>
  <c r="W193" i="12"/>
  <c r="H195" i="11"/>
  <c r="N193" i="12"/>
  <c r="N123" i="14"/>
  <c r="J209" i="13"/>
  <c r="N122" i="11"/>
  <c r="L209" i="13"/>
  <c r="N60" i="32"/>
  <c r="N119" i="12"/>
  <c r="W209" i="13"/>
  <c r="U207" i="15"/>
  <c r="T207" i="15"/>
  <c r="S207" i="15"/>
  <c r="R130" i="15"/>
  <c r="L207" i="15" s="1"/>
  <c r="L128" i="15"/>
  <c r="M130" i="15"/>
  <c r="M131" i="15"/>
  <c r="K129" i="15"/>
  <c r="K130" i="15"/>
  <c r="K131" i="15"/>
  <c r="L125" i="15"/>
  <c r="L126" i="15"/>
  <c r="L127" i="15"/>
  <c r="L129" i="15"/>
  <c r="L130" i="15"/>
  <c r="L131" i="15"/>
  <c r="M129" i="15"/>
  <c r="K123" i="15"/>
  <c r="U204" i="8"/>
  <c r="R129" i="8"/>
  <c r="K129" i="8"/>
  <c r="L129" i="8"/>
  <c r="M129" i="8"/>
  <c r="R128" i="8"/>
  <c r="H204" i="8" s="1"/>
  <c r="K128" i="8"/>
  <c r="L128" i="8"/>
  <c r="M128" i="8"/>
  <c r="D204" i="8" s="1"/>
  <c r="U96" i="31"/>
  <c r="T96" i="31"/>
  <c r="S96" i="31"/>
  <c r="R54" i="31"/>
  <c r="R55" i="31"/>
  <c r="R53" i="31"/>
  <c r="K53" i="31"/>
  <c r="L53" i="31"/>
  <c r="M53" i="31"/>
  <c r="L54" i="31"/>
  <c r="M54" i="31"/>
  <c r="N101" i="32" l="1"/>
  <c r="E101" i="32"/>
  <c r="C204" i="8"/>
  <c r="N195" i="14"/>
  <c r="E195" i="14"/>
  <c r="B207" i="15"/>
  <c r="N128" i="8"/>
  <c r="W96" i="31"/>
  <c r="C96" i="31"/>
  <c r="J204" i="8"/>
  <c r="L204" i="8"/>
  <c r="N53" i="31"/>
  <c r="B96" i="31"/>
  <c r="D96" i="31"/>
  <c r="B204" i="8"/>
  <c r="E193" i="12"/>
  <c r="L96" i="31"/>
  <c r="E97" i="31"/>
  <c r="C207" i="15"/>
  <c r="N130" i="15"/>
  <c r="E209" i="13"/>
  <c r="N209" i="13"/>
  <c r="D207" i="15"/>
  <c r="J207" i="15"/>
  <c r="N195" i="11"/>
  <c r="N129" i="8"/>
  <c r="H96" i="31"/>
  <c r="J96" i="31"/>
  <c r="H207" i="15"/>
  <c r="N54" i="31"/>
  <c r="W207" i="15"/>
  <c r="N131" i="15"/>
  <c r="W204" i="8"/>
  <c r="U192" i="7"/>
  <c r="T192" i="7"/>
  <c r="S192" i="7"/>
  <c r="R121" i="7"/>
  <c r="K120" i="7"/>
  <c r="L120" i="7"/>
  <c r="M120" i="7"/>
  <c r="K121" i="7"/>
  <c r="L121" i="7"/>
  <c r="M121" i="7"/>
  <c r="R120" i="7"/>
  <c r="S103" i="29"/>
  <c r="S104" i="29"/>
  <c r="T104" i="29"/>
  <c r="U104" i="29"/>
  <c r="R64" i="29"/>
  <c r="R63" i="29"/>
  <c r="K63" i="29"/>
  <c r="L63" i="29"/>
  <c r="M63" i="29"/>
  <c r="K64" i="29"/>
  <c r="L64" i="29"/>
  <c r="M64" i="29"/>
  <c r="U83" i="30"/>
  <c r="T83" i="30"/>
  <c r="S83" i="30"/>
  <c r="U146" i="6"/>
  <c r="T146" i="6"/>
  <c r="S146" i="6"/>
  <c r="R92" i="6"/>
  <c r="R91" i="6"/>
  <c r="K92" i="6"/>
  <c r="K91" i="6"/>
  <c r="L91" i="6"/>
  <c r="M91" i="6"/>
  <c r="L92" i="6"/>
  <c r="M92" i="6"/>
  <c r="N204" i="8" l="1"/>
  <c r="E204" i="8"/>
  <c r="E96" i="31"/>
  <c r="N96" i="31"/>
  <c r="H146" i="6"/>
  <c r="N91" i="6"/>
  <c r="L104" i="29"/>
  <c r="W192" i="7"/>
  <c r="B146" i="6"/>
  <c r="C192" i="7"/>
  <c r="E207" i="15"/>
  <c r="H192" i="7"/>
  <c r="B192" i="7"/>
  <c r="N121" i="7"/>
  <c r="C104" i="29"/>
  <c r="B104" i="29"/>
  <c r="D104" i="29"/>
  <c r="L146" i="6"/>
  <c r="N92" i="6"/>
  <c r="D146" i="6"/>
  <c r="N207" i="15"/>
  <c r="H104" i="29"/>
  <c r="C146" i="6"/>
  <c r="J146" i="6"/>
  <c r="J104" i="29"/>
  <c r="W104" i="29"/>
  <c r="N63" i="29"/>
  <c r="N120" i="7"/>
  <c r="W146" i="6"/>
  <c r="N64" i="29"/>
  <c r="J192" i="7"/>
  <c r="D192" i="7"/>
  <c r="L192" i="7"/>
  <c r="W83" i="30"/>
  <c r="R43" i="30"/>
  <c r="R42" i="30"/>
  <c r="R41" i="30"/>
  <c r="K41" i="30"/>
  <c r="L41" i="30"/>
  <c r="M41" i="30"/>
  <c r="K42" i="30"/>
  <c r="L42" i="30"/>
  <c r="M42" i="30"/>
  <c r="K43" i="30"/>
  <c r="L43" i="30"/>
  <c r="M43" i="30"/>
  <c r="S193" i="5"/>
  <c r="T193" i="5"/>
  <c r="U193" i="5"/>
  <c r="R121" i="5"/>
  <c r="R66" i="28"/>
  <c r="K121" i="5"/>
  <c r="L121" i="5"/>
  <c r="M121" i="5"/>
  <c r="R120" i="5"/>
  <c r="K120" i="5"/>
  <c r="L120" i="5"/>
  <c r="M120" i="5"/>
  <c r="N121" i="5" l="1"/>
  <c r="E146" i="6"/>
  <c r="D193" i="5"/>
  <c r="N146" i="6"/>
  <c r="E192" i="7"/>
  <c r="E104" i="29"/>
  <c r="C193" i="5"/>
  <c r="N41" i="30"/>
  <c r="B83" i="30"/>
  <c r="N42" i="30"/>
  <c r="N120" i="5"/>
  <c r="J193" i="5"/>
  <c r="W193" i="5"/>
  <c r="B193" i="5"/>
  <c r="N192" i="7"/>
  <c r="L193" i="5"/>
  <c r="N104" i="29"/>
  <c r="D83" i="30"/>
  <c r="C83" i="30"/>
  <c r="H193" i="5"/>
  <c r="L83" i="30"/>
  <c r="J83" i="30"/>
  <c r="H83" i="30"/>
  <c r="N43" i="30"/>
  <c r="W108" i="28"/>
  <c r="S107" i="28"/>
  <c r="R65" i="28"/>
  <c r="K66" i="28"/>
  <c r="M66" i="28"/>
  <c r="M65" i="28"/>
  <c r="K65" i="28"/>
  <c r="L66" i="28"/>
  <c r="L65" i="28"/>
  <c r="U199" i="3"/>
  <c r="T199" i="3"/>
  <c r="S199" i="3"/>
  <c r="R126" i="3"/>
  <c r="R125" i="3"/>
  <c r="K125" i="3"/>
  <c r="L125" i="3"/>
  <c r="M125" i="3"/>
  <c r="K126" i="3"/>
  <c r="B200" i="3" s="1"/>
  <c r="E200" i="3" s="1"/>
  <c r="L126" i="3"/>
  <c r="M126" i="3"/>
  <c r="T192" i="2"/>
  <c r="S192" i="2"/>
  <c r="U192" i="2"/>
  <c r="J192" i="2"/>
  <c r="L192" i="2"/>
  <c r="R119" i="2"/>
  <c r="R118" i="2"/>
  <c r="K118" i="2"/>
  <c r="L118" i="2"/>
  <c r="M118" i="2"/>
  <c r="K119" i="2"/>
  <c r="L119" i="2"/>
  <c r="M119" i="2"/>
  <c r="S197" i="1"/>
  <c r="T197" i="1"/>
  <c r="U197" i="1"/>
  <c r="R125" i="1"/>
  <c r="K125" i="1"/>
  <c r="L125" i="1"/>
  <c r="M125" i="1"/>
  <c r="R124" i="1"/>
  <c r="K124" i="1"/>
  <c r="L124" i="1"/>
  <c r="M124" i="1"/>
  <c r="N125" i="3" l="1"/>
  <c r="J199" i="3"/>
  <c r="E193" i="5"/>
  <c r="D108" i="28"/>
  <c r="D199" i="3"/>
  <c r="E83" i="30"/>
  <c r="C108" i="28"/>
  <c r="N192" i="2"/>
  <c r="W192" i="2"/>
  <c r="C197" i="1"/>
  <c r="D197" i="1"/>
  <c r="B108" i="28"/>
  <c r="B192" i="2"/>
  <c r="D192" i="2"/>
  <c r="C192" i="2"/>
  <c r="N124" i="1"/>
  <c r="J197" i="1"/>
  <c r="W197" i="1"/>
  <c r="N119" i="2"/>
  <c r="W199" i="3"/>
  <c r="N193" i="5"/>
  <c r="H197" i="1"/>
  <c r="N118" i="2"/>
  <c r="C199" i="3"/>
  <c r="L199" i="3"/>
  <c r="L108" i="28"/>
  <c r="J108" i="28"/>
  <c r="H108" i="28"/>
  <c r="L197" i="1"/>
  <c r="N125" i="1"/>
  <c r="B197" i="1"/>
  <c r="B199" i="3"/>
  <c r="N83" i="30"/>
  <c r="N65" i="28"/>
  <c r="N66" i="28"/>
  <c r="N126" i="3"/>
  <c r="H199" i="3"/>
  <c r="N120" i="6"/>
  <c r="N121" i="6"/>
  <c r="N122" i="6"/>
  <c r="N123" i="6"/>
  <c r="U116" i="6"/>
  <c r="T116" i="6"/>
  <c r="S116" i="6"/>
  <c r="U114" i="6"/>
  <c r="T114" i="6"/>
  <c r="S114" i="6"/>
  <c r="U111" i="6"/>
  <c r="T111" i="6"/>
  <c r="S111" i="6"/>
  <c r="U109" i="6"/>
  <c r="T109" i="6"/>
  <c r="S109"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E108" i="28" l="1"/>
  <c r="N108" i="28"/>
  <c r="N197" i="1"/>
  <c r="E197" i="1"/>
  <c r="E192" i="2"/>
  <c r="N21" i="6"/>
  <c r="N25" i="6"/>
  <c r="N13" i="6"/>
  <c r="N24" i="6"/>
  <c r="K59" i="38"/>
  <c r="U101" i="38" l="1"/>
  <c r="T101" i="38"/>
  <c r="S101" i="38"/>
  <c r="R59" i="38"/>
  <c r="M59" i="38"/>
  <c r="L59" i="38"/>
  <c r="R58" i="38"/>
  <c r="K58" i="38"/>
  <c r="L58" i="38"/>
  <c r="M58" i="38"/>
  <c r="R57" i="38"/>
  <c r="K57" i="38"/>
  <c r="L57" i="38"/>
  <c r="M57" i="38"/>
  <c r="U113" i="6"/>
  <c r="T113" i="6"/>
  <c r="S113" i="6"/>
  <c r="U112" i="6"/>
  <c r="T112" i="6"/>
  <c r="S112" i="6"/>
  <c r="U120" i="6"/>
  <c r="T120" i="6"/>
  <c r="S120" i="6"/>
  <c r="U118" i="6"/>
  <c r="T118" i="6"/>
  <c r="S118" i="6"/>
  <c r="U117" i="6"/>
  <c r="T117" i="6"/>
  <c r="S117" i="6"/>
  <c r="U119" i="6"/>
  <c r="T119" i="6"/>
  <c r="S119" i="6"/>
  <c r="S115" i="6"/>
  <c r="T115" i="6"/>
  <c r="U115" i="6"/>
  <c r="S110" i="6"/>
  <c r="T110" i="6"/>
  <c r="U110" i="6"/>
  <c r="T138" i="6"/>
  <c r="U138" i="6"/>
  <c r="S138" i="6"/>
  <c r="U137" i="6"/>
  <c r="T137" i="6"/>
  <c r="S137" i="6"/>
  <c r="U136" i="6"/>
  <c r="T136" i="6"/>
  <c r="S136" i="6"/>
  <c r="M9" i="6"/>
  <c r="D109" i="6" s="1"/>
  <c r="M10" i="6"/>
  <c r="M11" i="6"/>
  <c r="M12" i="6"/>
  <c r="M14" i="6"/>
  <c r="M15" i="6"/>
  <c r="M16" i="6"/>
  <c r="M17" i="6"/>
  <c r="M18" i="6"/>
  <c r="M19" i="6"/>
  <c r="M20" i="6"/>
  <c r="M22" i="6"/>
  <c r="M23" i="6"/>
  <c r="M26" i="6"/>
  <c r="M27" i="6"/>
  <c r="M28" i="6"/>
  <c r="M29" i="6"/>
  <c r="M30" i="6"/>
  <c r="M31" i="6"/>
  <c r="M32" i="6"/>
  <c r="M33" i="6"/>
  <c r="M34" i="6"/>
  <c r="M35" i="6"/>
  <c r="L9" i="6"/>
  <c r="C109" i="6" s="1"/>
  <c r="L10" i="6"/>
  <c r="L11" i="6"/>
  <c r="L12" i="6"/>
  <c r="L14" i="6"/>
  <c r="L15" i="6"/>
  <c r="L16" i="6"/>
  <c r="L17" i="6"/>
  <c r="L18" i="6"/>
  <c r="L19" i="6"/>
  <c r="L20" i="6"/>
  <c r="L22" i="6"/>
  <c r="L23" i="6"/>
  <c r="L26" i="6"/>
  <c r="L27" i="6"/>
  <c r="L28" i="6"/>
  <c r="L29" i="6"/>
  <c r="L30" i="6"/>
  <c r="L31" i="6"/>
  <c r="L32" i="6"/>
  <c r="L33" i="6"/>
  <c r="L34" i="6"/>
  <c r="L35" i="6"/>
  <c r="K9" i="6"/>
  <c r="B109" i="6" s="1"/>
  <c r="K10" i="6"/>
  <c r="K11" i="6"/>
  <c r="K12" i="6"/>
  <c r="K14" i="6"/>
  <c r="K15" i="6"/>
  <c r="K16" i="6"/>
  <c r="K17" i="6"/>
  <c r="K18" i="6"/>
  <c r="K19" i="6"/>
  <c r="K20" i="6"/>
  <c r="K22" i="6"/>
  <c r="K23" i="6"/>
  <c r="K26" i="6"/>
  <c r="K27" i="6"/>
  <c r="K28" i="6"/>
  <c r="K29" i="6"/>
  <c r="K30" i="6"/>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N60" i="38" l="1"/>
  <c r="B114" i="6"/>
  <c r="B118" i="6"/>
  <c r="B111" i="6"/>
  <c r="D101" i="38"/>
  <c r="N58" i="38"/>
  <c r="J101" i="38"/>
  <c r="N59" i="38"/>
  <c r="C101" i="38"/>
  <c r="B101" i="38"/>
  <c r="H118" i="6"/>
  <c r="L118" i="6"/>
  <c r="J118" i="6"/>
  <c r="C116" i="6"/>
  <c r="C111" i="6"/>
  <c r="B115" i="6"/>
  <c r="J119" i="6"/>
  <c r="L119" i="6"/>
  <c r="H119" i="6"/>
  <c r="J111" i="6"/>
  <c r="L111" i="6"/>
  <c r="H111" i="6"/>
  <c r="C114" i="6"/>
  <c r="L114" i="6"/>
  <c r="J114" i="6"/>
  <c r="H114" i="6"/>
  <c r="L109" i="6"/>
  <c r="H109" i="6"/>
  <c r="J109" i="6"/>
  <c r="C112" i="6"/>
  <c r="B116" i="6"/>
  <c r="D111" i="6"/>
  <c r="H116" i="6"/>
  <c r="J116" i="6"/>
  <c r="L116" i="6"/>
  <c r="D114" i="6"/>
  <c r="B110" i="6"/>
  <c r="D116" i="6"/>
  <c r="L115" i="6"/>
  <c r="W119" i="6"/>
  <c r="N19" i="6"/>
  <c r="W114" i="6"/>
  <c r="B119" i="6"/>
  <c r="W111" i="6"/>
  <c r="W118" i="6"/>
  <c r="W120" i="6"/>
  <c r="N29" i="6"/>
  <c r="N18" i="6"/>
  <c r="D117" i="6"/>
  <c r="N17" i="6"/>
  <c r="W116" i="6"/>
  <c r="L112" i="6"/>
  <c r="N27" i="6"/>
  <c r="W113" i="6"/>
  <c r="W110" i="6"/>
  <c r="W115" i="6"/>
  <c r="W117" i="6"/>
  <c r="D113" i="6"/>
  <c r="D119" i="6"/>
  <c r="N22" i="6"/>
  <c r="L110" i="6"/>
  <c r="C113" i="6"/>
  <c r="H115" i="6"/>
  <c r="N16" i="6"/>
  <c r="D120" i="6"/>
  <c r="D112" i="6"/>
  <c r="J110" i="6"/>
  <c r="B120" i="6"/>
  <c r="C120" i="6"/>
  <c r="N23" i="6"/>
  <c r="H110" i="6"/>
  <c r="L117" i="6"/>
  <c r="L113" i="6"/>
  <c r="D118" i="6"/>
  <c r="D110" i="6"/>
  <c r="H112" i="6"/>
  <c r="C118" i="6"/>
  <c r="W109" i="6"/>
  <c r="W112" i="6"/>
  <c r="C115" i="6"/>
  <c r="H113" i="6"/>
  <c r="C117" i="6"/>
  <c r="J113" i="6"/>
  <c r="N15" i="6"/>
  <c r="D115" i="6"/>
  <c r="B113" i="6"/>
  <c r="N30" i="6"/>
  <c r="N28" i="6"/>
  <c r="N26" i="6"/>
  <c r="J115" i="6"/>
  <c r="N14" i="6"/>
  <c r="N33" i="6"/>
  <c r="C119" i="6"/>
  <c r="B117" i="6"/>
  <c r="H117" i="6"/>
  <c r="N32" i="6"/>
  <c r="N12" i="6"/>
  <c r="B112" i="6"/>
  <c r="J117" i="6"/>
  <c r="J112" i="6"/>
  <c r="N10" i="6"/>
  <c r="C110" i="6"/>
  <c r="E109" i="6"/>
  <c r="W101" i="38"/>
  <c r="H101" i="38"/>
  <c r="L101" i="38"/>
  <c r="N35" i="6"/>
  <c r="N34" i="6"/>
  <c r="N9" i="6"/>
  <c r="N31" i="6"/>
  <c r="N20" i="6"/>
  <c r="N11" i="6"/>
  <c r="S190" i="25"/>
  <c r="T190" i="25"/>
  <c r="U190" i="25"/>
  <c r="K117" i="25"/>
  <c r="L117" i="25"/>
  <c r="M117" i="25"/>
  <c r="R117" i="25"/>
  <c r="R116" i="25"/>
  <c r="M116" i="25"/>
  <c r="L116" i="25"/>
  <c r="K116" i="25"/>
  <c r="S154" i="26"/>
  <c r="T154" i="26"/>
  <c r="U154" i="26"/>
  <c r="R81" i="26"/>
  <c r="M81" i="26"/>
  <c r="L81" i="26"/>
  <c r="K81" i="26"/>
  <c r="R80" i="26"/>
  <c r="M80" i="26"/>
  <c r="L80" i="26"/>
  <c r="K80" i="26"/>
  <c r="S106" i="37"/>
  <c r="T106" i="37"/>
  <c r="U106" i="37"/>
  <c r="R62" i="37"/>
  <c r="M62" i="37"/>
  <c r="L62" i="37"/>
  <c r="K62" i="37"/>
  <c r="R61" i="37"/>
  <c r="M61" i="37"/>
  <c r="L61" i="37"/>
  <c r="C106" i="37" s="1"/>
  <c r="K61" i="37"/>
  <c r="R74" i="36"/>
  <c r="K74" i="36"/>
  <c r="L74" i="36"/>
  <c r="M74" i="36"/>
  <c r="R73" i="36"/>
  <c r="K73" i="36"/>
  <c r="L73" i="36"/>
  <c r="M73" i="36"/>
  <c r="R72" i="36"/>
  <c r="K72" i="36"/>
  <c r="L72" i="36"/>
  <c r="M72" i="36"/>
  <c r="R71" i="36"/>
  <c r="R70" i="36"/>
  <c r="R69" i="36"/>
  <c r="K71" i="36"/>
  <c r="L71" i="36"/>
  <c r="M71" i="36"/>
  <c r="K70" i="36"/>
  <c r="L70" i="36"/>
  <c r="M70" i="36"/>
  <c r="K69" i="36"/>
  <c r="L69" i="36"/>
  <c r="M69" i="36"/>
  <c r="R68" i="36"/>
  <c r="K68" i="36"/>
  <c r="L68" i="36"/>
  <c r="M68" i="36"/>
  <c r="R67" i="36"/>
  <c r="L67" i="36"/>
  <c r="M67" i="36"/>
  <c r="K67" i="36"/>
  <c r="S161" i="16"/>
  <c r="T161" i="16"/>
  <c r="U161" i="16"/>
  <c r="R87" i="16"/>
  <c r="M87" i="16"/>
  <c r="L87" i="16"/>
  <c r="K87" i="16"/>
  <c r="R86" i="16"/>
  <c r="M86" i="16"/>
  <c r="L86" i="16"/>
  <c r="K86" i="16"/>
  <c r="U133" i="35"/>
  <c r="T133" i="35"/>
  <c r="S133" i="35"/>
  <c r="R87" i="35"/>
  <c r="M87" i="35"/>
  <c r="K87" i="35"/>
  <c r="L87" i="35"/>
  <c r="R86" i="35"/>
  <c r="M86" i="35"/>
  <c r="L86" i="35"/>
  <c r="K86" i="35"/>
  <c r="R85" i="35"/>
  <c r="M85" i="35"/>
  <c r="L85" i="35"/>
  <c r="K85" i="35"/>
  <c r="S191" i="17"/>
  <c r="T191" i="17"/>
  <c r="U191" i="17"/>
  <c r="B191" i="17"/>
  <c r="C191" i="17"/>
  <c r="D191" i="17"/>
  <c r="R119" i="17"/>
  <c r="R118" i="17"/>
  <c r="S193" i="18"/>
  <c r="U193" i="18"/>
  <c r="T193" i="18"/>
  <c r="R121" i="18"/>
  <c r="K121" i="18"/>
  <c r="L121" i="18"/>
  <c r="M121" i="18"/>
  <c r="R120" i="18"/>
  <c r="M120" i="18"/>
  <c r="L120" i="18"/>
  <c r="K120" i="18"/>
  <c r="R119" i="18"/>
  <c r="M119" i="18"/>
  <c r="L119" i="18"/>
  <c r="K119" i="18"/>
  <c r="S197" i="19"/>
  <c r="T197" i="19"/>
  <c r="U197" i="19"/>
  <c r="R122" i="19"/>
  <c r="M122" i="19"/>
  <c r="L122" i="19"/>
  <c r="K122" i="19"/>
  <c r="R121" i="19"/>
  <c r="M121" i="19"/>
  <c r="L121" i="19"/>
  <c r="C197" i="19" s="1"/>
  <c r="K121" i="19"/>
  <c r="U169" i="20"/>
  <c r="S169" i="20"/>
  <c r="T169" i="20"/>
  <c r="R103" i="20"/>
  <c r="R102" i="20"/>
  <c r="K102" i="20"/>
  <c r="L102" i="20"/>
  <c r="K103" i="20"/>
  <c r="L103" i="20"/>
  <c r="M103" i="20"/>
  <c r="R36" i="6"/>
  <c r="U94" i="33"/>
  <c r="U99" i="33"/>
  <c r="U96" i="33"/>
  <c r="U95" i="33"/>
  <c r="U85" i="33"/>
  <c r="T99" i="33"/>
  <c r="T96" i="33"/>
  <c r="T95" i="33"/>
  <c r="T94" i="33"/>
  <c r="T93" i="33"/>
  <c r="T103" i="29"/>
  <c r="S213" i="10"/>
  <c r="T213" i="10"/>
  <c r="U213" i="10"/>
  <c r="U212" i="10"/>
  <c r="T212" i="10"/>
  <c r="S212" i="10"/>
  <c r="R136" i="10"/>
  <c r="K134" i="10"/>
  <c r="L134" i="10"/>
  <c r="M134" i="10"/>
  <c r="K135" i="10"/>
  <c r="L135" i="10"/>
  <c r="M135" i="10"/>
  <c r="R133" i="10"/>
  <c r="R134" i="10"/>
  <c r="R135" i="10"/>
  <c r="K133" i="10"/>
  <c r="L133" i="10"/>
  <c r="M133" i="10"/>
  <c r="U107" i="28"/>
  <c r="T107" i="28"/>
  <c r="S190" i="24"/>
  <c r="T190" i="24"/>
  <c r="U190" i="24"/>
  <c r="H190" i="24"/>
  <c r="J190" i="24"/>
  <c r="L190" i="24"/>
  <c r="B190" i="24"/>
  <c r="C190" i="24"/>
  <c r="D190" i="24"/>
  <c r="S192" i="23"/>
  <c r="T192" i="23"/>
  <c r="U192" i="23"/>
  <c r="H192" i="23"/>
  <c r="J192" i="23"/>
  <c r="L192" i="23"/>
  <c r="B192" i="23"/>
  <c r="C192" i="23"/>
  <c r="D192" i="23"/>
  <c r="U204" i="22"/>
  <c r="T204" i="22"/>
  <c r="S204" i="22"/>
  <c r="L204" i="22"/>
  <c r="J204" i="22"/>
  <c r="H204" i="22"/>
  <c r="D204" i="22"/>
  <c r="C204" i="22"/>
  <c r="B204" i="22"/>
  <c r="U189" i="21"/>
  <c r="S189" i="21"/>
  <c r="T189" i="21"/>
  <c r="R117" i="21"/>
  <c r="M117" i="21"/>
  <c r="L117" i="21"/>
  <c r="K117" i="21"/>
  <c r="R116" i="21"/>
  <c r="M116" i="21"/>
  <c r="L116" i="21"/>
  <c r="K116" i="21"/>
  <c r="B189" i="21" s="1"/>
  <c r="S98" i="34"/>
  <c r="T98" i="34"/>
  <c r="U98" i="34"/>
  <c r="R57" i="34"/>
  <c r="R56" i="34"/>
  <c r="K56" i="34"/>
  <c r="B98" i="34" s="1"/>
  <c r="C98" i="34"/>
  <c r="M56" i="34"/>
  <c r="S99" i="33"/>
  <c r="R57" i="33"/>
  <c r="K57" i="33"/>
  <c r="L57" i="33"/>
  <c r="M57" i="33"/>
  <c r="R55" i="33"/>
  <c r="R56" i="33"/>
  <c r="S96" i="33"/>
  <c r="S95" i="33"/>
  <c r="S94" i="33"/>
  <c r="K56" i="33"/>
  <c r="L56" i="33"/>
  <c r="M56" i="33"/>
  <c r="M55" i="33"/>
  <c r="K55" i="33"/>
  <c r="L55" i="33"/>
  <c r="R54" i="33"/>
  <c r="M54" i="33"/>
  <c r="L54" i="33"/>
  <c r="K54" i="33"/>
  <c r="S206" i="9"/>
  <c r="T206" i="9"/>
  <c r="U206" i="9"/>
  <c r="S205" i="9"/>
  <c r="R133" i="9"/>
  <c r="M133" i="9"/>
  <c r="L133" i="9"/>
  <c r="K133" i="9"/>
  <c r="R132" i="9"/>
  <c r="M132" i="9"/>
  <c r="L132" i="9"/>
  <c r="K132" i="9"/>
  <c r="M136" i="10"/>
  <c r="L136" i="10"/>
  <c r="K136" i="10"/>
  <c r="S194" i="11"/>
  <c r="T194" i="11"/>
  <c r="U194" i="11"/>
  <c r="R121" i="11"/>
  <c r="M121" i="11"/>
  <c r="L121" i="11"/>
  <c r="K121" i="11"/>
  <c r="R120" i="11"/>
  <c r="M120" i="11"/>
  <c r="L120" i="11"/>
  <c r="K120" i="11"/>
  <c r="J192" i="12"/>
  <c r="H192" i="12"/>
  <c r="S192" i="12"/>
  <c r="T192" i="12"/>
  <c r="U192" i="12"/>
  <c r="L192" i="12"/>
  <c r="R118" i="12"/>
  <c r="K118" i="12"/>
  <c r="M118" i="12"/>
  <c r="L118" i="12"/>
  <c r="R117" i="12"/>
  <c r="M117" i="12"/>
  <c r="L117" i="12"/>
  <c r="K117" i="12"/>
  <c r="S100" i="32"/>
  <c r="T100" i="32"/>
  <c r="U100" i="32"/>
  <c r="R58" i="32"/>
  <c r="K58" i="32"/>
  <c r="L58" i="32"/>
  <c r="M58" i="32"/>
  <c r="R57" i="32"/>
  <c r="M57" i="32"/>
  <c r="L57" i="32"/>
  <c r="K57" i="32"/>
  <c r="B100" i="32" s="1"/>
  <c r="S208" i="13"/>
  <c r="T208" i="13"/>
  <c r="U208" i="13"/>
  <c r="R131" i="13"/>
  <c r="R130" i="13"/>
  <c r="M131" i="13"/>
  <c r="L131" i="13"/>
  <c r="K131" i="13"/>
  <c r="M130" i="13"/>
  <c r="L130" i="13"/>
  <c r="K130" i="13"/>
  <c r="U194" i="14"/>
  <c r="S194" i="14"/>
  <c r="T194" i="14"/>
  <c r="R121" i="14"/>
  <c r="R120" i="14"/>
  <c r="M121" i="14"/>
  <c r="L121" i="14"/>
  <c r="K121" i="14"/>
  <c r="M120" i="14"/>
  <c r="L120" i="14"/>
  <c r="K120" i="14"/>
  <c r="C206" i="15"/>
  <c r="T206" i="15"/>
  <c r="S206" i="15"/>
  <c r="R129" i="15"/>
  <c r="R128" i="15"/>
  <c r="M128" i="15"/>
  <c r="K128" i="15"/>
  <c r="R127" i="15"/>
  <c r="M127" i="15"/>
  <c r="K127" i="15"/>
  <c r="U203" i="8"/>
  <c r="S203" i="8"/>
  <c r="T203" i="8"/>
  <c r="K127" i="8"/>
  <c r="L127" i="8"/>
  <c r="M127" i="8"/>
  <c r="R127" i="8"/>
  <c r="R126" i="8"/>
  <c r="M126" i="8"/>
  <c r="L126" i="8"/>
  <c r="K126" i="8"/>
  <c r="R125" i="8"/>
  <c r="K125" i="8"/>
  <c r="L125" i="8"/>
  <c r="M125" i="8"/>
  <c r="R124" i="8"/>
  <c r="M124" i="8"/>
  <c r="L124" i="8"/>
  <c r="K124" i="8"/>
  <c r="S95" i="31"/>
  <c r="T95" i="31"/>
  <c r="U95" i="31"/>
  <c r="R52" i="31"/>
  <c r="K52" i="31"/>
  <c r="L52" i="31"/>
  <c r="M52" i="31"/>
  <c r="R51" i="31"/>
  <c r="J95" i="31" s="1"/>
  <c r="K51" i="31"/>
  <c r="B95" i="31" s="1"/>
  <c r="L51" i="31"/>
  <c r="M51" i="31"/>
  <c r="S191" i="7"/>
  <c r="T191" i="7"/>
  <c r="U191" i="7"/>
  <c r="R118" i="7"/>
  <c r="R119" i="7"/>
  <c r="M119" i="7"/>
  <c r="K119" i="7"/>
  <c r="M118" i="7"/>
  <c r="K118" i="7"/>
  <c r="L119" i="7"/>
  <c r="L118" i="7"/>
  <c r="R117" i="7"/>
  <c r="M117" i="7"/>
  <c r="L117" i="7"/>
  <c r="K117" i="7"/>
  <c r="U103" i="29"/>
  <c r="R62" i="29"/>
  <c r="M62" i="29"/>
  <c r="K62" i="29"/>
  <c r="L62" i="29"/>
  <c r="R61" i="29"/>
  <c r="K61" i="29"/>
  <c r="L61" i="29"/>
  <c r="C103" i="29" s="1"/>
  <c r="M61" i="29"/>
  <c r="U145" i="6"/>
  <c r="T145" i="6"/>
  <c r="S145" i="6"/>
  <c r="K88" i="6"/>
  <c r="K89" i="6"/>
  <c r="R90" i="6"/>
  <c r="K90" i="6"/>
  <c r="L90" i="6"/>
  <c r="M90" i="6"/>
  <c r="R89" i="6"/>
  <c r="L89" i="6"/>
  <c r="M89" i="6"/>
  <c r="R88" i="6"/>
  <c r="L88" i="6"/>
  <c r="M88" i="6"/>
  <c r="S82" i="30"/>
  <c r="T82" i="30"/>
  <c r="U82" i="30"/>
  <c r="R40" i="30"/>
  <c r="K40" i="30"/>
  <c r="L40" i="30"/>
  <c r="M40" i="30"/>
  <c r="R39" i="30"/>
  <c r="K39" i="30"/>
  <c r="L39" i="30"/>
  <c r="M39" i="30"/>
  <c r="S192" i="5"/>
  <c r="T192" i="5"/>
  <c r="U192" i="5"/>
  <c r="R119" i="5"/>
  <c r="R118" i="5"/>
  <c r="M119" i="5"/>
  <c r="L119" i="5"/>
  <c r="K119" i="5"/>
  <c r="M118" i="5"/>
  <c r="D192" i="5" s="1"/>
  <c r="L118" i="5"/>
  <c r="K118" i="5"/>
  <c r="R64" i="28"/>
  <c r="M63" i="28"/>
  <c r="M64" i="28"/>
  <c r="K63" i="28"/>
  <c r="K64" i="28"/>
  <c r="L64" i="28"/>
  <c r="R63" i="28"/>
  <c r="L63" i="28"/>
  <c r="R62" i="28"/>
  <c r="H107" i="28" s="1"/>
  <c r="M62" i="28"/>
  <c r="L62" i="28"/>
  <c r="K62" i="28"/>
  <c r="U198" i="3"/>
  <c r="T198" i="3"/>
  <c r="S198" i="3"/>
  <c r="R124" i="3"/>
  <c r="N199" i="3" s="1"/>
  <c r="L124" i="3"/>
  <c r="K124" i="3"/>
  <c r="M124" i="3"/>
  <c r="E199" i="3" s="1"/>
  <c r="R123" i="3"/>
  <c r="K104" i="3"/>
  <c r="K123" i="3"/>
  <c r="L123" i="3"/>
  <c r="M123" i="3"/>
  <c r="K122" i="3"/>
  <c r="R122" i="3"/>
  <c r="L122" i="3"/>
  <c r="M122" i="3"/>
  <c r="H178" i="2"/>
  <c r="H188" i="2"/>
  <c r="J191" i="2"/>
  <c r="L191" i="2"/>
  <c r="S191" i="2"/>
  <c r="T191" i="2"/>
  <c r="U191" i="2"/>
  <c r="H191" i="2"/>
  <c r="R116" i="2"/>
  <c r="R117" i="2"/>
  <c r="K117" i="2"/>
  <c r="L117" i="2"/>
  <c r="M117" i="2"/>
  <c r="K116" i="2"/>
  <c r="L116" i="2"/>
  <c r="M116" i="2"/>
  <c r="S196" i="1"/>
  <c r="U196" i="1"/>
  <c r="T196" i="1"/>
  <c r="R120" i="1"/>
  <c r="R122" i="1"/>
  <c r="J196" i="1" s="1"/>
  <c r="R123" i="1"/>
  <c r="M122" i="1"/>
  <c r="M123" i="1"/>
  <c r="L122" i="1"/>
  <c r="L123" i="1"/>
  <c r="K122" i="1"/>
  <c r="K123" i="1"/>
  <c r="K117" i="1"/>
  <c r="U167" i="20"/>
  <c r="T167" i="20"/>
  <c r="S167" i="20"/>
  <c r="U166" i="20"/>
  <c r="T166" i="20"/>
  <c r="S166" i="20"/>
  <c r="U165" i="20"/>
  <c r="T165" i="20"/>
  <c r="S165" i="20"/>
  <c r="U164" i="20"/>
  <c r="T164" i="20"/>
  <c r="S164" i="20"/>
  <c r="U162" i="20"/>
  <c r="T162" i="20"/>
  <c r="S162" i="20"/>
  <c r="U155" i="20"/>
  <c r="T155" i="20"/>
  <c r="S155" i="20"/>
  <c r="U144" i="20"/>
  <c r="T144" i="20"/>
  <c r="S144" i="20"/>
  <c r="U143" i="20"/>
  <c r="T143" i="20"/>
  <c r="S143" i="20"/>
  <c r="U141" i="20"/>
  <c r="T141" i="20"/>
  <c r="S141" i="20"/>
  <c r="U140" i="20"/>
  <c r="T140" i="20"/>
  <c r="S140" i="20"/>
  <c r="U138" i="20"/>
  <c r="T138" i="20"/>
  <c r="S138" i="20"/>
  <c r="U137" i="20"/>
  <c r="T137" i="20"/>
  <c r="S137" i="20"/>
  <c r="U135" i="20"/>
  <c r="T135" i="20"/>
  <c r="S135" i="20"/>
  <c r="U134" i="20"/>
  <c r="T134" i="20"/>
  <c r="S134" i="20"/>
  <c r="U133" i="20"/>
  <c r="T133" i="20"/>
  <c r="S133" i="20"/>
  <c r="U132" i="20"/>
  <c r="T132" i="20"/>
  <c r="S132" i="20"/>
  <c r="U130" i="20"/>
  <c r="T130" i="20"/>
  <c r="S130" i="20"/>
  <c r="U129" i="20"/>
  <c r="T129" i="20"/>
  <c r="S129" i="20"/>
  <c r="U128" i="20"/>
  <c r="T128" i="20"/>
  <c r="S128" i="20"/>
  <c r="U127" i="20"/>
  <c r="T127" i="20"/>
  <c r="S127" i="20"/>
  <c r="U125" i="20"/>
  <c r="T125" i="20"/>
  <c r="S125" i="20"/>
  <c r="U124" i="20"/>
  <c r="T124" i="20"/>
  <c r="S124" i="20"/>
  <c r="U123" i="20"/>
  <c r="T123" i="20"/>
  <c r="S123" i="20"/>
  <c r="U122" i="20"/>
  <c r="T122" i="20"/>
  <c r="S122" i="20"/>
  <c r="R101" i="20"/>
  <c r="M101" i="20"/>
  <c r="L101" i="20"/>
  <c r="K101" i="20"/>
  <c r="E101" i="20"/>
  <c r="U168" i="20" s="1"/>
  <c r="R100" i="20"/>
  <c r="M100" i="20"/>
  <c r="L100" i="20"/>
  <c r="K100" i="20"/>
  <c r="R99" i="20"/>
  <c r="M99" i="20"/>
  <c r="L99" i="20"/>
  <c r="K99" i="20"/>
  <c r="R98" i="20"/>
  <c r="H167" i="20" s="1"/>
  <c r="M98" i="20"/>
  <c r="D167" i="20" s="1"/>
  <c r="L98" i="20"/>
  <c r="K98" i="20"/>
  <c r="R97" i="20"/>
  <c r="M97" i="20"/>
  <c r="L97" i="20"/>
  <c r="K97" i="20"/>
  <c r="R96" i="20"/>
  <c r="M96" i="20"/>
  <c r="D166" i="20" s="1"/>
  <c r="L96" i="20"/>
  <c r="K96" i="20"/>
  <c r="R95" i="20"/>
  <c r="M95" i="20"/>
  <c r="L95" i="20"/>
  <c r="K95" i="20"/>
  <c r="R94" i="20"/>
  <c r="M94" i="20"/>
  <c r="L94" i="20"/>
  <c r="K94" i="20"/>
  <c r="R93" i="20"/>
  <c r="M93" i="20"/>
  <c r="L93" i="20"/>
  <c r="K93" i="20"/>
  <c r="R92" i="20"/>
  <c r="M92" i="20"/>
  <c r="L92" i="20"/>
  <c r="K92" i="20"/>
  <c r="R91" i="20"/>
  <c r="M91" i="20"/>
  <c r="L91" i="20"/>
  <c r="K91" i="20"/>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S160" i="20" s="1"/>
  <c r="R84" i="20"/>
  <c r="M84" i="20"/>
  <c r="L84" i="20"/>
  <c r="K84" i="20"/>
  <c r="R83" i="20"/>
  <c r="M83" i="20"/>
  <c r="L83" i="20"/>
  <c r="K83" i="20"/>
  <c r="E83" i="20"/>
  <c r="R82" i="20"/>
  <c r="M82" i="20"/>
  <c r="L82" i="20"/>
  <c r="K82" i="20"/>
  <c r="R81" i="20"/>
  <c r="M81" i="20"/>
  <c r="L81" i="20"/>
  <c r="K81" i="20"/>
  <c r="E81" i="20"/>
  <c r="S158" i="20" s="1"/>
  <c r="R80" i="20"/>
  <c r="M80" i="20"/>
  <c r="L80" i="20"/>
  <c r="K80" i="20"/>
  <c r="R79" i="20"/>
  <c r="M79" i="20"/>
  <c r="L79" i="20"/>
  <c r="K79" i="20"/>
  <c r="E79" i="20"/>
  <c r="R78" i="20"/>
  <c r="M78" i="20"/>
  <c r="L78" i="20"/>
  <c r="K78" i="20"/>
  <c r="R77" i="20"/>
  <c r="M77" i="20"/>
  <c r="L77" i="20"/>
  <c r="K77" i="20"/>
  <c r="E77" i="20"/>
  <c r="U156" i="20" s="1"/>
  <c r="R76" i="20"/>
  <c r="M76" i="20"/>
  <c r="L76" i="20"/>
  <c r="K76" i="20"/>
  <c r="R75" i="20"/>
  <c r="M75" i="20"/>
  <c r="L75" i="20"/>
  <c r="K75" i="20"/>
  <c r="R74" i="20"/>
  <c r="H155" i="20" s="1"/>
  <c r="M74" i="20"/>
  <c r="L74" i="20"/>
  <c r="K74" i="20"/>
  <c r="R73" i="20"/>
  <c r="M73" i="20"/>
  <c r="L73" i="20"/>
  <c r="K73" i="20"/>
  <c r="E73" i="20"/>
  <c r="U154" i="20" s="1"/>
  <c r="R72" i="20"/>
  <c r="M72" i="20"/>
  <c r="L72" i="20"/>
  <c r="K72" i="20"/>
  <c r="R71" i="20"/>
  <c r="M71" i="20"/>
  <c r="L71" i="20"/>
  <c r="K71" i="20"/>
  <c r="E71" i="20"/>
  <c r="R70" i="20"/>
  <c r="M70" i="20"/>
  <c r="L70" i="20"/>
  <c r="K70" i="20"/>
  <c r="R69" i="20"/>
  <c r="M69" i="20"/>
  <c r="L69" i="20"/>
  <c r="K69" i="20"/>
  <c r="E69" i="20"/>
  <c r="R68" i="20"/>
  <c r="M68" i="20"/>
  <c r="L68" i="20"/>
  <c r="K68" i="20"/>
  <c r="R67" i="20"/>
  <c r="M67" i="20"/>
  <c r="L67" i="20"/>
  <c r="K67" i="20"/>
  <c r="E67" i="20"/>
  <c r="R66" i="20"/>
  <c r="M66" i="20"/>
  <c r="L66" i="20"/>
  <c r="K66" i="20"/>
  <c r="R65" i="20"/>
  <c r="M65" i="20"/>
  <c r="L65" i="20"/>
  <c r="K65" i="20"/>
  <c r="E65" i="20"/>
  <c r="U150" i="20" s="1"/>
  <c r="R64" i="20"/>
  <c r="M64" i="20"/>
  <c r="L64" i="20"/>
  <c r="K64" i="20"/>
  <c r="R63" i="20"/>
  <c r="M63" i="20"/>
  <c r="L63" i="20"/>
  <c r="K63" i="20"/>
  <c r="E63" i="20"/>
  <c r="R62" i="20"/>
  <c r="M62" i="20"/>
  <c r="L62" i="20"/>
  <c r="K62" i="20"/>
  <c r="R61" i="20"/>
  <c r="M61" i="20"/>
  <c r="L61" i="20"/>
  <c r="K61" i="20"/>
  <c r="E61" i="20"/>
  <c r="S148" i="20" s="1"/>
  <c r="R60" i="20"/>
  <c r="M60" i="20"/>
  <c r="L60" i="20"/>
  <c r="K60" i="20"/>
  <c r="R59" i="20"/>
  <c r="M59" i="20"/>
  <c r="L59" i="20"/>
  <c r="K59" i="20"/>
  <c r="E59" i="20"/>
  <c r="R58" i="20"/>
  <c r="M58" i="20"/>
  <c r="L58" i="20"/>
  <c r="K58" i="20"/>
  <c r="R57" i="20"/>
  <c r="M57" i="20"/>
  <c r="L57" i="20"/>
  <c r="K57" i="20"/>
  <c r="E57" i="20"/>
  <c r="R56" i="20"/>
  <c r="M56" i="20"/>
  <c r="L56" i="20"/>
  <c r="K56" i="20"/>
  <c r="R55" i="20"/>
  <c r="M55" i="20"/>
  <c r="L55" i="20"/>
  <c r="K55" i="20"/>
  <c r="E55" i="20"/>
  <c r="R54" i="20"/>
  <c r="M54" i="20"/>
  <c r="L54" i="20"/>
  <c r="K54" i="20"/>
  <c r="R53" i="20"/>
  <c r="M53" i="20"/>
  <c r="L53" i="20"/>
  <c r="K53" i="20"/>
  <c r="R52" i="20"/>
  <c r="M52" i="20"/>
  <c r="L52" i="20"/>
  <c r="K52" i="20"/>
  <c r="R51" i="20"/>
  <c r="M51" i="20"/>
  <c r="L51" i="20"/>
  <c r="K51" i="20"/>
  <c r="R50" i="20"/>
  <c r="M50" i="20"/>
  <c r="L50" i="20"/>
  <c r="K50" i="20"/>
  <c r="R49" i="20"/>
  <c r="M49" i="20"/>
  <c r="L49" i="20"/>
  <c r="K49" i="20"/>
  <c r="E49" i="20"/>
  <c r="S142" i="20" s="1"/>
  <c r="R48" i="20"/>
  <c r="M48" i="20"/>
  <c r="L48" i="20"/>
  <c r="K48" i="20"/>
  <c r="R47" i="20"/>
  <c r="M47" i="20"/>
  <c r="L47" i="20"/>
  <c r="K47" i="20"/>
  <c r="R46" i="20"/>
  <c r="M46" i="20"/>
  <c r="L46" i="20"/>
  <c r="K46" i="20"/>
  <c r="R45" i="20"/>
  <c r="M45" i="20"/>
  <c r="L45" i="20"/>
  <c r="K45" i="20"/>
  <c r="R44" i="20"/>
  <c r="M44" i="20"/>
  <c r="L44" i="20"/>
  <c r="K44" i="20"/>
  <c r="B140" i="20" s="1"/>
  <c r="R43" i="20"/>
  <c r="M43" i="20"/>
  <c r="L43" i="20"/>
  <c r="K43" i="20"/>
  <c r="E43" i="20"/>
  <c r="S139" i="20" s="1"/>
  <c r="R42" i="20"/>
  <c r="M42" i="20"/>
  <c r="L42" i="20"/>
  <c r="K42" i="20"/>
  <c r="R41" i="20"/>
  <c r="M41" i="20"/>
  <c r="L41" i="20"/>
  <c r="K41" i="20"/>
  <c r="R40" i="20"/>
  <c r="M40" i="20"/>
  <c r="L40" i="20"/>
  <c r="C138" i="20" s="1"/>
  <c r="K40" i="20"/>
  <c r="R39" i="20"/>
  <c r="M39" i="20"/>
  <c r="L39" i="20"/>
  <c r="K39" i="20"/>
  <c r="R38" i="20"/>
  <c r="M38" i="20"/>
  <c r="D137" i="20" s="1"/>
  <c r="L38" i="20"/>
  <c r="K38" i="20"/>
  <c r="B137" i="20" s="1"/>
  <c r="R37" i="20"/>
  <c r="M37" i="20"/>
  <c r="L37" i="20"/>
  <c r="K37" i="20"/>
  <c r="E37" i="20"/>
  <c r="R36" i="20"/>
  <c r="M36" i="20"/>
  <c r="L36" i="20"/>
  <c r="K36" i="20"/>
  <c r="R35" i="20"/>
  <c r="M35" i="20"/>
  <c r="L35" i="20"/>
  <c r="K35" i="20"/>
  <c r="R34" i="20"/>
  <c r="L135" i="20" s="1"/>
  <c r="M34" i="20"/>
  <c r="L34" i="20"/>
  <c r="K34" i="20"/>
  <c r="R33" i="20"/>
  <c r="M33" i="20"/>
  <c r="L33" i="20"/>
  <c r="K33" i="20"/>
  <c r="R32" i="20"/>
  <c r="M32" i="20"/>
  <c r="D134" i="20" s="1"/>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R21" i="20"/>
  <c r="M21" i="20"/>
  <c r="L21" i="20"/>
  <c r="K21" i="20"/>
  <c r="R20" i="20"/>
  <c r="M20" i="20"/>
  <c r="L20" i="20"/>
  <c r="K20" i="20"/>
  <c r="R19" i="20"/>
  <c r="M19" i="20"/>
  <c r="L19" i="20"/>
  <c r="K19" i="20"/>
  <c r="R18" i="20"/>
  <c r="L127" i="20" s="1"/>
  <c r="M18" i="20"/>
  <c r="L18" i="20"/>
  <c r="K18" i="20"/>
  <c r="R17" i="20"/>
  <c r="M17" i="20"/>
  <c r="L17" i="20"/>
  <c r="K17" i="20"/>
  <c r="E17" i="20"/>
  <c r="R16" i="20"/>
  <c r="M16" i="20"/>
  <c r="L16" i="20"/>
  <c r="K16" i="20"/>
  <c r="R15" i="20"/>
  <c r="M15" i="20"/>
  <c r="L15" i="20"/>
  <c r="K15" i="20"/>
  <c r="R14" i="20"/>
  <c r="M14" i="20"/>
  <c r="L14" i="20"/>
  <c r="K14" i="20"/>
  <c r="R13" i="20"/>
  <c r="M13" i="20"/>
  <c r="L13" i="20"/>
  <c r="K13" i="20"/>
  <c r="R12" i="20"/>
  <c r="M12" i="20"/>
  <c r="L12" i="20"/>
  <c r="K12" i="20"/>
  <c r="R11" i="20"/>
  <c r="M11" i="20"/>
  <c r="L11" i="20"/>
  <c r="K11" i="20"/>
  <c r="R10" i="20"/>
  <c r="M10" i="20"/>
  <c r="L10" i="20"/>
  <c r="K10" i="20"/>
  <c r="R9" i="20"/>
  <c r="M9" i="20"/>
  <c r="L9" i="20"/>
  <c r="K9" i="20"/>
  <c r="R8" i="20"/>
  <c r="M8" i="20"/>
  <c r="L8" i="20"/>
  <c r="K8" i="20"/>
  <c r="R7" i="20"/>
  <c r="M7" i="20"/>
  <c r="L7" i="20"/>
  <c r="K7" i="20"/>
  <c r="E7" i="20"/>
  <c r="U97" i="34"/>
  <c r="T97" i="34"/>
  <c r="S97" i="34"/>
  <c r="E61" i="28"/>
  <c r="T106" i="28" s="1"/>
  <c r="R61" i="28"/>
  <c r="M61" i="28"/>
  <c r="L61" i="28"/>
  <c r="K61" i="28"/>
  <c r="E56" i="38"/>
  <c r="U100" i="38" s="1"/>
  <c r="R56" i="38"/>
  <c r="R55" i="38"/>
  <c r="K56" i="38"/>
  <c r="L56" i="38"/>
  <c r="M56" i="38"/>
  <c r="K55" i="38"/>
  <c r="L55" i="38"/>
  <c r="M55" i="38"/>
  <c r="E84" i="35"/>
  <c r="T132" i="35" s="1"/>
  <c r="R82" i="35"/>
  <c r="K82" i="35"/>
  <c r="L82" i="35"/>
  <c r="M82" i="35"/>
  <c r="R83" i="35"/>
  <c r="R84" i="35"/>
  <c r="K83" i="35"/>
  <c r="L83" i="35"/>
  <c r="M83" i="35"/>
  <c r="E56" i="32"/>
  <c r="U99" i="32" s="1"/>
  <c r="R54" i="32"/>
  <c r="K54" i="32"/>
  <c r="L54" i="32"/>
  <c r="M54" i="32"/>
  <c r="E54" i="32"/>
  <c r="U98" i="32" s="1"/>
  <c r="K52" i="32"/>
  <c r="E51" i="32"/>
  <c r="S97" i="32" s="1"/>
  <c r="L60" i="29"/>
  <c r="M60" i="29"/>
  <c r="U143" i="6"/>
  <c r="R86" i="6"/>
  <c r="U206" i="10"/>
  <c r="T206" i="10"/>
  <c r="S206" i="10"/>
  <c r="N211" i="10"/>
  <c r="R132" i="10"/>
  <c r="M132" i="10"/>
  <c r="L132" i="10"/>
  <c r="K132" i="10"/>
  <c r="R54" i="38"/>
  <c r="K53" i="38"/>
  <c r="K54" i="38"/>
  <c r="L54" i="38"/>
  <c r="M54" i="38"/>
  <c r="R53" i="38"/>
  <c r="L53" i="38"/>
  <c r="M53" i="38"/>
  <c r="K52" i="38"/>
  <c r="L52" i="38"/>
  <c r="M52" i="38"/>
  <c r="R52" i="38"/>
  <c r="U105" i="37"/>
  <c r="T105" i="37"/>
  <c r="S105" i="37"/>
  <c r="R59" i="37"/>
  <c r="R60" i="37"/>
  <c r="M60" i="37"/>
  <c r="K60" i="37"/>
  <c r="L60" i="37"/>
  <c r="K59" i="37"/>
  <c r="L59" i="37"/>
  <c r="M59" i="37"/>
  <c r="E66" i="36"/>
  <c r="S124" i="36" s="1"/>
  <c r="R66" i="36"/>
  <c r="R65" i="36"/>
  <c r="L66" i="36"/>
  <c r="K66" i="36"/>
  <c r="M66" i="36"/>
  <c r="K65" i="36"/>
  <c r="L65" i="36"/>
  <c r="M65" i="36"/>
  <c r="K84" i="35"/>
  <c r="L84" i="35"/>
  <c r="M84" i="35"/>
  <c r="R81" i="35"/>
  <c r="M81" i="35"/>
  <c r="L81" i="35"/>
  <c r="K81" i="35"/>
  <c r="R55" i="34"/>
  <c r="M55" i="34"/>
  <c r="L55" i="34"/>
  <c r="K55" i="34"/>
  <c r="R54" i="34"/>
  <c r="M54" i="34"/>
  <c r="L54" i="34"/>
  <c r="K54" i="34"/>
  <c r="U98" i="33"/>
  <c r="T98" i="33"/>
  <c r="S98" i="33"/>
  <c r="R53" i="33"/>
  <c r="M53" i="33"/>
  <c r="L53" i="33"/>
  <c r="K53" i="33"/>
  <c r="R52" i="33"/>
  <c r="M52" i="33"/>
  <c r="D98" i="33" s="1"/>
  <c r="L52" i="33"/>
  <c r="K52" i="33"/>
  <c r="R55" i="32"/>
  <c r="R56" i="32"/>
  <c r="K56" i="32"/>
  <c r="L56" i="32"/>
  <c r="M56" i="32"/>
  <c r="K55" i="32"/>
  <c r="L55" i="32"/>
  <c r="M55" i="32"/>
  <c r="U94" i="31"/>
  <c r="T94" i="31"/>
  <c r="S94" i="31"/>
  <c r="R50" i="31"/>
  <c r="M50" i="31"/>
  <c r="L50" i="31"/>
  <c r="K50" i="31"/>
  <c r="R49" i="31"/>
  <c r="M49" i="31"/>
  <c r="L49" i="31"/>
  <c r="C94" i="31" s="1"/>
  <c r="K49" i="31"/>
  <c r="B94" i="31" s="1"/>
  <c r="E60" i="29"/>
  <c r="S102" i="29" s="1"/>
  <c r="R58" i="29"/>
  <c r="K58" i="29"/>
  <c r="L58" i="29"/>
  <c r="M58" i="29"/>
  <c r="R60" i="29"/>
  <c r="K60" i="29"/>
  <c r="R59" i="29"/>
  <c r="K59" i="29"/>
  <c r="L59" i="29"/>
  <c r="M59" i="29"/>
  <c r="E57" i="29"/>
  <c r="E87" i="6"/>
  <c r="U144" i="6" s="1"/>
  <c r="R87" i="6"/>
  <c r="K87" i="6"/>
  <c r="L87" i="6"/>
  <c r="M87" i="6"/>
  <c r="K86" i="6"/>
  <c r="L86" i="6"/>
  <c r="M86" i="6"/>
  <c r="K85" i="6"/>
  <c r="L85" i="6"/>
  <c r="R85" i="6"/>
  <c r="M85" i="6"/>
  <c r="E38" i="30"/>
  <c r="R37" i="30"/>
  <c r="R38" i="30"/>
  <c r="K38" i="30"/>
  <c r="L38" i="30"/>
  <c r="M38" i="30"/>
  <c r="K37" i="30"/>
  <c r="L37" i="30"/>
  <c r="M37" i="30"/>
  <c r="R131" i="10"/>
  <c r="K131" i="10"/>
  <c r="L131" i="10"/>
  <c r="M131" i="10"/>
  <c r="E126" i="22"/>
  <c r="K125" i="22"/>
  <c r="L125" i="22"/>
  <c r="M125" i="22"/>
  <c r="U191" i="23"/>
  <c r="T191" i="23"/>
  <c r="S191" i="23"/>
  <c r="B191" i="23"/>
  <c r="C191" i="23"/>
  <c r="D191" i="23"/>
  <c r="U189" i="24"/>
  <c r="T189" i="24"/>
  <c r="S189" i="24"/>
  <c r="R115" i="24"/>
  <c r="R114" i="24"/>
  <c r="D189" i="24"/>
  <c r="U189" i="25"/>
  <c r="T189" i="25"/>
  <c r="S189" i="25"/>
  <c r="R114" i="25"/>
  <c r="R115" i="25"/>
  <c r="K115" i="25"/>
  <c r="L115" i="25"/>
  <c r="M115" i="25"/>
  <c r="K114" i="25"/>
  <c r="L114" i="25"/>
  <c r="M114" i="25"/>
  <c r="U153" i="26"/>
  <c r="T153" i="26"/>
  <c r="S153" i="26"/>
  <c r="R79" i="26"/>
  <c r="R78" i="26"/>
  <c r="K79" i="26"/>
  <c r="L79" i="26"/>
  <c r="M79" i="26"/>
  <c r="K78" i="26"/>
  <c r="L78" i="26"/>
  <c r="M78" i="26"/>
  <c r="E85" i="16"/>
  <c r="R83" i="16"/>
  <c r="R84" i="16"/>
  <c r="R85" i="16"/>
  <c r="K83" i="16"/>
  <c r="L83" i="16"/>
  <c r="M83" i="16"/>
  <c r="K84" i="16"/>
  <c r="L84" i="16"/>
  <c r="M84" i="16"/>
  <c r="K85" i="16"/>
  <c r="L85" i="16"/>
  <c r="M85" i="16"/>
  <c r="E117" i="17"/>
  <c r="U190" i="17" s="1"/>
  <c r="R117" i="17"/>
  <c r="R116" i="17"/>
  <c r="S190" i="18"/>
  <c r="U192" i="18"/>
  <c r="T192" i="18"/>
  <c r="S192" i="18"/>
  <c r="R108" i="18"/>
  <c r="R118" i="18"/>
  <c r="R117" i="18"/>
  <c r="K118" i="18"/>
  <c r="L118" i="18"/>
  <c r="M118" i="18"/>
  <c r="K117" i="18"/>
  <c r="L117" i="18"/>
  <c r="M117" i="18"/>
  <c r="U196" i="19"/>
  <c r="T196" i="19"/>
  <c r="S196" i="19"/>
  <c r="R120" i="19"/>
  <c r="R119" i="19"/>
  <c r="K120" i="19"/>
  <c r="L120" i="19"/>
  <c r="M120" i="19"/>
  <c r="K119" i="19"/>
  <c r="L119" i="19"/>
  <c r="M119" i="19"/>
  <c r="S195" i="19"/>
  <c r="E115" i="21"/>
  <c r="U188" i="21" s="1"/>
  <c r="R115" i="21"/>
  <c r="K115" i="21"/>
  <c r="L115" i="21"/>
  <c r="M115" i="21"/>
  <c r="R114" i="21"/>
  <c r="K114" i="21"/>
  <c r="L114" i="21"/>
  <c r="M114" i="21"/>
  <c r="U205" i="9"/>
  <c r="U201" i="9"/>
  <c r="T205" i="9"/>
  <c r="T201" i="9"/>
  <c r="S201" i="9"/>
  <c r="R130" i="9"/>
  <c r="R131" i="9"/>
  <c r="K131" i="9"/>
  <c r="L131" i="9"/>
  <c r="M131" i="9"/>
  <c r="K130" i="9"/>
  <c r="L130" i="9"/>
  <c r="M130" i="9"/>
  <c r="U193" i="11"/>
  <c r="T193" i="11"/>
  <c r="S193" i="11"/>
  <c r="R119" i="11"/>
  <c r="R118" i="11"/>
  <c r="K119" i="11"/>
  <c r="L119" i="11"/>
  <c r="M119" i="11"/>
  <c r="K118" i="11"/>
  <c r="L118" i="11"/>
  <c r="M118" i="11"/>
  <c r="R116" i="12"/>
  <c r="R115" i="12"/>
  <c r="L116" i="12"/>
  <c r="K116" i="12"/>
  <c r="M116" i="12"/>
  <c r="K115" i="12"/>
  <c r="L115" i="12"/>
  <c r="M115" i="12"/>
  <c r="E112" i="12"/>
  <c r="S189" i="12" s="1"/>
  <c r="E116" i="12"/>
  <c r="T191" i="12" s="1"/>
  <c r="M129" i="13"/>
  <c r="R129" i="13"/>
  <c r="K129" i="13"/>
  <c r="L129" i="13"/>
  <c r="R128" i="13"/>
  <c r="K128" i="13"/>
  <c r="L128" i="13"/>
  <c r="M128" i="13"/>
  <c r="E129" i="13"/>
  <c r="U207" i="13" s="1"/>
  <c r="M119" i="14"/>
  <c r="E119" i="14"/>
  <c r="R119" i="14"/>
  <c r="K119" i="14"/>
  <c r="L119" i="14"/>
  <c r="R118" i="14"/>
  <c r="K118" i="14"/>
  <c r="L118" i="14"/>
  <c r="M118" i="14"/>
  <c r="U205" i="15"/>
  <c r="T205" i="15"/>
  <c r="S205" i="15"/>
  <c r="C205" i="15"/>
  <c r="R125" i="15"/>
  <c r="R126" i="15"/>
  <c r="K126" i="15"/>
  <c r="M126" i="15"/>
  <c r="K125" i="15"/>
  <c r="M125" i="15"/>
  <c r="U202" i="8"/>
  <c r="T202" i="8"/>
  <c r="S202" i="8"/>
  <c r="R123" i="8"/>
  <c r="R122" i="8"/>
  <c r="K123" i="8"/>
  <c r="L123" i="8"/>
  <c r="M123" i="8"/>
  <c r="K122" i="8"/>
  <c r="L122" i="8"/>
  <c r="M122" i="8"/>
  <c r="K116" i="7"/>
  <c r="L116" i="7"/>
  <c r="M116" i="7"/>
  <c r="R115" i="7"/>
  <c r="R116" i="7"/>
  <c r="K115" i="7"/>
  <c r="L115" i="7"/>
  <c r="M115" i="7"/>
  <c r="E116" i="7"/>
  <c r="S190" i="7" s="1"/>
  <c r="H183" i="2"/>
  <c r="L190" i="12"/>
  <c r="E121" i="1"/>
  <c r="U195" i="1" s="1"/>
  <c r="E115" i="1"/>
  <c r="S193" i="1" s="1"/>
  <c r="S197" i="3"/>
  <c r="U197" i="3"/>
  <c r="T197" i="3"/>
  <c r="E117" i="5"/>
  <c r="S191" i="5" s="1"/>
  <c r="R117" i="5"/>
  <c r="R116" i="5"/>
  <c r="K117" i="5"/>
  <c r="L117" i="5"/>
  <c r="M117" i="5"/>
  <c r="K116" i="5"/>
  <c r="L116" i="5"/>
  <c r="M116" i="5"/>
  <c r="S196" i="3"/>
  <c r="R121" i="3"/>
  <c r="R120" i="3"/>
  <c r="K121" i="3"/>
  <c r="L121" i="3"/>
  <c r="C197" i="3" s="1"/>
  <c r="M121" i="3"/>
  <c r="M120" i="3"/>
  <c r="L120" i="3"/>
  <c r="K120" i="3"/>
  <c r="N120" i="3" s="1"/>
  <c r="S206" i="13"/>
  <c r="R58" i="28"/>
  <c r="R59" i="28"/>
  <c r="R60" i="28"/>
  <c r="M60" i="28"/>
  <c r="L60" i="28"/>
  <c r="K59" i="28"/>
  <c r="K60" i="28"/>
  <c r="L59" i="28"/>
  <c r="M59" i="28"/>
  <c r="R57" i="28"/>
  <c r="M57" i="28"/>
  <c r="M58" i="28"/>
  <c r="L57" i="28"/>
  <c r="L58" i="28"/>
  <c r="K57" i="28"/>
  <c r="K58" i="28"/>
  <c r="E115" i="2"/>
  <c r="L190" i="2" s="1"/>
  <c r="R115" i="2"/>
  <c r="K115" i="2"/>
  <c r="L115" i="2"/>
  <c r="M115" i="2"/>
  <c r="R114" i="2"/>
  <c r="K114" i="2"/>
  <c r="L114" i="2"/>
  <c r="M114" i="2"/>
  <c r="U194" i="1"/>
  <c r="T194" i="1"/>
  <c r="S194" i="1"/>
  <c r="U190" i="1"/>
  <c r="T190" i="1"/>
  <c r="S190" i="1"/>
  <c r="U186" i="1"/>
  <c r="T186" i="1"/>
  <c r="S186" i="1"/>
  <c r="U182" i="1"/>
  <c r="T182" i="1"/>
  <c r="S182" i="1"/>
  <c r="U178" i="1"/>
  <c r="T178" i="1"/>
  <c r="S178" i="1"/>
  <c r="U174" i="1"/>
  <c r="T174" i="1"/>
  <c r="S174" i="1"/>
  <c r="U170" i="1"/>
  <c r="T170" i="1"/>
  <c r="S170" i="1"/>
  <c r="U166" i="1"/>
  <c r="T166" i="1"/>
  <c r="S166" i="1"/>
  <c r="U162" i="1"/>
  <c r="T162" i="1"/>
  <c r="S162" i="1"/>
  <c r="U158" i="1"/>
  <c r="T158" i="1"/>
  <c r="S158" i="1"/>
  <c r="U154" i="1"/>
  <c r="T154" i="1"/>
  <c r="S154" i="1"/>
  <c r="U150" i="1"/>
  <c r="T150" i="1"/>
  <c r="S150" i="1"/>
  <c r="U146" i="1"/>
  <c r="T146" i="1"/>
  <c r="S146" i="1"/>
  <c r="U142" i="1"/>
  <c r="T142" i="1"/>
  <c r="S142" i="1"/>
  <c r="M121" i="1"/>
  <c r="K121" i="1"/>
  <c r="L121" i="1"/>
  <c r="R121" i="1"/>
  <c r="K120" i="1"/>
  <c r="L120" i="1"/>
  <c r="M120" i="1"/>
  <c r="R118" i="1"/>
  <c r="R119" i="1"/>
  <c r="M118" i="1"/>
  <c r="M119" i="1"/>
  <c r="L118" i="1"/>
  <c r="L119" i="1"/>
  <c r="K118" i="1"/>
  <c r="K119" i="1"/>
  <c r="T149" i="22"/>
  <c r="U149" i="22"/>
  <c r="S149" i="22"/>
  <c r="S138" i="23"/>
  <c r="T135" i="25"/>
  <c r="U135" i="25"/>
  <c r="S135" i="25"/>
  <c r="T136" i="17"/>
  <c r="U136" i="17"/>
  <c r="S136" i="17"/>
  <c r="S137" i="17"/>
  <c r="T138" i="18"/>
  <c r="U138" i="18"/>
  <c r="S138" i="18"/>
  <c r="T151" i="9"/>
  <c r="U151" i="9"/>
  <c r="S151" i="9"/>
  <c r="S140" i="11"/>
  <c r="S138" i="12"/>
  <c r="T153" i="13"/>
  <c r="U153" i="13"/>
  <c r="S153" i="13"/>
  <c r="S154" i="13"/>
  <c r="T139" i="14"/>
  <c r="U139" i="14"/>
  <c r="W139" i="14" s="1"/>
  <c r="S140" i="14"/>
  <c r="S139" i="14"/>
  <c r="S152" i="15"/>
  <c r="S149" i="8"/>
  <c r="T136" i="7"/>
  <c r="U136" i="7"/>
  <c r="S136" i="7"/>
  <c r="S137" i="7"/>
  <c r="U137" i="5"/>
  <c r="T137" i="5"/>
  <c r="S137" i="5"/>
  <c r="S138" i="5"/>
  <c r="T143" i="3"/>
  <c r="U143" i="3"/>
  <c r="S143" i="3"/>
  <c r="S144" i="3"/>
  <c r="S137" i="2"/>
  <c r="T141" i="1"/>
  <c r="U141" i="1"/>
  <c r="S141" i="1"/>
  <c r="R6" i="22"/>
  <c r="M6" i="22"/>
  <c r="L6" i="22"/>
  <c r="K6" i="22"/>
  <c r="R7" i="22"/>
  <c r="M7" i="22"/>
  <c r="L7" i="22"/>
  <c r="K7" i="22"/>
  <c r="E7" i="23"/>
  <c r="R6" i="23"/>
  <c r="M6" i="23"/>
  <c r="L6" i="23"/>
  <c r="K6" i="23"/>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M6" i="18"/>
  <c r="L6" i="18"/>
  <c r="K6" i="18"/>
  <c r="R7" i="18"/>
  <c r="M7" i="18"/>
  <c r="L7" i="18"/>
  <c r="K7" i="18"/>
  <c r="K6" i="19"/>
  <c r="E7" i="19"/>
  <c r="R6" i="19"/>
  <c r="M6" i="19"/>
  <c r="R7" i="19"/>
  <c r="M7" i="19"/>
  <c r="L7" i="19"/>
  <c r="K7" i="19"/>
  <c r="E7" i="21"/>
  <c r="R6" i="21"/>
  <c r="M6" i="21"/>
  <c r="L6" i="21"/>
  <c r="K6" i="21"/>
  <c r="R7" i="21"/>
  <c r="M7" i="21"/>
  <c r="L7" i="21"/>
  <c r="K7" i="21"/>
  <c r="B134" i="21" s="1"/>
  <c r="R6" i="9"/>
  <c r="M6" i="9"/>
  <c r="L6" i="9"/>
  <c r="K6" i="9"/>
  <c r="R7" i="9"/>
  <c r="M7" i="9"/>
  <c r="L7" i="9"/>
  <c r="K7" i="9"/>
  <c r="R6" i="2"/>
  <c r="O6" i="8"/>
  <c r="R6" i="8" s="1"/>
  <c r="E7" i="10"/>
  <c r="T158" i="10" s="1"/>
  <c r="R6" i="10"/>
  <c r="M6" i="10"/>
  <c r="L6" i="10"/>
  <c r="K6" i="10"/>
  <c r="R7" i="10"/>
  <c r="M7" i="10"/>
  <c r="L7" i="10"/>
  <c r="K7" i="10"/>
  <c r="E7" i="11"/>
  <c r="R6" i="11"/>
  <c r="M6" i="11"/>
  <c r="L6" i="11"/>
  <c r="K6" i="11"/>
  <c r="R7" i="11"/>
  <c r="M7" i="11"/>
  <c r="L7" i="11"/>
  <c r="K7" i="11"/>
  <c r="E7" i="12"/>
  <c r="R6" i="12"/>
  <c r="M6" i="12"/>
  <c r="L6" i="12"/>
  <c r="K6" i="12"/>
  <c r="R7" i="12"/>
  <c r="M7" i="12"/>
  <c r="L7" i="12"/>
  <c r="K7" i="12"/>
  <c r="R6" i="13"/>
  <c r="M6" i="13"/>
  <c r="L6" i="13"/>
  <c r="K6" i="13"/>
  <c r="R7" i="13"/>
  <c r="M7" i="13"/>
  <c r="L7" i="13"/>
  <c r="K7" i="13"/>
  <c r="R6" i="14"/>
  <c r="M6" i="14"/>
  <c r="L6" i="14"/>
  <c r="K6" i="14"/>
  <c r="R7" i="14"/>
  <c r="J139" i="14" s="1"/>
  <c r="M7" i="14"/>
  <c r="L7" i="14"/>
  <c r="K7" i="14"/>
  <c r="N7" i="14" s="1"/>
  <c r="E7" i="15"/>
  <c r="T151" i="15" s="1"/>
  <c r="R6" i="15"/>
  <c r="M6" i="15"/>
  <c r="L6" i="15"/>
  <c r="K6" i="15"/>
  <c r="R7" i="15"/>
  <c r="M7" i="15"/>
  <c r="L7" i="15"/>
  <c r="K7" i="15"/>
  <c r="E7" i="8"/>
  <c r="U148" i="8" s="1"/>
  <c r="M6" i="8"/>
  <c r="L6" i="8"/>
  <c r="K6" i="8"/>
  <c r="R6" i="7"/>
  <c r="M6" i="7"/>
  <c r="L6" i="7"/>
  <c r="K6" i="7"/>
  <c r="R6" i="5"/>
  <c r="M6" i="5"/>
  <c r="L6" i="5"/>
  <c r="K6" i="5"/>
  <c r="R6" i="3"/>
  <c r="M6" i="3"/>
  <c r="L6" i="3"/>
  <c r="K6" i="3"/>
  <c r="R6" i="1"/>
  <c r="M6" i="1"/>
  <c r="L6" i="1"/>
  <c r="K6" i="1"/>
  <c r="M6" i="2"/>
  <c r="L6" i="2"/>
  <c r="K6" i="2"/>
  <c r="K7" i="2"/>
  <c r="E7" i="2"/>
  <c r="T136" i="2" s="1"/>
  <c r="R7" i="8"/>
  <c r="M7" i="8"/>
  <c r="L7" i="8"/>
  <c r="K7" i="8"/>
  <c r="R7" i="7"/>
  <c r="M7" i="7"/>
  <c r="L7" i="7"/>
  <c r="K7" i="7"/>
  <c r="R7" i="5"/>
  <c r="M7" i="5"/>
  <c r="L7" i="5"/>
  <c r="K7" i="5"/>
  <c r="R7" i="3"/>
  <c r="M7" i="3"/>
  <c r="L7" i="3"/>
  <c r="K7" i="3"/>
  <c r="R7" i="2"/>
  <c r="M7" i="2"/>
  <c r="L7" i="2"/>
  <c r="R7" i="1"/>
  <c r="M7" i="1"/>
  <c r="L7" i="1"/>
  <c r="K7" i="1"/>
  <c r="P65" i="7"/>
  <c r="R65" i="7" s="1"/>
  <c r="P64" i="7"/>
  <c r="T161" i="13"/>
  <c r="U161" i="13"/>
  <c r="S161" i="13"/>
  <c r="K11" i="1"/>
  <c r="T168" i="13"/>
  <c r="U168" i="13"/>
  <c r="S168" i="13"/>
  <c r="N126" i="16"/>
  <c r="R25" i="38"/>
  <c r="M25" i="38"/>
  <c r="L25" i="38"/>
  <c r="K25" i="38"/>
  <c r="T83" i="37"/>
  <c r="U83" i="37"/>
  <c r="S83" i="37"/>
  <c r="T82" i="37"/>
  <c r="U82" i="37"/>
  <c r="S82" i="37"/>
  <c r="R44" i="37"/>
  <c r="M44" i="37"/>
  <c r="L44" i="37"/>
  <c r="K44" i="37"/>
  <c r="T90" i="37"/>
  <c r="U90" i="37"/>
  <c r="S90" i="37"/>
  <c r="R25" i="37"/>
  <c r="M25" i="37"/>
  <c r="L25" i="37"/>
  <c r="K25" i="37"/>
  <c r="R26" i="37"/>
  <c r="M26" i="37"/>
  <c r="L26" i="37"/>
  <c r="K26" i="37"/>
  <c r="M8" i="37"/>
  <c r="L8" i="37"/>
  <c r="K8" i="37"/>
  <c r="M7" i="37"/>
  <c r="D82" i="37" s="1"/>
  <c r="L7" i="37"/>
  <c r="C82" i="37" s="1"/>
  <c r="K7" i="37"/>
  <c r="B82" i="37" s="1"/>
  <c r="M10" i="37"/>
  <c r="M9" i="37"/>
  <c r="L10" i="37"/>
  <c r="L9" i="37"/>
  <c r="L11" i="37"/>
  <c r="R7" i="37"/>
  <c r="J82" i="37" s="1"/>
  <c r="R8" i="37"/>
  <c r="T101" i="36"/>
  <c r="U101" i="36"/>
  <c r="S101" i="36"/>
  <c r="T118" i="36"/>
  <c r="U118" i="36"/>
  <c r="S118" i="36"/>
  <c r="R47" i="36"/>
  <c r="M47" i="36"/>
  <c r="L47" i="36"/>
  <c r="K47" i="36"/>
  <c r="R46" i="36"/>
  <c r="M46" i="36"/>
  <c r="L46" i="36"/>
  <c r="K46" i="36"/>
  <c r="R45" i="36"/>
  <c r="M45" i="36"/>
  <c r="L45" i="36"/>
  <c r="K45" i="36"/>
  <c r="T128" i="35"/>
  <c r="U128" i="35"/>
  <c r="S128" i="35"/>
  <c r="T126" i="35"/>
  <c r="U126" i="35"/>
  <c r="S126" i="35"/>
  <c r="T125" i="35"/>
  <c r="U125" i="35"/>
  <c r="S125" i="35"/>
  <c r="T123" i="35"/>
  <c r="U123" i="35"/>
  <c r="S123" i="35"/>
  <c r="T122" i="35"/>
  <c r="U122" i="35"/>
  <c r="S122" i="35"/>
  <c r="T119" i="35"/>
  <c r="U119" i="35"/>
  <c r="S119" i="35"/>
  <c r="T116" i="35"/>
  <c r="U116" i="35"/>
  <c r="S116" i="35"/>
  <c r="T110" i="35"/>
  <c r="U110" i="35"/>
  <c r="S110" i="35"/>
  <c r="R60" i="35"/>
  <c r="M60" i="35"/>
  <c r="L60" i="35"/>
  <c r="K60" i="35"/>
  <c r="R42" i="35"/>
  <c r="M42" i="35"/>
  <c r="L42" i="35"/>
  <c r="K42" i="35"/>
  <c r="R30" i="35"/>
  <c r="M30" i="35"/>
  <c r="L30" i="35"/>
  <c r="K30" i="35"/>
  <c r="U118" i="35"/>
  <c r="T118" i="35"/>
  <c r="S118" i="35"/>
  <c r="U115" i="35"/>
  <c r="T115" i="35"/>
  <c r="S115" i="35"/>
  <c r="R20" i="35"/>
  <c r="M20" i="35"/>
  <c r="L20" i="35"/>
  <c r="K20" i="35"/>
  <c r="L12" i="35"/>
  <c r="M12" i="35"/>
  <c r="T83" i="34"/>
  <c r="U83" i="34"/>
  <c r="S83" i="34"/>
  <c r="R45" i="34"/>
  <c r="R46" i="34"/>
  <c r="R47" i="34"/>
  <c r="R48" i="34"/>
  <c r="R49" i="34"/>
  <c r="R50" i="34"/>
  <c r="K26" i="34"/>
  <c r="L26" i="34"/>
  <c r="M26" i="34"/>
  <c r="K25" i="34"/>
  <c r="L25" i="34"/>
  <c r="M25" i="34"/>
  <c r="K24" i="34"/>
  <c r="L24" i="34"/>
  <c r="M24" i="34"/>
  <c r="K23" i="34"/>
  <c r="L23" i="34"/>
  <c r="M23" i="34"/>
  <c r="L22" i="34"/>
  <c r="K22" i="34"/>
  <c r="M22" i="34"/>
  <c r="T78" i="33"/>
  <c r="U78" i="33"/>
  <c r="T79" i="33"/>
  <c r="U79" i="33"/>
  <c r="T80" i="33"/>
  <c r="U80" i="33"/>
  <c r="T81" i="33"/>
  <c r="U81" i="33"/>
  <c r="T82" i="33"/>
  <c r="U82" i="33"/>
  <c r="T83" i="33"/>
  <c r="U83" i="33"/>
  <c r="T84" i="33"/>
  <c r="U84" i="33"/>
  <c r="T85" i="33"/>
  <c r="T86" i="33"/>
  <c r="U86" i="33"/>
  <c r="T87" i="33"/>
  <c r="U87" i="33"/>
  <c r="T88" i="33"/>
  <c r="U88" i="33"/>
  <c r="T89" i="33"/>
  <c r="U89" i="33"/>
  <c r="T90" i="33"/>
  <c r="U90" i="33"/>
  <c r="T91" i="33"/>
  <c r="U91" i="33"/>
  <c r="T92" i="33"/>
  <c r="U92" i="33"/>
  <c r="U93" i="33"/>
  <c r="T97" i="33"/>
  <c r="U97" i="33"/>
  <c r="S97" i="33"/>
  <c r="S93" i="33"/>
  <c r="S92" i="33"/>
  <c r="S91" i="33"/>
  <c r="S90" i="33"/>
  <c r="S89" i="33"/>
  <c r="S88" i="33"/>
  <c r="S87" i="33"/>
  <c r="S86" i="33"/>
  <c r="S85" i="33"/>
  <c r="S84" i="33"/>
  <c r="S83" i="33"/>
  <c r="S82" i="33"/>
  <c r="S81" i="33"/>
  <c r="S80" i="33"/>
  <c r="S79" i="33"/>
  <c r="S78"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K27" i="33"/>
  <c r="L27" i="33"/>
  <c r="R19" i="33"/>
  <c r="R20" i="33"/>
  <c r="R21" i="33"/>
  <c r="R22" i="33"/>
  <c r="L18" i="33"/>
  <c r="K18" i="33"/>
  <c r="K17" i="33"/>
  <c r="K16" i="33"/>
  <c r="L17" i="33"/>
  <c r="L16" i="33"/>
  <c r="M17" i="33"/>
  <c r="M16" i="33"/>
  <c r="R16" i="33"/>
  <c r="T76" i="32"/>
  <c r="U76" i="32"/>
  <c r="S76" i="32"/>
  <c r="T77" i="32"/>
  <c r="U77" i="32"/>
  <c r="T78" i="32"/>
  <c r="U78" i="32"/>
  <c r="T79" i="32"/>
  <c r="U79" i="32"/>
  <c r="T80" i="32"/>
  <c r="U80" i="32"/>
  <c r="T81" i="32"/>
  <c r="U81" i="32"/>
  <c r="T82" i="32"/>
  <c r="U82" i="32"/>
  <c r="T83" i="32"/>
  <c r="U83" i="32"/>
  <c r="T84" i="32"/>
  <c r="U84" i="32"/>
  <c r="T85" i="32"/>
  <c r="U85" i="32"/>
  <c r="T86" i="32"/>
  <c r="U86" i="32"/>
  <c r="T87" i="32"/>
  <c r="U87" i="32"/>
  <c r="T88" i="32"/>
  <c r="U88" i="32"/>
  <c r="T89" i="32"/>
  <c r="U89" i="32"/>
  <c r="T90" i="32"/>
  <c r="U90" i="32"/>
  <c r="T91" i="32"/>
  <c r="U91" i="32"/>
  <c r="T92" i="32"/>
  <c r="U92" i="32"/>
  <c r="T93" i="32"/>
  <c r="U93" i="32"/>
  <c r="T94" i="32"/>
  <c r="U94" i="32"/>
  <c r="T95" i="32"/>
  <c r="U95" i="32"/>
  <c r="T96" i="32"/>
  <c r="U96" i="32"/>
  <c r="T97" i="32"/>
  <c r="U97" i="32"/>
  <c r="S96" i="32"/>
  <c r="S95" i="32"/>
  <c r="S94" i="32"/>
  <c r="S93" i="32"/>
  <c r="S92" i="32"/>
  <c r="S91" i="32"/>
  <c r="S90" i="32"/>
  <c r="S89" i="32"/>
  <c r="S88" i="32"/>
  <c r="S87" i="32"/>
  <c r="S86" i="32"/>
  <c r="S85" i="32"/>
  <c r="S84" i="32"/>
  <c r="S83" i="32"/>
  <c r="S82" i="32"/>
  <c r="S81" i="32"/>
  <c r="S80" i="32"/>
  <c r="S79" i="32"/>
  <c r="S78" i="32"/>
  <c r="S77" i="32"/>
  <c r="L42" i="32"/>
  <c r="R7" i="32"/>
  <c r="M7" i="32"/>
  <c r="L7" i="32"/>
  <c r="K7" i="32"/>
  <c r="T73" i="31"/>
  <c r="U73" i="31"/>
  <c r="T74" i="31"/>
  <c r="U74" i="31"/>
  <c r="T75" i="31"/>
  <c r="U75" i="31"/>
  <c r="T76" i="31"/>
  <c r="U76" i="31"/>
  <c r="T77" i="31"/>
  <c r="U77" i="31"/>
  <c r="T78" i="31"/>
  <c r="U78" i="31"/>
  <c r="T79" i="31"/>
  <c r="U79" i="31"/>
  <c r="T80" i="31"/>
  <c r="U80" i="31"/>
  <c r="T81" i="31"/>
  <c r="U81" i="31"/>
  <c r="T82" i="31"/>
  <c r="U82" i="31"/>
  <c r="T83" i="31"/>
  <c r="U83" i="31"/>
  <c r="T84" i="31"/>
  <c r="U84" i="31"/>
  <c r="T85" i="31"/>
  <c r="U85" i="31"/>
  <c r="T86" i="31"/>
  <c r="U86" i="31"/>
  <c r="T87" i="31"/>
  <c r="U87" i="31"/>
  <c r="T88" i="31"/>
  <c r="U88" i="31"/>
  <c r="T89" i="31"/>
  <c r="U89" i="31"/>
  <c r="T90" i="31"/>
  <c r="U90" i="31"/>
  <c r="T91" i="31"/>
  <c r="U91" i="31"/>
  <c r="T92" i="31"/>
  <c r="U92" i="31"/>
  <c r="T93" i="31"/>
  <c r="U93" i="31"/>
  <c r="S93" i="31"/>
  <c r="S92" i="31"/>
  <c r="S91" i="31"/>
  <c r="S90" i="31"/>
  <c r="S89" i="31"/>
  <c r="S88" i="31"/>
  <c r="S87" i="31"/>
  <c r="S86" i="31"/>
  <c r="S85" i="31"/>
  <c r="S84" i="31"/>
  <c r="S83" i="31"/>
  <c r="S82" i="31"/>
  <c r="S81" i="31"/>
  <c r="S80" i="31"/>
  <c r="S79" i="31"/>
  <c r="S78" i="31"/>
  <c r="S77" i="31"/>
  <c r="S76" i="31"/>
  <c r="S75" i="31"/>
  <c r="S74" i="31"/>
  <c r="S73" i="31"/>
  <c r="R12" i="31"/>
  <c r="R13" i="31"/>
  <c r="R14" i="31"/>
  <c r="R15" i="31"/>
  <c r="R16" i="31"/>
  <c r="J77" i="31" s="1"/>
  <c r="R17" i="31"/>
  <c r="R18" i="31"/>
  <c r="R19" i="31"/>
  <c r="R20" i="31"/>
  <c r="H79" i="31" s="1"/>
  <c r="R21" i="31"/>
  <c r="R22" i="31"/>
  <c r="R23" i="31"/>
  <c r="R24" i="31"/>
  <c r="R25" i="31"/>
  <c r="J82" i="31" s="1"/>
  <c r="R26" i="31"/>
  <c r="R27" i="31"/>
  <c r="R28" i="31"/>
  <c r="R29" i="31"/>
  <c r="R8" i="31"/>
  <c r="R9" i="31"/>
  <c r="R10" i="31"/>
  <c r="R11" i="31"/>
  <c r="R7" i="31"/>
  <c r="J73" i="31" s="1"/>
  <c r="T83" i="28"/>
  <c r="U83" i="28"/>
  <c r="S83" i="28"/>
  <c r="T79" i="29"/>
  <c r="U79" i="29"/>
  <c r="S79" i="29"/>
  <c r="T80" i="29"/>
  <c r="U80" i="29"/>
  <c r="T81" i="29"/>
  <c r="U81" i="29"/>
  <c r="T82" i="29"/>
  <c r="U82" i="29"/>
  <c r="T83" i="29"/>
  <c r="U83" i="29"/>
  <c r="T84" i="29"/>
  <c r="U84" i="29"/>
  <c r="T85" i="29"/>
  <c r="U85" i="29"/>
  <c r="T86" i="29"/>
  <c r="U86" i="29"/>
  <c r="T87" i="29"/>
  <c r="U87" i="29"/>
  <c r="T88" i="29"/>
  <c r="U88" i="29"/>
  <c r="T89" i="29"/>
  <c r="U89" i="29"/>
  <c r="T90" i="29"/>
  <c r="U90" i="29"/>
  <c r="T91" i="29"/>
  <c r="U91" i="29"/>
  <c r="T92" i="29"/>
  <c r="U92" i="29"/>
  <c r="T93" i="29"/>
  <c r="U93" i="29"/>
  <c r="T94" i="29"/>
  <c r="U94" i="29"/>
  <c r="T95" i="29"/>
  <c r="U95" i="29"/>
  <c r="T96" i="29"/>
  <c r="U96" i="29"/>
  <c r="T97" i="29"/>
  <c r="U97" i="29"/>
  <c r="T98" i="29"/>
  <c r="U98" i="29"/>
  <c r="T99" i="29"/>
  <c r="U99" i="29"/>
  <c r="T100" i="29"/>
  <c r="U100" i="29"/>
  <c r="S101" i="29"/>
  <c r="S100" i="29"/>
  <c r="W100" i="29" s="1"/>
  <c r="S99" i="29"/>
  <c r="S98" i="29"/>
  <c r="S97" i="29"/>
  <c r="S96" i="29"/>
  <c r="S95" i="29"/>
  <c r="S94" i="29"/>
  <c r="S93" i="29"/>
  <c r="S92" i="29"/>
  <c r="W92" i="29" s="1"/>
  <c r="S91" i="29"/>
  <c r="S90" i="29"/>
  <c r="S89" i="29"/>
  <c r="S88" i="29"/>
  <c r="S87" i="29"/>
  <c r="S86" i="29"/>
  <c r="S85" i="29"/>
  <c r="W85" i="29" s="1"/>
  <c r="S84" i="29"/>
  <c r="W84" i="29" s="1"/>
  <c r="S83" i="29"/>
  <c r="S82" i="29"/>
  <c r="S81" i="29"/>
  <c r="S80" i="29"/>
  <c r="R54" i="29"/>
  <c r="M54" i="29"/>
  <c r="L54" i="29"/>
  <c r="K54" i="29"/>
  <c r="R41" i="29"/>
  <c r="M41" i="29"/>
  <c r="L41" i="29"/>
  <c r="K41" i="29"/>
  <c r="R40" i="29"/>
  <c r="M40" i="29"/>
  <c r="L40" i="29"/>
  <c r="K40" i="29"/>
  <c r="R35" i="29"/>
  <c r="M35" i="29"/>
  <c r="L35" i="29"/>
  <c r="K35" i="29"/>
  <c r="R26" i="29"/>
  <c r="M26" i="29"/>
  <c r="L26" i="29"/>
  <c r="K26" i="29"/>
  <c r="K7" i="29"/>
  <c r="B79" i="29" s="1"/>
  <c r="L7" i="29"/>
  <c r="C79" i="29" s="1"/>
  <c r="M7" i="29"/>
  <c r="D79" i="29" s="1"/>
  <c r="K8" i="29"/>
  <c r="L8" i="29"/>
  <c r="M8" i="29"/>
  <c r="K9" i="29"/>
  <c r="L9" i="29"/>
  <c r="M9" i="29"/>
  <c r="K10" i="29"/>
  <c r="L10" i="29"/>
  <c r="M10" i="29"/>
  <c r="K11" i="29"/>
  <c r="L11" i="29"/>
  <c r="M11" i="29"/>
  <c r="K12" i="29"/>
  <c r="L12" i="29"/>
  <c r="M12" i="29"/>
  <c r="K13" i="29"/>
  <c r="L13" i="29"/>
  <c r="M13" i="29"/>
  <c r="K14" i="29"/>
  <c r="L14" i="29"/>
  <c r="M14" i="29"/>
  <c r="K15" i="29"/>
  <c r="L15" i="29"/>
  <c r="M15" i="29"/>
  <c r="K16" i="29"/>
  <c r="L16" i="29"/>
  <c r="M16" i="29"/>
  <c r="K17" i="29"/>
  <c r="B84" i="29" s="1"/>
  <c r="L17" i="29"/>
  <c r="M17" i="29"/>
  <c r="K18" i="29"/>
  <c r="L18" i="29"/>
  <c r="M18" i="29"/>
  <c r="K19" i="29"/>
  <c r="L19" i="29"/>
  <c r="M19" i="29"/>
  <c r="D85" i="29" s="1"/>
  <c r="K20" i="29"/>
  <c r="L20" i="29"/>
  <c r="M20" i="29"/>
  <c r="K21" i="29"/>
  <c r="L21" i="29"/>
  <c r="M21" i="29"/>
  <c r="K22" i="29"/>
  <c r="L22" i="29"/>
  <c r="M22" i="29"/>
  <c r="K23" i="29"/>
  <c r="L23" i="29"/>
  <c r="M23" i="29"/>
  <c r="K24" i="29"/>
  <c r="L24" i="29"/>
  <c r="M24" i="29"/>
  <c r="K25" i="29"/>
  <c r="L25" i="29"/>
  <c r="M25" i="29"/>
  <c r="K27" i="29"/>
  <c r="L27" i="29"/>
  <c r="M27" i="29"/>
  <c r="K28" i="29"/>
  <c r="L28" i="29"/>
  <c r="C89" i="29" s="1"/>
  <c r="M28" i="29"/>
  <c r="K29" i="29"/>
  <c r="L29" i="29"/>
  <c r="M29" i="29"/>
  <c r="K30" i="29"/>
  <c r="L30" i="29"/>
  <c r="M30" i="29"/>
  <c r="K31" i="29"/>
  <c r="L31" i="29"/>
  <c r="M31" i="29"/>
  <c r="K32" i="29"/>
  <c r="L32" i="29"/>
  <c r="M32" i="29"/>
  <c r="K33" i="29"/>
  <c r="L33" i="29"/>
  <c r="M33" i="29"/>
  <c r="D91" i="29" s="1"/>
  <c r="K34" i="29"/>
  <c r="L34" i="29"/>
  <c r="M34" i="29"/>
  <c r="K36" i="29"/>
  <c r="L36" i="29"/>
  <c r="M36" i="29"/>
  <c r="K37" i="29"/>
  <c r="L37" i="29"/>
  <c r="M37" i="29"/>
  <c r="R23" i="29"/>
  <c r="E12" i="35"/>
  <c r="M25" i="36"/>
  <c r="L20" i="36"/>
  <c r="L21" i="36"/>
  <c r="L22" i="36"/>
  <c r="L23" i="36"/>
  <c r="L24" i="36"/>
  <c r="L25" i="36"/>
  <c r="L26" i="36"/>
  <c r="L27" i="36"/>
  <c r="L28" i="36"/>
  <c r="L29" i="36"/>
  <c r="L30" i="36"/>
  <c r="L31" i="36"/>
  <c r="L32" i="36"/>
  <c r="L33" i="36"/>
  <c r="L34" i="36"/>
  <c r="L35" i="36"/>
  <c r="L36" i="36"/>
  <c r="K19" i="36"/>
  <c r="K20" i="36"/>
  <c r="K21" i="36"/>
  <c r="K22" i="36"/>
  <c r="K23" i="36"/>
  <c r="K24" i="36"/>
  <c r="K25" i="36"/>
  <c r="K26" i="36"/>
  <c r="K27" i="36"/>
  <c r="K28" i="36"/>
  <c r="K29" i="36"/>
  <c r="K30" i="36"/>
  <c r="K31" i="36"/>
  <c r="K32" i="36"/>
  <c r="K33" i="36"/>
  <c r="K34" i="36"/>
  <c r="K35" i="36"/>
  <c r="K36" i="36"/>
  <c r="M20" i="36"/>
  <c r="T84" i="37"/>
  <c r="U84" i="37"/>
  <c r="S84" i="37"/>
  <c r="K10" i="37"/>
  <c r="K9" i="37"/>
  <c r="R9" i="37"/>
  <c r="T80" i="38"/>
  <c r="U80" i="38"/>
  <c r="R49" i="35"/>
  <c r="R50" i="35"/>
  <c r="R51" i="35"/>
  <c r="R52" i="35"/>
  <c r="R51" i="33"/>
  <c r="M51" i="33"/>
  <c r="L51" i="33"/>
  <c r="K51" i="33"/>
  <c r="R50" i="33"/>
  <c r="H97" i="33" s="1"/>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M43" i="33"/>
  <c r="L43" i="33"/>
  <c r="K43" i="33"/>
  <c r="R42" i="33"/>
  <c r="M42" i="33"/>
  <c r="L42" i="33"/>
  <c r="K42" i="33"/>
  <c r="R41" i="33"/>
  <c r="M41" i="33"/>
  <c r="L41" i="33"/>
  <c r="K41" i="33"/>
  <c r="R40" i="33"/>
  <c r="M40" i="33"/>
  <c r="L40" i="33"/>
  <c r="K40" i="33"/>
  <c r="R39" i="33"/>
  <c r="M39" i="33"/>
  <c r="L39" i="33"/>
  <c r="K39" i="33"/>
  <c r="R38" i="33"/>
  <c r="M38" i="33"/>
  <c r="L38" i="33"/>
  <c r="K38" i="33"/>
  <c r="R37" i="33"/>
  <c r="M37" i="33"/>
  <c r="L37" i="33"/>
  <c r="K37" i="33"/>
  <c r="R36" i="33"/>
  <c r="H91" i="33" s="1"/>
  <c r="M36" i="33"/>
  <c r="L36" i="33"/>
  <c r="K36" i="33"/>
  <c r="R35" i="33"/>
  <c r="M35" i="33"/>
  <c r="L35" i="33"/>
  <c r="K35" i="33"/>
  <c r="R34" i="33"/>
  <c r="L90" i="33" s="1"/>
  <c r="M34" i="33"/>
  <c r="L34" i="33"/>
  <c r="K34" i="33"/>
  <c r="R33" i="33"/>
  <c r="M33" i="33"/>
  <c r="L33" i="33"/>
  <c r="K33" i="33"/>
  <c r="R32" i="33"/>
  <c r="M32" i="33"/>
  <c r="L32" i="33"/>
  <c r="K32" i="33"/>
  <c r="R31" i="33"/>
  <c r="M31" i="33"/>
  <c r="L31" i="33"/>
  <c r="K31" i="33"/>
  <c r="R30" i="33"/>
  <c r="M30" i="33"/>
  <c r="L30" i="33"/>
  <c r="K30" i="33"/>
  <c r="R29" i="33"/>
  <c r="M29" i="33"/>
  <c r="D88" i="33" s="1"/>
  <c r="L29" i="33"/>
  <c r="K29" i="33"/>
  <c r="R28" i="33"/>
  <c r="M28" i="33"/>
  <c r="L28" i="33"/>
  <c r="K28" i="33"/>
  <c r="R27" i="33"/>
  <c r="R26" i="33"/>
  <c r="R25" i="33"/>
  <c r="R24" i="33"/>
  <c r="R23" i="33"/>
  <c r="R18" i="33"/>
  <c r="R17" i="33"/>
  <c r="R15" i="33"/>
  <c r="M15" i="33"/>
  <c r="L15" i="33"/>
  <c r="K15" i="33"/>
  <c r="R14" i="33"/>
  <c r="M14" i="33"/>
  <c r="L14" i="33"/>
  <c r="K14" i="33"/>
  <c r="R13" i="33"/>
  <c r="M13" i="33"/>
  <c r="L13" i="33"/>
  <c r="K13" i="33"/>
  <c r="R12" i="33"/>
  <c r="M12" i="33"/>
  <c r="L12" i="33"/>
  <c r="K12" i="33"/>
  <c r="R11" i="33"/>
  <c r="M11" i="33"/>
  <c r="L11" i="33"/>
  <c r="K11" i="33"/>
  <c r="R10" i="33"/>
  <c r="M10" i="33"/>
  <c r="L10" i="33"/>
  <c r="K10" i="33"/>
  <c r="R9" i="33"/>
  <c r="M9" i="33"/>
  <c r="L9" i="33"/>
  <c r="K9" i="33"/>
  <c r="R8" i="33"/>
  <c r="M8" i="33"/>
  <c r="L8" i="33"/>
  <c r="K8" i="33"/>
  <c r="R7" i="33"/>
  <c r="H78" i="33" s="1"/>
  <c r="M7" i="33"/>
  <c r="D78" i="33" s="1"/>
  <c r="L7" i="33"/>
  <c r="C78" i="33" s="1"/>
  <c r="K7" i="33"/>
  <c r="B78" i="33" s="1"/>
  <c r="T123" i="6"/>
  <c r="U123" i="6"/>
  <c r="T127" i="6"/>
  <c r="U127" i="6"/>
  <c r="T131" i="6"/>
  <c r="U131" i="6"/>
  <c r="T135" i="6"/>
  <c r="U135" i="6"/>
  <c r="T139" i="6"/>
  <c r="U139" i="6"/>
  <c r="T140" i="6"/>
  <c r="U140" i="6"/>
  <c r="T142" i="6"/>
  <c r="U142" i="6"/>
  <c r="T143" i="6"/>
  <c r="S143" i="6"/>
  <c r="S142" i="6"/>
  <c r="S140" i="6"/>
  <c r="S139" i="6"/>
  <c r="W136" i="6"/>
  <c r="S135" i="6"/>
  <c r="S131" i="6"/>
  <c r="S127" i="6"/>
  <c r="S123"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78" i="34"/>
  <c r="U78" i="34"/>
  <c r="T79" i="34"/>
  <c r="U79" i="34"/>
  <c r="T81" i="34"/>
  <c r="U81" i="34"/>
  <c r="T82" i="34"/>
  <c r="U82" i="34"/>
  <c r="T86" i="34"/>
  <c r="U86" i="34"/>
  <c r="T89" i="34"/>
  <c r="U89" i="34"/>
  <c r="T91" i="34"/>
  <c r="U91" i="34"/>
  <c r="T94" i="34"/>
  <c r="U94" i="34"/>
  <c r="S95" i="34"/>
  <c r="S94" i="34"/>
  <c r="S91" i="34"/>
  <c r="S89" i="34"/>
  <c r="S86" i="34"/>
  <c r="S82" i="34"/>
  <c r="S81" i="34"/>
  <c r="S79" i="34"/>
  <c r="S78" i="34"/>
  <c r="E53" i="34"/>
  <c r="T96" i="34" s="1"/>
  <c r="U95" i="34"/>
  <c r="E47" i="34"/>
  <c r="U93" i="34" s="1"/>
  <c r="E45" i="34"/>
  <c r="T92" i="34" s="1"/>
  <c r="E39" i="34"/>
  <c r="T90" i="34" s="1"/>
  <c r="E34" i="34"/>
  <c r="E31" i="34"/>
  <c r="S87" i="34" s="1"/>
  <c r="E27" i="34"/>
  <c r="U85" i="34" s="1"/>
  <c r="E25" i="34"/>
  <c r="T84" i="34" s="1"/>
  <c r="E16" i="34"/>
  <c r="E7" i="34"/>
  <c r="U76" i="34" s="1"/>
  <c r="E9" i="34"/>
  <c r="R16" i="34"/>
  <c r="R17" i="34"/>
  <c r="R18" i="34"/>
  <c r="R19" i="34"/>
  <c r="R20" i="34"/>
  <c r="R21" i="34"/>
  <c r="R22" i="34"/>
  <c r="R23" i="34"/>
  <c r="R24" i="34"/>
  <c r="L84" i="34" s="1"/>
  <c r="R25" i="34"/>
  <c r="K16" i="34"/>
  <c r="L16" i="34"/>
  <c r="M16" i="34"/>
  <c r="T72" i="30"/>
  <c r="U72" i="30"/>
  <c r="T74" i="30"/>
  <c r="U74" i="30"/>
  <c r="U75" i="30"/>
  <c r="T80" i="30"/>
  <c r="U80" i="30"/>
  <c r="S80" i="30"/>
  <c r="S75" i="30"/>
  <c r="S74" i="30"/>
  <c r="S72" i="30"/>
  <c r="E34" i="30"/>
  <c r="S79" i="30" s="1"/>
  <c r="E32" i="30"/>
  <c r="S78" i="30" s="1"/>
  <c r="E28" i="30"/>
  <c r="U77" i="30" s="1"/>
  <c r="E26" i="30"/>
  <c r="U76" i="30" s="1"/>
  <c r="E19" i="30"/>
  <c r="S73" i="30" s="1"/>
  <c r="E15" i="30"/>
  <c r="T71" i="30" s="1"/>
  <c r="E12" i="30"/>
  <c r="S70" i="30"/>
  <c r="U70" i="30"/>
  <c r="E10" i="30"/>
  <c r="T69" i="30" s="1"/>
  <c r="E7" i="30"/>
  <c r="T68" i="30" s="1"/>
  <c r="K8" i="35"/>
  <c r="K10" i="35"/>
  <c r="L10" i="35" s="1"/>
  <c r="M10" i="35" s="1"/>
  <c r="K11" i="35"/>
  <c r="L11" i="35" s="1"/>
  <c r="M11" i="35" s="1"/>
  <c r="N11" i="35" s="1"/>
  <c r="K12" i="35"/>
  <c r="K7" i="35"/>
  <c r="B110" i="35" s="1"/>
  <c r="T113" i="35"/>
  <c r="U113" i="35"/>
  <c r="T121" i="35"/>
  <c r="U121" i="35"/>
  <c r="T127" i="35"/>
  <c r="U127" i="35"/>
  <c r="T129" i="35"/>
  <c r="U129" i="35"/>
  <c r="T131" i="35"/>
  <c r="U131" i="35"/>
  <c r="S131" i="35"/>
  <c r="S129" i="35"/>
  <c r="S127" i="35"/>
  <c r="S121" i="35"/>
  <c r="S113" i="35"/>
  <c r="E10" i="35"/>
  <c r="S111" i="35" s="1"/>
  <c r="E78" i="35"/>
  <c r="T130" i="35" s="1"/>
  <c r="E53" i="35"/>
  <c r="T124" i="35" s="1"/>
  <c r="E35" i="35"/>
  <c r="S120" i="35" s="1"/>
  <c r="E25" i="35"/>
  <c r="S117" i="35" s="1"/>
  <c r="E16" i="35"/>
  <c r="T114" i="35" s="1"/>
  <c r="M50" i="35"/>
  <c r="M51" i="35"/>
  <c r="M52" i="35"/>
  <c r="M53" i="35"/>
  <c r="M54" i="35"/>
  <c r="M55" i="35"/>
  <c r="M56" i="35"/>
  <c r="M57" i="35"/>
  <c r="M58" i="35"/>
  <c r="M59" i="35"/>
  <c r="M61" i="35"/>
  <c r="M62" i="35"/>
  <c r="M63" i="35"/>
  <c r="M64" i="35"/>
  <c r="M65" i="35"/>
  <c r="M66" i="35"/>
  <c r="M67" i="35"/>
  <c r="M68" i="35"/>
  <c r="M69" i="35"/>
  <c r="M70" i="35"/>
  <c r="M71" i="35"/>
  <c r="M72" i="35"/>
  <c r="M73" i="35"/>
  <c r="M74" i="35"/>
  <c r="M75" i="35"/>
  <c r="M76" i="35"/>
  <c r="M77" i="35"/>
  <c r="M78" i="35"/>
  <c r="M79" i="35"/>
  <c r="D131" i="35" s="1"/>
  <c r="M80" i="35"/>
  <c r="L48" i="35"/>
  <c r="L49" i="35"/>
  <c r="L50" i="35"/>
  <c r="L51" i="35"/>
  <c r="L52" i="35"/>
  <c r="L53" i="35"/>
  <c r="L54" i="35"/>
  <c r="L55" i="35"/>
  <c r="L56" i="35"/>
  <c r="L57" i="35"/>
  <c r="L58" i="35"/>
  <c r="L59" i="35"/>
  <c r="L61" i="35"/>
  <c r="L62" i="35"/>
  <c r="L63" i="35"/>
  <c r="L64" i="35"/>
  <c r="L65" i="35"/>
  <c r="L66" i="35"/>
  <c r="L67" i="35"/>
  <c r="L68" i="35"/>
  <c r="L69" i="35"/>
  <c r="L70" i="35"/>
  <c r="L71" i="35"/>
  <c r="L72" i="35"/>
  <c r="L73" i="35"/>
  <c r="L74" i="35"/>
  <c r="L75" i="35"/>
  <c r="L76" i="35"/>
  <c r="L77" i="35"/>
  <c r="L78" i="35"/>
  <c r="L79" i="35"/>
  <c r="L80" i="35"/>
  <c r="K47" i="35"/>
  <c r="K48" i="35"/>
  <c r="K49" i="35"/>
  <c r="K50" i="35"/>
  <c r="K51" i="35"/>
  <c r="N51" i="35" s="1"/>
  <c r="K52" i="35"/>
  <c r="K53" i="35"/>
  <c r="K54" i="35"/>
  <c r="K55" i="35"/>
  <c r="K56" i="35"/>
  <c r="K57" i="35"/>
  <c r="K58" i="35"/>
  <c r="K59" i="35"/>
  <c r="N59" i="35" s="1"/>
  <c r="K61" i="35"/>
  <c r="K62" i="35"/>
  <c r="K63" i="35"/>
  <c r="K64" i="35"/>
  <c r="K65" i="35"/>
  <c r="K66" i="35"/>
  <c r="K67" i="35"/>
  <c r="K68" i="35"/>
  <c r="K69" i="35"/>
  <c r="K70" i="35"/>
  <c r="K71" i="35"/>
  <c r="K72" i="35"/>
  <c r="K73" i="35"/>
  <c r="K74" i="35"/>
  <c r="K75" i="35"/>
  <c r="K76" i="35"/>
  <c r="K77" i="35"/>
  <c r="K78" i="35"/>
  <c r="K79" i="35"/>
  <c r="K80" i="35"/>
  <c r="R63" i="35"/>
  <c r="R64" i="35"/>
  <c r="R65" i="35"/>
  <c r="R66" i="35"/>
  <c r="R67" i="35"/>
  <c r="R68" i="35"/>
  <c r="J127" i="35" s="1"/>
  <c r="R69" i="35"/>
  <c r="R70" i="35"/>
  <c r="R71" i="35"/>
  <c r="R72" i="35"/>
  <c r="R73" i="35"/>
  <c r="R74" i="35"/>
  <c r="R75" i="35"/>
  <c r="R76" i="35"/>
  <c r="R77" i="35"/>
  <c r="R78" i="35"/>
  <c r="R79" i="35"/>
  <c r="R80" i="35"/>
  <c r="R47" i="35"/>
  <c r="R48" i="35"/>
  <c r="R53" i="35"/>
  <c r="R54" i="35"/>
  <c r="R55" i="35"/>
  <c r="R56" i="35"/>
  <c r="R57" i="35"/>
  <c r="R58" i="35"/>
  <c r="R59" i="35"/>
  <c r="R61" i="35"/>
  <c r="R62" i="35"/>
  <c r="R12" i="35"/>
  <c r="R13" i="35"/>
  <c r="R14" i="35"/>
  <c r="R15" i="35"/>
  <c r="R16" i="35"/>
  <c r="R17" i="35"/>
  <c r="R18" i="35"/>
  <c r="R19" i="35"/>
  <c r="R21" i="35"/>
  <c r="R22" i="35"/>
  <c r="R23" i="35"/>
  <c r="R24" i="35"/>
  <c r="R25" i="35"/>
  <c r="R26" i="35"/>
  <c r="R27" i="35"/>
  <c r="R28" i="35"/>
  <c r="R29" i="35"/>
  <c r="R31" i="35"/>
  <c r="R32" i="35"/>
  <c r="R33" i="35"/>
  <c r="R34" i="35"/>
  <c r="R35" i="35"/>
  <c r="R36" i="35"/>
  <c r="R37" i="35"/>
  <c r="R38" i="35"/>
  <c r="R39" i="35"/>
  <c r="R40" i="35"/>
  <c r="R41" i="35"/>
  <c r="R43" i="35"/>
  <c r="R44" i="35"/>
  <c r="R45" i="35"/>
  <c r="R46" i="35"/>
  <c r="R10" i="35"/>
  <c r="N87" i="28"/>
  <c r="N86" i="28"/>
  <c r="U101" i="28"/>
  <c r="T101" i="28"/>
  <c r="S101" i="28"/>
  <c r="U97" i="28"/>
  <c r="T97" i="28"/>
  <c r="S97" i="28"/>
  <c r="U93" i="28"/>
  <c r="T93" i="28"/>
  <c r="S93" i="28"/>
  <c r="U89" i="28"/>
  <c r="T89" i="28"/>
  <c r="S89" i="28"/>
  <c r="U85" i="28"/>
  <c r="T85" i="28"/>
  <c r="S85" i="28"/>
  <c r="T84" i="28"/>
  <c r="U84" i="28"/>
  <c r="T86" i="28"/>
  <c r="U86" i="28"/>
  <c r="T87" i="28"/>
  <c r="U87" i="28"/>
  <c r="T88" i="28"/>
  <c r="U88" i="28"/>
  <c r="T90" i="28"/>
  <c r="U90" i="28"/>
  <c r="T91" i="28"/>
  <c r="U91" i="28"/>
  <c r="T92" i="28"/>
  <c r="U92" i="28"/>
  <c r="T94" i="28"/>
  <c r="U94" i="28"/>
  <c r="T96" i="28"/>
  <c r="U96" i="28"/>
  <c r="T99" i="28"/>
  <c r="U99" i="28"/>
  <c r="T100" i="28"/>
  <c r="U100" i="28"/>
  <c r="T103" i="28"/>
  <c r="U103" i="28"/>
  <c r="T104" i="28"/>
  <c r="U104" i="28"/>
  <c r="T105" i="28"/>
  <c r="U105" i="28"/>
  <c r="S105" i="28"/>
  <c r="S104" i="28"/>
  <c r="S103" i="28"/>
  <c r="S100" i="28"/>
  <c r="S99" i="28"/>
  <c r="S96" i="28"/>
  <c r="S94" i="28"/>
  <c r="S92" i="28"/>
  <c r="S91" i="28"/>
  <c r="S90" i="28"/>
  <c r="S88" i="28"/>
  <c r="S87" i="28"/>
  <c r="S86" i="28"/>
  <c r="S84" i="28"/>
  <c r="R7" i="28"/>
  <c r="M7" i="28"/>
  <c r="L7" i="28"/>
  <c r="K7" i="28"/>
  <c r="R22" i="28"/>
  <c r="M22" i="28"/>
  <c r="L22" i="28"/>
  <c r="K22" i="28"/>
  <c r="M49" i="35"/>
  <c r="M48" i="35"/>
  <c r="M46" i="35"/>
  <c r="L46" i="35"/>
  <c r="K46" i="35"/>
  <c r="M40" i="35"/>
  <c r="M41" i="35"/>
  <c r="M43" i="35"/>
  <c r="M44" i="35"/>
  <c r="M45" i="35"/>
  <c r="M47" i="35"/>
  <c r="L40" i="35"/>
  <c r="L41" i="35"/>
  <c r="L43" i="35"/>
  <c r="L44" i="35"/>
  <c r="L45" i="35"/>
  <c r="L47" i="35"/>
  <c r="K38" i="35"/>
  <c r="K39" i="35"/>
  <c r="K40" i="35"/>
  <c r="K41" i="35"/>
  <c r="K43" i="35"/>
  <c r="K44" i="35"/>
  <c r="K45" i="35"/>
  <c r="K34" i="35"/>
  <c r="L34" i="35"/>
  <c r="M34" i="35"/>
  <c r="K33" i="35"/>
  <c r="L33" i="35"/>
  <c r="M33" i="35"/>
  <c r="K24" i="35"/>
  <c r="L24" i="35"/>
  <c r="M24" i="35"/>
  <c r="M25" i="35"/>
  <c r="M26" i="35"/>
  <c r="M27" i="35"/>
  <c r="M28" i="35"/>
  <c r="M29" i="35"/>
  <c r="M31" i="35"/>
  <c r="M32" i="35"/>
  <c r="M35" i="35"/>
  <c r="M36" i="35"/>
  <c r="M37" i="35"/>
  <c r="M38" i="35"/>
  <c r="M39" i="35"/>
  <c r="L22" i="35"/>
  <c r="L23" i="35"/>
  <c r="L25" i="35"/>
  <c r="L26" i="35"/>
  <c r="L27" i="35"/>
  <c r="L28" i="35"/>
  <c r="L29" i="35"/>
  <c r="L31" i="35"/>
  <c r="L32" i="35"/>
  <c r="L35" i="35"/>
  <c r="L36" i="35"/>
  <c r="L37" i="35"/>
  <c r="L38" i="35"/>
  <c r="L39" i="35"/>
  <c r="K22" i="35"/>
  <c r="K23" i="35"/>
  <c r="K25" i="35"/>
  <c r="K26" i="35"/>
  <c r="K27" i="35"/>
  <c r="K28" i="35"/>
  <c r="K29" i="35"/>
  <c r="K31" i="35"/>
  <c r="K32" i="35"/>
  <c r="K19" i="35"/>
  <c r="L19" i="35"/>
  <c r="M19" i="35"/>
  <c r="T104" i="36"/>
  <c r="U104" i="36"/>
  <c r="T108" i="36"/>
  <c r="U108" i="36"/>
  <c r="T112" i="36"/>
  <c r="U112" i="36"/>
  <c r="T113" i="36"/>
  <c r="U113" i="36"/>
  <c r="T114" i="36"/>
  <c r="U114" i="36"/>
  <c r="S114" i="36"/>
  <c r="S113" i="36"/>
  <c r="S112" i="36"/>
  <c r="S108" i="36"/>
  <c r="S104" i="36"/>
  <c r="E64" i="36"/>
  <c r="U123" i="36" s="1"/>
  <c r="E59" i="36"/>
  <c r="T122" i="36" s="1"/>
  <c r="E55" i="36"/>
  <c r="T121" i="36" s="1"/>
  <c r="E52" i="36"/>
  <c r="S120" i="36" s="1"/>
  <c r="E49" i="36"/>
  <c r="U119" i="36" s="1"/>
  <c r="E43" i="36"/>
  <c r="S117" i="36" s="1"/>
  <c r="E39" i="36"/>
  <c r="T116" i="36" s="1"/>
  <c r="E37" i="36"/>
  <c r="T115" i="36" s="1"/>
  <c r="E29" i="36"/>
  <c r="T111" i="36" s="1"/>
  <c r="E27" i="36"/>
  <c r="T110" i="36" s="1"/>
  <c r="E25" i="36"/>
  <c r="U109" i="36" s="1"/>
  <c r="E20" i="36"/>
  <c r="T107" i="36" s="1"/>
  <c r="E17" i="36"/>
  <c r="T106" i="36" s="1"/>
  <c r="E15" i="36"/>
  <c r="U105" i="36" s="1"/>
  <c r="E11" i="36"/>
  <c r="T103" i="36" s="1"/>
  <c r="E9" i="36"/>
  <c r="U102" i="36" s="1"/>
  <c r="K64" i="36"/>
  <c r="R24" i="36"/>
  <c r="R25" i="36"/>
  <c r="R20" i="36"/>
  <c r="R21" i="36"/>
  <c r="R22" i="36"/>
  <c r="M14" i="37"/>
  <c r="M15" i="37"/>
  <c r="L14" i="37"/>
  <c r="L15" i="37"/>
  <c r="M18" i="37"/>
  <c r="L18" i="37"/>
  <c r="K18" i="37"/>
  <c r="K15" i="37"/>
  <c r="K14" i="37"/>
  <c r="T87" i="37"/>
  <c r="U87" i="37"/>
  <c r="T88" i="37"/>
  <c r="U88" i="37"/>
  <c r="T89" i="37"/>
  <c r="U89" i="37"/>
  <c r="T91" i="37"/>
  <c r="U91" i="37"/>
  <c r="T92" i="37"/>
  <c r="U92" i="37"/>
  <c r="T93" i="37"/>
  <c r="U93" i="37"/>
  <c r="T95" i="37"/>
  <c r="U95" i="37"/>
  <c r="T96" i="37"/>
  <c r="U96" i="37"/>
  <c r="T97" i="37"/>
  <c r="U97" i="37"/>
  <c r="T99" i="37"/>
  <c r="U99" i="37"/>
  <c r="T100" i="37"/>
  <c r="U100" i="37"/>
  <c r="S100" i="37"/>
  <c r="S99" i="37"/>
  <c r="S97" i="37"/>
  <c r="S96" i="37"/>
  <c r="S95" i="37"/>
  <c r="S93" i="37"/>
  <c r="S92" i="37"/>
  <c r="S91" i="37"/>
  <c r="S89" i="37"/>
  <c r="S88" i="37"/>
  <c r="S87" i="37"/>
  <c r="E58" i="37"/>
  <c r="T104" i="37" s="1"/>
  <c r="E56" i="37"/>
  <c r="T103" i="37" s="1"/>
  <c r="E54" i="37"/>
  <c r="T102" i="37" s="1"/>
  <c r="E52" i="37"/>
  <c r="U101" i="37" s="1"/>
  <c r="E36" i="37"/>
  <c r="T94" i="37" s="1"/>
  <c r="E18" i="37"/>
  <c r="T86" i="37" s="1"/>
  <c r="E15" i="37"/>
  <c r="U85" i="37" s="1"/>
  <c r="R17" i="37"/>
  <c r="R18" i="37"/>
  <c r="R19" i="37"/>
  <c r="R15" i="37"/>
  <c r="R14" i="37"/>
  <c r="M22" i="38"/>
  <c r="L21" i="38"/>
  <c r="L22" i="38"/>
  <c r="K22" i="38"/>
  <c r="E22" i="38"/>
  <c r="T87" i="38" s="1"/>
  <c r="E41" i="38"/>
  <c r="S95" i="38" s="1"/>
  <c r="T82" i="38"/>
  <c r="U82" i="38"/>
  <c r="T85" i="38"/>
  <c r="U85" i="38"/>
  <c r="T86" i="38"/>
  <c r="U86" i="38"/>
  <c r="T88" i="38"/>
  <c r="U88" i="38"/>
  <c r="T90" i="38"/>
  <c r="U90" i="38"/>
  <c r="T94" i="38"/>
  <c r="U94" i="38"/>
  <c r="T96" i="38"/>
  <c r="U96" i="38"/>
  <c r="T97" i="38"/>
  <c r="U97" i="38"/>
  <c r="S97" i="38"/>
  <c r="S96" i="38"/>
  <c r="S94" i="38"/>
  <c r="S90" i="38"/>
  <c r="S88" i="38"/>
  <c r="S86" i="38"/>
  <c r="S85" i="38"/>
  <c r="S82" i="38"/>
  <c r="E51" i="38"/>
  <c r="U99" i="38" s="1"/>
  <c r="E49" i="38"/>
  <c r="U98" i="38"/>
  <c r="E37" i="38"/>
  <c r="U93" i="38" s="1"/>
  <c r="E32" i="38"/>
  <c r="T91" i="38" s="1"/>
  <c r="E34" i="38"/>
  <c r="S92" i="38" s="1"/>
  <c r="E15" i="38"/>
  <c r="T84" i="38" s="1"/>
  <c r="E13" i="38"/>
  <c r="S83" i="38" s="1"/>
  <c r="E9" i="38"/>
  <c r="S81" i="38" s="1"/>
  <c r="R8" i="38"/>
  <c r="R9" i="38"/>
  <c r="R10" i="38"/>
  <c r="R11" i="38"/>
  <c r="R12" i="38"/>
  <c r="R13" i="38"/>
  <c r="H83" i="38" s="1"/>
  <c r="R14" i="38"/>
  <c r="R15" i="38"/>
  <c r="R16" i="38"/>
  <c r="R17" i="38"/>
  <c r="R18" i="38"/>
  <c r="R19" i="38"/>
  <c r="R20" i="38"/>
  <c r="R21" i="38"/>
  <c r="R22" i="38"/>
  <c r="R23" i="38"/>
  <c r="R24" i="38"/>
  <c r="R26" i="38"/>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J80" i="38" s="1"/>
  <c r="K32" i="38"/>
  <c r="L32" i="38"/>
  <c r="M32" i="38"/>
  <c r="T204" i="9"/>
  <c r="U204" i="9"/>
  <c r="S204" i="9"/>
  <c r="T196" i="22"/>
  <c r="U196" i="22"/>
  <c r="S196" i="22"/>
  <c r="T187" i="22"/>
  <c r="U187" i="22"/>
  <c r="S187" i="22"/>
  <c r="T164" i="22"/>
  <c r="U164" i="22"/>
  <c r="S164" i="22"/>
  <c r="T158" i="22"/>
  <c r="U158" i="22"/>
  <c r="S158" i="22"/>
  <c r="T156" i="22"/>
  <c r="U156" i="22"/>
  <c r="S156" i="22"/>
  <c r="R111" i="22"/>
  <c r="M111" i="22"/>
  <c r="L111" i="22"/>
  <c r="K111" i="22"/>
  <c r="R30" i="22"/>
  <c r="M30" i="22"/>
  <c r="L30" i="22"/>
  <c r="K30" i="22"/>
  <c r="R24" i="22"/>
  <c r="M24" i="22"/>
  <c r="L24" i="22"/>
  <c r="K24" i="22"/>
  <c r="R8" i="22"/>
  <c r="R10" i="22"/>
  <c r="R11" i="22"/>
  <c r="R12" i="22"/>
  <c r="R13" i="22"/>
  <c r="R14" i="22"/>
  <c r="R15" i="22"/>
  <c r="R16" i="22"/>
  <c r="R17" i="22"/>
  <c r="R18" i="22"/>
  <c r="R19" i="22"/>
  <c r="R20" i="22"/>
  <c r="R21" i="22"/>
  <c r="R22" i="22"/>
  <c r="R23" i="22"/>
  <c r="R25" i="22"/>
  <c r="R26" i="22"/>
  <c r="J157" i="22" s="1"/>
  <c r="R27" i="22"/>
  <c r="R28" i="22"/>
  <c r="R29" i="22"/>
  <c r="R31" i="22"/>
  <c r="R32" i="22"/>
  <c r="R33" i="22"/>
  <c r="R34" i="22"/>
  <c r="R35" i="22"/>
  <c r="H160" i="22" s="1"/>
  <c r="R36" i="22"/>
  <c r="R37" i="22"/>
  <c r="R38" i="22"/>
  <c r="R39" i="22"/>
  <c r="J162" i="22" s="1"/>
  <c r="R40" i="22"/>
  <c r="R41" i="22"/>
  <c r="R42" i="22"/>
  <c r="R43" i="22"/>
  <c r="R44" i="22"/>
  <c r="R45" i="22"/>
  <c r="R46" i="22"/>
  <c r="R47" i="22"/>
  <c r="R48" i="22"/>
  <c r="R49" i="22"/>
  <c r="R50" i="22"/>
  <c r="R51" i="22"/>
  <c r="R52" i="22"/>
  <c r="R53" i="22"/>
  <c r="R54" i="22"/>
  <c r="R55" i="22"/>
  <c r="R56" i="22"/>
  <c r="R57" i="22"/>
  <c r="R58" i="22"/>
  <c r="R59" i="22"/>
  <c r="J170" i="22" s="1"/>
  <c r="R60" i="22"/>
  <c r="R61" i="22"/>
  <c r="R62" i="22"/>
  <c r="R63" i="22"/>
  <c r="R64" i="22"/>
  <c r="R65" i="22"/>
  <c r="R66" i="22"/>
  <c r="R67" i="22"/>
  <c r="H174" i="22" s="1"/>
  <c r="R68" i="22"/>
  <c r="R69" i="22"/>
  <c r="R70" i="22"/>
  <c r="R71" i="22"/>
  <c r="R72" i="22"/>
  <c r="R73" i="22"/>
  <c r="R74" i="22"/>
  <c r="R75" i="22"/>
  <c r="J178" i="22" s="1"/>
  <c r="R76" i="22"/>
  <c r="R77" i="22"/>
  <c r="R78" i="22"/>
  <c r="R79" i="22"/>
  <c r="R80" i="22"/>
  <c r="R81" i="22"/>
  <c r="R82" i="22"/>
  <c r="R83" i="22"/>
  <c r="L182" i="22" s="1"/>
  <c r="R84" i="22"/>
  <c r="R85" i="22"/>
  <c r="R86" i="22"/>
  <c r="R87" i="22"/>
  <c r="R88" i="22"/>
  <c r="R89" i="22"/>
  <c r="R90" i="22"/>
  <c r="R91" i="22"/>
  <c r="R92" i="22"/>
  <c r="R93" i="22"/>
  <c r="R94" i="22"/>
  <c r="R95" i="22"/>
  <c r="R96" i="22"/>
  <c r="R97" i="22"/>
  <c r="R98" i="22"/>
  <c r="R99" i="22"/>
  <c r="R100" i="22"/>
  <c r="R101" i="22"/>
  <c r="R102" i="22"/>
  <c r="R103" i="22"/>
  <c r="R104" i="22"/>
  <c r="R105" i="22"/>
  <c r="R106" i="22"/>
  <c r="R107" i="22"/>
  <c r="R108" i="22"/>
  <c r="R109" i="22"/>
  <c r="R110" i="22"/>
  <c r="R112" i="22"/>
  <c r="R113" i="22"/>
  <c r="R114" i="22"/>
  <c r="R115" i="22"/>
  <c r="R116" i="22"/>
  <c r="R117" i="22"/>
  <c r="R118" i="22"/>
  <c r="R119" i="22"/>
  <c r="R120" i="22"/>
  <c r="R121" i="22"/>
  <c r="R122" i="22"/>
  <c r="R123" i="22"/>
  <c r="R124" i="22"/>
  <c r="R9" i="22"/>
  <c r="M44" i="22"/>
  <c r="L44" i="22"/>
  <c r="K44" i="22"/>
  <c r="K101" i="5"/>
  <c r="L101" i="5"/>
  <c r="M101" i="5"/>
  <c r="K102" i="5"/>
  <c r="L102" i="5"/>
  <c r="M102" i="5"/>
  <c r="T192" i="9"/>
  <c r="U192" i="9"/>
  <c r="S192" i="9"/>
  <c r="M95" i="9"/>
  <c r="L95" i="9"/>
  <c r="K95" i="9"/>
  <c r="E122" i="10"/>
  <c r="S208" i="10" s="1"/>
  <c r="R58" i="10"/>
  <c r="R78" i="11"/>
  <c r="R97" i="19"/>
  <c r="K97" i="19"/>
  <c r="L97" i="19"/>
  <c r="M97" i="19"/>
  <c r="E97" i="19"/>
  <c r="T160" i="10"/>
  <c r="U160" i="10"/>
  <c r="T164" i="10"/>
  <c r="U164" i="10"/>
  <c r="T166" i="10"/>
  <c r="U166" i="10"/>
  <c r="T170" i="10"/>
  <c r="U170" i="10"/>
  <c r="T172" i="10"/>
  <c r="U172" i="10"/>
  <c r="T174" i="10"/>
  <c r="U174" i="10"/>
  <c r="T176" i="10"/>
  <c r="U176" i="10"/>
  <c r="T183" i="10"/>
  <c r="U183" i="10"/>
  <c r="T184" i="10"/>
  <c r="U184" i="10"/>
  <c r="S184" i="10"/>
  <c r="S183" i="10"/>
  <c r="S176" i="10"/>
  <c r="S174" i="10"/>
  <c r="S172" i="10"/>
  <c r="S170" i="10"/>
  <c r="S166" i="10"/>
  <c r="S164" i="10"/>
  <c r="S160" i="10"/>
  <c r="R29" i="13"/>
  <c r="M29" i="13"/>
  <c r="L29" i="13"/>
  <c r="K29" i="13"/>
  <c r="T154" i="13"/>
  <c r="U154" i="13"/>
  <c r="T155" i="13"/>
  <c r="U155" i="13"/>
  <c r="T156" i="13"/>
  <c r="U156" i="13"/>
  <c r="T157" i="13"/>
  <c r="U157" i="13"/>
  <c r="T158" i="13"/>
  <c r="U158" i="13"/>
  <c r="T159" i="13"/>
  <c r="U159" i="13"/>
  <c r="T160" i="13"/>
  <c r="U160" i="13"/>
  <c r="S160" i="13"/>
  <c r="S159" i="13"/>
  <c r="S158" i="13"/>
  <c r="S157" i="13"/>
  <c r="S156" i="13"/>
  <c r="S155" i="13"/>
  <c r="R28" i="13"/>
  <c r="K28" i="13"/>
  <c r="L28" i="13"/>
  <c r="M28" i="13"/>
  <c r="R11" i="13"/>
  <c r="R12" i="13"/>
  <c r="R13" i="13"/>
  <c r="R14" i="13"/>
  <c r="R15" i="13"/>
  <c r="R16" i="13"/>
  <c r="R17" i="13"/>
  <c r="R18" i="13"/>
  <c r="R19" i="13"/>
  <c r="R20" i="13"/>
  <c r="R21" i="13"/>
  <c r="L158" i="13" s="1"/>
  <c r="R22" i="13"/>
  <c r="R23" i="13"/>
  <c r="R24" i="13"/>
  <c r="R25" i="13"/>
  <c r="R26" i="13"/>
  <c r="L160" i="13" s="1"/>
  <c r="R27" i="13"/>
  <c r="R9" i="13"/>
  <c r="R10" i="13"/>
  <c r="R8" i="13"/>
  <c r="K11" i="13"/>
  <c r="L11" i="13"/>
  <c r="M11" i="13"/>
  <c r="K12" i="13"/>
  <c r="L12" i="13"/>
  <c r="M12" i="13"/>
  <c r="K13" i="13"/>
  <c r="L13" i="13"/>
  <c r="M13" i="13"/>
  <c r="K14" i="13"/>
  <c r="L14" i="13"/>
  <c r="M14" i="13"/>
  <c r="K15" i="13"/>
  <c r="L15" i="13"/>
  <c r="M15" i="13"/>
  <c r="K16" i="13"/>
  <c r="L16" i="13"/>
  <c r="M16" i="13"/>
  <c r="K17" i="13"/>
  <c r="L17" i="13"/>
  <c r="M17" i="13"/>
  <c r="K18" i="13"/>
  <c r="L18" i="13"/>
  <c r="M18" i="13"/>
  <c r="K19" i="13"/>
  <c r="L19" i="13"/>
  <c r="M19" i="13"/>
  <c r="K20" i="13"/>
  <c r="L20" i="13"/>
  <c r="M20" i="13"/>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69" i="13"/>
  <c r="R44" i="13"/>
  <c r="R114" i="10"/>
  <c r="R112" i="10"/>
  <c r="K114" i="10"/>
  <c r="L114" i="10"/>
  <c r="M114" i="10"/>
  <c r="K112" i="10"/>
  <c r="L112" i="10"/>
  <c r="M112" i="10"/>
  <c r="E115" i="10"/>
  <c r="U205" i="10" s="1"/>
  <c r="E99" i="18"/>
  <c r="S183" i="18" s="1"/>
  <c r="E83" i="18"/>
  <c r="K44" i="13"/>
  <c r="L44" i="13"/>
  <c r="M44" i="13"/>
  <c r="K45" i="13"/>
  <c r="L45" i="13"/>
  <c r="M45" i="13"/>
  <c r="K46" i="13"/>
  <c r="L46" i="13"/>
  <c r="M46" i="13"/>
  <c r="K47" i="13"/>
  <c r="L47" i="13"/>
  <c r="M47" i="13"/>
  <c r="K48" i="13"/>
  <c r="L48" i="13"/>
  <c r="M48" i="13"/>
  <c r="K49" i="13"/>
  <c r="L49" i="13"/>
  <c r="M49" i="13"/>
  <c r="K50" i="13"/>
  <c r="L50" i="13"/>
  <c r="M50" i="13"/>
  <c r="K51" i="13"/>
  <c r="L51" i="13"/>
  <c r="M51" i="13"/>
  <c r="K52" i="13"/>
  <c r="L52" i="13"/>
  <c r="M52" i="13"/>
  <c r="K53" i="13"/>
  <c r="L53" i="13"/>
  <c r="M53" i="13"/>
  <c r="K54" i="13"/>
  <c r="L54" i="13"/>
  <c r="M54" i="13"/>
  <c r="K55" i="13"/>
  <c r="L55" i="13"/>
  <c r="M55" i="13"/>
  <c r="K56" i="13"/>
  <c r="L56" i="13"/>
  <c r="M56" i="13"/>
  <c r="K57" i="13"/>
  <c r="L57" i="13"/>
  <c r="M57" i="13"/>
  <c r="K58" i="13"/>
  <c r="L58" i="13"/>
  <c r="M58" i="13"/>
  <c r="K59" i="13"/>
  <c r="L59" i="13"/>
  <c r="M59" i="13"/>
  <c r="K60" i="13"/>
  <c r="L60" i="13"/>
  <c r="M60" i="13"/>
  <c r="K61" i="13"/>
  <c r="L61" i="13"/>
  <c r="M61" i="13"/>
  <c r="K62" i="13"/>
  <c r="L62" i="13"/>
  <c r="M62" i="13"/>
  <c r="M124" i="13"/>
  <c r="M125" i="13"/>
  <c r="K124" i="13"/>
  <c r="L124" i="13"/>
  <c r="K125" i="13"/>
  <c r="L125" i="13"/>
  <c r="T169" i="13"/>
  <c r="U169" i="13"/>
  <c r="T170" i="13"/>
  <c r="U170" i="13"/>
  <c r="T171" i="13"/>
  <c r="U171" i="13"/>
  <c r="T172" i="13"/>
  <c r="U172" i="13"/>
  <c r="T173" i="13"/>
  <c r="U173" i="13"/>
  <c r="T174" i="13"/>
  <c r="U174" i="13"/>
  <c r="T175" i="13"/>
  <c r="U175" i="13"/>
  <c r="T176" i="13"/>
  <c r="U176" i="13"/>
  <c r="T177" i="13"/>
  <c r="U177" i="13"/>
  <c r="T178" i="13"/>
  <c r="U178" i="13"/>
  <c r="T179" i="13"/>
  <c r="U179" i="13"/>
  <c r="T180" i="13"/>
  <c r="U180" i="13"/>
  <c r="T181" i="13"/>
  <c r="U181" i="13"/>
  <c r="T182" i="13"/>
  <c r="U182" i="13"/>
  <c r="T183" i="13"/>
  <c r="U183" i="13"/>
  <c r="T184" i="13"/>
  <c r="U184" i="13"/>
  <c r="T186" i="13"/>
  <c r="U186" i="13"/>
  <c r="T190" i="13"/>
  <c r="U190" i="13"/>
  <c r="T194" i="13"/>
  <c r="U194" i="13"/>
  <c r="T198" i="13"/>
  <c r="U198" i="13"/>
  <c r="T199" i="13"/>
  <c r="U199" i="13"/>
  <c r="T200" i="13"/>
  <c r="U200" i="13"/>
  <c r="T202" i="13"/>
  <c r="U202" i="13"/>
  <c r="T203" i="13"/>
  <c r="U203" i="13"/>
  <c r="T205" i="13"/>
  <c r="U205" i="13"/>
  <c r="T206" i="13"/>
  <c r="U206" i="13"/>
  <c r="S205" i="13"/>
  <c r="S203" i="13"/>
  <c r="S202" i="13"/>
  <c r="S200" i="13"/>
  <c r="S199" i="13"/>
  <c r="S198" i="13"/>
  <c r="S194" i="13"/>
  <c r="S190" i="13"/>
  <c r="S186" i="13"/>
  <c r="S184" i="13"/>
  <c r="S183" i="13"/>
  <c r="S182" i="13"/>
  <c r="S181" i="13"/>
  <c r="S180" i="13"/>
  <c r="S179" i="13"/>
  <c r="S178" i="13"/>
  <c r="S177" i="13"/>
  <c r="S176" i="13"/>
  <c r="S175" i="13"/>
  <c r="S174" i="13"/>
  <c r="S173" i="13"/>
  <c r="S172" i="13"/>
  <c r="S171" i="13"/>
  <c r="S170" i="13"/>
  <c r="T140" i="14"/>
  <c r="U140" i="14"/>
  <c r="W140" i="14" s="1"/>
  <c r="T141" i="14"/>
  <c r="U141" i="14"/>
  <c r="T142" i="14"/>
  <c r="U142" i="14"/>
  <c r="T143" i="14"/>
  <c r="U143" i="14"/>
  <c r="T144" i="14"/>
  <c r="U144" i="14"/>
  <c r="T145" i="14"/>
  <c r="U145" i="14"/>
  <c r="T146" i="14"/>
  <c r="U146" i="14"/>
  <c r="T147" i="14"/>
  <c r="U147" i="14"/>
  <c r="T148" i="14"/>
  <c r="U148" i="14"/>
  <c r="T149" i="14"/>
  <c r="U149" i="14"/>
  <c r="T150" i="14"/>
  <c r="U150" i="14"/>
  <c r="T151" i="14"/>
  <c r="U151" i="14"/>
  <c r="T152" i="14"/>
  <c r="U152" i="14"/>
  <c r="T153" i="14"/>
  <c r="U153" i="14"/>
  <c r="T154" i="14"/>
  <c r="U154" i="14"/>
  <c r="T155" i="14"/>
  <c r="U155" i="14"/>
  <c r="T156" i="14"/>
  <c r="U156" i="14"/>
  <c r="T157" i="14"/>
  <c r="U157" i="14"/>
  <c r="T158" i="14"/>
  <c r="U158" i="14"/>
  <c r="T159" i="14"/>
  <c r="U159" i="14"/>
  <c r="T160" i="14"/>
  <c r="U160" i="14"/>
  <c r="T161" i="14"/>
  <c r="U161" i="14"/>
  <c r="T162" i="14"/>
  <c r="U162" i="14"/>
  <c r="T163" i="14"/>
  <c r="U163" i="14"/>
  <c r="T164" i="14"/>
  <c r="U164" i="14"/>
  <c r="T165" i="14"/>
  <c r="U165" i="14"/>
  <c r="T166" i="14"/>
  <c r="U166" i="14"/>
  <c r="T167" i="14"/>
  <c r="U167" i="14"/>
  <c r="T168" i="14"/>
  <c r="U168" i="14"/>
  <c r="T172" i="14"/>
  <c r="U172" i="14"/>
  <c r="T176" i="14"/>
  <c r="U176" i="14"/>
  <c r="T180" i="14"/>
  <c r="U180" i="14"/>
  <c r="T184" i="14"/>
  <c r="U184" i="14"/>
  <c r="T185" i="14"/>
  <c r="U185" i="14"/>
  <c r="T186" i="14"/>
  <c r="U186" i="14"/>
  <c r="T187" i="14"/>
  <c r="U187" i="14"/>
  <c r="T188" i="14"/>
  <c r="U188" i="14"/>
  <c r="T189" i="14"/>
  <c r="U189" i="14"/>
  <c r="T190" i="14"/>
  <c r="U190" i="14"/>
  <c r="T191" i="14"/>
  <c r="U191" i="14"/>
  <c r="T192" i="14"/>
  <c r="U192" i="14"/>
  <c r="S192" i="14"/>
  <c r="S191" i="14"/>
  <c r="S190" i="14"/>
  <c r="S189" i="14"/>
  <c r="S188" i="14"/>
  <c r="S187" i="14"/>
  <c r="S186" i="14"/>
  <c r="S185" i="14"/>
  <c r="S184" i="14"/>
  <c r="S180" i="14"/>
  <c r="S176" i="14"/>
  <c r="S172" i="14"/>
  <c r="S168" i="14"/>
  <c r="S167" i="14"/>
  <c r="S166" i="14"/>
  <c r="S165" i="14"/>
  <c r="S164" i="14"/>
  <c r="S163" i="14"/>
  <c r="S162" i="14"/>
  <c r="S161" i="14"/>
  <c r="S160" i="14"/>
  <c r="S159" i="14"/>
  <c r="S158" i="14"/>
  <c r="S157" i="14"/>
  <c r="S156" i="14"/>
  <c r="S155" i="14"/>
  <c r="S154" i="14"/>
  <c r="S153" i="14"/>
  <c r="S152" i="14"/>
  <c r="W152" i="14" s="1"/>
  <c r="S151" i="14"/>
  <c r="S150" i="14"/>
  <c r="S149" i="14"/>
  <c r="S148" i="14"/>
  <c r="S147" i="14"/>
  <c r="S146" i="14"/>
  <c r="S145" i="14"/>
  <c r="S144" i="14"/>
  <c r="S143" i="14"/>
  <c r="S142" i="14"/>
  <c r="S141" i="14"/>
  <c r="T152" i="15"/>
  <c r="U152" i="15"/>
  <c r="T153" i="15"/>
  <c r="U153" i="15"/>
  <c r="T154" i="15"/>
  <c r="U154" i="15"/>
  <c r="T155" i="15"/>
  <c r="U155" i="15"/>
  <c r="T156" i="15"/>
  <c r="U156" i="15"/>
  <c r="T157" i="15"/>
  <c r="U157" i="15"/>
  <c r="T158" i="15"/>
  <c r="U158" i="15"/>
  <c r="T159" i="15"/>
  <c r="U159" i="15"/>
  <c r="T160" i="15"/>
  <c r="U160" i="15"/>
  <c r="T161" i="15"/>
  <c r="U161" i="15"/>
  <c r="T162" i="15"/>
  <c r="U162" i="15"/>
  <c r="T163" i="15"/>
  <c r="U163" i="15"/>
  <c r="T164" i="15"/>
  <c r="U164" i="15"/>
  <c r="T165" i="15"/>
  <c r="U165" i="15"/>
  <c r="T166" i="15"/>
  <c r="U166" i="15"/>
  <c r="T167" i="15"/>
  <c r="U167" i="15"/>
  <c r="T168" i="15"/>
  <c r="U168" i="15"/>
  <c r="T169" i="15"/>
  <c r="U169" i="15"/>
  <c r="T170" i="15"/>
  <c r="U170" i="15"/>
  <c r="T171" i="15"/>
  <c r="U171" i="15"/>
  <c r="T172" i="15"/>
  <c r="U172" i="15"/>
  <c r="T173" i="15"/>
  <c r="U173" i="15"/>
  <c r="T174" i="15"/>
  <c r="U174" i="15"/>
  <c r="T175" i="15"/>
  <c r="U175" i="15"/>
  <c r="T176" i="15"/>
  <c r="U176" i="15"/>
  <c r="T177" i="15"/>
  <c r="U177" i="15"/>
  <c r="T178" i="15"/>
  <c r="U178" i="15"/>
  <c r="T179" i="15"/>
  <c r="U179" i="15"/>
  <c r="T180" i="15"/>
  <c r="U180" i="15"/>
  <c r="T184" i="15"/>
  <c r="U184" i="15"/>
  <c r="T187" i="15"/>
  <c r="U187" i="15"/>
  <c r="T188" i="15"/>
  <c r="U188" i="15"/>
  <c r="T192" i="15"/>
  <c r="U192" i="15"/>
  <c r="T194" i="15"/>
  <c r="U194" i="15"/>
  <c r="T196" i="15"/>
  <c r="U196" i="15"/>
  <c r="T198" i="15"/>
  <c r="U198" i="15"/>
  <c r="T199" i="15"/>
  <c r="U199" i="15"/>
  <c r="T200" i="15"/>
  <c r="U200" i="15"/>
  <c r="T201" i="15"/>
  <c r="U201" i="15"/>
  <c r="T203" i="15"/>
  <c r="U203" i="15"/>
  <c r="T204" i="15"/>
  <c r="U204" i="15"/>
  <c r="S204" i="15"/>
  <c r="S203" i="15"/>
  <c r="S201" i="15"/>
  <c r="S200" i="15"/>
  <c r="S199" i="15"/>
  <c r="S198" i="15"/>
  <c r="S196" i="15"/>
  <c r="S194" i="15"/>
  <c r="S192" i="15"/>
  <c r="S188" i="15"/>
  <c r="S187" i="15"/>
  <c r="S184" i="15"/>
  <c r="S180" i="15"/>
  <c r="S179" i="15"/>
  <c r="S178" i="15"/>
  <c r="S177" i="15"/>
  <c r="S176" i="15"/>
  <c r="S175" i="15"/>
  <c r="S174" i="15"/>
  <c r="S173" i="15"/>
  <c r="S172" i="15"/>
  <c r="S171" i="15"/>
  <c r="S170" i="15"/>
  <c r="S169" i="15"/>
  <c r="S168" i="15"/>
  <c r="S167" i="15"/>
  <c r="S166" i="15"/>
  <c r="S165" i="15"/>
  <c r="S164" i="15"/>
  <c r="S163" i="15"/>
  <c r="S162" i="15"/>
  <c r="S161" i="15"/>
  <c r="S160" i="15"/>
  <c r="S159" i="15"/>
  <c r="S158" i="15"/>
  <c r="S157" i="15"/>
  <c r="S156" i="15"/>
  <c r="S155" i="15"/>
  <c r="S154" i="15"/>
  <c r="S153" i="15"/>
  <c r="R111" i="15"/>
  <c r="M111" i="15"/>
  <c r="L111" i="15"/>
  <c r="K111" i="15"/>
  <c r="R85" i="15"/>
  <c r="M85" i="15"/>
  <c r="L85" i="15"/>
  <c r="K85" i="15"/>
  <c r="R123" i="15"/>
  <c r="M123" i="15"/>
  <c r="L123" i="15"/>
  <c r="R100" i="15"/>
  <c r="M100" i="15"/>
  <c r="L100" i="15"/>
  <c r="K100" i="15"/>
  <c r="N74" i="15"/>
  <c r="M104" i="24"/>
  <c r="R82" i="18"/>
  <c r="K82" i="18"/>
  <c r="L82" i="18"/>
  <c r="M82" i="18"/>
  <c r="T149" i="8"/>
  <c r="U149" i="8"/>
  <c r="T150" i="8"/>
  <c r="U150" i="8"/>
  <c r="T151" i="8"/>
  <c r="U151" i="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67" i="8"/>
  <c r="U167" i="8"/>
  <c r="T168" i="8"/>
  <c r="U168" i="8"/>
  <c r="T169" i="8"/>
  <c r="U169" i="8"/>
  <c r="T170" i="8"/>
  <c r="U170" i="8"/>
  <c r="T171" i="8"/>
  <c r="U171" i="8"/>
  <c r="T172" i="8"/>
  <c r="U172" i="8"/>
  <c r="T173" i="8"/>
  <c r="U173" i="8"/>
  <c r="T174" i="8"/>
  <c r="U174" i="8"/>
  <c r="T175" i="8"/>
  <c r="U175" i="8"/>
  <c r="T176" i="8"/>
  <c r="U176" i="8"/>
  <c r="T177" i="8"/>
  <c r="U177" i="8"/>
  <c r="T181" i="8"/>
  <c r="U181" i="8"/>
  <c r="T185" i="8"/>
  <c r="U185" i="8"/>
  <c r="T189" i="8"/>
  <c r="U189" i="8"/>
  <c r="T191" i="8"/>
  <c r="U191" i="8"/>
  <c r="T192" i="8"/>
  <c r="U192" i="8"/>
  <c r="T193" i="8"/>
  <c r="U193" i="8"/>
  <c r="T195" i="8"/>
  <c r="U195" i="8"/>
  <c r="T197" i="8"/>
  <c r="U197" i="8"/>
  <c r="T198" i="8"/>
  <c r="U198" i="8"/>
  <c r="T200" i="8"/>
  <c r="U200" i="8"/>
  <c r="T201" i="8"/>
  <c r="U201" i="8"/>
  <c r="S201" i="8"/>
  <c r="S200" i="8"/>
  <c r="S198" i="8"/>
  <c r="S197" i="8"/>
  <c r="S195" i="8"/>
  <c r="S193" i="8"/>
  <c r="S192" i="8"/>
  <c r="S191" i="8"/>
  <c r="S189" i="8"/>
  <c r="S185" i="8"/>
  <c r="S181" i="8"/>
  <c r="S177" i="8"/>
  <c r="S176" i="8"/>
  <c r="S175" i="8"/>
  <c r="S174" i="8"/>
  <c r="S173" i="8"/>
  <c r="S172" i="8"/>
  <c r="S171" i="8"/>
  <c r="S170" i="8"/>
  <c r="S169" i="8"/>
  <c r="S168" i="8"/>
  <c r="S167" i="8"/>
  <c r="S166" i="8"/>
  <c r="W166" i="8" s="1"/>
  <c r="S165" i="8"/>
  <c r="S164" i="8"/>
  <c r="S163" i="8"/>
  <c r="S162" i="8"/>
  <c r="S161" i="8"/>
  <c r="S160" i="8"/>
  <c r="S159" i="8"/>
  <c r="S158" i="8"/>
  <c r="W158" i="8" s="1"/>
  <c r="S157" i="8"/>
  <c r="S156" i="8"/>
  <c r="S155" i="8"/>
  <c r="S154" i="8"/>
  <c r="S153" i="8"/>
  <c r="S152" i="8"/>
  <c r="S151" i="8"/>
  <c r="S150" i="8"/>
  <c r="R102" i="8"/>
  <c r="M102" i="8"/>
  <c r="L102" i="8"/>
  <c r="K102" i="8"/>
  <c r="R99" i="8"/>
  <c r="M99" i="8"/>
  <c r="L99" i="8"/>
  <c r="K99" i="8"/>
  <c r="N74" i="8"/>
  <c r="U202" i="22"/>
  <c r="T202" i="22"/>
  <c r="S202" i="22"/>
  <c r="U201" i="22"/>
  <c r="T201" i="22"/>
  <c r="S201" i="22"/>
  <c r="U200" i="22"/>
  <c r="T200" i="22"/>
  <c r="S200" i="22"/>
  <c r="U198" i="22"/>
  <c r="T198" i="22"/>
  <c r="S198" i="22"/>
  <c r="U197" i="22"/>
  <c r="T197" i="22"/>
  <c r="S197" i="22"/>
  <c r="U194" i="22"/>
  <c r="T194" i="22"/>
  <c r="S194" i="22"/>
  <c r="U190" i="22"/>
  <c r="T190" i="22"/>
  <c r="S190" i="22"/>
  <c r="U186" i="22"/>
  <c r="T186" i="22"/>
  <c r="S186" i="22"/>
  <c r="U182" i="22"/>
  <c r="T182" i="22"/>
  <c r="S182" i="22"/>
  <c r="U178" i="22"/>
  <c r="T178" i="22"/>
  <c r="S178" i="22"/>
  <c r="U176" i="22"/>
  <c r="T176" i="22"/>
  <c r="S176" i="22"/>
  <c r="U174" i="22"/>
  <c r="T174" i="22"/>
  <c r="S174" i="22"/>
  <c r="U173" i="22"/>
  <c r="T173" i="22"/>
  <c r="S173" i="22"/>
  <c r="U172" i="22"/>
  <c r="T172" i="22"/>
  <c r="S172" i="22"/>
  <c r="U170" i="22"/>
  <c r="T170" i="22"/>
  <c r="S170" i="22"/>
  <c r="U168" i="22"/>
  <c r="T168" i="22"/>
  <c r="S168" i="22"/>
  <c r="U166" i="22"/>
  <c r="T166" i="22"/>
  <c r="S166" i="22"/>
  <c r="U162" i="22"/>
  <c r="T162" i="22"/>
  <c r="S162" i="22"/>
  <c r="U161" i="22"/>
  <c r="T161" i="22"/>
  <c r="S161" i="22"/>
  <c r="U160" i="22"/>
  <c r="T160" i="22"/>
  <c r="S160" i="22"/>
  <c r="U157" i="22"/>
  <c r="T157" i="22"/>
  <c r="S157" i="22"/>
  <c r="U154" i="22"/>
  <c r="T154" i="22"/>
  <c r="S154" i="22"/>
  <c r="U152" i="22"/>
  <c r="T152" i="22"/>
  <c r="S152" i="22"/>
  <c r="U150" i="22"/>
  <c r="T150" i="22"/>
  <c r="S150" i="22"/>
  <c r="M124" i="22"/>
  <c r="L124" i="22"/>
  <c r="K124" i="22"/>
  <c r="M123" i="22"/>
  <c r="L123" i="22"/>
  <c r="K123" i="22"/>
  <c r="M122" i="22"/>
  <c r="L122" i="22"/>
  <c r="K122" i="22"/>
  <c r="M121" i="22"/>
  <c r="L121" i="22"/>
  <c r="K121" i="22"/>
  <c r="M120" i="22"/>
  <c r="L120" i="22"/>
  <c r="K120" i="22"/>
  <c r="M119" i="22"/>
  <c r="L119" i="22"/>
  <c r="K119" i="22"/>
  <c r="M118" i="22"/>
  <c r="L118" i="22"/>
  <c r="K118" i="22"/>
  <c r="E118" i="22"/>
  <c r="T199" i="22" s="1"/>
  <c r="M117" i="22"/>
  <c r="L117" i="22"/>
  <c r="K117" i="22"/>
  <c r="M116" i="22"/>
  <c r="L116" i="22"/>
  <c r="K116" i="22"/>
  <c r="M115" i="22"/>
  <c r="L115" i="22"/>
  <c r="K115" i="22"/>
  <c r="M114" i="22"/>
  <c r="L114" i="22"/>
  <c r="K114" i="22"/>
  <c r="M113" i="22"/>
  <c r="L113" i="22"/>
  <c r="K113" i="22"/>
  <c r="M112" i="22"/>
  <c r="L112" i="22"/>
  <c r="K112" i="22"/>
  <c r="M110" i="22"/>
  <c r="L110" i="22"/>
  <c r="K110" i="22"/>
  <c r="M109" i="22"/>
  <c r="L109" i="22"/>
  <c r="K109" i="22"/>
  <c r="E109" i="22"/>
  <c r="T195" i="22" s="1"/>
  <c r="M108" i="22"/>
  <c r="L108" i="22"/>
  <c r="K108" i="22"/>
  <c r="M107" i="22"/>
  <c r="L107" i="22"/>
  <c r="K107" i="22"/>
  <c r="M106" i="22"/>
  <c r="L106" i="22"/>
  <c r="K106" i="22"/>
  <c r="M105" i="22"/>
  <c r="L105" i="22"/>
  <c r="K105" i="22"/>
  <c r="E105" i="22"/>
  <c r="U193" i="22" s="1"/>
  <c r="M104" i="22"/>
  <c r="L104" i="22"/>
  <c r="K104" i="22"/>
  <c r="M103" i="22"/>
  <c r="L103" i="22"/>
  <c r="K103" i="22"/>
  <c r="E103" i="22"/>
  <c r="U192" i="22" s="1"/>
  <c r="M102" i="22"/>
  <c r="L102" i="22"/>
  <c r="K102" i="22"/>
  <c r="M101" i="22"/>
  <c r="L101" i="22"/>
  <c r="K101" i="22"/>
  <c r="E101" i="22"/>
  <c r="M100" i="22"/>
  <c r="L100" i="22"/>
  <c r="K100" i="22"/>
  <c r="M99" i="22"/>
  <c r="L99" i="22"/>
  <c r="K99" i="22"/>
  <c r="M98" i="22"/>
  <c r="L98" i="22"/>
  <c r="K98" i="22"/>
  <c r="M97" i="22"/>
  <c r="L97" i="22"/>
  <c r="K97" i="22"/>
  <c r="E97" i="22"/>
  <c r="M96" i="22"/>
  <c r="L96" i="22"/>
  <c r="K96" i="22"/>
  <c r="M95" i="22"/>
  <c r="L95" i="22"/>
  <c r="K95" i="22"/>
  <c r="T188" i="22"/>
  <c r="M94" i="22"/>
  <c r="D188" i="22" s="1"/>
  <c r="L94" i="22"/>
  <c r="K94" i="22"/>
  <c r="M93" i="22"/>
  <c r="L93" i="22"/>
  <c r="K93" i="22"/>
  <c r="M92" i="22"/>
  <c r="L92" i="22"/>
  <c r="K92" i="22"/>
  <c r="M91" i="22"/>
  <c r="L91" i="22"/>
  <c r="K91" i="22"/>
  <c r="M90" i="22"/>
  <c r="L90" i="22"/>
  <c r="K90" i="22"/>
  <c r="M89" i="22"/>
  <c r="L89" i="22"/>
  <c r="K89" i="22"/>
  <c r="E89" i="22"/>
  <c r="M88" i="22"/>
  <c r="L88" i="22"/>
  <c r="K88" i="22"/>
  <c r="M87" i="22"/>
  <c r="L87" i="22"/>
  <c r="K87" i="22"/>
  <c r="E87" i="22"/>
  <c r="T184" i="22" s="1"/>
  <c r="M86" i="22"/>
  <c r="L86" i="22"/>
  <c r="K86" i="22"/>
  <c r="M85" i="22"/>
  <c r="L85" i="22"/>
  <c r="K85" i="22"/>
  <c r="E85" i="22"/>
  <c r="M84" i="22"/>
  <c r="L84" i="22"/>
  <c r="K84" i="22"/>
  <c r="M83" i="22"/>
  <c r="L83" i="22"/>
  <c r="K83" i="22"/>
  <c r="M82" i="22"/>
  <c r="L82" i="22"/>
  <c r="K82" i="22"/>
  <c r="M81" i="22"/>
  <c r="L81" i="22"/>
  <c r="K81" i="22"/>
  <c r="E81" i="22"/>
  <c r="T181" i="22" s="1"/>
  <c r="M80" i="22"/>
  <c r="L80" i="22"/>
  <c r="K80" i="22"/>
  <c r="M79" i="22"/>
  <c r="L79" i="22"/>
  <c r="K79" i="22"/>
  <c r="E79" i="22"/>
  <c r="M78" i="22"/>
  <c r="D180" i="22" s="1"/>
  <c r="L78" i="22"/>
  <c r="K78" i="22"/>
  <c r="M77" i="22"/>
  <c r="L77" i="22"/>
  <c r="K77" i="22"/>
  <c r="E77" i="22"/>
  <c r="U179" i="22" s="1"/>
  <c r="M76" i="22"/>
  <c r="L76" i="22"/>
  <c r="K76" i="22"/>
  <c r="M75" i="22"/>
  <c r="L75" i="22"/>
  <c r="K75" i="22"/>
  <c r="B178" i="22" s="1"/>
  <c r="M74" i="22"/>
  <c r="L74" i="22"/>
  <c r="K74" i="22"/>
  <c r="M73" i="22"/>
  <c r="L73" i="22"/>
  <c r="K73" i="22"/>
  <c r="E73" i="22"/>
  <c r="M72" i="22"/>
  <c r="L72" i="22"/>
  <c r="K72" i="22"/>
  <c r="M71" i="22"/>
  <c r="L71" i="22"/>
  <c r="K71" i="22"/>
  <c r="M70" i="22"/>
  <c r="L70" i="22"/>
  <c r="K70" i="22"/>
  <c r="M69" i="22"/>
  <c r="L69" i="22"/>
  <c r="K69" i="22"/>
  <c r="E69" i="22"/>
  <c r="S175" i="22" s="1"/>
  <c r="M68" i="22"/>
  <c r="L68" i="22"/>
  <c r="K68" i="22"/>
  <c r="M67" i="22"/>
  <c r="L67" i="22"/>
  <c r="K67" i="22"/>
  <c r="M66" i="22"/>
  <c r="L66" i="22"/>
  <c r="K66" i="22"/>
  <c r="M65" i="22"/>
  <c r="L65" i="22"/>
  <c r="K65" i="22"/>
  <c r="M64" i="22"/>
  <c r="L64" i="22"/>
  <c r="K64" i="22"/>
  <c r="M63" i="22"/>
  <c r="L63" i="22"/>
  <c r="K63" i="22"/>
  <c r="M62" i="22"/>
  <c r="L62" i="22"/>
  <c r="K62" i="22"/>
  <c r="M61" i="22"/>
  <c r="L61" i="22"/>
  <c r="K61" i="22"/>
  <c r="E61" i="22"/>
  <c r="T171" i="22" s="1"/>
  <c r="M60" i="22"/>
  <c r="L60" i="22"/>
  <c r="K60" i="22"/>
  <c r="M59" i="22"/>
  <c r="L59" i="22"/>
  <c r="K59" i="22"/>
  <c r="M58" i="22"/>
  <c r="L58" i="22"/>
  <c r="K58" i="22"/>
  <c r="M57" i="22"/>
  <c r="L57" i="22"/>
  <c r="K57" i="22"/>
  <c r="E57" i="22"/>
  <c r="T169" i="22" s="1"/>
  <c r="M56" i="22"/>
  <c r="L56" i="22"/>
  <c r="K56" i="22"/>
  <c r="M55" i="22"/>
  <c r="L55" i="22"/>
  <c r="K55" i="22"/>
  <c r="M54" i="22"/>
  <c r="L54" i="22"/>
  <c r="K54" i="22"/>
  <c r="M53" i="22"/>
  <c r="L53" i="22"/>
  <c r="K53" i="22"/>
  <c r="M52" i="22"/>
  <c r="L52" i="22"/>
  <c r="K52" i="22"/>
  <c r="E52" i="22"/>
  <c r="M51" i="22"/>
  <c r="L51" i="22"/>
  <c r="K51" i="22"/>
  <c r="M50" i="22"/>
  <c r="L50" i="22"/>
  <c r="K50" i="22"/>
  <c r="M49" i="22"/>
  <c r="L49" i="22"/>
  <c r="K49" i="22"/>
  <c r="M48" i="22"/>
  <c r="L48" i="22"/>
  <c r="K48" i="22"/>
  <c r="E48" i="22"/>
  <c r="M47" i="22"/>
  <c r="L47" i="22"/>
  <c r="K47" i="22"/>
  <c r="M46" i="22"/>
  <c r="L46" i="22"/>
  <c r="K46" i="22"/>
  <c r="M45" i="22"/>
  <c r="L45" i="22"/>
  <c r="K45" i="22"/>
  <c r="M43" i="22"/>
  <c r="L43" i="22"/>
  <c r="K43" i="22"/>
  <c r="M42" i="22"/>
  <c r="L42" i="22"/>
  <c r="K42" i="22"/>
  <c r="E42" i="22"/>
  <c r="T163" i="22" s="1"/>
  <c r="M41" i="22"/>
  <c r="L41" i="22"/>
  <c r="K41" i="22"/>
  <c r="M40" i="22"/>
  <c r="L40" i="22"/>
  <c r="K40" i="22"/>
  <c r="M39" i="22"/>
  <c r="L39" i="22"/>
  <c r="K39" i="22"/>
  <c r="M38" i="22"/>
  <c r="L38" i="22"/>
  <c r="K38" i="22"/>
  <c r="M37" i="22"/>
  <c r="L37" i="22"/>
  <c r="K37" i="22"/>
  <c r="M36" i="22"/>
  <c r="L36" i="22"/>
  <c r="K36" i="22"/>
  <c r="M35" i="22"/>
  <c r="L35" i="22"/>
  <c r="K35" i="22"/>
  <c r="M34" i="22"/>
  <c r="L34" i="22"/>
  <c r="K34" i="22"/>
  <c r="M33" i="22"/>
  <c r="L33" i="22"/>
  <c r="K33" i="22"/>
  <c r="E33" i="22"/>
  <c r="M32" i="22"/>
  <c r="L32" i="22"/>
  <c r="K32" i="22"/>
  <c r="M31" i="22"/>
  <c r="L31" i="22"/>
  <c r="K31" i="22"/>
  <c r="M29" i="22"/>
  <c r="L29" i="22"/>
  <c r="K29" i="22"/>
  <c r="M28" i="22"/>
  <c r="L28" i="22"/>
  <c r="K28" i="22"/>
  <c r="M27" i="22"/>
  <c r="L27" i="22"/>
  <c r="K27" i="22"/>
  <c r="M26" i="22"/>
  <c r="L26" i="22"/>
  <c r="K26" i="22"/>
  <c r="M25" i="22"/>
  <c r="L25" i="22"/>
  <c r="K25" i="22"/>
  <c r="M23" i="22"/>
  <c r="L23" i="22"/>
  <c r="K23" i="22"/>
  <c r="M22" i="22"/>
  <c r="L22" i="22"/>
  <c r="K22" i="22"/>
  <c r="E22" i="22"/>
  <c r="M21" i="22"/>
  <c r="L21" i="22"/>
  <c r="K21" i="22"/>
  <c r="M20" i="22"/>
  <c r="L20" i="22"/>
  <c r="K20" i="22"/>
  <c r="M19" i="22"/>
  <c r="L19" i="22"/>
  <c r="K19" i="22"/>
  <c r="M18" i="22"/>
  <c r="L18" i="22"/>
  <c r="K18" i="22"/>
  <c r="M17" i="22"/>
  <c r="L17" i="22"/>
  <c r="K17" i="22"/>
  <c r="M16" i="22"/>
  <c r="L16" i="22"/>
  <c r="K16" i="22"/>
  <c r="E16" i="22"/>
  <c r="M15" i="22"/>
  <c r="L15" i="22"/>
  <c r="K15" i="22"/>
  <c r="M14" i="22"/>
  <c r="L14" i="22"/>
  <c r="K14" i="22"/>
  <c r="M13" i="22"/>
  <c r="L13" i="22"/>
  <c r="K13" i="22"/>
  <c r="M12" i="22"/>
  <c r="D152" i="22" s="1"/>
  <c r="L12" i="22"/>
  <c r="K12" i="22"/>
  <c r="M11" i="22"/>
  <c r="L11" i="22"/>
  <c r="K11" i="22"/>
  <c r="E11" i="22"/>
  <c r="M10" i="22"/>
  <c r="L10" i="22"/>
  <c r="K10" i="22"/>
  <c r="M9" i="22"/>
  <c r="L9" i="22"/>
  <c r="K9" i="22"/>
  <c r="M8" i="22"/>
  <c r="L8" i="22"/>
  <c r="K8" i="22"/>
  <c r="U190" i="23"/>
  <c r="T190" i="23"/>
  <c r="S190" i="23"/>
  <c r="U189" i="23"/>
  <c r="T189" i="23"/>
  <c r="S189" i="23"/>
  <c r="U187" i="23"/>
  <c r="T187" i="23"/>
  <c r="S187" i="23"/>
  <c r="U186" i="23"/>
  <c r="T186" i="23"/>
  <c r="S186" i="23"/>
  <c r="U184" i="23"/>
  <c r="T184" i="23"/>
  <c r="S184" i="23"/>
  <c r="U166" i="23"/>
  <c r="T166" i="23"/>
  <c r="S166" i="23"/>
  <c r="U164" i="23"/>
  <c r="T164" i="23"/>
  <c r="S164" i="23"/>
  <c r="U163" i="23"/>
  <c r="T163" i="23"/>
  <c r="S163" i="23"/>
  <c r="U162" i="23"/>
  <c r="T162" i="23"/>
  <c r="S162" i="23"/>
  <c r="U160" i="23"/>
  <c r="T160" i="23"/>
  <c r="S160" i="23"/>
  <c r="U159" i="23"/>
  <c r="T159" i="23"/>
  <c r="S159" i="23"/>
  <c r="U158" i="23"/>
  <c r="T158" i="23"/>
  <c r="S158" i="23"/>
  <c r="U156" i="23"/>
  <c r="T156" i="23"/>
  <c r="S156" i="23"/>
  <c r="U155" i="23"/>
  <c r="T155" i="23"/>
  <c r="S155" i="23"/>
  <c r="U153" i="23"/>
  <c r="T153" i="23"/>
  <c r="S153" i="23"/>
  <c r="U151" i="23"/>
  <c r="T151" i="23"/>
  <c r="S151" i="23"/>
  <c r="U150" i="23"/>
  <c r="T150" i="23"/>
  <c r="S150" i="23"/>
  <c r="U149" i="23"/>
  <c r="T149" i="23"/>
  <c r="S149" i="23"/>
  <c r="U147" i="23"/>
  <c r="T147" i="23"/>
  <c r="S147" i="23"/>
  <c r="U146" i="23"/>
  <c r="T146" i="23"/>
  <c r="S146" i="23"/>
  <c r="U145" i="23"/>
  <c r="T145" i="23"/>
  <c r="S145" i="23"/>
  <c r="U143" i="23"/>
  <c r="T143" i="23"/>
  <c r="S143" i="23"/>
  <c r="W143" i="23" s="1"/>
  <c r="U140" i="23"/>
  <c r="T140" i="23"/>
  <c r="S140" i="23"/>
  <c r="U139" i="23"/>
  <c r="T139" i="23"/>
  <c r="S139" i="23"/>
  <c r="U138" i="23"/>
  <c r="T138" i="23"/>
  <c r="L190" i="23"/>
  <c r="M114" i="23"/>
  <c r="L114" i="23"/>
  <c r="K114" i="23"/>
  <c r="M113" i="23"/>
  <c r="L113" i="23"/>
  <c r="K113" i="23"/>
  <c r="L189" i="23"/>
  <c r="M112" i="23"/>
  <c r="L112" i="23"/>
  <c r="K112" i="23"/>
  <c r="M111" i="23"/>
  <c r="L111" i="23"/>
  <c r="K111" i="23"/>
  <c r="B189" i="23" s="1"/>
  <c r="M110" i="23"/>
  <c r="L110" i="23"/>
  <c r="K110" i="23"/>
  <c r="E110" i="23"/>
  <c r="M109" i="23"/>
  <c r="L109" i="23"/>
  <c r="K109" i="23"/>
  <c r="R108" i="23"/>
  <c r="M108" i="23"/>
  <c r="L108" i="23"/>
  <c r="K108" i="23"/>
  <c r="R107" i="23"/>
  <c r="M107" i="23"/>
  <c r="L107" i="23"/>
  <c r="K107" i="23"/>
  <c r="R106" i="23"/>
  <c r="M106" i="23"/>
  <c r="L106" i="23"/>
  <c r="K106" i="23"/>
  <c r="R105" i="23"/>
  <c r="M105" i="23"/>
  <c r="L105" i="23"/>
  <c r="C186" i="23" s="1"/>
  <c r="K105" i="23"/>
  <c r="B186" i="23" s="1"/>
  <c r="R104" i="23"/>
  <c r="M104" i="23"/>
  <c r="L104" i="23"/>
  <c r="K104" i="23"/>
  <c r="E104" i="23"/>
  <c r="R103" i="23"/>
  <c r="M103" i="23"/>
  <c r="L103" i="23"/>
  <c r="K103" i="23"/>
  <c r="R102" i="23"/>
  <c r="M102" i="23"/>
  <c r="L102" i="23"/>
  <c r="K102" i="23"/>
  <c r="R101" i="23"/>
  <c r="M101" i="23"/>
  <c r="D184" i="23" s="1"/>
  <c r="L101" i="23"/>
  <c r="C184" i="23" s="1"/>
  <c r="K101" i="23"/>
  <c r="B184" i="23" s="1"/>
  <c r="R100" i="23"/>
  <c r="M100" i="23"/>
  <c r="L100" i="23"/>
  <c r="K100" i="23"/>
  <c r="E100" i="23"/>
  <c r="U183" i="23" s="1"/>
  <c r="R99" i="23"/>
  <c r="M99" i="23"/>
  <c r="L99" i="23"/>
  <c r="K99" i="23"/>
  <c r="R98" i="23"/>
  <c r="M98" i="23"/>
  <c r="L98" i="23"/>
  <c r="K98" i="23"/>
  <c r="E98" i="23"/>
  <c r="R97" i="23"/>
  <c r="M97" i="23"/>
  <c r="L97" i="23"/>
  <c r="K97" i="23"/>
  <c r="R96" i="23"/>
  <c r="M96" i="23"/>
  <c r="L96" i="23"/>
  <c r="K96" i="23"/>
  <c r="E96" i="23"/>
  <c r="S181" i="23" s="1"/>
  <c r="R95" i="23"/>
  <c r="M95" i="23"/>
  <c r="L95" i="23"/>
  <c r="K95" i="23"/>
  <c r="R94" i="23"/>
  <c r="M94" i="23"/>
  <c r="L94" i="23"/>
  <c r="K94" i="23"/>
  <c r="E94" i="23"/>
  <c r="S180" i="23" s="1"/>
  <c r="R93" i="23"/>
  <c r="M93" i="23"/>
  <c r="L93" i="23"/>
  <c r="K93" i="23"/>
  <c r="R92" i="23"/>
  <c r="M92" i="23"/>
  <c r="L92" i="23"/>
  <c r="K92" i="23"/>
  <c r="E92" i="23"/>
  <c r="U179" i="23" s="1"/>
  <c r="R91" i="23"/>
  <c r="L179" i="23" s="1"/>
  <c r="M91" i="23"/>
  <c r="L91" i="23"/>
  <c r="K91" i="23"/>
  <c r="R90" i="23"/>
  <c r="M90" i="23"/>
  <c r="L90" i="23"/>
  <c r="K90" i="23"/>
  <c r="E90" i="23"/>
  <c r="T178" i="23" s="1"/>
  <c r="R89" i="23"/>
  <c r="M89" i="23"/>
  <c r="L89" i="23"/>
  <c r="K89" i="23"/>
  <c r="R88" i="23"/>
  <c r="M88" i="23"/>
  <c r="L88" i="23"/>
  <c r="K88" i="23"/>
  <c r="E88" i="23"/>
  <c r="R87" i="23"/>
  <c r="M87" i="23"/>
  <c r="L87" i="23"/>
  <c r="K87" i="23"/>
  <c r="R86" i="23"/>
  <c r="M86" i="23"/>
  <c r="L86" i="23"/>
  <c r="K86" i="23"/>
  <c r="E86" i="23"/>
  <c r="S176" i="23" s="1"/>
  <c r="R85" i="23"/>
  <c r="M85" i="23"/>
  <c r="L85" i="23"/>
  <c r="K85" i="23"/>
  <c r="R84" i="23"/>
  <c r="M84" i="23"/>
  <c r="L84" i="23"/>
  <c r="K84" i="23"/>
  <c r="E84" i="23"/>
  <c r="T175" i="23" s="1"/>
  <c r="R83" i="23"/>
  <c r="H175" i="23" s="1"/>
  <c r="M83" i="23"/>
  <c r="L83" i="23"/>
  <c r="K83" i="23"/>
  <c r="R82" i="23"/>
  <c r="M82" i="23"/>
  <c r="L82" i="23"/>
  <c r="K82" i="23"/>
  <c r="E82" i="23"/>
  <c r="R81" i="23"/>
  <c r="M81" i="23"/>
  <c r="L81" i="23"/>
  <c r="K81" i="23"/>
  <c r="R80" i="23"/>
  <c r="M80" i="23"/>
  <c r="L80" i="23"/>
  <c r="K80" i="23"/>
  <c r="E80" i="23"/>
  <c r="R79" i="23"/>
  <c r="M79" i="23"/>
  <c r="L79" i="23"/>
  <c r="K79" i="23"/>
  <c r="R78" i="23"/>
  <c r="M78" i="23"/>
  <c r="L78" i="23"/>
  <c r="K78" i="23"/>
  <c r="E78" i="23"/>
  <c r="R77" i="23"/>
  <c r="M77" i="23"/>
  <c r="L77" i="23"/>
  <c r="K77" i="23"/>
  <c r="R76" i="23"/>
  <c r="M76" i="23"/>
  <c r="N76" i="23" s="1"/>
  <c r="L76" i="23"/>
  <c r="K76" i="23"/>
  <c r="E76" i="23"/>
  <c r="T171" i="23" s="1"/>
  <c r="R75" i="23"/>
  <c r="M75" i="23"/>
  <c r="L75" i="23"/>
  <c r="K75" i="23"/>
  <c r="R74" i="23"/>
  <c r="M74" i="23"/>
  <c r="L74" i="23"/>
  <c r="K74" i="23"/>
  <c r="E74" i="23"/>
  <c r="S170" i="23" s="1"/>
  <c r="R73" i="23"/>
  <c r="M73" i="23"/>
  <c r="L73" i="23"/>
  <c r="K73" i="23"/>
  <c r="R72" i="23"/>
  <c r="M72" i="23"/>
  <c r="L72" i="23"/>
  <c r="K72" i="23"/>
  <c r="E72" i="23"/>
  <c r="S169" i="23" s="1"/>
  <c r="R71" i="23"/>
  <c r="M71" i="23"/>
  <c r="L71" i="23"/>
  <c r="K71" i="23"/>
  <c r="R70" i="23"/>
  <c r="M70" i="23"/>
  <c r="L70" i="23"/>
  <c r="K70" i="23"/>
  <c r="E70" i="23"/>
  <c r="S168" i="23" s="1"/>
  <c r="R69" i="23"/>
  <c r="M69" i="23"/>
  <c r="L69" i="23"/>
  <c r="K69" i="23"/>
  <c r="R68" i="23"/>
  <c r="M68" i="23"/>
  <c r="L68" i="23"/>
  <c r="K68" i="23"/>
  <c r="E68" i="23"/>
  <c r="T167" i="23" s="1"/>
  <c r="R67" i="23"/>
  <c r="H167" i="23" s="1"/>
  <c r="M67" i="23"/>
  <c r="L67" i="23"/>
  <c r="K67" i="23"/>
  <c r="R66" i="23"/>
  <c r="M66" i="23"/>
  <c r="L66" i="23"/>
  <c r="K66" i="23"/>
  <c r="R65" i="23"/>
  <c r="J166" i="23" s="1"/>
  <c r="M65" i="23"/>
  <c r="L65" i="23"/>
  <c r="K65" i="23"/>
  <c r="R64" i="23"/>
  <c r="M64" i="23"/>
  <c r="L64" i="23"/>
  <c r="K64" i="23"/>
  <c r="E64" i="23"/>
  <c r="U165" i="23" s="1"/>
  <c r="R63" i="23"/>
  <c r="M63" i="23"/>
  <c r="L63" i="23"/>
  <c r="K63" i="23"/>
  <c r="R62" i="23"/>
  <c r="M62" i="23"/>
  <c r="L62" i="23"/>
  <c r="K62" i="23"/>
  <c r="R61" i="23"/>
  <c r="H164" i="23" s="1"/>
  <c r="M61" i="23"/>
  <c r="D164" i="23" s="1"/>
  <c r="L61" i="23"/>
  <c r="C164" i="23" s="1"/>
  <c r="K61" i="23"/>
  <c r="B164" i="23" s="1"/>
  <c r="R60" i="23"/>
  <c r="M60" i="23"/>
  <c r="L60" i="23"/>
  <c r="K60" i="23"/>
  <c r="R59" i="23"/>
  <c r="H163" i="23" s="1"/>
  <c r="M59" i="23"/>
  <c r="L59" i="23"/>
  <c r="K59" i="23"/>
  <c r="R58" i="23"/>
  <c r="M58" i="23"/>
  <c r="L58" i="23"/>
  <c r="K58" i="23"/>
  <c r="R57" i="23"/>
  <c r="J162" i="23" s="1"/>
  <c r="M57" i="23"/>
  <c r="D162" i="23" s="1"/>
  <c r="L57" i="23"/>
  <c r="K57" i="23"/>
  <c r="R56" i="23"/>
  <c r="M56" i="23"/>
  <c r="L56" i="23"/>
  <c r="K56" i="23"/>
  <c r="E56" i="23"/>
  <c r="U161" i="23" s="1"/>
  <c r="R55" i="23"/>
  <c r="M55" i="23"/>
  <c r="L55" i="23"/>
  <c r="K55" i="23"/>
  <c r="R54" i="23"/>
  <c r="M54" i="23"/>
  <c r="L54" i="23"/>
  <c r="K54" i="23"/>
  <c r="R53" i="23"/>
  <c r="M53" i="23"/>
  <c r="L53" i="23"/>
  <c r="K53" i="23"/>
  <c r="B160" i="23" s="1"/>
  <c r="R52" i="23"/>
  <c r="M52" i="23"/>
  <c r="L52" i="23"/>
  <c r="K52" i="23"/>
  <c r="R51" i="23"/>
  <c r="M51" i="23"/>
  <c r="L51" i="23"/>
  <c r="K51" i="23"/>
  <c r="B159" i="23" s="1"/>
  <c r="R50" i="23"/>
  <c r="M50" i="23"/>
  <c r="L50" i="23"/>
  <c r="K50" i="23"/>
  <c r="R49" i="23"/>
  <c r="M49" i="23"/>
  <c r="L49" i="23"/>
  <c r="K49" i="23"/>
  <c r="B158" i="23" s="1"/>
  <c r="R48" i="23"/>
  <c r="M48" i="23"/>
  <c r="L48" i="23"/>
  <c r="K48" i="23"/>
  <c r="B157" i="23" s="1"/>
  <c r="E48" i="23"/>
  <c r="R47" i="23"/>
  <c r="M47" i="23"/>
  <c r="L47" i="23"/>
  <c r="K47" i="23"/>
  <c r="R46" i="23"/>
  <c r="M46" i="23"/>
  <c r="L46" i="23"/>
  <c r="K46" i="23"/>
  <c r="R45" i="23"/>
  <c r="M45" i="23"/>
  <c r="L45" i="23"/>
  <c r="C156" i="23" s="1"/>
  <c r="K45" i="23"/>
  <c r="R44" i="23"/>
  <c r="M44" i="23"/>
  <c r="L44" i="23"/>
  <c r="K44" i="23"/>
  <c r="R43" i="23"/>
  <c r="M43" i="23"/>
  <c r="L43" i="23"/>
  <c r="K43" i="23"/>
  <c r="R42" i="23"/>
  <c r="M42" i="23"/>
  <c r="L42" i="23"/>
  <c r="K42" i="23"/>
  <c r="E42" i="23"/>
  <c r="S154" i="23" s="1"/>
  <c r="R41" i="23"/>
  <c r="M41" i="23"/>
  <c r="L41" i="23"/>
  <c r="K41" i="23"/>
  <c r="R40" i="23"/>
  <c r="M40" i="23"/>
  <c r="L40" i="23"/>
  <c r="K40" i="23"/>
  <c r="R39" i="23"/>
  <c r="J153" i="23" s="1"/>
  <c r="M39" i="23"/>
  <c r="L39" i="23"/>
  <c r="K39" i="23"/>
  <c r="R38" i="23"/>
  <c r="M38" i="23"/>
  <c r="L38" i="23"/>
  <c r="K38" i="23"/>
  <c r="E38" i="23"/>
  <c r="S152" i="23" s="1"/>
  <c r="R37" i="23"/>
  <c r="M37" i="23"/>
  <c r="L37" i="23"/>
  <c r="K37" i="23"/>
  <c r="R36" i="23"/>
  <c r="M36" i="23"/>
  <c r="L36" i="23"/>
  <c r="K36" i="23"/>
  <c r="N36" i="23" s="1"/>
  <c r="R35" i="23"/>
  <c r="M35" i="23"/>
  <c r="L35" i="23"/>
  <c r="K35" i="23"/>
  <c r="R34" i="23"/>
  <c r="M34" i="23"/>
  <c r="L34" i="23"/>
  <c r="K34" i="23"/>
  <c r="R33" i="23"/>
  <c r="M33" i="23"/>
  <c r="L33" i="23"/>
  <c r="K33" i="23"/>
  <c r="R32" i="23"/>
  <c r="M32" i="23"/>
  <c r="L32" i="23"/>
  <c r="K32" i="23"/>
  <c r="N32" i="23" s="1"/>
  <c r="R31" i="23"/>
  <c r="M31" i="23"/>
  <c r="L31" i="23"/>
  <c r="K31" i="23"/>
  <c r="R30" i="23"/>
  <c r="M30" i="23"/>
  <c r="L30" i="23"/>
  <c r="K30" i="23"/>
  <c r="R29" i="23"/>
  <c r="M29" i="23"/>
  <c r="L29" i="23"/>
  <c r="K29" i="23"/>
  <c r="E29" i="23"/>
  <c r="R28" i="23"/>
  <c r="M28" i="23"/>
  <c r="L28" i="23"/>
  <c r="K28" i="23"/>
  <c r="R27" i="23"/>
  <c r="M27" i="23"/>
  <c r="L27" i="23"/>
  <c r="K27" i="23"/>
  <c r="R26" i="23"/>
  <c r="M26" i="23"/>
  <c r="L26" i="23"/>
  <c r="K26" i="23"/>
  <c r="R25" i="23"/>
  <c r="M25" i="23"/>
  <c r="L25" i="23"/>
  <c r="K25" i="23"/>
  <c r="R24" i="23"/>
  <c r="M24" i="23"/>
  <c r="L24" i="23"/>
  <c r="K24" i="23"/>
  <c r="R23" i="23"/>
  <c r="M23" i="23"/>
  <c r="L23" i="23"/>
  <c r="K23" i="23"/>
  <c r="R22" i="23"/>
  <c r="M22" i="23"/>
  <c r="L22" i="23"/>
  <c r="K22" i="23"/>
  <c r="B145" i="23" s="1"/>
  <c r="R21" i="23"/>
  <c r="M21" i="23"/>
  <c r="L21" i="23"/>
  <c r="K21" i="23"/>
  <c r="E21" i="23"/>
  <c r="R20" i="23"/>
  <c r="M20" i="23"/>
  <c r="L20" i="23"/>
  <c r="K20" i="23"/>
  <c r="R19" i="23"/>
  <c r="M19" i="23"/>
  <c r="L19" i="23"/>
  <c r="K19" i="23"/>
  <c r="R18" i="23"/>
  <c r="M18" i="23"/>
  <c r="L18" i="23"/>
  <c r="K18" i="23"/>
  <c r="R17" i="23"/>
  <c r="M17" i="23"/>
  <c r="L17" i="23"/>
  <c r="K17" i="23"/>
  <c r="E17" i="23"/>
  <c r="T142" i="23" s="1"/>
  <c r="R16" i="23"/>
  <c r="M16" i="23"/>
  <c r="L16" i="23"/>
  <c r="K16" i="23"/>
  <c r="R15" i="23"/>
  <c r="M15" i="23"/>
  <c r="L15" i="23"/>
  <c r="K15" i="23"/>
  <c r="E15" i="23"/>
  <c r="S141" i="23" s="1"/>
  <c r="R14" i="23"/>
  <c r="M14" i="23"/>
  <c r="L14" i="23"/>
  <c r="K14" i="23"/>
  <c r="R13" i="23"/>
  <c r="M13" i="23"/>
  <c r="L13" i="23"/>
  <c r="K13" i="23"/>
  <c r="R12" i="23"/>
  <c r="M12" i="23"/>
  <c r="L12" i="23"/>
  <c r="K12" i="23"/>
  <c r="R11" i="23"/>
  <c r="M11" i="23"/>
  <c r="L11" i="23"/>
  <c r="K11" i="23"/>
  <c r="R10" i="23"/>
  <c r="M10" i="23"/>
  <c r="L10" i="23"/>
  <c r="K10" i="23"/>
  <c r="R9" i="23"/>
  <c r="M9" i="23"/>
  <c r="L9" i="23"/>
  <c r="K9" i="23"/>
  <c r="R8" i="23"/>
  <c r="M8" i="23"/>
  <c r="L8" i="23"/>
  <c r="K8" i="23"/>
  <c r="U188" i="24"/>
  <c r="T188" i="24"/>
  <c r="S188" i="24"/>
  <c r="U186" i="24"/>
  <c r="T186" i="24"/>
  <c r="S186" i="24"/>
  <c r="U185" i="24"/>
  <c r="T185" i="24"/>
  <c r="S185" i="24"/>
  <c r="U184" i="24"/>
  <c r="T184" i="24"/>
  <c r="S184" i="24"/>
  <c r="U180" i="24"/>
  <c r="T180" i="24"/>
  <c r="S180" i="24"/>
  <c r="U176" i="24"/>
  <c r="T176" i="24"/>
  <c r="S176" i="24"/>
  <c r="U172" i="24"/>
  <c r="T172" i="24"/>
  <c r="S172" i="24"/>
  <c r="U168" i="24"/>
  <c r="T168" i="24"/>
  <c r="S168" i="24"/>
  <c r="U164" i="24"/>
  <c r="T164" i="24"/>
  <c r="S164" i="24"/>
  <c r="U162" i="24"/>
  <c r="T162" i="24"/>
  <c r="S162" i="24"/>
  <c r="U161" i="24"/>
  <c r="T161" i="24"/>
  <c r="S161" i="24"/>
  <c r="U160" i="24"/>
  <c r="T160" i="24"/>
  <c r="S160" i="24"/>
  <c r="U158" i="24"/>
  <c r="T158" i="24"/>
  <c r="S158" i="24"/>
  <c r="U157" i="24"/>
  <c r="T157" i="24"/>
  <c r="S157" i="24"/>
  <c r="U156" i="24"/>
  <c r="T156" i="24"/>
  <c r="S156" i="24"/>
  <c r="U154" i="24"/>
  <c r="T154" i="24"/>
  <c r="S154" i="24"/>
  <c r="U153" i="24"/>
  <c r="T153" i="24"/>
  <c r="S153" i="24"/>
  <c r="U152" i="24"/>
  <c r="T152" i="24"/>
  <c r="S152" i="24"/>
  <c r="U150" i="24"/>
  <c r="T150" i="24"/>
  <c r="S150" i="24"/>
  <c r="U149" i="24"/>
  <c r="T149" i="24"/>
  <c r="S149" i="24"/>
  <c r="U148" i="24"/>
  <c r="T148" i="24"/>
  <c r="S148" i="24"/>
  <c r="U146" i="24"/>
  <c r="T146" i="24"/>
  <c r="S146" i="24"/>
  <c r="U145" i="24"/>
  <c r="T145" i="24"/>
  <c r="S145" i="24"/>
  <c r="U144" i="24"/>
  <c r="T144" i="24"/>
  <c r="S144" i="24"/>
  <c r="U142" i="24"/>
  <c r="T142" i="24"/>
  <c r="S142" i="24"/>
  <c r="U141" i="24"/>
  <c r="T141" i="24"/>
  <c r="S141" i="24"/>
  <c r="U140" i="24"/>
  <c r="T140" i="24"/>
  <c r="S140" i="24"/>
  <c r="W140" i="24" s="1"/>
  <c r="U138" i="24"/>
  <c r="T138" i="24"/>
  <c r="S138" i="24"/>
  <c r="U137" i="24"/>
  <c r="T137" i="24"/>
  <c r="S137" i="24"/>
  <c r="U136" i="24"/>
  <c r="T136" i="24"/>
  <c r="S136" i="24"/>
  <c r="R113" i="24"/>
  <c r="R112" i="24"/>
  <c r="M112" i="24"/>
  <c r="L112" i="24"/>
  <c r="K112" i="24"/>
  <c r="B188" i="24" s="1"/>
  <c r="R111" i="24"/>
  <c r="M111" i="24"/>
  <c r="L111" i="24"/>
  <c r="K111" i="24"/>
  <c r="E111" i="24"/>
  <c r="U187" i="24" s="1"/>
  <c r="R110" i="24"/>
  <c r="M110" i="24"/>
  <c r="L110" i="24"/>
  <c r="K110" i="24"/>
  <c r="R109" i="24"/>
  <c r="M109" i="24"/>
  <c r="L109" i="24"/>
  <c r="K109" i="24"/>
  <c r="R108" i="24"/>
  <c r="H186" i="24" s="1"/>
  <c r="M108" i="24"/>
  <c r="L108" i="24"/>
  <c r="K108" i="24"/>
  <c r="R107" i="24"/>
  <c r="M107" i="24"/>
  <c r="L107" i="24"/>
  <c r="K107" i="24"/>
  <c r="R106" i="24"/>
  <c r="H185" i="24" s="1"/>
  <c r="M106" i="24"/>
  <c r="D185" i="24" s="1"/>
  <c r="L106" i="24"/>
  <c r="C185" i="24" s="1"/>
  <c r="K106" i="24"/>
  <c r="R105" i="24"/>
  <c r="M105" i="24"/>
  <c r="L105" i="24"/>
  <c r="K105" i="24"/>
  <c r="R104" i="24"/>
  <c r="J184" i="24" s="1"/>
  <c r="L104" i="24"/>
  <c r="K104" i="24"/>
  <c r="R103" i="24"/>
  <c r="M103" i="24"/>
  <c r="L103" i="24"/>
  <c r="K103" i="24"/>
  <c r="E103" i="24"/>
  <c r="R102" i="24"/>
  <c r="M102" i="24"/>
  <c r="L102" i="24"/>
  <c r="K102" i="24"/>
  <c r="R101" i="24"/>
  <c r="M101" i="24"/>
  <c r="L101" i="24"/>
  <c r="K101" i="24"/>
  <c r="E101" i="24"/>
  <c r="T182" i="24" s="1"/>
  <c r="R100" i="24"/>
  <c r="M100" i="24"/>
  <c r="L100" i="24"/>
  <c r="K100" i="24"/>
  <c r="R99" i="24"/>
  <c r="M99" i="24"/>
  <c r="L99" i="24"/>
  <c r="K99" i="24"/>
  <c r="E99" i="24"/>
  <c r="R98" i="24"/>
  <c r="M98" i="24"/>
  <c r="L98" i="24"/>
  <c r="K98" i="24"/>
  <c r="R97" i="24"/>
  <c r="M97" i="24"/>
  <c r="L97" i="24"/>
  <c r="K97" i="24"/>
  <c r="R96" i="24"/>
  <c r="M96" i="24"/>
  <c r="L96" i="24"/>
  <c r="K96" i="24"/>
  <c r="B180" i="24" s="1"/>
  <c r="R95" i="24"/>
  <c r="M95" i="24"/>
  <c r="L95" i="24"/>
  <c r="K95" i="24"/>
  <c r="E95" i="24"/>
  <c r="S179" i="24" s="1"/>
  <c r="R94" i="24"/>
  <c r="M94" i="24"/>
  <c r="L94" i="24"/>
  <c r="K94" i="24"/>
  <c r="R93" i="24"/>
  <c r="M93" i="24"/>
  <c r="L93" i="24"/>
  <c r="K93" i="24"/>
  <c r="E93" i="24"/>
  <c r="R92" i="24"/>
  <c r="M92" i="24"/>
  <c r="L92" i="24"/>
  <c r="K92" i="24"/>
  <c r="R91" i="24"/>
  <c r="M91" i="24"/>
  <c r="L91" i="24"/>
  <c r="K91" i="24"/>
  <c r="E91" i="24"/>
  <c r="R90" i="24"/>
  <c r="M90" i="24"/>
  <c r="L90" i="24"/>
  <c r="K90" i="24"/>
  <c r="R89" i="24"/>
  <c r="M89" i="24"/>
  <c r="L89" i="24"/>
  <c r="K89" i="24"/>
  <c r="R88" i="24"/>
  <c r="M88" i="24"/>
  <c r="L88" i="24"/>
  <c r="K88" i="24"/>
  <c r="R87" i="24"/>
  <c r="M87" i="24"/>
  <c r="L87" i="24"/>
  <c r="K87" i="24"/>
  <c r="E87" i="24"/>
  <c r="R86" i="24"/>
  <c r="M86" i="24"/>
  <c r="L86" i="24"/>
  <c r="K86" i="24"/>
  <c r="R85" i="24"/>
  <c r="M85" i="24"/>
  <c r="L85" i="24"/>
  <c r="K85" i="24"/>
  <c r="E85" i="24"/>
  <c r="R84" i="24"/>
  <c r="M84" i="24"/>
  <c r="L84" i="24"/>
  <c r="K84" i="24"/>
  <c r="R83" i="24"/>
  <c r="M83" i="24"/>
  <c r="L83" i="24"/>
  <c r="K83" i="24"/>
  <c r="E83" i="24"/>
  <c r="R82" i="24"/>
  <c r="M82" i="24"/>
  <c r="L82" i="24"/>
  <c r="K82" i="24"/>
  <c r="R81" i="24"/>
  <c r="M81" i="24"/>
  <c r="L81" i="24"/>
  <c r="K81" i="24"/>
  <c r="R80" i="24"/>
  <c r="M80" i="24"/>
  <c r="L80" i="24"/>
  <c r="K80" i="24"/>
  <c r="B172" i="24" s="1"/>
  <c r="R79" i="24"/>
  <c r="M79" i="24"/>
  <c r="L79" i="24"/>
  <c r="K79" i="24"/>
  <c r="E79" i="24"/>
  <c r="U171" i="24" s="1"/>
  <c r="R78" i="24"/>
  <c r="M78" i="24"/>
  <c r="L78" i="24"/>
  <c r="K78" i="24"/>
  <c r="R77" i="24"/>
  <c r="M77" i="24"/>
  <c r="L77" i="24"/>
  <c r="K77" i="24"/>
  <c r="E77" i="24"/>
  <c r="T170" i="24" s="1"/>
  <c r="R76" i="24"/>
  <c r="M76" i="24"/>
  <c r="L76" i="24"/>
  <c r="K76" i="24"/>
  <c r="R75" i="24"/>
  <c r="M75" i="24"/>
  <c r="L75" i="24"/>
  <c r="K75" i="24"/>
  <c r="E75" i="24"/>
  <c r="U169" i="24" s="1"/>
  <c r="R74" i="24"/>
  <c r="M74" i="24"/>
  <c r="L74" i="24"/>
  <c r="K74" i="24"/>
  <c r="R73" i="24"/>
  <c r="M73" i="24"/>
  <c r="L73" i="24"/>
  <c r="K73" i="24"/>
  <c r="R72" i="24"/>
  <c r="M72" i="24"/>
  <c r="L72" i="24"/>
  <c r="K72" i="24"/>
  <c r="R71" i="24"/>
  <c r="M71" i="24"/>
  <c r="L71" i="24"/>
  <c r="K71" i="24"/>
  <c r="E71" i="24"/>
  <c r="R70" i="24"/>
  <c r="M70" i="24"/>
  <c r="L70" i="24"/>
  <c r="K70" i="24"/>
  <c r="R69" i="24"/>
  <c r="M69" i="24"/>
  <c r="L69" i="24"/>
  <c r="K69" i="24"/>
  <c r="E69" i="24"/>
  <c r="U166" i="24" s="1"/>
  <c r="R68" i="24"/>
  <c r="M68" i="24"/>
  <c r="L68" i="24"/>
  <c r="K68" i="24"/>
  <c r="R67" i="24"/>
  <c r="M67" i="24"/>
  <c r="L67" i="24"/>
  <c r="K67" i="24"/>
  <c r="E67" i="24"/>
  <c r="U165" i="24" s="1"/>
  <c r="R66" i="24"/>
  <c r="M66" i="24"/>
  <c r="L66" i="24"/>
  <c r="C165" i="24" s="1"/>
  <c r="K66" i="24"/>
  <c r="R65" i="24"/>
  <c r="M65" i="24"/>
  <c r="L65" i="24"/>
  <c r="K65" i="24"/>
  <c r="R64" i="24"/>
  <c r="M64" i="24"/>
  <c r="D164" i="24" s="1"/>
  <c r="L64" i="24"/>
  <c r="K64" i="24"/>
  <c r="B164" i="24" s="1"/>
  <c r="R63" i="24"/>
  <c r="M63" i="24"/>
  <c r="L63" i="24"/>
  <c r="K63" i="24"/>
  <c r="E63" i="24"/>
  <c r="U163" i="24" s="1"/>
  <c r="R62" i="24"/>
  <c r="M62" i="24"/>
  <c r="L62" i="24"/>
  <c r="K62" i="24"/>
  <c r="R61" i="24"/>
  <c r="M61" i="24"/>
  <c r="L61" i="24"/>
  <c r="K61" i="24"/>
  <c r="R60" i="24"/>
  <c r="H162" i="24" s="1"/>
  <c r="M60" i="24"/>
  <c r="D162" i="24" s="1"/>
  <c r="L60" i="24"/>
  <c r="K60" i="24"/>
  <c r="R59" i="24"/>
  <c r="M59" i="24"/>
  <c r="L59" i="24"/>
  <c r="K59" i="24"/>
  <c r="R58" i="24"/>
  <c r="H161" i="24" s="1"/>
  <c r="M58" i="24"/>
  <c r="D161" i="24" s="1"/>
  <c r="L58" i="24"/>
  <c r="C161" i="24" s="1"/>
  <c r="K58" i="24"/>
  <c r="R57" i="24"/>
  <c r="M57" i="24"/>
  <c r="L57" i="24"/>
  <c r="K57" i="24"/>
  <c r="R56" i="24"/>
  <c r="H160" i="24" s="1"/>
  <c r="M56" i="24"/>
  <c r="L56" i="24"/>
  <c r="K56" i="24"/>
  <c r="R55" i="24"/>
  <c r="M55" i="24"/>
  <c r="L55" i="24"/>
  <c r="K55" i="24"/>
  <c r="E55" i="24"/>
  <c r="S159" i="24" s="1"/>
  <c r="R54" i="24"/>
  <c r="M54" i="24"/>
  <c r="L54" i="24"/>
  <c r="K54" i="24"/>
  <c r="R53" i="24"/>
  <c r="M53" i="24"/>
  <c r="L53" i="24"/>
  <c r="K53" i="24"/>
  <c r="R52" i="24"/>
  <c r="M52" i="24"/>
  <c r="L52" i="24"/>
  <c r="K52" i="24"/>
  <c r="R51" i="24"/>
  <c r="M51" i="24"/>
  <c r="L51" i="24"/>
  <c r="K51" i="24"/>
  <c r="R50" i="24"/>
  <c r="H157" i="24" s="1"/>
  <c r="M50" i="24"/>
  <c r="L50" i="24"/>
  <c r="K50" i="24"/>
  <c r="R49" i="24"/>
  <c r="M49" i="24"/>
  <c r="L49" i="24"/>
  <c r="K49" i="24"/>
  <c r="R48" i="24"/>
  <c r="M48" i="24"/>
  <c r="L48" i="24"/>
  <c r="K48" i="24"/>
  <c r="R47" i="24"/>
  <c r="M47" i="24"/>
  <c r="L47" i="24"/>
  <c r="K47" i="24"/>
  <c r="E47" i="24"/>
  <c r="T155" i="24" s="1"/>
  <c r="R46" i="24"/>
  <c r="M46" i="24"/>
  <c r="L46" i="24"/>
  <c r="K46" i="24"/>
  <c r="R45" i="24"/>
  <c r="M45" i="24"/>
  <c r="L45" i="24"/>
  <c r="K45" i="24"/>
  <c r="R44" i="24"/>
  <c r="M44" i="24"/>
  <c r="L44" i="24"/>
  <c r="K44" i="24"/>
  <c r="N44" i="24" s="1"/>
  <c r="R43" i="24"/>
  <c r="M43" i="24"/>
  <c r="L43" i="24"/>
  <c r="K43" i="24"/>
  <c r="R42" i="24"/>
  <c r="M42" i="24"/>
  <c r="L42" i="24"/>
  <c r="K42" i="24"/>
  <c r="N42" i="24" s="1"/>
  <c r="R41" i="24"/>
  <c r="M41" i="24"/>
  <c r="L41" i="24"/>
  <c r="K41" i="24"/>
  <c r="R40" i="24"/>
  <c r="M40" i="24"/>
  <c r="L40" i="24"/>
  <c r="K40" i="24"/>
  <c r="R39" i="24"/>
  <c r="M39" i="24"/>
  <c r="L39" i="24"/>
  <c r="K39" i="24"/>
  <c r="E39" i="24"/>
  <c r="R38" i="24"/>
  <c r="M38" i="24"/>
  <c r="L38" i="24"/>
  <c r="K38" i="24"/>
  <c r="R37" i="24"/>
  <c r="M37" i="24"/>
  <c r="L37" i="24"/>
  <c r="K37" i="24"/>
  <c r="R36" i="24"/>
  <c r="M36" i="24"/>
  <c r="L36" i="24"/>
  <c r="K36" i="24"/>
  <c r="R35" i="24"/>
  <c r="M35" i="24"/>
  <c r="L35" i="24"/>
  <c r="K35" i="24"/>
  <c r="R34" i="24"/>
  <c r="M34" i="24"/>
  <c r="L34" i="24"/>
  <c r="K34" i="24"/>
  <c r="R33" i="24"/>
  <c r="M33" i="24"/>
  <c r="L33" i="24"/>
  <c r="K33" i="24"/>
  <c r="R32" i="24"/>
  <c r="M32" i="24"/>
  <c r="L32" i="24"/>
  <c r="K32" i="24"/>
  <c r="B148" i="24" s="1"/>
  <c r="R31" i="24"/>
  <c r="M31" i="24"/>
  <c r="L31" i="24"/>
  <c r="K31" i="24"/>
  <c r="E31" i="24"/>
  <c r="S147" i="24" s="1"/>
  <c r="R30" i="24"/>
  <c r="M30" i="24"/>
  <c r="L30" i="24"/>
  <c r="K30" i="24"/>
  <c r="R29" i="24"/>
  <c r="M29" i="24"/>
  <c r="L29" i="24"/>
  <c r="K29" i="24"/>
  <c r="R28" i="24"/>
  <c r="M28" i="24"/>
  <c r="L28" i="24"/>
  <c r="C146" i="24" s="1"/>
  <c r="K28" i="24"/>
  <c r="R27" i="24"/>
  <c r="M27" i="24"/>
  <c r="L27" i="24"/>
  <c r="K27" i="24"/>
  <c r="R26" i="24"/>
  <c r="M26" i="24"/>
  <c r="L26" i="24"/>
  <c r="K26" i="24"/>
  <c r="R25" i="24"/>
  <c r="M25" i="24"/>
  <c r="L25" i="24"/>
  <c r="K25" i="24"/>
  <c r="R24" i="24"/>
  <c r="M24" i="24"/>
  <c r="L24" i="24"/>
  <c r="C144" i="24" s="1"/>
  <c r="K24" i="24"/>
  <c r="B144" i="24" s="1"/>
  <c r="R23" i="24"/>
  <c r="M23" i="24"/>
  <c r="L23" i="24"/>
  <c r="K23" i="24"/>
  <c r="E23" i="24"/>
  <c r="U143" i="24" s="1"/>
  <c r="R22" i="24"/>
  <c r="M22" i="24"/>
  <c r="L22" i="24"/>
  <c r="K22" i="24"/>
  <c r="R21" i="24"/>
  <c r="M21" i="24"/>
  <c r="L21" i="24"/>
  <c r="K21" i="24"/>
  <c r="R20" i="24"/>
  <c r="M20" i="24"/>
  <c r="D142" i="24" s="1"/>
  <c r="L20" i="24"/>
  <c r="C142" i="24" s="1"/>
  <c r="K20" i="24"/>
  <c r="B142" i="24" s="1"/>
  <c r="R19" i="24"/>
  <c r="M19" i="24"/>
  <c r="L19" i="24"/>
  <c r="K19" i="24"/>
  <c r="R18" i="24"/>
  <c r="H141" i="24" s="1"/>
  <c r="M18" i="24"/>
  <c r="D141" i="24" s="1"/>
  <c r="L18" i="24"/>
  <c r="C141" i="24" s="1"/>
  <c r="K18" i="24"/>
  <c r="B141" i="24" s="1"/>
  <c r="R17" i="24"/>
  <c r="M17" i="24"/>
  <c r="L17" i="24"/>
  <c r="K17" i="24"/>
  <c r="R16" i="24"/>
  <c r="M16" i="24"/>
  <c r="D140" i="24" s="1"/>
  <c r="L16" i="24"/>
  <c r="K16" i="24"/>
  <c r="R15" i="24"/>
  <c r="M15" i="24"/>
  <c r="L15" i="24"/>
  <c r="K15" i="24"/>
  <c r="E15" i="24"/>
  <c r="R14" i="24"/>
  <c r="M14" i="24"/>
  <c r="L14" i="24"/>
  <c r="K14" i="24"/>
  <c r="R13" i="24"/>
  <c r="M13" i="24"/>
  <c r="L13" i="24"/>
  <c r="K13" i="24"/>
  <c r="R12" i="24"/>
  <c r="L138" i="24" s="1"/>
  <c r="M12" i="24"/>
  <c r="D138" i="24" s="1"/>
  <c r="L12" i="24"/>
  <c r="K12" i="24"/>
  <c r="R11" i="24"/>
  <c r="M11" i="24"/>
  <c r="L11" i="24"/>
  <c r="K11" i="24"/>
  <c r="R10" i="24"/>
  <c r="M10" i="24"/>
  <c r="L10" i="24"/>
  <c r="K10" i="24"/>
  <c r="R9" i="24"/>
  <c r="M9" i="24"/>
  <c r="L9" i="24"/>
  <c r="K9" i="24"/>
  <c r="R8" i="24"/>
  <c r="M8" i="24"/>
  <c r="L8" i="24"/>
  <c r="K8" i="24"/>
  <c r="U188" i="25"/>
  <c r="T188" i="25"/>
  <c r="S188" i="25"/>
  <c r="U187" i="25"/>
  <c r="T187" i="25"/>
  <c r="S187" i="25"/>
  <c r="U185" i="25"/>
  <c r="T185" i="25"/>
  <c r="S185" i="25"/>
  <c r="U184" i="25"/>
  <c r="T184" i="25"/>
  <c r="S184" i="25"/>
  <c r="U183" i="25"/>
  <c r="T183" i="25"/>
  <c r="S183" i="25"/>
  <c r="U180" i="25"/>
  <c r="T180" i="25"/>
  <c r="S180" i="25"/>
  <c r="U176" i="25"/>
  <c r="T176" i="25"/>
  <c r="S176" i="25"/>
  <c r="U168" i="25"/>
  <c r="T168" i="25"/>
  <c r="S168" i="25"/>
  <c r="U163" i="25"/>
  <c r="T163" i="25"/>
  <c r="S163" i="25"/>
  <c r="U160" i="25"/>
  <c r="T160" i="25"/>
  <c r="S160" i="25"/>
  <c r="U159" i="25"/>
  <c r="T159" i="25"/>
  <c r="S159" i="25"/>
  <c r="U156" i="25"/>
  <c r="T156" i="25"/>
  <c r="U153" i="25"/>
  <c r="T153" i="25"/>
  <c r="U151" i="25"/>
  <c r="T151" i="25"/>
  <c r="S151" i="25"/>
  <c r="U150" i="25"/>
  <c r="T150" i="25"/>
  <c r="S150" i="25"/>
  <c r="U148" i="25"/>
  <c r="T148" i="25"/>
  <c r="S148" i="25"/>
  <c r="U147" i="25"/>
  <c r="T147" i="25"/>
  <c r="S147" i="25"/>
  <c r="U143" i="25"/>
  <c r="T143" i="25"/>
  <c r="S143" i="25"/>
  <c r="U142" i="25"/>
  <c r="T142" i="25"/>
  <c r="S142" i="25"/>
  <c r="U141" i="25"/>
  <c r="T141" i="25"/>
  <c r="S141" i="25"/>
  <c r="U139" i="25"/>
  <c r="T139" i="25"/>
  <c r="S139" i="25"/>
  <c r="U138" i="25"/>
  <c r="T138" i="25"/>
  <c r="S138" i="25"/>
  <c r="U137" i="25"/>
  <c r="T137" i="25"/>
  <c r="S137" i="25"/>
  <c r="R113" i="25"/>
  <c r="M113" i="25"/>
  <c r="L113" i="25"/>
  <c r="K113" i="25"/>
  <c r="R112" i="25"/>
  <c r="H188" i="25" s="1"/>
  <c r="M112" i="25"/>
  <c r="D188" i="25" s="1"/>
  <c r="L112" i="25"/>
  <c r="C188" i="25" s="1"/>
  <c r="K112" i="25"/>
  <c r="R111" i="25"/>
  <c r="M111" i="25"/>
  <c r="L111" i="25"/>
  <c r="K111" i="25"/>
  <c r="R110" i="25"/>
  <c r="M110" i="25"/>
  <c r="L110" i="25"/>
  <c r="K110" i="25"/>
  <c r="R109" i="25"/>
  <c r="M109" i="25"/>
  <c r="L109" i="25"/>
  <c r="K109" i="25"/>
  <c r="E109" i="25"/>
  <c r="T186" i="25" s="1"/>
  <c r="R108" i="25"/>
  <c r="M108" i="25"/>
  <c r="L108" i="25"/>
  <c r="K108" i="25"/>
  <c r="R107" i="25"/>
  <c r="M107" i="25"/>
  <c r="L107" i="25"/>
  <c r="K107" i="25"/>
  <c r="R106" i="25"/>
  <c r="L185" i="25" s="1"/>
  <c r="M106" i="25"/>
  <c r="L106" i="25"/>
  <c r="C185" i="25" s="1"/>
  <c r="K106" i="25"/>
  <c r="B185" i="25" s="1"/>
  <c r="R105" i="25"/>
  <c r="M105" i="25"/>
  <c r="L105" i="25"/>
  <c r="K105" i="25"/>
  <c r="R104" i="25"/>
  <c r="M104" i="25"/>
  <c r="D184" i="25" s="1"/>
  <c r="L104" i="25"/>
  <c r="C184" i="25" s="1"/>
  <c r="K104" i="25"/>
  <c r="B184" i="25" s="1"/>
  <c r="R103" i="25"/>
  <c r="M103" i="25"/>
  <c r="L103" i="25"/>
  <c r="K103" i="25"/>
  <c r="R102" i="25"/>
  <c r="L183" i="25" s="1"/>
  <c r="M102" i="25"/>
  <c r="D183" i="25" s="1"/>
  <c r="L102" i="25"/>
  <c r="C183" i="25" s="1"/>
  <c r="K102" i="25"/>
  <c r="R101" i="25"/>
  <c r="M101" i="25"/>
  <c r="L101" i="25"/>
  <c r="K101" i="25"/>
  <c r="E101" i="25"/>
  <c r="R100" i="25"/>
  <c r="M100" i="25"/>
  <c r="L100" i="25"/>
  <c r="K100" i="25"/>
  <c r="R99" i="25"/>
  <c r="M99" i="25"/>
  <c r="L99" i="25"/>
  <c r="K99" i="25"/>
  <c r="E99" i="25"/>
  <c r="U181" i="25" s="1"/>
  <c r="R98" i="25"/>
  <c r="M98" i="25"/>
  <c r="L98" i="25"/>
  <c r="K98" i="25"/>
  <c r="R97" i="25"/>
  <c r="M97" i="25"/>
  <c r="L97" i="25"/>
  <c r="K97" i="25"/>
  <c r="R96" i="25"/>
  <c r="L180" i="25" s="1"/>
  <c r="M96" i="25"/>
  <c r="L96" i="25"/>
  <c r="C180" i="25" s="1"/>
  <c r="K96" i="25"/>
  <c r="R95" i="25"/>
  <c r="M95" i="25"/>
  <c r="L95" i="25"/>
  <c r="K95" i="25"/>
  <c r="E95" i="25"/>
  <c r="S179" i="25" s="1"/>
  <c r="R94" i="25"/>
  <c r="M94" i="25"/>
  <c r="L94" i="25"/>
  <c r="K94" i="25"/>
  <c r="R93" i="25"/>
  <c r="M93" i="25"/>
  <c r="L93" i="25"/>
  <c r="K93" i="25"/>
  <c r="E93" i="25"/>
  <c r="T178" i="25" s="1"/>
  <c r="R92" i="25"/>
  <c r="M92" i="25"/>
  <c r="L92" i="25"/>
  <c r="K92" i="25"/>
  <c r="R91" i="25"/>
  <c r="M91" i="25"/>
  <c r="L91" i="25"/>
  <c r="K91" i="25"/>
  <c r="E91" i="25"/>
  <c r="T177" i="25" s="1"/>
  <c r="R90" i="25"/>
  <c r="M90" i="25"/>
  <c r="L90" i="25"/>
  <c r="K90" i="25"/>
  <c r="R89" i="25"/>
  <c r="M89" i="25"/>
  <c r="L89" i="25"/>
  <c r="K89" i="25"/>
  <c r="R88" i="25"/>
  <c r="M88" i="25"/>
  <c r="D176" i="25" s="1"/>
  <c r="L88" i="25"/>
  <c r="C176" i="25" s="1"/>
  <c r="K88" i="25"/>
  <c r="R87" i="25"/>
  <c r="M87" i="25"/>
  <c r="L87" i="25"/>
  <c r="K87" i="25"/>
  <c r="E87" i="25"/>
  <c r="U175" i="25" s="1"/>
  <c r="R86" i="25"/>
  <c r="M86" i="25"/>
  <c r="L86" i="25"/>
  <c r="K86" i="25"/>
  <c r="R85" i="25"/>
  <c r="M85" i="25"/>
  <c r="L85" i="25"/>
  <c r="K85" i="25"/>
  <c r="E85" i="25"/>
  <c r="R84" i="25"/>
  <c r="M84" i="25"/>
  <c r="L84" i="25"/>
  <c r="K84" i="25"/>
  <c r="R83" i="25"/>
  <c r="M83" i="25"/>
  <c r="L83" i="25"/>
  <c r="K83" i="25"/>
  <c r="E83" i="25"/>
  <c r="T173" i="25" s="1"/>
  <c r="R82" i="25"/>
  <c r="M82" i="25"/>
  <c r="L82" i="25"/>
  <c r="K82" i="25"/>
  <c r="R81" i="25"/>
  <c r="M81" i="25"/>
  <c r="L81" i="25"/>
  <c r="K81" i="25"/>
  <c r="E81" i="25"/>
  <c r="S172" i="25" s="1"/>
  <c r="R80" i="25"/>
  <c r="M80" i="25"/>
  <c r="L80" i="25"/>
  <c r="K80" i="25"/>
  <c r="R79" i="25"/>
  <c r="M79" i="25"/>
  <c r="L79" i="25"/>
  <c r="K79" i="25"/>
  <c r="E79" i="25"/>
  <c r="U171" i="25" s="1"/>
  <c r="R78" i="25"/>
  <c r="M78" i="25"/>
  <c r="L78" i="25"/>
  <c r="K78" i="25"/>
  <c r="R77" i="25"/>
  <c r="M77" i="25"/>
  <c r="L77" i="25"/>
  <c r="K77" i="25"/>
  <c r="E77" i="25"/>
  <c r="S170" i="25" s="1"/>
  <c r="R76" i="25"/>
  <c r="M76" i="25"/>
  <c r="L76" i="25"/>
  <c r="K76" i="25"/>
  <c r="R75" i="25"/>
  <c r="M75" i="25"/>
  <c r="L75" i="25"/>
  <c r="K75" i="25"/>
  <c r="E75" i="25"/>
  <c r="U169" i="25" s="1"/>
  <c r="R74" i="25"/>
  <c r="M74" i="25"/>
  <c r="L74" i="25"/>
  <c r="K74" i="25"/>
  <c r="R73" i="25"/>
  <c r="M73" i="25"/>
  <c r="L73" i="25"/>
  <c r="K73" i="25"/>
  <c r="R72" i="25"/>
  <c r="M72" i="25"/>
  <c r="L72" i="25"/>
  <c r="K72" i="25"/>
  <c r="R71" i="25"/>
  <c r="M71" i="25"/>
  <c r="L71" i="25"/>
  <c r="K71" i="25"/>
  <c r="E71" i="25"/>
  <c r="U167" i="25" s="1"/>
  <c r="R70" i="25"/>
  <c r="M70" i="25"/>
  <c r="L70" i="25"/>
  <c r="K70" i="25"/>
  <c r="R69" i="25"/>
  <c r="M69" i="25"/>
  <c r="L69" i="25"/>
  <c r="K69" i="25"/>
  <c r="E69" i="25"/>
  <c r="R68" i="25"/>
  <c r="N68" i="25"/>
  <c r="R67" i="25"/>
  <c r="M67" i="25"/>
  <c r="L67" i="25"/>
  <c r="K67" i="25"/>
  <c r="E67" i="25"/>
  <c r="R66" i="25"/>
  <c r="M66" i="25"/>
  <c r="L66" i="25"/>
  <c r="K66" i="25"/>
  <c r="R65" i="25"/>
  <c r="M65" i="25"/>
  <c r="L65" i="25"/>
  <c r="K65" i="25"/>
  <c r="E65" i="25"/>
  <c r="R64" i="25"/>
  <c r="L164" i="25" s="1"/>
  <c r="M64" i="25"/>
  <c r="L64" i="25"/>
  <c r="K64" i="25"/>
  <c r="R63" i="25"/>
  <c r="M63" i="25"/>
  <c r="L63" i="25"/>
  <c r="K63" i="25"/>
  <c r="R62" i="25"/>
  <c r="M62" i="25"/>
  <c r="L62" i="25"/>
  <c r="K62" i="25"/>
  <c r="B163" i="25" s="1"/>
  <c r="R61" i="25"/>
  <c r="M61" i="25"/>
  <c r="L61" i="25"/>
  <c r="K61" i="25"/>
  <c r="E61" i="25"/>
  <c r="U162" i="25" s="1"/>
  <c r="R60" i="25"/>
  <c r="M60" i="25"/>
  <c r="L60" i="25"/>
  <c r="K60" i="25"/>
  <c r="R59" i="25"/>
  <c r="M59" i="25"/>
  <c r="L59" i="25"/>
  <c r="K59" i="25"/>
  <c r="E59" i="25"/>
  <c r="S161" i="25" s="1"/>
  <c r="R58" i="25"/>
  <c r="M58" i="25"/>
  <c r="L58" i="25"/>
  <c r="K58" i="25"/>
  <c r="R57" i="25"/>
  <c r="M57" i="25"/>
  <c r="L57" i="25"/>
  <c r="K57" i="25"/>
  <c r="R56" i="25"/>
  <c r="M56" i="25"/>
  <c r="L56" i="25"/>
  <c r="C160" i="25" s="1"/>
  <c r="K56" i="25"/>
  <c r="B160" i="25" s="1"/>
  <c r="R55" i="25"/>
  <c r="M55" i="25"/>
  <c r="L55" i="25"/>
  <c r="K55" i="25"/>
  <c r="R54" i="25"/>
  <c r="M54" i="25"/>
  <c r="L54" i="25"/>
  <c r="K54" i="25"/>
  <c r="R53" i="25"/>
  <c r="M53" i="25"/>
  <c r="L53" i="25"/>
  <c r="K53" i="25"/>
  <c r="E53" i="25"/>
  <c r="R52" i="25"/>
  <c r="M52" i="25"/>
  <c r="L52" i="25"/>
  <c r="K52" i="25"/>
  <c r="R51" i="25"/>
  <c r="M51" i="25"/>
  <c r="L51" i="25"/>
  <c r="K51" i="25"/>
  <c r="E51" i="25"/>
  <c r="O50" i="25"/>
  <c r="R50" i="25" s="1"/>
  <c r="M50" i="25"/>
  <c r="L50" i="25"/>
  <c r="K50" i="25"/>
  <c r="O49" i="25"/>
  <c r="R49" i="25" s="1"/>
  <c r="M49" i="25"/>
  <c r="L49" i="25"/>
  <c r="K49" i="25"/>
  <c r="O48" i="25"/>
  <c r="S156" i="25" s="1"/>
  <c r="M48" i="25"/>
  <c r="N48" i="25" s="1"/>
  <c r="L48" i="25"/>
  <c r="K48" i="25"/>
  <c r="O47" i="25"/>
  <c r="M47" i="25"/>
  <c r="L47" i="25"/>
  <c r="K47" i="25"/>
  <c r="E47" i="25"/>
  <c r="T155" i="25" s="1"/>
  <c r="R46" i="25"/>
  <c r="M46" i="25"/>
  <c r="L46" i="25"/>
  <c r="K46" i="25"/>
  <c r="R45" i="25"/>
  <c r="M45" i="25"/>
  <c r="L45" i="25"/>
  <c r="K45" i="25"/>
  <c r="E45" i="25"/>
  <c r="S154" i="25" s="1"/>
  <c r="O44" i="25"/>
  <c r="R44" i="25" s="1"/>
  <c r="M44" i="25"/>
  <c r="L44" i="25"/>
  <c r="K44" i="25"/>
  <c r="O43" i="25"/>
  <c r="R43" i="25" s="1"/>
  <c r="M43" i="25"/>
  <c r="L43" i="25"/>
  <c r="K43" i="25"/>
  <c r="O42" i="25"/>
  <c r="R42" i="25" s="1"/>
  <c r="M42" i="25"/>
  <c r="L42" i="25"/>
  <c r="K42" i="25"/>
  <c r="B153" i="25" s="1"/>
  <c r="O41" i="25"/>
  <c r="M41" i="25"/>
  <c r="L41" i="25"/>
  <c r="K41" i="25"/>
  <c r="E41" i="25"/>
  <c r="T152" i="25" s="1"/>
  <c r="R40" i="25"/>
  <c r="M40" i="25"/>
  <c r="L40" i="25"/>
  <c r="K40" i="25"/>
  <c r="R39" i="25"/>
  <c r="M39" i="25"/>
  <c r="L39" i="25"/>
  <c r="K39" i="25"/>
  <c r="R38" i="25"/>
  <c r="H151" i="25" s="1"/>
  <c r="M38" i="25"/>
  <c r="L38" i="25"/>
  <c r="C151" i="25" s="1"/>
  <c r="K38" i="25"/>
  <c r="R37" i="25"/>
  <c r="M37" i="25"/>
  <c r="L37" i="25"/>
  <c r="K37" i="25"/>
  <c r="R36" i="25"/>
  <c r="J150" i="25" s="1"/>
  <c r="M36" i="25"/>
  <c r="L36" i="25"/>
  <c r="C150" i="25" s="1"/>
  <c r="K36" i="25"/>
  <c r="R35" i="25"/>
  <c r="M35" i="25"/>
  <c r="L35" i="25"/>
  <c r="K35" i="25"/>
  <c r="E35" i="25"/>
  <c r="U149" i="25" s="1"/>
  <c r="R34" i="25"/>
  <c r="M34" i="25"/>
  <c r="L34" i="25"/>
  <c r="K34" i="25"/>
  <c r="R33" i="25"/>
  <c r="M33" i="25"/>
  <c r="L33" i="25"/>
  <c r="K33" i="25"/>
  <c r="R32" i="25"/>
  <c r="M32" i="25"/>
  <c r="L32" i="25"/>
  <c r="K32" i="25"/>
  <c r="R31" i="25"/>
  <c r="M31" i="25"/>
  <c r="L31" i="25"/>
  <c r="K31" i="25"/>
  <c r="R30" i="25"/>
  <c r="H147" i="25" s="1"/>
  <c r="M30" i="25"/>
  <c r="D147" i="25" s="1"/>
  <c r="L30" i="25"/>
  <c r="K30" i="25"/>
  <c r="R29" i="25"/>
  <c r="M29" i="25"/>
  <c r="L29" i="25"/>
  <c r="K29" i="25"/>
  <c r="E29" i="25"/>
  <c r="S146" i="25" s="1"/>
  <c r="R28" i="25"/>
  <c r="M28" i="25"/>
  <c r="L28" i="25"/>
  <c r="K28" i="25"/>
  <c r="R27" i="25"/>
  <c r="M27" i="25"/>
  <c r="L27" i="25"/>
  <c r="K27" i="25"/>
  <c r="E27" i="25"/>
  <c r="R26" i="25"/>
  <c r="M26" i="25"/>
  <c r="L26" i="25"/>
  <c r="K26" i="25"/>
  <c r="R25" i="25"/>
  <c r="M25" i="25"/>
  <c r="L25" i="25"/>
  <c r="K25" i="25"/>
  <c r="E25" i="25"/>
  <c r="R24" i="25"/>
  <c r="M24" i="25"/>
  <c r="L24" i="25"/>
  <c r="K24" i="25"/>
  <c r="R23" i="25"/>
  <c r="M23" i="25"/>
  <c r="L23" i="25"/>
  <c r="K23" i="25"/>
  <c r="R22" i="25"/>
  <c r="M22" i="25"/>
  <c r="L22" i="25"/>
  <c r="K22" i="25"/>
  <c r="R21" i="25"/>
  <c r="M21" i="25"/>
  <c r="L21" i="25"/>
  <c r="K21" i="25"/>
  <c r="R20" i="25"/>
  <c r="M20" i="25"/>
  <c r="L20" i="25"/>
  <c r="K20" i="25"/>
  <c r="R19" i="25"/>
  <c r="M19" i="25"/>
  <c r="L19" i="25"/>
  <c r="K19" i="25"/>
  <c r="R18" i="25"/>
  <c r="M18" i="25"/>
  <c r="L18" i="25"/>
  <c r="C141" i="25" s="1"/>
  <c r="K18" i="25"/>
  <c r="R17" i="25"/>
  <c r="M17" i="25"/>
  <c r="L17" i="25"/>
  <c r="K17" i="25"/>
  <c r="E17" i="25"/>
  <c r="R16" i="25"/>
  <c r="M16" i="25"/>
  <c r="L16" i="25"/>
  <c r="K16" i="25"/>
  <c r="R15" i="25"/>
  <c r="M15" i="25"/>
  <c r="L15" i="25"/>
  <c r="K15" i="25"/>
  <c r="R14" i="25"/>
  <c r="L139" i="25" s="1"/>
  <c r="M14" i="25"/>
  <c r="L14" i="25"/>
  <c r="C139" i="25" s="1"/>
  <c r="K14" i="25"/>
  <c r="R13" i="25"/>
  <c r="M13" i="25"/>
  <c r="L13" i="25"/>
  <c r="K13" i="25"/>
  <c r="R12" i="25"/>
  <c r="J138" i="25" s="1"/>
  <c r="M12" i="25"/>
  <c r="D138" i="25" s="1"/>
  <c r="L12" i="25"/>
  <c r="K12" i="25"/>
  <c r="B138" i="25" s="1"/>
  <c r="R11" i="25"/>
  <c r="M11" i="25"/>
  <c r="L11" i="25"/>
  <c r="K11" i="25"/>
  <c r="R10" i="25"/>
  <c r="M10" i="25"/>
  <c r="L10" i="25"/>
  <c r="C137" i="25" s="1"/>
  <c r="K10" i="25"/>
  <c r="R9" i="25"/>
  <c r="M9" i="25"/>
  <c r="L9" i="25"/>
  <c r="K9" i="25"/>
  <c r="E9" i="25"/>
  <c r="R8" i="25"/>
  <c r="M8" i="25"/>
  <c r="L8" i="25"/>
  <c r="K8" i="25"/>
  <c r="B136" i="25" s="1"/>
  <c r="U152" i="26"/>
  <c r="T152" i="26"/>
  <c r="S152" i="26"/>
  <c r="U151" i="26"/>
  <c r="T151" i="26"/>
  <c r="S151" i="26"/>
  <c r="U147" i="26"/>
  <c r="T147" i="26"/>
  <c r="S147" i="26"/>
  <c r="U132" i="26"/>
  <c r="T132" i="26"/>
  <c r="S132" i="26"/>
  <c r="U128" i="26"/>
  <c r="T128" i="26"/>
  <c r="S128" i="26"/>
  <c r="U127" i="26"/>
  <c r="T127" i="26"/>
  <c r="S127" i="26"/>
  <c r="U125" i="26"/>
  <c r="T125" i="26"/>
  <c r="S125" i="26"/>
  <c r="U124" i="26"/>
  <c r="T124" i="26"/>
  <c r="S124" i="26"/>
  <c r="U123" i="26"/>
  <c r="T123" i="26"/>
  <c r="S123" i="26"/>
  <c r="U121" i="26"/>
  <c r="T121" i="26"/>
  <c r="S121" i="26"/>
  <c r="U120" i="26"/>
  <c r="T120" i="26"/>
  <c r="S120" i="26"/>
  <c r="U118" i="26"/>
  <c r="T118" i="26"/>
  <c r="S118" i="26"/>
  <c r="R77" i="26"/>
  <c r="M77" i="26"/>
  <c r="L77" i="26"/>
  <c r="K77" i="26"/>
  <c r="R76" i="26"/>
  <c r="M76" i="26"/>
  <c r="D152" i="26" s="1"/>
  <c r="L76" i="26"/>
  <c r="K76" i="26"/>
  <c r="B152" i="26" s="1"/>
  <c r="R75" i="26"/>
  <c r="M75" i="26"/>
  <c r="L75" i="26"/>
  <c r="K75" i="26"/>
  <c r="R74" i="26"/>
  <c r="M74" i="26"/>
  <c r="D151" i="26" s="1"/>
  <c r="L74" i="26"/>
  <c r="K74" i="26"/>
  <c r="B151" i="26" s="1"/>
  <c r="R73" i="26"/>
  <c r="M73" i="26"/>
  <c r="L73" i="26"/>
  <c r="K73" i="26"/>
  <c r="E73" i="26"/>
  <c r="U150" i="26" s="1"/>
  <c r="R72" i="26"/>
  <c r="M72" i="26"/>
  <c r="L72" i="26"/>
  <c r="K72" i="26"/>
  <c r="R71" i="26"/>
  <c r="M71" i="26"/>
  <c r="L71" i="26"/>
  <c r="K71" i="26"/>
  <c r="E71" i="26"/>
  <c r="R70" i="26"/>
  <c r="M70" i="26"/>
  <c r="L70" i="26"/>
  <c r="K70" i="26"/>
  <c r="R69" i="26"/>
  <c r="M69" i="26"/>
  <c r="L69" i="26"/>
  <c r="K69" i="26"/>
  <c r="E69" i="26"/>
  <c r="S148" i="26" s="1"/>
  <c r="R68" i="26"/>
  <c r="M68" i="26"/>
  <c r="L68" i="26"/>
  <c r="K68" i="26"/>
  <c r="R67" i="26"/>
  <c r="M67" i="26"/>
  <c r="L67" i="26"/>
  <c r="K67" i="26"/>
  <c r="R66" i="26"/>
  <c r="L147" i="26" s="1"/>
  <c r="M66" i="26"/>
  <c r="L66" i="26"/>
  <c r="K66" i="26"/>
  <c r="R65" i="26"/>
  <c r="M65" i="26"/>
  <c r="L65" i="26"/>
  <c r="K65" i="26"/>
  <c r="E65" i="26"/>
  <c r="S146" i="26" s="1"/>
  <c r="R64" i="26"/>
  <c r="M64" i="26"/>
  <c r="L64" i="26"/>
  <c r="K64" i="26"/>
  <c r="R63" i="26"/>
  <c r="M63" i="26"/>
  <c r="L63" i="26"/>
  <c r="K63" i="26"/>
  <c r="E63" i="26"/>
  <c r="U145" i="26" s="1"/>
  <c r="R62" i="26"/>
  <c r="M62" i="26"/>
  <c r="L62" i="26"/>
  <c r="K62" i="26"/>
  <c r="R61" i="26"/>
  <c r="M61" i="26"/>
  <c r="L61" i="26"/>
  <c r="K61" i="26"/>
  <c r="E61" i="26"/>
  <c r="S144" i="26" s="1"/>
  <c r="R60" i="26"/>
  <c r="M60" i="26"/>
  <c r="L60" i="26"/>
  <c r="K60" i="26"/>
  <c r="R59" i="26"/>
  <c r="M59" i="26"/>
  <c r="L59" i="26"/>
  <c r="K59" i="26"/>
  <c r="E59" i="26"/>
  <c r="T143" i="26" s="1"/>
  <c r="R58" i="26"/>
  <c r="M58" i="26"/>
  <c r="L58" i="26"/>
  <c r="K58" i="26"/>
  <c r="R57" i="26"/>
  <c r="M57" i="26"/>
  <c r="L57" i="26"/>
  <c r="K57" i="26"/>
  <c r="E57" i="26"/>
  <c r="S142" i="26" s="1"/>
  <c r="R56" i="26"/>
  <c r="M56" i="26"/>
  <c r="L56" i="26"/>
  <c r="K56" i="26"/>
  <c r="R55" i="26"/>
  <c r="M55" i="26"/>
  <c r="L55" i="26"/>
  <c r="K55" i="26"/>
  <c r="E55" i="26"/>
  <c r="S141" i="26" s="1"/>
  <c r="R54" i="26"/>
  <c r="J141" i="26" s="1"/>
  <c r="M54" i="26"/>
  <c r="L54" i="26"/>
  <c r="K54" i="26"/>
  <c r="R53" i="26"/>
  <c r="M53" i="26"/>
  <c r="L53" i="26"/>
  <c r="K53" i="26"/>
  <c r="E53" i="26"/>
  <c r="S140" i="26" s="1"/>
  <c r="R52" i="26"/>
  <c r="M52" i="26"/>
  <c r="L52" i="26"/>
  <c r="K52" i="26"/>
  <c r="R51" i="26"/>
  <c r="M51" i="26"/>
  <c r="L51" i="26"/>
  <c r="K51" i="26"/>
  <c r="E51" i="26"/>
  <c r="R50" i="26"/>
  <c r="M50" i="26"/>
  <c r="L50" i="26"/>
  <c r="K50" i="26"/>
  <c r="R49" i="26"/>
  <c r="M49" i="26"/>
  <c r="L49" i="26"/>
  <c r="K49" i="26"/>
  <c r="E49" i="26"/>
  <c r="S138" i="26" s="1"/>
  <c r="R48" i="26"/>
  <c r="M48" i="26"/>
  <c r="L48" i="26"/>
  <c r="K48" i="26"/>
  <c r="R47" i="26"/>
  <c r="M47" i="26"/>
  <c r="L47" i="26"/>
  <c r="K47" i="26"/>
  <c r="E47" i="26"/>
  <c r="S137" i="26" s="1"/>
  <c r="R46" i="26"/>
  <c r="M46" i="26"/>
  <c r="L46" i="26"/>
  <c r="K46" i="26"/>
  <c r="R45" i="26"/>
  <c r="M45" i="26"/>
  <c r="L45" i="26"/>
  <c r="K45" i="26"/>
  <c r="E45" i="26"/>
  <c r="T136" i="26" s="1"/>
  <c r="R44" i="26"/>
  <c r="M44" i="26"/>
  <c r="L44" i="26"/>
  <c r="K44" i="26"/>
  <c r="R43" i="26"/>
  <c r="M43" i="26"/>
  <c r="L43" i="26"/>
  <c r="K43" i="26"/>
  <c r="E43" i="26"/>
  <c r="T135" i="26" s="1"/>
  <c r="R42" i="26"/>
  <c r="M42" i="26"/>
  <c r="L42" i="26"/>
  <c r="K42" i="26"/>
  <c r="R41" i="26"/>
  <c r="M41" i="26"/>
  <c r="L41" i="26"/>
  <c r="K41" i="26"/>
  <c r="E41" i="26"/>
  <c r="S134" i="26" s="1"/>
  <c r="R40" i="26"/>
  <c r="M40" i="26"/>
  <c r="L40" i="26"/>
  <c r="K40" i="26"/>
  <c r="R39" i="26"/>
  <c r="M39" i="26"/>
  <c r="L39" i="26"/>
  <c r="K39" i="26"/>
  <c r="E39" i="26"/>
  <c r="T133" i="26" s="1"/>
  <c r="R38" i="26"/>
  <c r="M38" i="26"/>
  <c r="L38" i="26"/>
  <c r="K38" i="26"/>
  <c r="R37" i="26"/>
  <c r="M37" i="26"/>
  <c r="L37" i="26"/>
  <c r="K37" i="26"/>
  <c r="R36" i="26"/>
  <c r="M36" i="26"/>
  <c r="L36" i="26"/>
  <c r="K36" i="26"/>
  <c r="B132" i="26" s="1"/>
  <c r="R35" i="26"/>
  <c r="M35" i="26"/>
  <c r="L35" i="26"/>
  <c r="K35" i="26"/>
  <c r="E35" i="26"/>
  <c r="S131" i="26" s="1"/>
  <c r="R34" i="26"/>
  <c r="M34" i="26"/>
  <c r="L34" i="26"/>
  <c r="K34" i="26"/>
  <c r="R33" i="26"/>
  <c r="M33" i="26"/>
  <c r="L33" i="26"/>
  <c r="K33" i="26"/>
  <c r="E33" i="26"/>
  <c r="T130" i="26" s="1"/>
  <c r="R32" i="26"/>
  <c r="M32" i="26"/>
  <c r="L32" i="26"/>
  <c r="K32" i="26"/>
  <c r="R31" i="26"/>
  <c r="M31" i="26"/>
  <c r="L31" i="26"/>
  <c r="K31" i="26"/>
  <c r="E31" i="26"/>
  <c r="U129" i="26" s="1"/>
  <c r="R30" i="26"/>
  <c r="M30" i="26"/>
  <c r="L30" i="26"/>
  <c r="K30" i="26"/>
  <c r="R29" i="26"/>
  <c r="M29" i="26"/>
  <c r="L29" i="26"/>
  <c r="K29" i="26"/>
  <c r="R28" i="26"/>
  <c r="M28" i="26"/>
  <c r="D128" i="26" s="1"/>
  <c r="L28" i="26"/>
  <c r="K28" i="26"/>
  <c r="R27" i="26"/>
  <c r="M27" i="26"/>
  <c r="L27" i="26"/>
  <c r="K27" i="26"/>
  <c r="R26" i="26"/>
  <c r="M26" i="26"/>
  <c r="D127" i="26" s="1"/>
  <c r="L26" i="26"/>
  <c r="K26" i="26"/>
  <c r="B127" i="26" s="1"/>
  <c r="R25" i="26"/>
  <c r="M25" i="26"/>
  <c r="L25" i="26"/>
  <c r="K25" i="26"/>
  <c r="E25" i="26"/>
  <c r="U126" i="26" s="1"/>
  <c r="R24" i="26"/>
  <c r="M24" i="26"/>
  <c r="L24" i="26"/>
  <c r="K24" i="26"/>
  <c r="R23" i="26"/>
  <c r="M23" i="26"/>
  <c r="L23" i="26"/>
  <c r="K23" i="26"/>
  <c r="R22" i="26"/>
  <c r="J125" i="26" s="1"/>
  <c r="M22" i="26"/>
  <c r="L22" i="26"/>
  <c r="K22" i="26"/>
  <c r="R21" i="26"/>
  <c r="M21" i="26"/>
  <c r="L21" i="26"/>
  <c r="K21" i="26"/>
  <c r="R20" i="26"/>
  <c r="J124" i="26" s="1"/>
  <c r="M20" i="26"/>
  <c r="D124" i="26" s="1"/>
  <c r="L20" i="26"/>
  <c r="K20" i="26"/>
  <c r="R19" i="26"/>
  <c r="M19" i="26"/>
  <c r="L19" i="26"/>
  <c r="K19" i="26"/>
  <c r="R18" i="26"/>
  <c r="L123" i="26" s="1"/>
  <c r="M18" i="26"/>
  <c r="L18" i="26"/>
  <c r="K18" i="26"/>
  <c r="R17" i="26"/>
  <c r="M17" i="26"/>
  <c r="L17" i="26"/>
  <c r="K17" i="26"/>
  <c r="E17" i="26"/>
  <c r="U122" i="26" s="1"/>
  <c r="R16" i="26"/>
  <c r="M16" i="26"/>
  <c r="L16" i="26"/>
  <c r="K16" i="26"/>
  <c r="R15" i="26"/>
  <c r="M15" i="26"/>
  <c r="L15" i="26"/>
  <c r="K15" i="26"/>
  <c r="R14" i="26"/>
  <c r="H121" i="26" s="1"/>
  <c r="M14" i="26"/>
  <c r="L14" i="26"/>
  <c r="C121" i="26" s="1"/>
  <c r="K14" i="26"/>
  <c r="R13" i="26"/>
  <c r="M13" i="26"/>
  <c r="L13" i="26"/>
  <c r="K13" i="26"/>
  <c r="R12" i="26"/>
  <c r="M12" i="26"/>
  <c r="L12" i="26"/>
  <c r="C120" i="26" s="1"/>
  <c r="K12" i="26"/>
  <c r="R11" i="26"/>
  <c r="M11" i="26"/>
  <c r="L11" i="26"/>
  <c r="K11" i="26"/>
  <c r="E11" i="26"/>
  <c r="U119" i="26" s="1"/>
  <c r="R10" i="26"/>
  <c r="M10" i="26"/>
  <c r="L10" i="26"/>
  <c r="K10" i="26"/>
  <c r="R9" i="26"/>
  <c r="M9" i="26"/>
  <c r="L9" i="26"/>
  <c r="K9" i="26"/>
  <c r="R8" i="26"/>
  <c r="M8" i="26"/>
  <c r="D118" i="26" s="1"/>
  <c r="L8" i="26"/>
  <c r="K8" i="26"/>
  <c r="R7" i="26"/>
  <c r="M7" i="26"/>
  <c r="L7" i="26"/>
  <c r="K7" i="26"/>
  <c r="E7" i="26"/>
  <c r="U159" i="16"/>
  <c r="T159" i="16"/>
  <c r="S159" i="16"/>
  <c r="U158" i="16"/>
  <c r="T158" i="16"/>
  <c r="S158" i="16"/>
  <c r="U157" i="16"/>
  <c r="T157" i="16"/>
  <c r="S157" i="16"/>
  <c r="U156" i="16"/>
  <c r="T156" i="16"/>
  <c r="S156" i="16"/>
  <c r="U143" i="16"/>
  <c r="T143" i="16"/>
  <c r="S143" i="16"/>
  <c r="U139" i="16"/>
  <c r="T139" i="16"/>
  <c r="S139" i="16"/>
  <c r="U135" i="16"/>
  <c r="T135" i="16"/>
  <c r="S135" i="16"/>
  <c r="U133" i="16"/>
  <c r="T133" i="16"/>
  <c r="S133" i="16"/>
  <c r="U131" i="16"/>
  <c r="T131" i="16"/>
  <c r="S131" i="16"/>
  <c r="U129" i="16"/>
  <c r="T129" i="16"/>
  <c r="S129" i="16"/>
  <c r="U124" i="16"/>
  <c r="T124" i="16"/>
  <c r="S124" i="16"/>
  <c r="R82" i="16"/>
  <c r="M82" i="16"/>
  <c r="L82" i="16"/>
  <c r="K82" i="16"/>
  <c r="R81" i="16"/>
  <c r="M81" i="16"/>
  <c r="D159" i="16" s="1"/>
  <c r="L81" i="16"/>
  <c r="K81" i="16"/>
  <c r="R80" i="16"/>
  <c r="M80" i="16"/>
  <c r="L80" i="16"/>
  <c r="K80" i="16"/>
  <c r="R79" i="16"/>
  <c r="M79" i="16"/>
  <c r="D158" i="16" s="1"/>
  <c r="L79" i="16"/>
  <c r="K79" i="16"/>
  <c r="B158" i="16" s="1"/>
  <c r="R78" i="16"/>
  <c r="M78" i="16"/>
  <c r="L78" i="16"/>
  <c r="K78" i="16"/>
  <c r="R77" i="16"/>
  <c r="J157" i="16" s="1"/>
  <c r="M77" i="16"/>
  <c r="D157" i="16" s="1"/>
  <c r="L77" i="16"/>
  <c r="C157" i="16" s="1"/>
  <c r="K77" i="16"/>
  <c r="B157" i="16" s="1"/>
  <c r="R76" i="16"/>
  <c r="M76" i="16"/>
  <c r="L76" i="16"/>
  <c r="K76" i="16"/>
  <c r="R75" i="16"/>
  <c r="M75" i="16"/>
  <c r="L75" i="16"/>
  <c r="C156" i="16" s="1"/>
  <c r="K75" i="16"/>
  <c r="B156" i="16" s="1"/>
  <c r="R74" i="16"/>
  <c r="M74" i="16"/>
  <c r="L74" i="16"/>
  <c r="K74" i="16"/>
  <c r="E74" i="16"/>
  <c r="R73" i="16"/>
  <c r="L155" i="16" s="1"/>
  <c r="M73" i="16"/>
  <c r="L73" i="16"/>
  <c r="K73" i="16"/>
  <c r="R72" i="16"/>
  <c r="M72" i="16"/>
  <c r="L72" i="16"/>
  <c r="K72" i="16"/>
  <c r="E72" i="16"/>
  <c r="U154" i="16" s="1"/>
  <c r="R71" i="16"/>
  <c r="M71" i="16"/>
  <c r="L71" i="16"/>
  <c r="K71" i="16"/>
  <c r="B154" i="16" s="1"/>
  <c r="R70" i="16"/>
  <c r="M70" i="16"/>
  <c r="L70" i="16"/>
  <c r="K70" i="16"/>
  <c r="E70" i="16"/>
  <c r="T153" i="16" s="1"/>
  <c r="R69" i="16"/>
  <c r="M69" i="16"/>
  <c r="L69" i="16"/>
  <c r="C153" i="16" s="1"/>
  <c r="K69" i="16"/>
  <c r="R68" i="16"/>
  <c r="M68" i="16"/>
  <c r="L68" i="16"/>
  <c r="K68" i="16"/>
  <c r="E68" i="16"/>
  <c r="R67" i="16"/>
  <c r="M67" i="16"/>
  <c r="D152" i="16" s="1"/>
  <c r="L67" i="16"/>
  <c r="K67" i="16"/>
  <c r="R66" i="16"/>
  <c r="M66" i="16"/>
  <c r="L66" i="16"/>
  <c r="K66" i="16"/>
  <c r="E66" i="16"/>
  <c r="S151" i="16" s="1"/>
  <c r="R65" i="16"/>
  <c r="H151" i="16" s="1"/>
  <c r="M65" i="16"/>
  <c r="L65" i="16"/>
  <c r="K65" i="16"/>
  <c r="R64" i="16"/>
  <c r="M64" i="16"/>
  <c r="L64" i="16"/>
  <c r="K64" i="16"/>
  <c r="E64" i="16"/>
  <c r="U150" i="16" s="1"/>
  <c r="R63" i="16"/>
  <c r="M63" i="16"/>
  <c r="L63" i="16"/>
  <c r="K63" i="16"/>
  <c r="N63" i="16" s="1"/>
  <c r="R62" i="16"/>
  <c r="M62" i="16"/>
  <c r="L62" i="16"/>
  <c r="K62" i="16"/>
  <c r="E62" i="16"/>
  <c r="R61" i="16"/>
  <c r="M61" i="16"/>
  <c r="L61" i="16"/>
  <c r="K61" i="16"/>
  <c r="R60" i="16"/>
  <c r="M60" i="16"/>
  <c r="L60" i="16"/>
  <c r="K60" i="16"/>
  <c r="E60" i="16"/>
  <c r="S148" i="16" s="1"/>
  <c r="R59" i="16"/>
  <c r="M59" i="16"/>
  <c r="L59" i="16"/>
  <c r="K59" i="16"/>
  <c r="R58" i="16"/>
  <c r="M58" i="16"/>
  <c r="L58" i="16"/>
  <c r="K58" i="16"/>
  <c r="E58" i="16"/>
  <c r="R57" i="16"/>
  <c r="J147" i="16" s="1"/>
  <c r="M57" i="16"/>
  <c r="L57" i="16"/>
  <c r="K57" i="16"/>
  <c r="R56" i="16"/>
  <c r="M56" i="16"/>
  <c r="L56" i="16"/>
  <c r="K56" i="16"/>
  <c r="E56" i="16"/>
  <c r="S146" i="16" s="1"/>
  <c r="R55" i="16"/>
  <c r="M55" i="16"/>
  <c r="L55" i="16"/>
  <c r="K55" i="16"/>
  <c r="R54" i="16"/>
  <c r="M54" i="16"/>
  <c r="L54" i="16"/>
  <c r="K54" i="16"/>
  <c r="N54" i="16" s="1"/>
  <c r="E54" i="16"/>
  <c r="R53" i="16"/>
  <c r="M53" i="16"/>
  <c r="L53" i="16"/>
  <c r="K53" i="16"/>
  <c r="R52" i="16"/>
  <c r="M52" i="16"/>
  <c r="L52" i="16"/>
  <c r="K52" i="16"/>
  <c r="E52" i="16"/>
  <c r="R51" i="16"/>
  <c r="M51" i="16"/>
  <c r="L51" i="16"/>
  <c r="K51" i="16"/>
  <c r="R50" i="16"/>
  <c r="M50" i="16"/>
  <c r="L50" i="16"/>
  <c r="K50" i="16"/>
  <c r="R49" i="16"/>
  <c r="M49" i="16"/>
  <c r="L49" i="16"/>
  <c r="C143" i="16" s="1"/>
  <c r="K49" i="16"/>
  <c r="R48" i="16"/>
  <c r="M48" i="16"/>
  <c r="L48" i="16"/>
  <c r="K48" i="16"/>
  <c r="E48" i="16"/>
  <c r="R47" i="16"/>
  <c r="M47" i="16"/>
  <c r="L47" i="16"/>
  <c r="K47" i="16"/>
  <c r="R46" i="16"/>
  <c r="M46" i="16"/>
  <c r="L46" i="16"/>
  <c r="K46" i="16"/>
  <c r="E46" i="16"/>
  <c r="S141" i="16" s="1"/>
  <c r="R45" i="16"/>
  <c r="M45" i="16"/>
  <c r="L45" i="16"/>
  <c r="K45" i="16"/>
  <c r="N45" i="16" s="1"/>
  <c r="R44" i="16"/>
  <c r="M44" i="16"/>
  <c r="L44" i="16"/>
  <c r="K44" i="16"/>
  <c r="E44" i="16"/>
  <c r="S140" i="16" s="1"/>
  <c r="R43" i="16"/>
  <c r="M43" i="16"/>
  <c r="L43" i="16"/>
  <c r="K43" i="16"/>
  <c r="R42" i="16"/>
  <c r="M42" i="16"/>
  <c r="L42" i="16"/>
  <c r="K42" i="16"/>
  <c r="R41" i="16"/>
  <c r="J139" i="16" s="1"/>
  <c r="M41" i="16"/>
  <c r="L41" i="16"/>
  <c r="K41" i="16"/>
  <c r="R40" i="16"/>
  <c r="M40" i="16"/>
  <c r="L40" i="16"/>
  <c r="K40" i="16"/>
  <c r="E40" i="16"/>
  <c r="T138" i="16" s="1"/>
  <c r="R39" i="16"/>
  <c r="M39" i="16"/>
  <c r="L39" i="16"/>
  <c r="K39" i="16"/>
  <c r="R38" i="16"/>
  <c r="M38" i="16"/>
  <c r="L38" i="16"/>
  <c r="K38" i="16"/>
  <c r="E38" i="16"/>
  <c r="R37" i="16"/>
  <c r="H137" i="16" s="1"/>
  <c r="M37" i="16"/>
  <c r="L37" i="16"/>
  <c r="K37" i="16"/>
  <c r="R36" i="16"/>
  <c r="M36" i="16"/>
  <c r="L36" i="16"/>
  <c r="K36" i="16"/>
  <c r="E36" i="16"/>
  <c r="S136" i="16" s="1"/>
  <c r="R35" i="16"/>
  <c r="M35" i="16"/>
  <c r="L35" i="16"/>
  <c r="K35" i="16"/>
  <c r="R34" i="16"/>
  <c r="M34" i="16"/>
  <c r="L34" i="16"/>
  <c r="K34" i="16"/>
  <c r="R33" i="16"/>
  <c r="L135" i="16" s="1"/>
  <c r="M33" i="16"/>
  <c r="L33" i="16"/>
  <c r="C135" i="16" s="1"/>
  <c r="K33" i="16"/>
  <c r="B135" i="16" s="1"/>
  <c r="R32" i="16"/>
  <c r="M32" i="16"/>
  <c r="L32" i="16"/>
  <c r="K32" i="16"/>
  <c r="N32" i="16" s="1"/>
  <c r="E32" i="16"/>
  <c r="U134" i="16" s="1"/>
  <c r="R31" i="16"/>
  <c r="M31" i="16"/>
  <c r="L31" i="16"/>
  <c r="K31" i="16"/>
  <c r="R30" i="16"/>
  <c r="M30" i="16"/>
  <c r="L30" i="16"/>
  <c r="K30" i="16"/>
  <c r="R29" i="16"/>
  <c r="H133" i="16" s="1"/>
  <c r="M29" i="16"/>
  <c r="D133" i="16" s="1"/>
  <c r="L29" i="16"/>
  <c r="C133" i="16" s="1"/>
  <c r="K29" i="16"/>
  <c r="R28" i="16"/>
  <c r="M28" i="16"/>
  <c r="L28" i="16"/>
  <c r="K28" i="16"/>
  <c r="E28" i="16"/>
  <c r="R27" i="16"/>
  <c r="M27" i="16"/>
  <c r="L27" i="16"/>
  <c r="K27" i="16"/>
  <c r="R26" i="16"/>
  <c r="M26" i="16"/>
  <c r="L26" i="16"/>
  <c r="K26" i="16"/>
  <c r="R25" i="16"/>
  <c r="L131" i="16" s="1"/>
  <c r="M25" i="16"/>
  <c r="L25" i="16"/>
  <c r="K25" i="16"/>
  <c r="R24" i="16"/>
  <c r="M24" i="16"/>
  <c r="L24" i="16"/>
  <c r="K24" i="16"/>
  <c r="E24" i="16"/>
  <c r="R23" i="16"/>
  <c r="M23" i="16"/>
  <c r="L23" i="16"/>
  <c r="K23" i="16"/>
  <c r="R22" i="16"/>
  <c r="M22" i="16"/>
  <c r="L22" i="16"/>
  <c r="K22" i="16"/>
  <c r="R21" i="16"/>
  <c r="H129" i="16" s="1"/>
  <c r="M21" i="16"/>
  <c r="D129" i="16" s="1"/>
  <c r="L21" i="16"/>
  <c r="K21" i="16"/>
  <c r="R20" i="16"/>
  <c r="M20" i="16"/>
  <c r="L20" i="16"/>
  <c r="K20" i="16"/>
  <c r="E20" i="16"/>
  <c r="S128" i="16" s="1"/>
  <c r="R19" i="16"/>
  <c r="M19" i="16"/>
  <c r="L19" i="16"/>
  <c r="K19" i="16"/>
  <c r="R18" i="16"/>
  <c r="M18" i="16"/>
  <c r="L18" i="16"/>
  <c r="K18" i="16"/>
  <c r="R17" i="16"/>
  <c r="M17" i="16"/>
  <c r="L17" i="16"/>
  <c r="K17" i="16"/>
  <c r="E17" i="16"/>
  <c r="R16" i="16"/>
  <c r="M16" i="16"/>
  <c r="L16" i="16"/>
  <c r="K16" i="16"/>
  <c r="R15" i="16"/>
  <c r="M15" i="16"/>
  <c r="L15" i="16"/>
  <c r="K15" i="16"/>
  <c r="E15" i="16"/>
  <c r="S126" i="16" s="1"/>
  <c r="R14" i="16"/>
  <c r="M14" i="16"/>
  <c r="L14" i="16"/>
  <c r="K14" i="16"/>
  <c r="R13" i="16"/>
  <c r="M13" i="16"/>
  <c r="L13" i="16"/>
  <c r="K13" i="16"/>
  <c r="E13" i="16"/>
  <c r="U125" i="16" s="1"/>
  <c r="R12" i="16"/>
  <c r="M12" i="16"/>
  <c r="L12" i="16"/>
  <c r="K12" i="16"/>
  <c r="R11" i="16"/>
  <c r="M11" i="16"/>
  <c r="L11" i="16"/>
  <c r="K11" i="16"/>
  <c r="R10" i="16"/>
  <c r="M10" i="16"/>
  <c r="L10" i="16"/>
  <c r="K10" i="16"/>
  <c r="R9" i="16"/>
  <c r="M9" i="16"/>
  <c r="L9" i="16"/>
  <c r="K9" i="16"/>
  <c r="R8" i="16"/>
  <c r="J124" i="16" s="1"/>
  <c r="M8" i="16"/>
  <c r="L8" i="16"/>
  <c r="K8" i="16"/>
  <c r="R7" i="16"/>
  <c r="M7" i="16"/>
  <c r="L7" i="16"/>
  <c r="K7" i="16"/>
  <c r="E7" i="16"/>
  <c r="S123" i="16" s="1"/>
  <c r="U189" i="17"/>
  <c r="T189" i="17"/>
  <c r="S189" i="17"/>
  <c r="U188" i="17"/>
  <c r="T188" i="17"/>
  <c r="S188" i="17"/>
  <c r="U187" i="17"/>
  <c r="T187" i="17"/>
  <c r="S187" i="17"/>
  <c r="U186" i="17"/>
  <c r="T186" i="17"/>
  <c r="S186" i="17"/>
  <c r="U185" i="17"/>
  <c r="T185" i="17"/>
  <c r="S185" i="17"/>
  <c r="U184" i="17"/>
  <c r="T184" i="17"/>
  <c r="S184" i="17"/>
  <c r="U183" i="17"/>
  <c r="T183" i="17"/>
  <c r="S183" i="17"/>
  <c r="U181" i="17"/>
  <c r="T181" i="17"/>
  <c r="S181" i="17"/>
  <c r="U169" i="17"/>
  <c r="T169" i="17"/>
  <c r="S169" i="17"/>
  <c r="U165" i="17"/>
  <c r="T165" i="17"/>
  <c r="S165" i="17"/>
  <c r="U164" i="17"/>
  <c r="T164" i="17"/>
  <c r="S164" i="17"/>
  <c r="U161" i="17"/>
  <c r="S161" i="17"/>
  <c r="U159" i="17"/>
  <c r="T159" i="17"/>
  <c r="S159" i="17"/>
  <c r="U157" i="17"/>
  <c r="T157" i="17"/>
  <c r="S157" i="17"/>
  <c r="U156" i="17"/>
  <c r="T156" i="17"/>
  <c r="S156" i="17"/>
  <c r="U155" i="17"/>
  <c r="T155" i="17"/>
  <c r="S155" i="17"/>
  <c r="U152" i="17"/>
  <c r="T152" i="17"/>
  <c r="S152" i="17"/>
  <c r="U151" i="17"/>
  <c r="T151" i="17"/>
  <c r="S151" i="17"/>
  <c r="U147" i="17"/>
  <c r="U145" i="17"/>
  <c r="U144" i="17"/>
  <c r="U143" i="17"/>
  <c r="U141" i="17"/>
  <c r="T141" i="17"/>
  <c r="S141" i="17"/>
  <c r="U139" i="17"/>
  <c r="T139" i="17"/>
  <c r="S139" i="17"/>
  <c r="U137" i="17"/>
  <c r="T137" i="17"/>
  <c r="R115" i="17"/>
  <c r="M115" i="17"/>
  <c r="L115" i="17"/>
  <c r="K115" i="17"/>
  <c r="R114" i="17"/>
  <c r="M114" i="17"/>
  <c r="L114" i="17"/>
  <c r="K114" i="17"/>
  <c r="R113" i="17"/>
  <c r="M113" i="17"/>
  <c r="L113" i="17"/>
  <c r="K113" i="17"/>
  <c r="R112" i="17"/>
  <c r="M112" i="17"/>
  <c r="D188" i="17" s="1"/>
  <c r="L112" i="17"/>
  <c r="K112" i="17"/>
  <c r="R111" i="17"/>
  <c r="M111" i="17"/>
  <c r="L111" i="17"/>
  <c r="K111" i="17"/>
  <c r="R110" i="17"/>
  <c r="M110" i="17"/>
  <c r="L110" i="17"/>
  <c r="K110" i="17"/>
  <c r="R109" i="17"/>
  <c r="M109" i="17"/>
  <c r="L109" i="17"/>
  <c r="K109" i="17"/>
  <c r="R108" i="17"/>
  <c r="L186" i="17" s="1"/>
  <c r="M108" i="17"/>
  <c r="L108" i="17"/>
  <c r="K108" i="17"/>
  <c r="R107" i="17"/>
  <c r="M107" i="17"/>
  <c r="L107" i="17"/>
  <c r="K107" i="17"/>
  <c r="R106" i="17"/>
  <c r="L185" i="17" s="1"/>
  <c r="M106" i="17"/>
  <c r="L106" i="17"/>
  <c r="K106" i="17"/>
  <c r="R105" i="17"/>
  <c r="M105" i="17"/>
  <c r="L105" i="17"/>
  <c r="K105" i="17"/>
  <c r="R104" i="17"/>
  <c r="M104" i="17"/>
  <c r="L104" i="17"/>
  <c r="K104" i="17"/>
  <c r="R103" i="17"/>
  <c r="M103" i="17"/>
  <c r="L103" i="17"/>
  <c r="K103" i="17"/>
  <c r="R102" i="17"/>
  <c r="M102" i="17"/>
  <c r="D183" i="17" s="1"/>
  <c r="L102" i="17"/>
  <c r="K102" i="17"/>
  <c r="B183" i="17" s="1"/>
  <c r="R101" i="17"/>
  <c r="M101" i="17"/>
  <c r="L101" i="17"/>
  <c r="K101" i="17"/>
  <c r="R100" i="17"/>
  <c r="M100" i="17"/>
  <c r="L100" i="17"/>
  <c r="K100" i="17"/>
  <c r="E100" i="17"/>
  <c r="R99" i="17"/>
  <c r="M99" i="17"/>
  <c r="L99" i="17"/>
  <c r="K99" i="17"/>
  <c r="R98" i="17"/>
  <c r="M98" i="17"/>
  <c r="L98" i="17"/>
  <c r="K98" i="17"/>
  <c r="R97" i="17"/>
  <c r="M97" i="17"/>
  <c r="L97" i="17"/>
  <c r="K97" i="17"/>
  <c r="E97" i="17"/>
  <c r="S180" i="17" s="1"/>
  <c r="R96" i="17"/>
  <c r="M96" i="17"/>
  <c r="L96" i="17"/>
  <c r="K96" i="17"/>
  <c r="R95" i="17"/>
  <c r="M95" i="17"/>
  <c r="L95" i="17"/>
  <c r="K95" i="17"/>
  <c r="E95" i="17"/>
  <c r="U179" i="17" s="1"/>
  <c r="R94" i="17"/>
  <c r="M94" i="17"/>
  <c r="L94" i="17"/>
  <c r="K94" i="17"/>
  <c r="R93" i="17"/>
  <c r="M93" i="17"/>
  <c r="L93" i="17"/>
  <c r="K93" i="17"/>
  <c r="E93" i="17"/>
  <c r="R92" i="17"/>
  <c r="M92" i="17"/>
  <c r="L92" i="17"/>
  <c r="K92" i="17"/>
  <c r="R91" i="17"/>
  <c r="M91" i="17"/>
  <c r="L91" i="17"/>
  <c r="K91" i="17"/>
  <c r="E91" i="17"/>
  <c r="T177" i="17" s="1"/>
  <c r="R90" i="17"/>
  <c r="M90" i="17"/>
  <c r="L90" i="17"/>
  <c r="K90" i="17"/>
  <c r="R89" i="17"/>
  <c r="M89" i="17"/>
  <c r="L89" i="17"/>
  <c r="K89" i="17"/>
  <c r="E89" i="17"/>
  <c r="S176" i="17" s="1"/>
  <c r="R88" i="17"/>
  <c r="M88" i="17"/>
  <c r="L88" i="17"/>
  <c r="K88" i="17"/>
  <c r="R87" i="17"/>
  <c r="M87" i="17"/>
  <c r="L87" i="17"/>
  <c r="K87" i="17"/>
  <c r="E87" i="17"/>
  <c r="U175" i="17" s="1"/>
  <c r="R86" i="17"/>
  <c r="M86" i="17"/>
  <c r="L86" i="17"/>
  <c r="K86" i="17"/>
  <c r="R85" i="17"/>
  <c r="M85" i="17"/>
  <c r="L85" i="17"/>
  <c r="K85" i="17"/>
  <c r="E85" i="17"/>
  <c r="U174" i="17" s="1"/>
  <c r="R84" i="17"/>
  <c r="M84" i="17"/>
  <c r="L84" i="17"/>
  <c r="K84" i="17"/>
  <c r="R83" i="17"/>
  <c r="M83" i="17"/>
  <c r="L83" i="17"/>
  <c r="K83" i="17"/>
  <c r="E83" i="17"/>
  <c r="S173" i="17" s="1"/>
  <c r="R82" i="17"/>
  <c r="M82" i="17"/>
  <c r="L82" i="17"/>
  <c r="K82" i="17"/>
  <c r="R81" i="17"/>
  <c r="M81" i="17"/>
  <c r="L81" i="17"/>
  <c r="K81" i="17"/>
  <c r="E81" i="17"/>
  <c r="R80" i="17"/>
  <c r="M80" i="17"/>
  <c r="L80" i="17"/>
  <c r="K80" i="17"/>
  <c r="R79" i="17"/>
  <c r="M79" i="17"/>
  <c r="L79" i="17"/>
  <c r="K79" i="17"/>
  <c r="E79" i="17"/>
  <c r="U171" i="17" s="1"/>
  <c r="R78" i="17"/>
  <c r="M78" i="17"/>
  <c r="L78" i="17"/>
  <c r="K78" i="17"/>
  <c r="R77" i="17"/>
  <c r="M77" i="17"/>
  <c r="L77" i="17"/>
  <c r="K77" i="17"/>
  <c r="E77" i="17"/>
  <c r="U170" i="17" s="1"/>
  <c r="R76" i="17"/>
  <c r="M76" i="17"/>
  <c r="L76" i="17"/>
  <c r="K76" i="17"/>
  <c r="R75" i="17"/>
  <c r="M75" i="17"/>
  <c r="L75" i="17"/>
  <c r="K75" i="17"/>
  <c r="R74" i="17"/>
  <c r="M74" i="17"/>
  <c r="L74" i="17"/>
  <c r="K74" i="17"/>
  <c r="R73" i="17"/>
  <c r="M73" i="17"/>
  <c r="L73" i="17"/>
  <c r="K73" i="17"/>
  <c r="E73" i="17"/>
  <c r="U168" i="17" s="1"/>
  <c r="R72" i="17"/>
  <c r="M72" i="17"/>
  <c r="L72" i="17"/>
  <c r="K72" i="17"/>
  <c r="R71" i="17"/>
  <c r="M71" i="17"/>
  <c r="L71" i="17"/>
  <c r="K71" i="17"/>
  <c r="E71" i="17"/>
  <c r="S167" i="17" s="1"/>
  <c r="R70" i="17"/>
  <c r="M70" i="17"/>
  <c r="L70" i="17"/>
  <c r="K70" i="17"/>
  <c r="R69" i="17"/>
  <c r="M69" i="17"/>
  <c r="L69" i="17"/>
  <c r="K69" i="17"/>
  <c r="E69" i="17"/>
  <c r="U166" i="17" s="1"/>
  <c r="R68" i="17"/>
  <c r="M68" i="17"/>
  <c r="L68" i="17"/>
  <c r="K68" i="17"/>
  <c r="R67" i="17"/>
  <c r="M67" i="17"/>
  <c r="L67" i="17"/>
  <c r="K67" i="17"/>
  <c r="R66" i="17"/>
  <c r="M66" i="17"/>
  <c r="L66" i="17"/>
  <c r="K66" i="17"/>
  <c r="R65" i="17"/>
  <c r="M65" i="17"/>
  <c r="L65" i="17"/>
  <c r="K65" i="17"/>
  <c r="R64" i="17"/>
  <c r="M64" i="17"/>
  <c r="L64" i="17"/>
  <c r="K64" i="17"/>
  <c r="R63" i="17"/>
  <c r="M63" i="17"/>
  <c r="L63" i="17"/>
  <c r="K63" i="17"/>
  <c r="E63" i="17"/>
  <c r="M62" i="17"/>
  <c r="L62" i="17"/>
  <c r="K62" i="17"/>
  <c r="R61" i="17"/>
  <c r="M61" i="17"/>
  <c r="L61" i="17"/>
  <c r="K61" i="17"/>
  <c r="E61" i="17"/>
  <c r="M60" i="17"/>
  <c r="L60" i="17"/>
  <c r="K60" i="17"/>
  <c r="R59" i="17"/>
  <c r="M59" i="17"/>
  <c r="L59" i="17"/>
  <c r="K59" i="17"/>
  <c r="R58" i="17"/>
  <c r="M58" i="17"/>
  <c r="L58" i="17"/>
  <c r="K58" i="17"/>
  <c r="R57" i="17"/>
  <c r="M57" i="17"/>
  <c r="L57" i="17"/>
  <c r="K57" i="17"/>
  <c r="E57" i="17"/>
  <c r="U160" i="17" s="1"/>
  <c r="R56" i="17"/>
  <c r="M56" i="17"/>
  <c r="L56" i="17"/>
  <c r="K56" i="17"/>
  <c r="R55" i="17"/>
  <c r="M55" i="17"/>
  <c r="L55" i="17"/>
  <c r="K55" i="17"/>
  <c r="R54" i="17"/>
  <c r="H159" i="17" s="1"/>
  <c r="M54" i="17"/>
  <c r="L54" i="17"/>
  <c r="K54" i="17"/>
  <c r="R53" i="17"/>
  <c r="M53" i="17"/>
  <c r="L53" i="17"/>
  <c r="K53" i="17"/>
  <c r="E53" i="17"/>
  <c r="T158" i="17" s="1"/>
  <c r="R52" i="17"/>
  <c r="M52" i="17"/>
  <c r="L52" i="17"/>
  <c r="K52" i="17"/>
  <c r="R51" i="17"/>
  <c r="M51" i="17"/>
  <c r="L51" i="17"/>
  <c r="K51" i="17"/>
  <c r="R50" i="17"/>
  <c r="M50" i="17"/>
  <c r="L50" i="17"/>
  <c r="K50" i="17"/>
  <c r="R49" i="17"/>
  <c r="M49" i="17"/>
  <c r="L49" i="17"/>
  <c r="K49" i="17"/>
  <c r="B157" i="17" s="1"/>
  <c r="R48" i="17"/>
  <c r="M48" i="17"/>
  <c r="L48" i="17"/>
  <c r="K48" i="17"/>
  <c r="R47" i="17"/>
  <c r="M47" i="17"/>
  <c r="L47" i="17"/>
  <c r="K47" i="17"/>
  <c r="R46" i="17"/>
  <c r="M46" i="17"/>
  <c r="L46" i="17"/>
  <c r="K46" i="17"/>
  <c r="R45" i="17"/>
  <c r="M45" i="17"/>
  <c r="L45" i="17"/>
  <c r="K45" i="17"/>
  <c r="R44" i="17"/>
  <c r="M44" i="17"/>
  <c r="L44" i="17"/>
  <c r="K44" i="17"/>
  <c r="E44" i="17"/>
  <c r="U154" i="17" s="1"/>
  <c r="R43" i="17"/>
  <c r="M43" i="17"/>
  <c r="L43" i="17"/>
  <c r="K43" i="17"/>
  <c r="R42" i="17"/>
  <c r="M42" i="17"/>
  <c r="L42" i="17"/>
  <c r="K42" i="17"/>
  <c r="E42" i="17"/>
  <c r="U153" i="17" s="1"/>
  <c r="R41" i="17"/>
  <c r="M41" i="17"/>
  <c r="L41" i="17"/>
  <c r="K41" i="17"/>
  <c r="R40" i="17"/>
  <c r="M40" i="17"/>
  <c r="L40" i="17"/>
  <c r="K40" i="17"/>
  <c r="R39" i="17"/>
  <c r="H152" i="17" s="1"/>
  <c r="M39" i="17"/>
  <c r="L39" i="17"/>
  <c r="K39" i="17"/>
  <c r="R38" i="17"/>
  <c r="M38" i="17"/>
  <c r="L38" i="17"/>
  <c r="K38" i="17"/>
  <c r="R37" i="17"/>
  <c r="H151" i="17" s="1"/>
  <c r="M37" i="17"/>
  <c r="L37" i="17"/>
  <c r="K37" i="17"/>
  <c r="R36" i="17"/>
  <c r="M36" i="17"/>
  <c r="L36" i="17"/>
  <c r="K36" i="17"/>
  <c r="E36" i="17"/>
  <c r="M35" i="17"/>
  <c r="L35" i="17"/>
  <c r="K35" i="17"/>
  <c r="M34" i="17"/>
  <c r="L34" i="17"/>
  <c r="K34" i="17"/>
  <c r="E34" i="17"/>
  <c r="U149" i="17" s="1"/>
  <c r="R33" i="17"/>
  <c r="M33" i="17"/>
  <c r="L33" i="17"/>
  <c r="K33" i="17"/>
  <c r="R32" i="17"/>
  <c r="M32" i="17"/>
  <c r="L32" i="17"/>
  <c r="K32" i="17"/>
  <c r="E32" i="17"/>
  <c r="U148" i="17" s="1"/>
  <c r="M31" i="17"/>
  <c r="L31" i="17"/>
  <c r="K31" i="17"/>
  <c r="R30" i="17"/>
  <c r="M30" i="17"/>
  <c r="L30" i="17"/>
  <c r="K30" i="17"/>
  <c r="T147" i="17"/>
  <c r="M29" i="17"/>
  <c r="L29" i="17"/>
  <c r="K29" i="17"/>
  <c r="R28" i="17"/>
  <c r="M28" i="17"/>
  <c r="L28" i="17"/>
  <c r="K28" i="17"/>
  <c r="E28" i="17"/>
  <c r="T146" i="17" s="1"/>
  <c r="M27" i="17"/>
  <c r="L27" i="17"/>
  <c r="K27" i="17"/>
  <c r="R26" i="17"/>
  <c r="M26" i="17"/>
  <c r="L26" i="17"/>
  <c r="K26" i="17"/>
  <c r="T145" i="17"/>
  <c r="M25" i="17"/>
  <c r="L25" i="17"/>
  <c r="K25" i="17"/>
  <c r="R24" i="17"/>
  <c r="M24" i="17"/>
  <c r="L24" i="17"/>
  <c r="K24" i="17"/>
  <c r="M23" i="17"/>
  <c r="L23" i="17"/>
  <c r="K23" i="17"/>
  <c r="R22" i="17"/>
  <c r="M22" i="17"/>
  <c r="L22" i="17"/>
  <c r="K22" i="17"/>
  <c r="M21" i="17"/>
  <c r="L21" i="17"/>
  <c r="K21" i="17"/>
  <c r="M20" i="17"/>
  <c r="L20" i="17"/>
  <c r="K20" i="17"/>
  <c r="E20" i="17"/>
  <c r="R19" i="17"/>
  <c r="M19" i="17"/>
  <c r="L19" i="17"/>
  <c r="K19" i="17"/>
  <c r="R18" i="17"/>
  <c r="M18" i="17"/>
  <c r="L18" i="17"/>
  <c r="K18" i="17"/>
  <c r="R17" i="17"/>
  <c r="L141" i="17" s="1"/>
  <c r="M17" i="17"/>
  <c r="L17" i="17"/>
  <c r="K17" i="17"/>
  <c r="R16" i="17"/>
  <c r="M16" i="17"/>
  <c r="L16" i="17"/>
  <c r="K16" i="17"/>
  <c r="E16" i="17"/>
  <c r="U140" i="17" s="1"/>
  <c r="M15" i="17"/>
  <c r="L15" i="17"/>
  <c r="K15" i="17"/>
  <c r="R14" i="17"/>
  <c r="M14" i="17"/>
  <c r="L14" i="17"/>
  <c r="K14" i="17"/>
  <c r="R13" i="17"/>
  <c r="M13" i="17"/>
  <c r="L13" i="17"/>
  <c r="K13" i="17"/>
  <c r="R12" i="17"/>
  <c r="M12" i="17"/>
  <c r="L12" i="17"/>
  <c r="K12" i="17"/>
  <c r="R11" i="17"/>
  <c r="M11" i="17"/>
  <c r="L11" i="17"/>
  <c r="K11" i="17"/>
  <c r="E11" i="17"/>
  <c r="R10" i="17"/>
  <c r="M10" i="17"/>
  <c r="L10" i="17"/>
  <c r="K10" i="17"/>
  <c r="R9" i="17"/>
  <c r="M9" i="17"/>
  <c r="L9" i="17"/>
  <c r="K9" i="17"/>
  <c r="R8" i="17"/>
  <c r="M8" i="17"/>
  <c r="L8" i="17"/>
  <c r="K8" i="17"/>
  <c r="B137" i="17" s="1"/>
  <c r="U191" i="18"/>
  <c r="T191" i="18"/>
  <c r="S191" i="18"/>
  <c r="U190" i="18"/>
  <c r="T190" i="18"/>
  <c r="U189" i="18"/>
  <c r="T189" i="18"/>
  <c r="S189" i="18"/>
  <c r="U188" i="18"/>
  <c r="T188" i="18"/>
  <c r="S188" i="18"/>
  <c r="U186" i="18"/>
  <c r="T186" i="18"/>
  <c r="S186" i="18"/>
  <c r="U185" i="18"/>
  <c r="T185" i="18"/>
  <c r="S185" i="18"/>
  <c r="U179" i="18"/>
  <c r="T179" i="18"/>
  <c r="S179" i="18"/>
  <c r="U171" i="18"/>
  <c r="T171" i="18"/>
  <c r="S171" i="18"/>
  <c r="U167" i="18"/>
  <c r="T167" i="18"/>
  <c r="S167" i="18"/>
  <c r="U165" i="18"/>
  <c r="T165" i="18"/>
  <c r="S165" i="18"/>
  <c r="U164" i="18"/>
  <c r="T164" i="18"/>
  <c r="S164" i="18"/>
  <c r="U162" i="18"/>
  <c r="T162" i="18"/>
  <c r="S162" i="18"/>
  <c r="U161" i="18"/>
  <c r="T161" i="18"/>
  <c r="S161" i="18"/>
  <c r="U159" i="18"/>
  <c r="T159" i="18"/>
  <c r="S159" i="18"/>
  <c r="U158" i="18"/>
  <c r="T158" i="18"/>
  <c r="S158" i="18"/>
  <c r="U156" i="18"/>
  <c r="T156" i="18"/>
  <c r="S156" i="18"/>
  <c r="U155" i="18"/>
  <c r="T155" i="18"/>
  <c r="S155" i="18"/>
  <c r="U152" i="18"/>
  <c r="T152" i="18"/>
  <c r="S152" i="18"/>
  <c r="U150" i="18"/>
  <c r="T150" i="18"/>
  <c r="S150" i="18"/>
  <c r="U149" i="18"/>
  <c r="T149" i="18"/>
  <c r="S149" i="18"/>
  <c r="U147" i="18"/>
  <c r="T147" i="18"/>
  <c r="S147" i="18"/>
  <c r="U146" i="18"/>
  <c r="T146" i="18"/>
  <c r="S146" i="18"/>
  <c r="U144" i="18"/>
  <c r="T144" i="18"/>
  <c r="S144" i="18"/>
  <c r="U143" i="18"/>
  <c r="T143" i="18"/>
  <c r="S143" i="18"/>
  <c r="U141" i="18"/>
  <c r="T141" i="18"/>
  <c r="S141" i="18"/>
  <c r="U140" i="18"/>
  <c r="T140" i="18"/>
  <c r="S140" i="18"/>
  <c r="R116" i="18"/>
  <c r="M116" i="18"/>
  <c r="L116" i="18"/>
  <c r="K116" i="18"/>
  <c r="R115" i="18"/>
  <c r="J191" i="18" s="1"/>
  <c r="M115" i="18"/>
  <c r="L115" i="18"/>
  <c r="K115" i="18"/>
  <c r="R114" i="18"/>
  <c r="M114" i="18"/>
  <c r="L114" i="18"/>
  <c r="K114" i="18"/>
  <c r="R113" i="18"/>
  <c r="J190" i="18" s="1"/>
  <c r="M113" i="18"/>
  <c r="L113" i="18"/>
  <c r="K113" i="18"/>
  <c r="R112" i="18"/>
  <c r="M112" i="18"/>
  <c r="L112" i="18"/>
  <c r="K112" i="18"/>
  <c r="R111" i="18"/>
  <c r="L189" i="18" s="1"/>
  <c r="M111" i="18"/>
  <c r="D189" i="18" s="1"/>
  <c r="L111" i="18"/>
  <c r="K111" i="18"/>
  <c r="R110" i="18"/>
  <c r="M110" i="18"/>
  <c r="L110" i="18"/>
  <c r="K110" i="18"/>
  <c r="R109" i="18"/>
  <c r="M109" i="18"/>
  <c r="L109" i="18"/>
  <c r="K109" i="18"/>
  <c r="M108" i="18"/>
  <c r="L108" i="18"/>
  <c r="K108" i="18"/>
  <c r="E108" i="18"/>
  <c r="S187" i="18" s="1"/>
  <c r="R107" i="18"/>
  <c r="M107" i="18"/>
  <c r="L107" i="18"/>
  <c r="K107" i="18"/>
  <c r="R106" i="18"/>
  <c r="M106" i="18"/>
  <c r="L106" i="18"/>
  <c r="K106" i="18"/>
  <c r="R105" i="18"/>
  <c r="L186" i="18" s="1"/>
  <c r="M105" i="18"/>
  <c r="L105" i="18"/>
  <c r="K105" i="18"/>
  <c r="R104" i="18"/>
  <c r="M104" i="18"/>
  <c r="L104" i="18"/>
  <c r="K104" i="18"/>
  <c r="R103" i="18"/>
  <c r="H185" i="18" s="1"/>
  <c r="M103" i="18"/>
  <c r="L103" i="18"/>
  <c r="K103" i="18"/>
  <c r="R102" i="18"/>
  <c r="M102" i="18"/>
  <c r="L102" i="18"/>
  <c r="K102" i="18"/>
  <c r="E102" i="18"/>
  <c r="U184" i="18" s="1"/>
  <c r="R101" i="18"/>
  <c r="M101" i="18"/>
  <c r="L101" i="18"/>
  <c r="K101" i="18"/>
  <c r="R100" i="18"/>
  <c r="M100" i="18"/>
  <c r="L100" i="18"/>
  <c r="K100" i="18"/>
  <c r="R99" i="18"/>
  <c r="M99" i="18"/>
  <c r="L99" i="18"/>
  <c r="K99" i="18"/>
  <c r="R98" i="18"/>
  <c r="M98" i="18"/>
  <c r="L98" i="18"/>
  <c r="K98" i="18"/>
  <c r="R97" i="18"/>
  <c r="M97" i="18"/>
  <c r="L97" i="18"/>
  <c r="K97" i="18"/>
  <c r="E97" i="18"/>
  <c r="U182" i="18" s="1"/>
  <c r="R96" i="18"/>
  <c r="M96" i="18"/>
  <c r="L96" i="18"/>
  <c r="K96" i="18"/>
  <c r="R95" i="18"/>
  <c r="M95" i="18"/>
  <c r="L95" i="18"/>
  <c r="K95" i="18"/>
  <c r="E95" i="18"/>
  <c r="U181" i="18" s="1"/>
  <c r="R94" i="18"/>
  <c r="M94" i="18"/>
  <c r="L94" i="18"/>
  <c r="K94" i="18"/>
  <c r="R93" i="18"/>
  <c r="M93" i="18"/>
  <c r="L93" i="18"/>
  <c r="K93" i="18"/>
  <c r="E93" i="18"/>
  <c r="T180" i="18" s="1"/>
  <c r="R92" i="18"/>
  <c r="J180" i="18" s="1"/>
  <c r="M92" i="18"/>
  <c r="L92" i="18"/>
  <c r="K92" i="18"/>
  <c r="R91" i="18"/>
  <c r="M91" i="18"/>
  <c r="L91" i="18"/>
  <c r="K91" i="18"/>
  <c r="R90" i="18"/>
  <c r="H179" i="18" s="1"/>
  <c r="M90" i="18"/>
  <c r="D179" i="18" s="1"/>
  <c r="L90" i="18"/>
  <c r="K90" i="18"/>
  <c r="R89" i="18"/>
  <c r="M89" i="18"/>
  <c r="L89" i="18"/>
  <c r="K89" i="18"/>
  <c r="E89" i="18"/>
  <c r="C178" i="18" s="1"/>
  <c r="R88" i="18"/>
  <c r="M88" i="18"/>
  <c r="L88" i="18"/>
  <c r="K88" i="18"/>
  <c r="N88" i="18" s="1"/>
  <c r="R87" i="18"/>
  <c r="M87" i="18"/>
  <c r="L87" i="18"/>
  <c r="K87" i="18"/>
  <c r="E87" i="18"/>
  <c r="R86" i="18"/>
  <c r="M86" i="18"/>
  <c r="L86" i="18"/>
  <c r="K86" i="18"/>
  <c r="R85" i="18"/>
  <c r="M85" i="18"/>
  <c r="L85" i="18"/>
  <c r="K85" i="18"/>
  <c r="E85" i="18"/>
  <c r="R84" i="18"/>
  <c r="M84" i="18"/>
  <c r="L84" i="18"/>
  <c r="K84" i="18"/>
  <c r="R83" i="18"/>
  <c r="M83" i="18"/>
  <c r="L83" i="18"/>
  <c r="K83" i="18"/>
  <c r="R81" i="18"/>
  <c r="M81" i="18"/>
  <c r="L81" i="18"/>
  <c r="K81" i="18"/>
  <c r="R80" i="18"/>
  <c r="M80" i="18"/>
  <c r="L80" i="18"/>
  <c r="K80" i="18"/>
  <c r="E80" i="18"/>
  <c r="U174" i="18" s="1"/>
  <c r="R79" i="18"/>
  <c r="M79" i="18"/>
  <c r="L79" i="18"/>
  <c r="K79" i="18"/>
  <c r="R78" i="18"/>
  <c r="M78" i="18"/>
  <c r="L78" i="18"/>
  <c r="K78" i="18"/>
  <c r="E78" i="18"/>
  <c r="T173" i="18" s="1"/>
  <c r="R77" i="18"/>
  <c r="M77" i="18"/>
  <c r="L77" i="18"/>
  <c r="K77" i="18"/>
  <c r="R76" i="18"/>
  <c r="M76" i="18"/>
  <c r="L76" i="18"/>
  <c r="K76" i="18"/>
  <c r="E76" i="18"/>
  <c r="S172" i="18" s="1"/>
  <c r="R75" i="18"/>
  <c r="M75" i="18"/>
  <c r="L75" i="18"/>
  <c r="K75" i="18"/>
  <c r="R74" i="18"/>
  <c r="M74" i="18"/>
  <c r="L74" i="18"/>
  <c r="K74" i="18"/>
  <c r="R73" i="18"/>
  <c r="M73" i="18"/>
  <c r="L73" i="18"/>
  <c r="K73" i="18"/>
  <c r="R72" i="18"/>
  <c r="M72" i="18"/>
  <c r="L72" i="18"/>
  <c r="K72" i="18"/>
  <c r="E72" i="18"/>
  <c r="R71" i="18"/>
  <c r="M71" i="18"/>
  <c r="L71" i="18"/>
  <c r="K71" i="18"/>
  <c r="R70" i="18"/>
  <c r="M70" i="18"/>
  <c r="L70" i="18"/>
  <c r="K70" i="18"/>
  <c r="E70" i="18"/>
  <c r="S169" i="18" s="1"/>
  <c r="R69" i="18"/>
  <c r="H169" i="18" s="1"/>
  <c r="M69" i="18"/>
  <c r="L69" i="18"/>
  <c r="K69" i="18"/>
  <c r="R68" i="18"/>
  <c r="M68" i="18"/>
  <c r="L68" i="18"/>
  <c r="K68" i="18"/>
  <c r="E68" i="18"/>
  <c r="U168" i="18" s="1"/>
  <c r="R67" i="18"/>
  <c r="M67" i="18"/>
  <c r="L67" i="18"/>
  <c r="K67" i="18"/>
  <c r="R66" i="18"/>
  <c r="M66" i="18"/>
  <c r="L66" i="18"/>
  <c r="K66" i="18"/>
  <c r="N66" i="18" s="1"/>
  <c r="R65" i="18"/>
  <c r="M65" i="18"/>
  <c r="L65" i="18"/>
  <c r="C167" i="18" s="1"/>
  <c r="K65" i="18"/>
  <c r="B167" i="18" s="1"/>
  <c r="R64" i="18"/>
  <c r="M64" i="18"/>
  <c r="L64" i="18"/>
  <c r="K64" i="18"/>
  <c r="E64" i="18"/>
  <c r="U166" i="18" s="1"/>
  <c r="R63" i="18"/>
  <c r="M63" i="18"/>
  <c r="L63" i="18"/>
  <c r="K63" i="18"/>
  <c r="R62" i="18"/>
  <c r="M62" i="18"/>
  <c r="L62" i="18"/>
  <c r="K62" i="18"/>
  <c r="R61" i="18"/>
  <c r="M61" i="18"/>
  <c r="D165" i="18" s="1"/>
  <c r="L61" i="18"/>
  <c r="K61" i="18"/>
  <c r="R60" i="18"/>
  <c r="M60" i="18"/>
  <c r="L60" i="18"/>
  <c r="K60" i="18"/>
  <c r="R59" i="18"/>
  <c r="L164" i="18" s="1"/>
  <c r="M59" i="18"/>
  <c r="L59" i="18"/>
  <c r="K59" i="18"/>
  <c r="B164" i="18" s="1"/>
  <c r="R58" i="18"/>
  <c r="M58" i="18"/>
  <c r="L58" i="18"/>
  <c r="K58" i="18"/>
  <c r="E58" i="18"/>
  <c r="R57" i="18"/>
  <c r="M57" i="18"/>
  <c r="L57" i="18"/>
  <c r="K57" i="18"/>
  <c r="R56" i="18"/>
  <c r="M56" i="18"/>
  <c r="L56" i="18"/>
  <c r="K56" i="18"/>
  <c r="R55" i="18"/>
  <c r="L162" i="18" s="1"/>
  <c r="M55" i="18"/>
  <c r="L55" i="18"/>
  <c r="K55" i="18"/>
  <c r="R54" i="18"/>
  <c r="M54" i="18"/>
  <c r="L54" i="18"/>
  <c r="K54" i="18"/>
  <c r="R53" i="18"/>
  <c r="M53" i="18"/>
  <c r="L53" i="18"/>
  <c r="C161" i="18" s="1"/>
  <c r="K53" i="18"/>
  <c r="R52" i="18"/>
  <c r="M52" i="18"/>
  <c r="L52" i="18"/>
  <c r="K52" i="18"/>
  <c r="E52" i="18"/>
  <c r="R51" i="18"/>
  <c r="M51" i="18"/>
  <c r="L51" i="18"/>
  <c r="K51" i="18"/>
  <c r="R50" i="18"/>
  <c r="M50" i="18"/>
  <c r="L50" i="18"/>
  <c r="K50" i="18"/>
  <c r="R49" i="18"/>
  <c r="J159" i="18" s="1"/>
  <c r="M49" i="18"/>
  <c r="L49" i="18"/>
  <c r="K49" i="18"/>
  <c r="R48" i="18"/>
  <c r="M48" i="18"/>
  <c r="L48" i="18"/>
  <c r="K48" i="18"/>
  <c r="R47" i="18"/>
  <c r="M47" i="18"/>
  <c r="L47" i="18"/>
  <c r="K47" i="18"/>
  <c r="R46" i="18"/>
  <c r="M46" i="18"/>
  <c r="L46" i="18"/>
  <c r="K46" i="18"/>
  <c r="E46" i="18"/>
  <c r="S157" i="18" s="1"/>
  <c r="R45" i="18"/>
  <c r="M45" i="18"/>
  <c r="L45" i="18"/>
  <c r="K45" i="18"/>
  <c r="R44" i="18"/>
  <c r="M44" i="18"/>
  <c r="L44" i="18"/>
  <c r="K44" i="18"/>
  <c r="R43" i="18"/>
  <c r="M43" i="18"/>
  <c r="L43" i="18"/>
  <c r="C156" i="18" s="1"/>
  <c r="K43" i="18"/>
  <c r="B156" i="18" s="1"/>
  <c r="R42" i="18"/>
  <c r="M42" i="18"/>
  <c r="L42" i="18"/>
  <c r="K42" i="18"/>
  <c r="R41" i="18"/>
  <c r="L155" i="18" s="1"/>
  <c r="M41" i="18"/>
  <c r="L41" i="18"/>
  <c r="K41" i="18"/>
  <c r="R40" i="18"/>
  <c r="M40" i="18"/>
  <c r="L40" i="18"/>
  <c r="K40" i="18"/>
  <c r="E40" i="18"/>
  <c r="S154" i="18" s="1"/>
  <c r="R39" i="18"/>
  <c r="M39" i="18"/>
  <c r="L39" i="18"/>
  <c r="K39" i="18"/>
  <c r="R38" i="18"/>
  <c r="M38" i="18"/>
  <c r="L38" i="18"/>
  <c r="K38" i="18"/>
  <c r="E38" i="18"/>
  <c r="R37" i="18"/>
  <c r="M37" i="18"/>
  <c r="L37" i="18"/>
  <c r="K37" i="18"/>
  <c r="R36" i="18"/>
  <c r="M36" i="18"/>
  <c r="L36" i="18"/>
  <c r="K36" i="18"/>
  <c r="R35" i="18"/>
  <c r="M35" i="18"/>
  <c r="L35" i="18"/>
  <c r="K35" i="18"/>
  <c r="R34" i="18"/>
  <c r="M34" i="18"/>
  <c r="L34" i="18"/>
  <c r="K34" i="18"/>
  <c r="E34" i="18"/>
  <c r="R33" i="18"/>
  <c r="M33" i="18"/>
  <c r="L33" i="18"/>
  <c r="K33" i="18"/>
  <c r="R32" i="18"/>
  <c r="H151" i="18" s="1"/>
  <c r="M32" i="18"/>
  <c r="L32" i="18"/>
  <c r="K32" i="18"/>
  <c r="R31" i="18"/>
  <c r="M31" i="18"/>
  <c r="L31" i="18"/>
  <c r="K31" i="18"/>
  <c r="R30" i="18"/>
  <c r="M30" i="18"/>
  <c r="L30" i="18"/>
  <c r="K30" i="18"/>
  <c r="R29" i="18"/>
  <c r="M29" i="18"/>
  <c r="L29" i="18"/>
  <c r="K29" i="18"/>
  <c r="R28" i="18"/>
  <c r="J149" i="18" s="1"/>
  <c r="M28" i="18"/>
  <c r="L28" i="18"/>
  <c r="K28" i="18"/>
  <c r="R27" i="18"/>
  <c r="M27" i="18"/>
  <c r="L27" i="18"/>
  <c r="K27" i="18"/>
  <c r="E27" i="18"/>
  <c r="R26" i="18"/>
  <c r="M26" i="18"/>
  <c r="L26" i="18"/>
  <c r="K26" i="18"/>
  <c r="R25" i="18"/>
  <c r="M25" i="18"/>
  <c r="L25" i="18"/>
  <c r="K25" i="18"/>
  <c r="R24" i="18"/>
  <c r="M24" i="18"/>
  <c r="L24" i="18"/>
  <c r="K24" i="18"/>
  <c r="R23" i="18"/>
  <c r="M23" i="18"/>
  <c r="L23" i="18"/>
  <c r="K23" i="18"/>
  <c r="R22" i="18"/>
  <c r="M22" i="18"/>
  <c r="L22" i="18"/>
  <c r="K22" i="18"/>
  <c r="R21" i="18"/>
  <c r="M21" i="18"/>
  <c r="L21" i="18"/>
  <c r="K21" i="18"/>
  <c r="E21" i="18"/>
  <c r="T145" i="18" s="1"/>
  <c r="R20" i="18"/>
  <c r="M20" i="18"/>
  <c r="L20" i="18"/>
  <c r="K20" i="18"/>
  <c r="R19" i="18"/>
  <c r="M19" i="18"/>
  <c r="L19" i="18"/>
  <c r="K19" i="18"/>
  <c r="R18" i="18"/>
  <c r="L144" i="18" s="1"/>
  <c r="M18" i="18"/>
  <c r="L18" i="18"/>
  <c r="K18" i="18"/>
  <c r="B144" i="18" s="1"/>
  <c r="R17" i="18"/>
  <c r="M17" i="18"/>
  <c r="L17" i="18"/>
  <c r="N17" i="18" s="1"/>
  <c r="K17" i="18"/>
  <c r="R16" i="18"/>
  <c r="J143" i="18" s="1"/>
  <c r="M16" i="18"/>
  <c r="L16" i="18"/>
  <c r="K16" i="18"/>
  <c r="B143" i="18" s="1"/>
  <c r="R15" i="18"/>
  <c r="M15" i="18"/>
  <c r="L15" i="18"/>
  <c r="K15" i="18"/>
  <c r="E15" i="18"/>
  <c r="T142" i="18" s="1"/>
  <c r="R14" i="18"/>
  <c r="M14" i="18"/>
  <c r="L14" i="18"/>
  <c r="K14" i="18"/>
  <c r="R13" i="18"/>
  <c r="M13" i="18"/>
  <c r="L13" i="18"/>
  <c r="K13" i="18"/>
  <c r="R12" i="18"/>
  <c r="M12" i="18"/>
  <c r="L12" i="18"/>
  <c r="K12" i="18"/>
  <c r="R11" i="18"/>
  <c r="M11" i="18"/>
  <c r="L11" i="18"/>
  <c r="K11" i="18"/>
  <c r="R10" i="18"/>
  <c r="M10" i="18"/>
  <c r="L10" i="18"/>
  <c r="K10" i="18"/>
  <c r="R9" i="18"/>
  <c r="M9" i="18"/>
  <c r="L9" i="18"/>
  <c r="K9" i="18"/>
  <c r="E9" i="18"/>
  <c r="S139" i="18" s="1"/>
  <c r="R8" i="18"/>
  <c r="M8" i="18"/>
  <c r="L8" i="18"/>
  <c r="K8" i="18"/>
  <c r="U195" i="19"/>
  <c r="T195" i="19"/>
  <c r="U194" i="19"/>
  <c r="T194" i="19"/>
  <c r="S194" i="19"/>
  <c r="U192" i="19"/>
  <c r="T192" i="19"/>
  <c r="S192" i="19"/>
  <c r="U191" i="19"/>
  <c r="T191" i="19"/>
  <c r="S191" i="19"/>
  <c r="U187" i="19"/>
  <c r="T187" i="19"/>
  <c r="S187" i="19"/>
  <c r="U183" i="19"/>
  <c r="T183" i="19"/>
  <c r="S183" i="19"/>
  <c r="U179" i="19"/>
  <c r="T179" i="19"/>
  <c r="S179" i="19"/>
  <c r="U175" i="19"/>
  <c r="T175" i="19"/>
  <c r="S175" i="19"/>
  <c r="U171" i="19"/>
  <c r="T171" i="19"/>
  <c r="S171" i="19"/>
  <c r="U170" i="19"/>
  <c r="T170" i="19"/>
  <c r="S170" i="19"/>
  <c r="U168" i="19"/>
  <c r="U167" i="19"/>
  <c r="U166" i="19"/>
  <c r="T166" i="19"/>
  <c r="U163" i="19"/>
  <c r="T163" i="19"/>
  <c r="U162" i="19"/>
  <c r="T162" i="19"/>
  <c r="S162" i="19"/>
  <c r="U161" i="19"/>
  <c r="T161" i="19"/>
  <c r="U153" i="19"/>
  <c r="U152" i="19"/>
  <c r="S152" i="19"/>
  <c r="U151" i="19"/>
  <c r="U147" i="19"/>
  <c r="U145" i="19"/>
  <c r="U144" i="19"/>
  <c r="U143" i="19"/>
  <c r="R118" i="19"/>
  <c r="M118" i="19"/>
  <c r="L118" i="19"/>
  <c r="K118" i="19"/>
  <c r="R117" i="19"/>
  <c r="L195" i="19" s="1"/>
  <c r="M117" i="19"/>
  <c r="D195" i="19" s="1"/>
  <c r="L117" i="19"/>
  <c r="K117" i="19"/>
  <c r="R116" i="19"/>
  <c r="M116" i="19"/>
  <c r="L116" i="19"/>
  <c r="K116" i="19"/>
  <c r="R115" i="19"/>
  <c r="J194" i="19" s="1"/>
  <c r="M115" i="19"/>
  <c r="L115" i="19"/>
  <c r="K115" i="19"/>
  <c r="R114" i="19"/>
  <c r="M114" i="19"/>
  <c r="L114" i="19"/>
  <c r="K114" i="19"/>
  <c r="R113" i="19"/>
  <c r="M113" i="19"/>
  <c r="L113" i="19"/>
  <c r="K113" i="19"/>
  <c r="E113" i="19"/>
  <c r="U193" i="19" s="1"/>
  <c r="R112" i="19"/>
  <c r="M112" i="19"/>
  <c r="L112" i="19"/>
  <c r="K112" i="19"/>
  <c r="R111" i="19"/>
  <c r="M111" i="19"/>
  <c r="L111" i="19"/>
  <c r="K111" i="19"/>
  <c r="R110" i="19"/>
  <c r="H192" i="19" s="1"/>
  <c r="M110" i="19"/>
  <c r="L110" i="19"/>
  <c r="K110" i="19"/>
  <c r="R109" i="19"/>
  <c r="M109" i="19"/>
  <c r="L109" i="19"/>
  <c r="K109" i="19"/>
  <c r="R108" i="19"/>
  <c r="M108" i="19"/>
  <c r="D191" i="19" s="1"/>
  <c r="L108" i="19"/>
  <c r="K108" i="19"/>
  <c r="R107" i="19"/>
  <c r="M107" i="19"/>
  <c r="L107" i="19"/>
  <c r="K107" i="19"/>
  <c r="E107" i="19"/>
  <c r="T190" i="19" s="1"/>
  <c r="R106" i="19"/>
  <c r="M106" i="19"/>
  <c r="L106" i="19"/>
  <c r="K106" i="19"/>
  <c r="R105" i="19"/>
  <c r="M105" i="19"/>
  <c r="L105" i="19"/>
  <c r="K105" i="19"/>
  <c r="E105" i="19"/>
  <c r="R104" i="19"/>
  <c r="M104" i="19"/>
  <c r="L104" i="19"/>
  <c r="K104" i="19"/>
  <c r="R103" i="19"/>
  <c r="M103" i="19"/>
  <c r="L103" i="19"/>
  <c r="K103" i="19"/>
  <c r="E103" i="19"/>
  <c r="U188" i="19" s="1"/>
  <c r="R102" i="19"/>
  <c r="M102" i="19"/>
  <c r="L102" i="19"/>
  <c r="K102" i="19"/>
  <c r="R101" i="19"/>
  <c r="M101" i="19"/>
  <c r="L101" i="19"/>
  <c r="K101" i="19"/>
  <c r="R100" i="19"/>
  <c r="M100" i="19"/>
  <c r="L100" i="19"/>
  <c r="K100" i="19"/>
  <c r="R99" i="19"/>
  <c r="M99" i="19"/>
  <c r="L99" i="19"/>
  <c r="K99" i="19"/>
  <c r="E99" i="19"/>
  <c r="R98" i="19"/>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L90" i="19"/>
  <c r="K90" i="19"/>
  <c r="R89" i="19"/>
  <c r="M89" i="19"/>
  <c r="L89" i="19"/>
  <c r="K89" i="19"/>
  <c r="R88" i="19"/>
  <c r="M88" i="19"/>
  <c r="L88" i="19"/>
  <c r="K88" i="19"/>
  <c r="E88" i="19"/>
  <c r="T182" i="19" s="1"/>
  <c r="R87" i="19"/>
  <c r="M87" i="19"/>
  <c r="L87" i="19"/>
  <c r="K87" i="19"/>
  <c r="R86" i="19"/>
  <c r="M86" i="19"/>
  <c r="L86" i="19"/>
  <c r="K86" i="19"/>
  <c r="E86" i="19"/>
  <c r="R85" i="19"/>
  <c r="M85" i="19"/>
  <c r="L85" i="19"/>
  <c r="K85" i="19"/>
  <c r="R84" i="19"/>
  <c r="M84" i="19"/>
  <c r="L84" i="19"/>
  <c r="K84" i="19"/>
  <c r="E84" i="19"/>
  <c r="T180" i="19" s="1"/>
  <c r="R83" i="19"/>
  <c r="M83" i="19"/>
  <c r="L83" i="19"/>
  <c r="K83" i="19"/>
  <c r="R82" i="19"/>
  <c r="M82" i="19"/>
  <c r="L82" i="19"/>
  <c r="K82" i="19"/>
  <c r="R81" i="19"/>
  <c r="M81" i="19"/>
  <c r="D179" i="19" s="1"/>
  <c r="L81" i="19"/>
  <c r="C179" i="19" s="1"/>
  <c r="K81" i="19"/>
  <c r="R80" i="19"/>
  <c r="M80" i="19"/>
  <c r="L80" i="19"/>
  <c r="K80" i="19"/>
  <c r="E80" i="19"/>
  <c r="R79" i="19"/>
  <c r="M79" i="19"/>
  <c r="L79" i="19"/>
  <c r="K79" i="19"/>
  <c r="R78" i="19"/>
  <c r="M78" i="19"/>
  <c r="L78" i="19"/>
  <c r="K78" i="19"/>
  <c r="E78" i="19"/>
  <c r="U177" i="19" s="1"/>
  <c r="R77" i="19"/>
  <c r="M77" i="19"/>
  <c r="L77" i="19"/>
  <c r="K77" i="19"/>
  <c r="R76" i="19"/>
  <c r="M76" i="19"/>
  <c r="L76" i="19"/>
  <c r="K76" i="19"/>
  <c r="E76" i="19"/>
  <c r="R75" i="19"/>
  <c r="M75" i="19"/>
  <c r="L75" i="19"/>
  <c r="K75" i="19"/>
  <c r="R74" i="19"/>
  <c r="M74" i="19"/>
  <c r="L74" i="19"/>
  <c r="K74" i="19"/>
  <c r="R73" i="19"/>
  <c r="M73" i="19"/>
  <c r="L73" i="19"/>
  <c r="K73" i="19"/>
  <c r="R72" i="19"/>
  <c r="M72" i="19"/>
  <c r="L72" i="19"/>
  <c r="K72" i="19"/>
  <c r="E72" i="19"/>
  <c r="T174" i="19" s="1"/>
  <c r="R71" i="19"/>
  <c r="M71" i="19"/>
  <c r="L71" i="19"/>
  <c r="K71" i="19"/>
  <c r="R70" i="19"/>
  <c r="M70" i="19"/>
  <c r="L70" i="19"/>
  <c r="K70" i="19"/>
  <c r="E70" i="19"/>
  <c r="T173" i="19" s="1"/>
  <c r="R69" i="19"/>
  <c r="M69" i="19"/>
  <c r="L69" i="19"/>
  <c r="K69" i="19"/>
  <c r="R68" i="19"/>
  <c r="M68" i="19"/>
  <c r="L68" i="19"/>
  <c r="K68" i="19"/>
  <c r="E68" i="19"/>
  <c r="S172" i="19" s="1"/>
  <c r="R67" i="19"/>
  <c r="M67" i="19"/>
  <c r="L67" i="19"/>
  <c r="K67" i="19"/>
  <c r="R66" i="19"/>
  <c r="M66" i="19"/>
  <c r="L66" i="19"/>
  <c r="K66" i="19"/>
  <c r="R65" i="19"/>
  <c r="M65" i="19"/>
  <c r="L65" i="19"/>
  <c r="K65" i="19"/>
  <c r="R64" i="19"/>
  <c r="M64" i="19"/>
  <c r="L64" i="19"/>
  <c r="K64" i="19"/>
  <c r="R63" i="19"/>
  <c r="M63" i="19"/>
  <c r="L63" i="19"/>
  <c r="K63" i="19"/>
  <c r="R62" i="19"/>
  <c r="M62" i="19"/>
  <c r="L62" i="19"/>
  <c r="K62" i="19"/>
  <c r="E62" i="19"/>
  <c r="U169" i="19" s="1"/>
  <c r="R61" i="19"/>
  <c r="M61" i="19"/>
  <c r="L61" i="19"/>
  <c r="K61" i="19"/>
  <c r="T168" i="19"/>
  <c r="R60" i="19"/>
  <c r="M60" i="19"/>
  <c r="L60" i="19"/>
  <c r="K60" i="19"/>
  <c r="M59" i="19"/>
  <c r="L59" i="19"/>
  <c r="K59" i="19"/>
  <c r="R58" i="19"/>
  <c r="M58" i="19"/>
  <c r="L58" i="19"/>
  <c r="K58" i="19"/>
  <c r="R57" i="19"/>
  <c r="M57" i="19"/>
  <c r="L57" i="19"/>
  <c r="K57" i="19"/>
  <c r="B167" i="19" s="1"/>
  <c r="S166" i="19"/>
  <c r="R56" i="19"/>
  <c r="M56" i="19"/>
  <c r="L56" i="19"/>
  <c r="K56" i="19"/>
  <c r="R55" i="19"/>
  <c r="L166" i="19" s="1"/>
  <c r="M55" i="19"/>
  <c r="L55" i="19"/>
  <c r="C166" i="19" s="1"/>
  <c r="K55" i="19"/>
  <c r="R54" i="19"/>
  <c r="M54" i="19"/>
  <c r="L54" i="19"/>
  <c r="K54" i="19"/>
  <c r="E54" i="19"/>
  <c r="U165" i="19" s="1"/>
  <c r="R53" i="19"/>
  <c r="M53" i="19"/>
  <c r="L53" i="19"/>
  <c r="K53" i="19"/>
  <c r="R52" i="19"/>
  <c r="M52" i="19"/>
  <c r="L52" i="19"/>
  <c r="K52" i="19"/>
  <c r="B165" i="19" s="1"/>
  <c r="M51" i="19"/>
  <c r="L51" i="19"/>
  <c r="K51" i="19"/>
  <c r="E51" i="19"/>
  <c r="S164" i="19" s="1"/>
  <c r="M50" i="19"/>
  <c r="L50" i="19"/>
  <c r="K50" i="19"/>
  <c r="R49" i="19"/>
  <c r="M49" i="19"/>
  <c r="L49" i="19"/>
  <c r="K49" i="19"/>
  <c r="R48" i="19"/>
  <c r="H163" i="19" s="1"/>
  <c r="S163" i="19"/>
  <c r="M48" i="19"/>
  <c r="L48" i="19"/>
  <c r="K48" i="19"/>
  <c r="R47" i="19"/>
  <c r="M47" i="19"/>
  <c r="L47" i="19"/>
  <c r="K47" i="19"/>
  <c r="M46" i="19"/>
  <c r="L46" i="19"/>
  <c r="K46" i="19"/>
  <c r="R45" i="19"/>
  <c r="M45" i="19"/>
  <c r="L45" i="19"/>
  <c r="K45" i="19"/>
  <c r="R44" i="19"/>
  <c r="S161" i="19"/>
  <c r="M44" i="19"/>
  <c r="L44" i="19"/>
  <c r="K44" i="19"/>
  <c r="R43" i="19"/>
  <c r="M43" i="19"/>
  <c r="L43" i="19"/>
  <c r="K43" i="19"/>
  <c r="E43" i="19"/>
  <c r="T160" i="19" s="1"/>
  <c r="M42" i="19"/>
  <c r="L42" i="19"/>
  <c r="K42" i="19"/>
  <c r="M41" i="19"/>
  <c r="L41" i="19"/>
  <c r="K41" i="19"/>
  <c r="M40" i="19"/>
  <c r="L40" i="19"/>
  <c r="K40" i="19"/>
  <c r="R39" i="19"/>
  <c r="M39" i="19"/>
  <c r="L39" i="19"/>
  <c r="K39" i="19"/>
  <c r="M38" i="19"/>
  <c r="L38" i="19"/>
  <c r="K38" i="19"/>
  <c r="M37" i="19"/>
  <c r="L37" i="19"/>
  <c r="K37" i="19"/>
  <c r="M36" i="19"/>
  <c r="N36" i="19" s="1"/>
  <c r="L36" i="19"/>
  <c r="K36" i="19"/>
  <c r="R35" i="19"/>
  <c r="M35" i="19"/>
  <c r="L35" i="19"/>
  <c r="K35" i="19"/>
  <c r="E35" i="19"/>
  <c r="R34" i="19"/>
  <c r="M34" i="19"/>
  <c r="L34" i="19"/>
  <c r="K34" i="19"/>
  <c r="R33" i="19"/>
  <c r="M33" i="19"/>
  <c r="L33" i="19"/>
  <c r="K33" i="19"/>
  <c r="E33" i="19"/>
  <c r="M32" i="19"/>
  <c r="L32" i="19"/>
  <c r="K32" i="19"/>
  <c r="R31" i="19"/>
  <c r="M31" i="19"/>
  <c r="L31" i="19"/>
  <c r="K31" i="19"/>
  <c r="U154" i="19"/>
  <c r="R30" i="19"/>
  <c r="M30" i="19"/>
  <c r="L30" i="19"/>
  <c r="C154" i="19" s="1"/>
  <c r="K30" i="19"/>
  <c r="R29" i="19"/>
  <c r="M29" i="19"/>
  <c r="L29" i="19"/>
  <c r="K29" i="19"/>
  <c r="R28" i="19"/>
  <c r="S153" i="19"/>
  <c r="M28" i="19"/>
  <c r="L28" i="19"/>
  <c r="K28" i="19"/>
  <c r="R27" i="19"/>
  <c r="M27" i="19"/>
  <c r="L27" i="19"/>
  <c r="K27" i="19"/>
  <c r="R26" i="19"/>
  <c r="T152" i="19"/>
  <c r="M26" i="19"/>
  <c r="L26" i="19"/>
  <c r="K26" i="19"/>
  <c r="R25" i="19"/>
  <c r="M25" i="19"/>
  <c r="L25" i="19"/>
  <c r="K25" i="19"/>
  <c r="T151" i="19"/>
  <c r="M24" i="19"/>
  <c r="L24" i="19"/>
  <c r="K24" i="19"/>
  <c r="M23" i="19"/>
  <c r="L23" i="19"/>
  <c r="K23" i="19"/>
  <c r="E23" i="19"/>
  <c r="M22" i="19"/>
  <c r="L22" i="19"/>
  <c r="K22" i="19"/>
  <c r="R21" i="19"/>
  <c r="M21" i="19"/>
  <c r="L21" i="19"/>
  <c r="K21" i="19"/>
  <c r="E21" i="19"/>
  <c r="T149" i="19" s="1"/>
  <c r="R20" i="19"/>
  <c r="M20" i="19"/>
  <c r="L20" i="19"/>
  <c r="K20" i="19"/>
  <c r="R19" i="19"/>
  <c r="M19" i="19"/>
  <c r="L19" i="19"/>
  <c r="K19" i="19"/>
  <c r="E19" i="19"/>
  <c r="U148" i="19" s="1"/>
  <c r="R18" i="19"/>
  <c r="M18" i="19"/>
  <c r="L18" i="19"/>
  <c r="K18" i="19"/>
  <c r="R17" i="19"/>
  <c r="M17" i="19"/>
  <c r="L17" i="19"/>
  <c r="K17" i="19"/>
  <c r="B147" i="19" s="1"/>
  <c r="M16" i="19"/>
  <c r="L16" i="19"/>
  <c r="K16" i="19"/>
  <c r="M15" i="19"/>
  <c r="L15" i="19"/>
  <c r="K15" i="19"/>
  <c r="E15" i="19"/>
  <c r="R14" i="19"/>
  <c r="M14" i="19"/>
  <c r="L14" i="19"/>
  <c r="K14" i="19"/>
  <c r="R13" i="19"/>
  <c r="M13" i="19"/>
  <c r="L13" i="19"/>
  <c r="K13" i="19"/>
  <c r="R12" i="19"/>
  <c r="J145" i="19" s="1"/>
  <c r="S145" i="19"/>
  <c r="M12" i="19"/>
  <c r="L12" i="19"/>
  <c r="K12" i="19"/>
  <c r="B145" i="19" s="1"/>
  <c r="R11" i="19"/>
  <c r="M11" i="19"/>
  <c r="L11" i="19"/>
  <c r="K11" i="19"/>
  <c r="R10" i="19"/>
  <c r="H144" i="19" s="1"/>
  <c r="M10" i="19"/>
  <c r="D144" i="19" s="1"/>
  <c r="L10" i="19"/>
  <c r="K10" i="19"/>
  <c r="R9" i="19"/>
  <c r="M9" i="19"/>
  <c r="L9" i="19"/>
  <c r="K9" i="19"/>
  <c r="M8" i="19"/>
  <c r="L8" i="19"/>
  <c r="K8" i="19"/>
  <c r="U187" i="21"/>
  <c r="T187" i="21"/>
  <c r="S187" i="21"/>
  <c r="U186" i="21"/>
  <c r="T186" i="21"/>
  <c r="S186" i="21"/>
  <c r="U185" i="21"/>
  <c r="T185" i="21"/>
  <c r="S185" i="21"/>
  <c r="U183" i="21"/>
  <c r="T183" i="21"/>
  <c r="S183" i="21"/>
  <c r="U182" i="21"/>
  <c r="T182" i="21"/>
  <c r="S182" i="21"/>
  <c r="U175" i="21"/>
  <c r="T175" i="21"/>
  <c r="S175" i="21"/>
  <c r="U171" i="21"/>
  <c r="T171" i="21"/>
  <c r="S171" i="21"/>
  <c r="U167" i="21"/>
  <c r="T167" i="21"/>
  <c r="S167" i="21"/>
  <c r="U163" i="21"/>
  <c r="T163" i="21"/>
  <c r="S163" i="21"/>
  <c r="U162" i="21"/>
  <c r="T162" i="21"/>
  <c r="S162" i="21"/>
  <c r="U161" i="21"/>
  <c r="T161" i="21"/>
  <c r="S161" i="21"/>
  <c r="U160" i="21"/>
  <c r="T160" i="21"/>
  <c r="S160" i="21"/>
  <c r="U158" i="21"/>
  <c r="T158" i="21"/>
  <c r="S158" i="21"/>
  <c r="U157" i="21"/>
  <c r="T157" i="21"/>
  <c r="S157" i="21"/>
  <c r="U156" i="21"/>
  <c r="T156" i="21"/>
  <c r="S156" i="21"/>
  <c r="U155" i="21"/>
  <c r="T155" i="21"/>
  <c r="S155" i="21"/>
  <c r="U153" i="21"/>
  <c r="T153" i="21"/>
  <c r="S153" i="21"/>
  <c r="U152" i="21"/>
  <c r="T152" i="21"/>
  <c r="S152" i="21"/>
  <c r="U151" i="21"/>
  <c r="T151" i="21"/>
  <c r="S151" i="21"/>
  <c r="U150" i="21"/>
  <c r="T150" i="21"/>
  <c r="S150" i="21"/>
  <c r="U148" i="21"/>
  <c r="T148" i="21"/>
  <c r="S148" i="21"/>
  <c r="U147" i="21"/>
  <c r="T147" i="21"/>
  <c r="S147" i="21"/>
  <c r="U146" i="21"/>
  <c r="T146" i="21"/>
  <c r="S146" i="21"/>
  <c r="U145" i="21"/>
  <c r="T145" i="21"/>
  <c r="S145" i="21"/>
  <c r="U143" i="21"/>
  <c r="T143" i="21"/>
  <c r="S143" i="21"/>
  <c r="U141" i="21"/>
  <c r="T141" i="21"/>
  <c r="S141" i="21"/>
  <c r="U140" i="21"/>
  <c r="T140" i="21"/>
  <c r="S140" i="21"/>
  <c r="U138" i="21"/>
  <c r="T138" i="21"/>
  <c r="S138" i="21"/>
  <c r="U137" i="21"/>
  <c r="T137" i="21"/>
  <c r="S137" i="21"/>
  <c r="U136" i="21"/>
  <c r="T136" i="21"/>
  <c r="S136" i="21"/>
  <c r="U135" i="21"/>
  <c r="T135" i="21"/>
  <c r="S135" i="21"/>
  <c r="R113" i="21"/>
  <c r="M113" i="21"/>
  <c r="L113" i="21"/>
  <c r="K113" i="21"/>
  <c r="R112" i="21"/>
  <c r="M112" i="21"/>
  <c r="L112" i="21"/>
  <c r="K112" i="21"/>
  <c r="R111" i="21"/>
  <c r="M111" i="21"/>
  <c r="L111" i="21"/>
  <c r="K111" i="21"/>
  <c r="R110" i="21"/>
  <c r="J186" i="21" s="1"/>
  <c r="M110" i="21"/>
  <c r="L110" i="21"/>
  <c r="K110" i="21"/>
  <c r="B186" i="21" s="1"/>
  <c r="R109" i="21"/>
  <c r="M109" i="21"/>
  <c r="L109" i="21"/>
  <c r="K109" i="21"/>
  <c r="R108" i="21"/>
  <c r="L185" i="21" s="1"/>
  <c r="M108" i="21"/>
  <c r="L108" i="21"/>
  <c r="K108" i="21"/>
  <c r="B185" i="21" s="1"/>
  <c r="R107" i="21"/>
  <c r="M107" i="21"/>
  <c r="L107" i="21"/>
  <c r="K107" i="21"/>
  <c r="E107" i="21"/>
  <c r="U184" i="21" s="1"/>
  <c r="R106" i="21"/>
  <c r="M106" i="21"/>
  <c r="L106" i="21"/>
  <c r="K106" i="21"/>
  <c r="B184" i="21" s="1"/>
  <c r="R105" i="21"/>
  <c r="M105" i="21"/>
  <c r="L105" i="21"/>
  <c r="K105" i="21"/>
  <c r="R104" i="21"/>
  <c r="M104" i="21"/>
  <c r="L104" i="21"/>
  <c r="C183" i="21" s="1"/>
  <c r="K104" i="21"/>
  <c r="R103" i="21"/>
  <c r="M103" i="21"/>
  <c r="L103" i="21"/>
  <c r="K103" i="21"/>
  <c r="R102" i="21"/>
  <c r="M102" i="21"/>
  <c r="D182" i="21" s="1"/>
  <c r="L102" i="21"/>
  <c r="C182" i="21" s="1"/>
  <c r="K102" i="21"/>
  <c r="R101" i="21"/>
  <c r="M101" i="21"/>
  <c r="L101" i="21"/>
  <c r="K101" i="21"/>
  <c r="B181" i="21" s="1"/>
  <c r="E101" i="21"/>
  <c r="S181" i="21" s="1"/>
  <c r="R100" i="21"/>
  <c r="M100" i="21"/>
  <c r="L100" i="21"/>
  <c r="K100" i="21"/>
  <c r="R99" i="21"/>
  <c r="M99" i="21"/>
  <c r="L99" i="21"/>
  <c r="N99" i="21" s="1"/>
  <c r="K99" i="21"/>
  <c r="E99" i="21"/>
  <c r="T180" i="21" s="1"/>
  <c r="R98" i="21"/>
  <c r="M98" i="21"/>
  <c r="L98" i="21"/>
  <c r="K98" i="21"/>
  <c r="R97" i="21"/>
  <c r="M97" i="21"/>
  <c r="L97" i="21"/>
  <c r="K97" i="21"/>
  <c r="E97" i="21"/>
  <c r="R96" i="21"/>
  <c r="M96" i="21"/>
  <c r="L96" i="21"/>
  <c r="K96" i="21"/>
  <c r="R95" i="21"/>
  <c r="M95" i="21"/>
  <c r="L95" i="21"/>
  <c r="K95" i="21"/>
  <c r="E95" i="21"/>
  <c r="U178" i="21" s="1"/>
  <c r="R94" i="21"/>
  <c r="M94" i="21"/>
  <c r="L94" i="21"/>
  <c r="K94" i="21"/>
  <c r="B178" i="21" s="1"/>
  <c r="R93" i="21"/>
  <c r="M93" i="21"/>
  <c r="L93" i="21"/>
  <c r="K93" i="21"/>
  <c r="E93" i="21"/>
  <c r="R92" i="21"/>
  <c r="M92" i="21"/>
  <c r="L92" i="21"/>
  <c r="K92" i="21"/>
  <c r="R91" i="21"/>
  <c r="M91" i="21"/>
  <c r="L91" i="21"/>
  <c r="K91" i="21"/>
  <c r="E91" i="21"/>
  <c r="S176" i="21" s="1"/>
  <c r="R90" i="21"/>
  <c r="M90" i="21"/>
  <c r="L90" i="21"/>
  <c r="K90" i="21"/>
  <c r="R89" i="21"/>
  <c r="M89" i="21"/>
  <c r="L89" i="21"/>
  <c r="K89" i="21"/>
  <c r="R88" i="21"/>
  <c r="M88" i="21"/>
  <c r="L88" i="21"/>
  <c r="K88" i="21"/>
  <c r="R87" i="21"/>
  <c r="M87" i="21"/>
  <c r="L87" i="21"/>
  <c r="K87" i="21"/>
  <c r="E87" i="21"/>
  <c r="R86" i="21"/>
  <c r="M86" i="21"/>
  <c r="L86" i="21"/>
  <c r="K86" i="21"/>
  <c r="R85" i="21"/>
  <c r="M85" i="21"/>
  <c r="L85" i="21"/>
  <c r="K85" i="21"/>
  <c r="E85" i="21"/>
  <c r="S173" i="21" s="1"/>
  <c r="R84" i="21"/>
  <c r="M84" i="21"/>
  <c r="L84" i="21"/>
  <c r="K84" i="21"/>
  <c r="R83" i="21"/>
  <c r="M83" i="21"/>
  <c r="L83" i="21"/>
  <c r="K83" i="21"/>
  <c r="E83" i="21"/>
  <c r="U172" i="21" s="1"/>
  <c r="R82" i="21"/>
  <c r="M82" i="21"/>
  <c r="L82" i="21"/>
  <c r="K82" i="21"/>
  <c r="R81" i="21"/>
  <c r="M81" i="21"/>
  <c r="L81" i="21"/>
  <c r="K81" i="21"/>
  <c r="R80" i="21"/>
  <c r="M80" i="21"/>
  <c r="L80" i="21"/>
  <c r="K80" i="21"/>
  <c r="B171" i="21" s="1"/>
  <c r="R79" i="21"/>
  <c r="M79" i="21"/>
  <c r="L79" i="21"/>
  <c r="K79" i="21"/>
  <c r="E79" i="21"/>
  <c r="R78" i="21"/>
  <c r="M78" i="21"/>
  <c r="L78" i="21"/>
  <c r="K78" i="21"/>
  <c r="R77" i="21"/>
  <c r="M77" i="21"/>
  <c r="L77" i="21"/>
  <c r="K77" i="21"/>
  <c r="E77" i="21"/>
  <c r="T169" i="21" s="1"/>
  <c r="R76" i="21"/>
  <c r="M76" i="21"/>
  <c r="L76" i="21"/>
  <c r="K76" i="21"/>
  <c r="R75" i="21"/>
  <c r="M75" i="21"/>
  <c r="L75" i="21"/>
  <c r="K75" i="21"/>
  <c r="E75" i="21"/>
  <c r="R74" i="21"/>
  <c r="M74" i="21"/>
  <c r="L74" i="21"/>
  <c r="K74" i="21"/>
  <c r="R73" i="21"/>
  <c r="M73" i="21"/>
  <c r="L73" i="21"/>
  <c r="K73" i="21"/>
  <c r="R72" i="21"/>
  <c r="M72" i="21"/>
  <c r="L72" i="21"/>
  <c r="K72" i="21"/>
  <c r="R71" i="21"/>
  <c r="M71" i="21"/>
  <c r="L71" i="21"/>
  <c r="K71" i="21"/>
  <c r="E71" i="21"/>
  <c r="R70" i="21"/>
  <c r="M70" i="21"/>
  <c r="L70" i="21"/>
  <c r="K70" i="21"/>
  <c r="R69" i="21"/>
  <c r="M69" i="21"/>
  <c r="L69" i="21"/>
  <c r="K69" i="21"/>
  <c r="E69" i="21"/>
  <c r="S165" i="21" s="1"/>
  <c r="R68" i="21"/>
  <c r="M68" i="21"/>
  <c r="L68" i="21"/>
  <c r="K68" i="21"/>
  <c r="R67" i="21"/>
  <c r="M67" i="21"/>
  <c r="L67" i="21"/>
  <c r="K67" i="21"/>
  <c r="E67" i="21"/>
  <c r="U164" i="21" s="1"/>
  <c r="R66" i="21"/>
  <c r="M66" i="21"/>
  <c r="L66" i="21"/>
  <c r="K66" i="21"/>
  <c r="R65" i="21"/>
  <c r="M65" i="21"/>
  <c r="L65" i="21"/>
  <c r="K65" i="21"/>
  <c r="R64" i="21"/>
  <c r="M64" i="21"/>
  <c r="D163" i="21" s="1"/>
  <c r="L64" i="21"/>
  <c r="K64" i="21"/>
  <c r="R63" i="21"/>
  <c r="M63" i="21"/>
  <c r="L63" i="21"/>
  <c r="K63" i="21"/>
  <c r="R62" i="21"/>
  <c r="M62" i="21"/>
  <c r="L62" i="21"/>
  <c r="K62" i="21"/>
  <c r="R61" i="21"/>
  <c r="M61" i="21"/>
  <c r="L61" i="21"/>
  <c r="K61" i="21"/>
  <c r="R60" i="21"/>
  <c r="J161" i="21" s="1"/>
  <c r="M60" i="21"/>
  <c r="D161" i="21" s="1"/>
  <c r="L60" i="21"/>
  <c r="K60" i="21"/>
  <c r="R59" i="21"/>
  <c r="M59" i="21"/>
  <c r="L59" i="21"/>
  <c r="K59" i="21"/>
  <c r="R58" i="21"/>
  <c r="H160" i="21" s="1"/>
  <c r="M58" i="21"/>
  <c r="D160" i="21" s="1"/>
  <c r="L58" i="21"/>
  <c r="K58" i="21"/>
  <c r="R57" i="21"/>
  <c r="M57" i="21"/>
  <c r="L57" i="21"/>
  <c r="K57" i="21"/>
  <c r="E57" i="21"/>
  <c r="S159" i="21" s="1"/>
  <c r="R56" i="21"/>
  <c r="M56" i="21"/>
  <c r="L56" i="21"/>
  <c r="K56" i="21"/>
  <c r="R55" i="21"/>
  <c r="M55" i="21"/>
  <c r="L55" i="21"/>
  <c r="K55" i="21"/>
  <c r="R54" i="21"/>
  <c r="L158" i="21" s="1"/>
  <c r="M54" i="21"/>
  <c r="L54" i="21"/>
  <c r="K54" i="21"/>
  <c r="R53" i="21"/>
  <c r="M53" i="21"/>
  <c r="L53" i="21"/>
  <c r="K53" i="21"/>
  <c r="R52" i="21"/>
  <c r="H157" i="21" s="1"/>
  <c r="M52" i="21"/>
  <c r="L52" i="21"/>
  <c r="K52" i="21"/>
  <c r="R51" i="21"/>
  <c r="M51" i="21"/>
  <c r="L51" i="21"/>
  <c r="K51" i="21"/>
  <c r="R50" i="21"/>
  <c r="M50" i="21"/>
  <c r="L50" i="21"/>
  <c r="K50" i="21"/>
  <c r="B156" i="21" s="1"/>
  <c r="R49" i="21"/>
  <c r="M49" i="21"/>
  <c r="L49" i="21"/>
  <c r="K49" i="21"/>
  <c r="R48" i="21"/>
  <c r="L155" i="21" s="1"/>
  <c r="M48" i="21"/>
  <c r="L48" i="21"/>
  <c r="K48" i="21"/>
  <c r="R47" i="21"/>
  <c r="M47" i="21"/>
  <c r="L47" i="21"/>
  <c r="K47" i="21"/>
  <c r="E47" i="21"/>
  <c r="R46" i="21"/>
  <c r="M46" i="21"/>
  <c r="L46" i="21"/>
  <c r="K46" i="21"/>
  <c r="R45" i="21"/>
  <c r="M45" i="21"/>
  <c r="L45" i="21"/>
  <c r="K45" i="21"/>
  <c r="R44" i="21"/>
  <c r="M44" i="21"/>
  <c r="L44" i="21"/>
  <c r="K44" i="21"/>
  <c r="R43" i="21"/>
  <c r="M43" i="21"/>
  <c r="L43" i="21"/>
  <c r="K43" i="21"/>
  <c r="R42" i="21"/>
  <c r="M42" i="21"/>
  <c r="L42" i="21"/>
  <c r="K42" i="21"/>
  <c r="R41" i="21"/>
  <c r="M41" i="21"/>
  <c r="L41" i="21"/>
  <c r="K41" i="21"/>
  <c r="R40" i="21"/>
  <c r="L151" i="21" s="1"/>
  <c r="M40" i="21"/>
  <c r="L40" i="21"/>
  <c r="K40" i="21"/>
  <c r="R39" i="21"/>
  <c r="M39" i="21"/>
  <c r="L39" i="21"/>
  <c r="K39" i="21"/>
  <c r="R38" i="21"/>
  <c r="H150" i="21" s="1"/>
  <c r="M38" i="21"/>
  <c r="L38" i="21"/>
  <c r="K38" i="21"/>
  <c r="R37" i="21"/>
  <c r="M37" i="21"/>
  <c r="L37" i="21"/>
  <c r="K37" i="21"/>
  <c r="E37" i="21"/>
  <c r="S149" i="21" s="1"/>
  <c r="R36" i="21"/>
  <c r="M36" i="21"/>
  <c r="L36" i="21"/>
  <c r="K36" i="21"/>
  <c r="R35" i="21"/>
  <c r="M35" i="21"/>
  <c r="L35" i="21"/>
  <c r="K35" i="21"/>
  <c r="R34" i="21"/>
  <c r="M34" i="21"/>
  <c r="L34" i="21"/>
  <c r="C148" i="21" s="1"/>
  <c r="K34" i="21"/>
  <c r="B148" i="21" s="1"/>
  <c r="R33" i="21"/>
  <c r="M33" i="21"/>
  <c r="L33" i="21"/>
  <c r="K33" i="21"/>
  <c r="R32" i="21"/>
  <c r="M32" i="21"/>
  <c r="D147" i="21" s="1"/>
  <c r="L32" i="21"/>
  <c r="K32" i="21"/>
  <c r="B147" i="21" s="1"/>
  <c r="R31" i="21"/>
  <c r="M31" i="21"/>
  <c r="L31" i="21"/>
  <c r="K31" i="21"/>
  <c r="R30" i="21"/>
  <c r="L146" i="21" s="1"/>
  <c r="M30" i="21"/>
  <c r="D146" i="21" s="1"/>
  <c r="L30" i="21"/>
  <c r="K30" i="21"/>
  <c r="R29" i="21"/>
  <c r="M29" i="21"/>
  <c r="L29" i="21"/>
  <c r="K29" i="21"/>
  <c r="R28" i="21"/>
  <c r="M28" i="21"/>
  <c r="L28" i="21"/>
  <c r="K28" i="21"/>
  <c r="R27" i="21"/>
  <c r="M27" i="21"/>
  <c r="L27" i="21"/>
  <c r="K27" i="21"/>
  <c r="E27" i="21"/>
  <c r="U144" i="21" s="1"/>
  <c r="R26" i="21"/>
  <c r="M26" i="21"/>
  <c r="L26" i="21"/>
  <c r="K26" i="21"/>
  <c r="R25" i="21"/>
  <c r="M25" i="21"/>
  <c r="L25" i="21"/>
  <c r="K25" i="21"/>
  <c r="R24" i="21"/>
  <c r="M24" i="21"/>
  <c r="L24" i="21"/>
  <c r="K24" i="21"/>
  <c r="R23" i="21"/>
  <c r="M23" i="21"/>
  <c r="L23" i="21"/>
  <c r="K23" i="21"/>
  <c r="E23" i="21"/>
  <c r="R22" i="21"/>
  <c r="M22" i="21"/>
  <c r="L22" i="21"/>
  <c r="K22" i="21"/>
  <c r="R21" i="21"/>
  <c r="M21" i="21"/>
  <c r="L21" i="21"/>
  <c r="K21" i="21"/>
  <c r="R20" i="21"/>
  <c r="M20" i="21"/>
  <c r="D141" i="21" s="1"/>
  <c r="L20" i="21"/>
  <c r="K20" i="21"/>
  <c r="R19" i="21"/>
  <c r="M19" i="21"/>
  <c r="L19" i="21"/>
  <c r="K19" i="21"/>
  <c r="R18" i="21"/>
  <c r="J140" i="21" s="1"/>
  <c r="M18" i="21"/>
  <c r="L18" i="21"/>
  <c r="K18" i="21"/>
  <c r="R17" i="21"/>
  <c r="M17" i="21"/>
  <c r="L17" i="21"/>
  <c r="K17" i="21"/>
  <c r="E17" i="21"/>
  <c r="R16" i="21"/>
  <c r="M16" i="21"/>
  <c r="L16" i="21"/>
  <c r="K16" i="21"/>
  <c r="R15" i="21"/>
  <c r="M15" i="21"/>
  <c r="L15" i="21"/>
  <c r="K15" i="21"/>
  <c r="R14" i="21"/>
  <c r="M14" i="21"/>
  <c r="L14" i="21"/>
  <c r="K14" i="21"/>
  <c r="B138" i="21" s="1"/>
  <c r="R13" i="21"/>
  <c r="M13" i="21"/>
  <c r="L13" i="21"/>
  <c r="K13" i="21"/>
  <c r="R12" i="21"/>
  <c r="M12" i="21"/>
  <c r="L12" i="21"/>
  <c r="K12" i="21"/>
  <c r="R11" i="21"/>
  <c r="M11" i="21"/>
  <c r="L11" i="21"/>
  <c r="K11" i="21"/>
  <c r="R10" i="21"/>
  <c r="M10" i="21"/>
  <c r="L10" i="21"/>
  <c r="K10" i="21"/>
  <c r="R9" i="21"/>
  <c r="M9" i="21"/>
  <c r="L9" i="21"/>
  <c r="K9" i="21"/>
  <c r="R8" i="21"/>
  <c r="M8" i="21"/>
  <c r="L8" i="21"/>
  <c r="K8" i="21"/>
  <c r="U180" i="9"/>
  <c r="T180" i="9"/>
  <c r="S180" i="9"/>
  <c r="U177" i="9"/>
  <c r="T177" i="9"/>
  <c r="U173" i="9"/>
  <c r="T173" i="9"/>
  <c r="S173" i="9"/>
  <c r="U169" i="9"/>
  <c r="T169" i="9"/>
  <c r="S169" i="9"/>
  <c r="U167" i="9"/>
  <c r="T167" i="9"/>
  <c r="S167" i="9"/>
  <c r="U165" i="9"/>
  <c r="T165" i="9"/>
  <c r="S165" i="9"/>
  <c r="U163" i="9"/>
  <c r="T163" i="9"/>
  <c r="S163" i="9"/>
  <c r="U161" i="9"/>
  <c r="T161" i="9"/>
  <c r="S161" i="9"/>
  <c r="U160" i="9"/>
  <c r="T160" i="9"/>
  <c r="S160" i="9"/>
  <c r="U158" i="9"/>
  <c r="T158" i="9"/>
  <c r="S158" i="9"/>
  <c r="U157" i="9"/>
  <c r="T157" i="9"/>
  <c r="S157" i="9"/>
  <c r="U154" i="9"/>
  <c r="T154" i="9"/>
  <c r="S154" i="9"/>
  <c r="U153" i="9"/>
  <c r="T153" i="9"/>
  <c r="S153" i="9"/>
  <c r="R129" i="9"/>
  <c r="M129" i="9"/>
  <c r="L129" i="9"/>
  <c r="N129" i="9" s="1"/>
  <c r="K129" i="9"/>
  <c r="R128" i="9"/>
  <c r="M128" i="9"/>
  <c r="L128" i="9"/>
  <c r="K128" i="9"/>
  <c r="R127" i="9"/>
  <c r="M127" i="9"/>
  <c r="L127" i="9"/>
  <c r="K127" i="9"/>
  <c r="R126" i="9"/>
  <c r="M126" i="9"/>
  <c r="L126" i="9"/>
  <c r="K126" i="9"/>
  <c r="R125" i="9"/>
  <c r="M125" i="9"/>
  <c r="L125" i="9"/>
  <c r="K125" i="9"/>
  <c r="R124" i="9"/>
  <c r="M124" i="9"/>
  <c r="L124" i="9"/>
  <c r="K124" i="9"/>
  <c r="R123" i="9"/>
  <c r="M123" i="9"/>
  <c r="L123" i="9"/>
  <c r="K123" i="9"/>
  <c r="R122" i="9"/>
  <c r="M122" i="9"/>
  <c r="L122" i="9"/>
  <c r="K122" i="9"/>
  <c r="E122" i="9"/>
  <c r="S203" i="9" s="1"/>
  <c r="R121" i="9"/>
  <c r="M121" i="9"/>
  <c r="L121" i="9"/>
  <c r="K121" i="9"/>
  <c r="R120" i="9"/>
  <c r="M120" i="9"/>
  <c r="L120" i="9"/>
  <c r="K120" i="9"/>
  <c r="E120" i="9"/>
  <c r="R119" i="9"/>
  <c r="M119" i="9"/>
  <c r="L119" i="9"/>
  <c r="K119" i="9"/>
  <c r="R118" i="9"/>
  <c r="M118" i="9"/>
  <c r="L118" i="9"/>
  <c r="K118" i="9"/>
  <c r="R117" i="9"/>
  <c r="M117" i="9"/>
  <c r="L117" i="9"/>
  <c r="K117" i="9"/>
  <c r="R116" i="9"/>
  <c r="M116" i="9"/>
  <c r="L116" i="9"/>
  <c r="N116" i="9" s="1"/>
  <c r="K116" i="9"/>
  <c r="R115" i="9"/>
  <c r="M115" i="9"/>
  <c r="D201" i="9" s="1"/>
  <c r="L115" i="9"/>
  <c r="C201" i="9" s="1"/>
  <c r="K115" i="9"/>
  <c r="R114" i="9"/>
  <c r="M114" i="9"/>
  <c r="L114" i="9"/>
  <c r="N114" i="9" s="1"/>
  <c r="K114" i="9"/>
  <c r="E114" i="9"/>
  <c r="T200" i="9" s="1"/>
  <c r="R113" i="9"/>
  <c r="M113" i="9"/>
  <c r="L113" i="9"/>
  <c r="K113" i="9"/>
  <c r="R112" i="9"/>
  <c r="M112" i="9"/>
  <c r="L112" i="9"/>
  <c r="K112" i="9"/>
  <c r="R111" i="9"/>
  <c r="M111" i="9"/>
  <c r="L111" i="9"/>
  <c r="K111" i="9"/>
  <c r="E111" i="9"/>
  <c r="S199" i="9" s="1"/>
  <c r="R110" i="9"/>
  <c r="M110" i="9"/>
  <c r="L110" i="9"/>
  <c r="K110" i="9"/>
  <c r="R109" i="9"/>
  <c r="M109" i="9"/>
  <c r="L109" i="9"/>
  <c r="K109" i="9"/>
  <c r="R108" i="9"/>
  <c r="M108" i="9"/>
  <c r="L108" i="9"/>
  <c r="K108" i="9"/>
  <c r="E108" i="9"/>
  <c r="S198" i="9" s="1"/>
  <c r="R107" i="9"/>
  <c r="M107" i="9"/>
  <c r="L107" i="9"/>
  <c r="K107" i="9"/>
  <c r="R106" i="9"/>
  <c r="M106" i="9"/>
  <c r="L106" i="9"/>
  <c r="K106" i="9"/>
  <c r="E106" i="9"/>
  <c r="R105" i="9"/>
  <c r="M105" i="9"/>
  <c r="L105" i="9"/>
  <c r="K105" i="9"/>
  <c r="R104" i="9"/>
  <c r="M104" i="9"/>
  <c r="L104" i="9"/>
  <c r="K104" i="9"/>
  <c r="E104" i="9"/>
  <c r="R103" i="9"/>
  <c r="M103" i="9"/>
  <c r="L103" i="9"/>
  <c r="K103" i="9"/>
  <c r="O102" i="9"/>
  <c r="R102" i="9" s="1"/>
  <c r="M102" i="9"/>
  <c r="L102" i="9"/>
  <c r="K102" i="9"/>
  <c r="E102" i="9"/>
  <c r="T195" i="9" s="1"/>
  <c r="R101" i="9"/>
  <c r="M101" i="9"/>
  <c r="L101" i="9"/>
  <c r="K101" i="9"/>
  <c r="R100" i="9"/>
  <c r="M100" i="9"/>
  <c r="L100" i="9"/>
  <c r="K100" i="9"/>
  <c r="E100" i="9"/>
  <c r="S194" i="9" s="1"/>
  <c r="R99" i="9"/>
  <c r="M99" i="9"/>
  <c r="L99" i="9"/>
  <c r="K99" i="9"/>
  <c r="R98" i="9"/>
  <c r="M98" i="9"/>
  <c r="L98" i="9"/>
  <c r="K98" i="9"/>
  <c r="E98" i="9"/>
  <c r="T193" i="9" s="1"/>
  <c r="R97" i="9"/>
  <c r="M97" i="9"/>
  <c r="L97" i="9"/>
  <c r="K97" i="9"/>
  <c r="R96" i="9"/>
  <c r="M96" i="9"/>
  <c r="L96" i="9"/>
  <c r="K96" i="9"/>
  <c r="M94" i="9"/>
  <c r="L94" i="9"/>
  <c r="K94" i="9"/>
  <c r="M93" i="9"/>
  <c r="L93" i="9"/>
  <c r="K93" i="9"/>
  <c r="E93" i="9"/>
  <c r="U191" i="9" s="1"/>
  <c r="M92" i="9"/>
  <c r="L92" i="9"/>
  <c r="K92" i="9"/>
  <c r="R91" i="9"/>
  <c r="M91" i="9"/>
  <c r="L91" i="9"/>
  <c r="K91" i="9"/>
  <c r="R90" i="9"/>
  <c r="M90" i="9"/>
  <c r="L90" i="9"/>
  <c r="K90" i="9"/>
  <c r="E90" i="9"/>
  <c r="S190" i="9" s="1"/>
  <c r="R89" i="9"/>
  <c r="M89" i="9"/>
  <c r="L89" i="9"/>
  <c r="K89" i="9"/>
  <c r="R88" i="9"/>
  <c r="M88" i="9"/>
  <c r="L88" i="9"/>
  <c r="K88" i="9"/>
  <c r="E88" i="9"/>
  <c r="R87" i="9"/>
  <c r="H189" i="9" s="1"/>
  <c r="M87" i="9"/>
  <c r="L87" i="9"/>
  <c r="K87" i="9"/>
  <c r="R86" i="9"/>
  <c r="M86" i="9"/>
  <c r="L86" i="9"/>
  <c r="K86" i="9"/>
  <c r="E86" i="9"/>
  <c r="R85" i="9"/>
  <c r="M85" i="9"/>
  <c r="L85" i="9"/>
  <c r="K85" i="9"/>
  <c r="R84" i="9"/>
  <c r="M84" i="9"/>
  <c r="L84" i="9"/>
  <c r="K84" i="9"/>
  <c r="R83" i="9"/>
  <c r="M83" i="9"/>
  <c r="L83" i="9"/>
  <c r="K83" i="9"/>
  <c r="E83" i="9"/>
  <c r="R82" i="9"/>
  <c r="M82" i="9"/>
  <c r="L82" i="9"/>
  <c r="N82" i="9" s="1"/>
  <c r="K82" i="9"/>
  <c r="R81" i="9"/>
  <c r="M81" i="9"/>
  <c r="L81" i="9"/>
  <c r="K81" i="9"/>
  <c r="E81" i="9"/>
  <c r="S186" i="9" s="1"/>
  <c r="R80" i="9"/>
  <c r="M80" i="9"/>
  <c r="L80" i="9"/>
  <c r="K80" i="9"/>
  <c r="Q79" i="9"/>
  <c r="R79" i="9" s="1"/>
  <c r="M79" i="9"/>
  <c r="L79" i="9"/>
  <c r="K79" i="9"/>
  <c r="Q78" i="9"/>
  <c r="M78" i="9"/>
  <c r="L78" i="9"/>
  <c r="K78" i="9"/>
  <c r="E78" i="9"/>
  <c r="T185" i="9" s="1"/>
  <c r="R77" i="9"/>
  <c r="M77" i="9"/>
  <c r="L77" i="9"/>
  <c r="K77" i="9"/>
  <c r="R76" i="9"/>
  <c r="M76" i="9"/>
  <c r="L76" i="9"/>
  <c r="K76" i="9"/>
  <c r="E76" i="9"/>
  <c r="S184" i="9" s="1"/>
  <c r="R75" i="9"/>
  <c r="M75" i="9"/>
  <c r="L75" i="9"/>
  <c r="K75" i="9"/>
  <c r="R74" i="9"/>
  <c r="M74" i="9"/>
  <c r="L74" i="9"/>
  <c r="K74" i="9"/>
  <c r="E74" i="9"/>
  <c r="U183" i="9" s="1"/>
  <c r="R73" i="9"/>
  <c r="M73" i="9"/>
  <c r="L73" i="9"/>
  <c r="K73" i="9"/>
  <c r="R72" i="9"/>
  <c r="M72" i="9"/>
  <c r="L72" i="9"/>
  <c r="K72" i="9"/>
  <c r="E72" i="9"/>
  <c r="U182" i="9" s="1"/>
  <c r="R71" i="9"/>
  <c r="M71" i="9"/>
  <c r="L71" i="9"/>
  <c r="K71" i="9"/>
  <c r="R70" i="9"/>
  <c r="M70" i="9"/>
  <c r="L70" i="9"/>
  <c r="K70" i="9"/>
  <c r="E70" i="9"/>
  <c r="T181" i="9" s="1"/>
  <c r="R69" i="9"/>
  <c r="M69" i="9"/>
  <c r="L69" i="9"/>
  <c r="K69" i="9"/>
  <c r="R68" i="9"/>
  <c r="J181" i="9" s="1"/>
  <c r="M68" i="9"/>
  <c r="L68" i="9"/>
  <c r="K68" i="9"/>
  <c r="R67" i="9"/>
  <c r="M67" i="9"/>
  <c r="L67" i="9"/>
  <c r="K67" i="9"/>
  <c r="R66" i="9"/>
  <c r="H180" i="9" s="1"/>
  <c r="M66" i="9"/>
  <c r="L66" i="9"/>
  <c r="K66" i="9"/>
  <c r="R65" i="9"/>
  <c r="M65" i="9"/>
  <c r="L65" i="9"/>
  <c r="K65" i="9"/>
  <c r="E65" i="9"/>
  <c r="T179" i="9" s="1"/>
  <c r="R64" i="9"/>
  <c r="M64" i="9"/>
  <c r="L64" i="9"/>
  <c r="K64" i="9"/>
  <c r="R63" i="9"/>
  <c r="M63" i="9"/>
  <c r="L63" i="9"/>
  <c r="K63" i="9"/>
  <c r="E63" i="9"/>
  <c r="O62" i="9"/>
  <c r="M62" i="9"/>
  <c r="L62" i="9"/>
  <c r="K62" i="9"/>
  <c r="O61" i="9"/>
  <c r="R61" i="9" s="1"/>
  <c r="M61" i="9"/>
  <c r="L61" i="9"/>
  <c r="K61" i="9"/>
  <c r="O60" i="9"/>
  <c r="M60" i="9"/>
  <c r="L60" i="9"/>
  <c r="C177" i="9" s="1"/>
  <c r="K60" i="9"/>
  <c r="O59" i="9"/>
  <c r="R59" i="9" s="1"/>
  <c r="M59" i="9"/>
  <c r="L59" i="9"/>
  <c r="K59" i="9"/>
  <c r="E59" i="9"/>
  <c r="O58" i="9"/>
  <c r="R58" i="9" s="1"/>
  <c r="M58" i="9"/>
  <c r="L58" i="9"/>
  <c r="K58" i="9"/>
  <c r="O57" i="9"/>
  <c r="R57" i="9" s="1"/>
  <c r="M57" i="9"/>
  <c r="L57" i="9"/>
  <c r="K57" i="9"/>
  <c r="E57" i="9"/>
  <c r="U175" i="9" s="1"/>
  <c r="R56" i="9"/>
  <c r="M56" i="9"/>
  <c r="L56" i="9"/>
  <c r="K56" i="9"/>
  <c r="R55" i="9"/>
  <c r="M55" i="9"/>
  <c r="L55" i="9"/>
  <c r="K55" i="9"/>
  <c r="E55" i="9"/>
  <c r="T174" i="9" s="1"/>
  <c r="R54" i="9"/>
  <c r="M54" i="9"/>
  <c r="L54" i="9"/>
  <c r="K54" i="9"/>
  <c r="R53" i="9"/>
  <c r="M53" i="9"/>
  <c r="L53" i="9"/>
  <c r="K53" i="9"/>
  <c r="R52" i="9"/>
  <c r="H173" i="9" s="1"/>
  <c r="M52" i="9"/>
  <c r="L52" i="9"/>
  <c r="K52" i="9"/>
  <c r="R51" i="9"/>
  <c r="M51" i="9"/>
  <c r="L51" i="9"/>
  <c r="K51" i="9"/>
  <c r="E51" i="9"/>
  <c r="S172" i="9" s="1"/>
  <c r="R50" i="9"/>
  <c r="M50" i="9"/>
  <c r="L50" i="9"/>
  <c r="K50" i="9"/>
  <c r="R49" i="9"/>
  <c r="M49" i="9"/>
  <c r="L49" i="9"/>
  <c r="K49" i="9"/>
  <c r="E49" i="9"/>
  <c r="T171" i="9" s="1"/>
  <c r="R48" i="9"/>
  <c r="M48" i="9"/>
  <c r="L48" i="9"/>
  <c r="K48" i="9"/>
  <c r="R47" i="9"/>
  <c r="M47" i="9"/>
  <c r="L47" i="9"/>
  <c r="K47" i="9"/>
  <c r="E47" i="9"/>
  <c r="S170" i="9" s="1"/>
  <c r="R46" i="9"/>
  <c r="M46" i="9"/>
  <c r="L46" i="9"/>
  <c r="K46" i="9"/>
  <c r="R45" i="9"/>
  <c r="M45" i="9"/>
  <c r="L45" i="9"/>
  <c r="K45" i="9"/>
  <c r="R44" i="9"/>
  <c r="M44" i="9"/>
  <c r="L44" i="9"/>
  <c r="K44" i="9"/>
  <c r="R43" i="9"/>
  <c r="M43" i="9"/>
  <c r="L43" i="9"/>
  <c r="N43" i="9" s="1"/>
  <c r="K43" i="9"/>
  <c r="E43" i="9"/>
  <c r="U168" i="9" s="1"/>
  <c r="R42" i="9"/>
  <c r="M42" i="9"/>
  <c r="L42" i="9"/>
  <c r="K42" i="9"/>
  <c r="R41" i="9"/>
  <c r="M41" i="9"/>
  <c r="L41" i="9"/>
  <c r="K41" i="9"/>
  <c r="R40" i="9"/>
  <c r="M40" i="9"/>
  <c r="L40" i="9"/>
  <c r="K40" i="9"/>
  <c r="R39" i="9"/>
  <c r="M39" i="9"/>
  <c r="L39" i="9"/>
  <c r="K39" i="9"/>
  <c r="E39" i="9"/>
  <c r="S166" i="9" s="1"/>
  <c r="R38" i="9"/>
  <c r="M38" i="9"/>
  <c r="L38" i="9"/>
  <c r="K38" i="9"/>
  <c r="R37" i="9"/>
  <c r="M37" i="9"/>
  <c r="L37" i="9"/>
  <c r="K37" i="9"/>
  <c r="R36" i="9"/>
  <c r="L165" i="9" s="1"/>
  <c r="M36" i="9"/>
  <c r="D165" i="9" s="1"/>
  <c r="L36" i="9"/>
  <c r="K36" i="9"/>
  <c r="R35" i="9"/>
  <c r="M35" i="9"/>
  <c r="L35" i="9"/>
  <c r="K35" i="9"/>
  <c r="E35" i="9"/>
  <c r="T164" i="9" s="1"/>
  <c r="R34" i="9"/>
  <c r="M34" i="9"/>
  <c r="L34" i="9"/>
  <c r="K34" i="9"/>
  <c r="R33" i="9"/>
  <c r="M33" i="9"/>
  <c r="L33" i="9"/>
  <c r="K33" i="9"/>
  <c r="R32" i="9"/>
  <c r="M32" i="9"/>
  <c r="L32" i="9"/>
  <c r="K32" i="9"/>
  <c r="R31" i="9"/>
  <c r="M31" i="9"/>
  <c r="L31" i="9"/>
  <c r="K31" i="9"/>
  <c r="R30" i="9"/>
  <c r="M30" i="9"/>
  <c r="L30" i="9"/>
  <c r="K30" i="9"/>
  <c r="E30" i="9"/>
  <c r="R29" i="9"/>
  <c r="M29" i="9"/>
  <c r="L29" i="9"/>
  <c r="K29" i="9"/>
  <c r="R28" i="9"/>
  <c r="M28" i="9"/>
  <c r="L28" i="9"/>
  <c r="K28" i="9"/>
  <c r="R27" i="9"/>
  <c r="M27" i="9"/>
  <c r="L27" i="9"/>
  <c r="K27" i="9"/>
  <c r="R26" i="9"/>
  <c r="M26" i="9"/>
  <c r="L26" i="9"/>
  <c r="N26" i="9" s="1"/>
  <c r="K26" i="9"/>
  <c r="R25" i="9"/>
  <c r="M25" i="9"/>
  <c r="L25" i="9"/>
  <c r="K25" i="9"/>
  <c r="R24" i="9"/>
  <c r="M24" i="9"/>
  <c r="L24" i="9"/>
  <c r="K24" i="9"/>
  <c r="E24" i="9"/>
  <c r="S159" i="9" s="1"/>
  <c r="R23" i="9"/>
  <c r="M23" i="9"/>
  <c r="L23" i="9"/>
  <c r="K23" i="9"/>
  <c r="R22" i="9"/>
  <c r="M22" i="9"/>
  <c r="L22" i="9"/>
  <c r="K22" i="9"/>
  <c r="R21" i="9"/>
  <c r="M21" i="9"/>
  <c r="L21" i="9"/>
  <c r="K21" i="9"/>
  <c r="R20" i="9"/>
  <c r="M20" i="9"/>
  <c r="L20" i="9"/>
  <c r="K20" i="9"/>
  <c r="R19" i="9"/>
  <c r="M19" i="9"/>
  <c r="L19" i="9"/>
  <c r="K19" i="9"/>
  <c r="R18" i="9"/>
  <c r="M18" i="9"/>
  <c r="L18" i="9"/>
  <c r="K18" i="9"/>
  <c r="E18" i="9"/>
  <c r="R17" i="9"/>
  <c r="M17" i="9"/>
  <c r="L17" i="9"/>
  <c r="K17" i="9"/>
  <c r="R16" i="9"/>
  <c r="M16" i="9"/>
  <c r="L16" i="9"/>
  <c r="K16" i="9"/>
  <c r="E16" i="9"/>
  <c r="R15" i="9"/>
  <c r="M15" i="9"/>
  <c r="L15" i="9"/>
  <c r="K15" i="9"/>
  <c r="R14" i="9"/>
  <c r="M14" i="9"/>
  <c r="L14" i="9"/>
  <c r="K14" i="9"/>
  <c r="R13" i="9"/>
  <c r="M13" i="9"/>
  <c r="L13" i="9"/>
  <c r="K13" i="9"/>
  <c r="R12" i="9"/>
  <c r="M12" i="9"/>
  <c r="L12" i="9"/>
  <c r="K12" i="9"/>
  <c r="R11" i="9"/>
  <c r="L153" i="9" s="1"/>
  <c r="M11" i="9"/>
  <c r="L11" i="9"/>
  <c r="K11" i="9"/>
  <c r="R10" i="9"/>
  <c r="M10" i="9"/>
  <c r="L10" i="9"/>
  <c r="K10" i="9"/>
  <c r="E10" i="9"/>
  <c r="T152" i="9" s="1"/>
  <c r="R9" i="9"/>
  <c r="M9" i="9"/>
  <c r="L9" i="9"/>
  <c r="K9" i="9"/>
  <c r="R8" i="9"/>
  <c r="M8" i="9"/>
  <c r="L8" i="9"/>
  <c r="K8" i="9"/>
  <c r="E119" i="10"/>
  <c r="U207" i="10" s="1"/>
  <c r="E109" i="10"/>
  <c r="U203" i="10" s="1"/>
  <c r="E101" i="10"/>
  <c r="T199" i="10" s="1"/>
  <c r="E93" i="10"/>
  <c r="T195" i="10" s="1"/>
  <c r="E85" i="10"/>
  <c r="U191" i="10" s="1"/>
  <c r="R130" i="10"/>
  <c r="M130" i="10"/>
  <c r="L130" i="10"/>
  <c r="K130" i="10"/>
  <c r="U211" i="10" s="1"/>
  <c r="R129" i="10"/>
  <c r="M129" i="10"/>
  <c r="L129" i="10"/>
  <c r="K129" i="10"/>
  <c r="R128" i="10"/>
  <c r="M128" i="10"/>
  <c r="L128" i="10"/>
  <c r="K128" i="10"/>
  <c r="S210" i="10" s="1"/>
  <c r="R127" i="10"/>
  <c r="M127" i="10"/>
  <c r="L127" i="10"/>
  <c r="K127" i="10"/>
  <c r="R126" i="10"/>
  <c r="M126" i="10"/>
  <c r="L126" i="10"/>
  <c r="K126" i="10"/>
  <c r="R125" i="10"/>
  <c r="M125" i="10"/>
  <c r="L125" i="10"/>
  <c r="K125" i="10"/>
  <c r="E125" i="10"/>
  <c r="U209"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204" i="10" s="1"/>
  <c r="R110" i="10"/>
  <c r="M110" i="10"/>
  <c r="L110" i="10"/>
  <c r="K110" i="10"/>
  <c r="R109" i="10"/>
  <c r="M109" i="10"/>
  <c r="L109" i="10"/>
  <c r="K109" i="10"/>
  <c r="R108" i="10"/>
  <c r="M108" i="10"/>
  <c r="L108" i="10"/>
  <c r="K108" i="10"/>
  <c r="R107" i="10"/>
  <c r="M107" i="10"/>
  <c r="L107" i="10"/>
  <c r="K107" i="10"/>
  <c r="E107" i="10"/>
  <c r="R106" i="10"/>
  <c r="M106" i="10"/>
  <c r="L106" i="10"/>
  <c r="K106" i="10"/>
  <c r="R105" i="10"/>
  <c r="M105" i="10"/>
  <c r="L105" i="10"/>
  <c r="K105" i="10"/>
  <c r="E105" i="10"/>
  <c r="U201" i="10" s="1"/>
  <c r="R104" i="10"/>
  <c r="M104" i="10"/>
  <c r="L104" i="10"/>
  <c r="K104" i="10"/>
  <c r="R103" i="10"/>
  <c r="M103" i="10"/>
  <c r="L103" i="10"/>
  <c r="K103" i="10"/>
  <c r="E103" i="10"/>
  <c r="R102" i="10"/>
  <c r="M102" i="10"/>
  <c r="L102" i="10"/>
  <c r="K102" i="10"/>
  <c r="R101" i="10"/>
  <c r="M101" i="10"/>
  <c r="L101" i="10"/>
  <c r="K101" i="10"/>
  <c r="R100" i="10"/>
  <c r="M100" i="10"/>
  <c r="L100" i="10"/>
  <c r="K100" i="10"/>
  <c r="R99" i="10"/>
  <c r="M99" i="10"/>
  <c r="L99" i="10"/>
  <c r="K99" i="10"/>
  <c r="E99" i="10"/>
  <c r="S198" i="10" s="1"/>
  <c r="R98" i="10"/>
  <c r="M98" i="10"/>
  <c r="L98" i="10"/>
  <c r="K98" i="10"/>
  <c r="R97" i="10"/>
  <c r="M97" i="10"/>
  <c r="L97" i="10"/>
  <c r="K97" i="10"/>
  <c r="E97" i="10"/>
  <c r="U197" i="10" s="1"/>
  <c r="R96" i="10"/>
  <c r="M96" i="10"/>
  <c r="L96" i="10"/>
  <c r="K96" i="10"/>
  <c r="R95" i="10"/>
  <c r="M95" i="10"/>
  <c r="L95" i="10"/>
  <c r="K95" i="10"/>
  <c r="E95" i="10"/>
  <c r="S196" i="10" s="1"/>
  <c r="R94" i="10"/>
  <c r="M94" i="10"/>
  <c r="L94" i="10"/>
  <c r="K94" i="10"/>
  <c r="R93" i="10"/>
  <c r="M93" i="10"/>
  <c r="L93" i="10"/>
  <c r="K93" i="10"/>
  <c r="R92" i="10"/>
  <c r="M92" i="10"/>
  <c r="L92" i="10"/>
  <c r="K92" i="10"/>
  <c r="R91" i="10"/>
  <c r="M91" i="10"/>
  <c r="L91" i="10"/>
  <c r="K91" i="10"/>
  <c r="E91" i="10"/>
  <c r="U194" i="10" s="1"/>
  <c r="R90" i="10"/>
  <c r="L194" i="10" s="1"/>
  <c r="M90" i="10"/>
  <c r="L90" i="10"/>
  <c r="K90" i="10"/>
  <c r="R89" i="10"/>
  <c r="M89" i="10"/>
  <c r="L89" i="10"/>
  <c r="K89" i="10"/>
  <c r="E89" i="10"/>
  <c r="U193" i="10" s="1"/>
  <c r="R88" i="10"/>
  <c r="M88" i="10"/>
  <c r="L88" i="10"/>
  <c r="K88" i="10"/>
  <c r="R87" i="10"/>
  <c r="M87" i="10"/>
  <c r="L87" i="10"/>
  <c r="K87" i="10"/>
  <c r="E87" i="10"/>
  <c r="S192" i="10" s="1"/>
  <c r="R86" i="10"/>
  <c r="M86" i="10"/>
  <c r="L86" i="10"/>
  <c r="K86" i="10"/>
  <c r="R85" i="10"/>
  <c r="M85" i="10"/>
  <c r="L85" i="10"/>
  <c r="K85" i="10"/>
  <c r="R84" i="10"/>
  <c r="M84" i="10"/>
  <c r="L84" i="10"/>
  <c r="K84" i="10"/>
  <c r="R83" i="10"/>
  <c r="M83" i="10"/>
  <c r="L83" i="10"/>
  <c r="K83" i="10"/>
  <c r="R82" i="10"/>
  <c r="M82" i="10"/>
  <c r="L82" i="10"/>
  <c r="K82" i="10"/>
  <c r="E82" i="10"/>
  <c r="T190" i="10" s="1"/>
  <c r="R81" i="10"/>
  <c r="M81" i="10"/>
  <c r="L81" i="10"/>
  <c r="K81" i="10"/>
  <c r="R80" i="10"/>
  <c r="M80" i="10"/>
  <c r="L80" i="10"/>
  <c r="K80" i="10"/>
  <c r="E80" i="10"/>
  <c r="T189" i="10" s="1"/>
  <c r="R79" i="10"/>
  <c r="M79" i="10"/>
  <c r="L79" i="10"/>
  <c r="K79" i="10"/>
  <c r="R78" i="10"/>
  <c r="M78" i="10"/>
  <c r="L78" i="10"/>
  <c r="K78" i="10"/>
  <c r="E78" i="10"/>
  <c r="S188" i="10" s="1"/>
  <c r="R77" i="10"/>
  <c r="M77" i="10"/>
  <c r="L77" i="10"/>
  <c r="K77" i="10"/>
  <c r="R76" i="10"/>
  <c r="M76" i="10"/>
  <c r="L76" i="10"/>
  <c r="K76" i="10"/>
  <c r="E76" i="10"/>
  <c r="R75" i="10"/>
  <c r="M75" i="10"/>
  <c r="L75" i="10"/>
  <c r="K75" i="10"/>
  <c r="R74" i="10"/>
  <c r="M74" i="10"/>
  <c r="L74" i="10"/>
  <c r="K74" i="10"/>
  <c r="E74" i="10"/>
  <c r="S186"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81" i="10" s="1"/>
  <c r="R62" i="10"/>
  <c r="M62" i="10"/>
  <c r="L62" i="10"/>
  <c r="K62" i="10"/>
  <c r="R61" i="10"/>
  <c r="M61" i="10"/>
  <c r="L61" i="10"/>
  <c r="K61" i="10"/>
  <c r="R60" i="10"/>
  <c r="M60" i="10"/>
  <c r="L60" i="10"/>
  <c r="K60" i="10"/>
  <c r="E60" i="10"/>
  <c r="T180" i="10" s="1"/>
  <c r="R59" i="10"/>
  <c r="M59" i="10"/>
  <c r="L59" i="10"/>
  <c r="K59" i="10"/>
  <c r="M58" i="10"/>
  <c r="L58" i="10"/>
  <c r="K58" i="10"/>
  <c r="E58" i="10"/>
  <c r="S179" i="10" s="1"/>
  <c r="R57" i="10"/>
  <c r="M57" i="10"/>
  <c r="L57" i="10"/>
  <c r="K57" i="10"/>
  <c r="R56" i="10"/>
  <c r="M56" i="10"/>
  <c r="L56" i="10"/>
  <c r="K56" i="10"/>
  <c r="R55" i="10"/>
  <c r="M55" i="10"/>
  <c r="L55" i="10"/>
  <c r="K55" i="10"/>
  <c r="E55" i="10"/>
  <c r="S178" i="10" s="1"/>
  <c r="R54" i="10"/>
  <c r="M54" i="10"/>
  <c r="L54" i="10"/>
  <c r="K54" i="10"/>
  <c r="R53" i="10"/>
  <c r="M53" i="10"/>
  <c r="L53" i="10"/>
  <c r="K53" i="10"/>
  <c r="R52" i="10"/>
  <c r="M52" i="10"/>
  <c r="L52" i="10"/>
  <c r="K52" i="10"/>
  <c r="E52" i="10"/>
  <c r="U177" i="10" s="1"/>
  <c r="R51" i="10"/>
  <c r="M51" i="10"/>
  <c r="L51" i="10"/>
  <c r="K51" i="10"/>
  <c r="R50" i="10"/>
  <c r="M50" i="10"/>
  <c r="L50" i="10"/>
  <c r="K50" i="10"/>
  <c r="R49" i="10"/>
  <c r="M49" i="10"/>
  <c r="L49" i="10"/>
  <c r="K49" i="10"/>
  <c r="R48" i="10"/>
  <c r="M48" i="10"/>
  <c r="L48" i="10"/>
  <c r="K48" i="10"/>
  <c r="E48" i="10"/>
  <c r="T175" i="10" s="1"/>
  <c r="R47" i="10"/>
  <c r="M47" i="10"/>
  <c r="L47" i="10"/>
  <c r="K47" i="10"/>
  <c r="R46" i="10"/>
  <c r="M46" i="10"/>
  <c r="L46" i="10"/>
  <c r="K46" i="10"/>
  <c r="R45" i="10"/>
  <c r="M45" i="10"/>
  <c r="L45" i="10"/>
  <c r="K45" i="10"/>
  <c r="R44" i="10"/>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71" i="10" s="1"/>
  <c r="R37" i="10"/>
  <c r="M37" i="10"/>
  <c r="L37" i="10"/>
  <c r="K37" i="10"/>
  <c r="R36" i="10"/>
  <c r="M36" i="10"/>
  <c r="L36" i="10"/>
  <c r="K36" i="10"/>
  <c r="R35" i="10"/>
  <c r="M35" i="10"/>
  <c r="L35" i="10"/>
  <c r="K35" i="10"/>
  <c r="R34" i="10"/>
  <c r="M34" i="10"/>
  <c r="L34" i="10"/>
  <c r="K34" i="10"/>
  <c r="R33" i="10"/>
  <c r="M33" i="10"/>
  <c r="L33" i="10"/>
  <c r="K33" i="10"/>
  <c r="E33" i="10"/>
  <c r="T169" i="10" s="1"/>
  <c r="R32" i="10"/>
  <c r="M32" i="10"/>
  <c r="L32" i="10"/>
  <c r="K32" i="10"/>
  <c r="R31" i="10"/>
  <c r="M31" i="10"/>
  <c r="L31" i="10"/>
  <c r="K31" i="10"/>
  <c r="R30" i="10"/>
  <c r="M30" i="10"/>
  <c r="L30" i="10"/>
  <c r="K30" i="10"/>
  <c r="E30" i="10"/>
  <c r="U168" i="10" s="1"/>
  <c r="R29" i="10"/>
  <c r="M29" i="10"/>
  <c r="L29" i="10"/>
  <c r="K29" i="10"/>
  <c r="R28" i="10"/>
  <c r="M28" i="10"/>
  <c r="L28" i="10"/>
  <c r="K28" i="10"/>
  <c r="E28" i="10"/>
  <c r="U167"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63" i="10" s="1"/>
  <c r="R18" i="10"/>
  <c r="M18" i="10"/>
  <c r="L18" i="10"/>
  <c r="K18" i="10"/>
  <c r="R17" i="10"/>
  <c r="M17" i="10"/>
  <c r="L17" i="10"/>
  <c r="K17" i="10"/>
  <c r="E17" i="10"/>
  <c r="T162" i="10" s="1"/>
  <c r="R16" i="10"/>
  <c r="M16" i="10"/>
  <c r="L16" i="10"/>
  <c r="K16" i="10"/>
  <c r="R15" i="10"/>
  <c r="M15" i="10"/>
  <c r="L15" i="10"/>
  <c r="K15" i="10"/>
  <c r="R14" i="10"/>
  <c r="M14" i="10"/>
  <c r="L14" i="10"/>
  <c r="K14" i="10"/>
  <c r="E14" i="10"/>
  <c r="U161" i="10" s="1"/>
  <c r="R13" i="10"/>
  <c r="M13" i="10"/>
  <c r="L13" i="10"/>
  <c r="K13" i="10"/>
  <c r="R12" i="10"/>
  <c r="M12" i="10"/>
  <c r="L12" i="10"/>
  <c r="K12" i="10"/>
  <c r="R11" i="10"/>
  <c r="M11" i="10"/>
  <c r="L11" i="10"/>
  <c r="K11" i="10"/>
  <c r="R10" i="10"/>
  <c r="M10" i="10"/>
  <c r="L10" i="10"/>
  <c r="K10" i="10"/>
  <c r="E10" i="10"/>
  <c r="U159" i="10" s="1"/>
  <c r="R9" i="10"/>
  <c r="M9" i="10"/>
  <c r="L9" i="10"/>
  <c r="K9" i="10"/>
  <c r="R8" i="10"/>
  <c r="M8" i="10"/>
  <c r="L8" i="10"/>
  <c r="K8" i="10"/>
  <c r="E106" i="11"/>
  <c r="U188" i="11" s="1"/>
  <c r="E74" i="11"/>
  <c r="U192" i="11"/>
  <c r="T192" i="11"/>
  <c r="S192" i="11"/>
  <c r="U190" i="11"/>
  <c r="T190" i="11"/>
  <c r="S190" i="11"/>
  <c r="U189" i="11"/>
  <c r="T189" i="11"/>
  <c r="S189" i="11"/>
  <c r="U187" i="11"/>
  <c r="T187" i="11"/>
  <c r="S187" i="11"/>
  <c r="U168" i="11"/>
  <c r="T168" i="11"/>
  <c r="S168" i="11"/>
  <c r="U166" i="11"/>
  <c r="T166" i="11"/>
  <c r="S166" i="11"/>
  <c r="U165" i="11"/>
  <c r="T165" i="11"/>
  <c r="S165" i="11"/>
  <c r="U164" i="11"/>
  <c r="T164" i="11"/>
  <c r="S164" i="11"/>
  <c r="U163" i="11"/>
  <c r="T163" i="11"/>
  <c r="S163" i="11"/>
  <c r="U160" i="11"/>
  <c r="T160" i="11"/>
  <c r="S160" i="11"/>
  <c r="U158" i="11"/>
  <c r="T158" i="11"/>
  <c r="S158" i="11"/>
  <c r="U156" i="11"/>
  <c r="T156" i="11"/>
  <c r="S156" i="11"/>
  <c r="U155" i="11"/>
  <c r="T155" i="11"/>
  <c r="S155" i="11"/>
  <c r="U154" i="11"/>
  <c r="T154" i="11"/>
  <c r="S154" i="11"/>
  <c r="U152" i="11"/>
  <c r="T152" i="11"/>
  <c r="S152" i="11"/>
  <c r="U151" i="11"/>
  <c r="T151" i="11"/>
  <c r="S151" i="11"/>
  <c r="U150" i="11"/>
  <c r="T150" i="11"/>
  <c r="S150" i="11"/>
  <c r="U148" i="11"/>
  <c r="T148" i="11"/>
  <c r="S148" i="11"/>
  <c r="U147" i="11"/>
  <c r="T147" i="11"/>
  <c r="S147" i="11"/>
  <c r="U144" i="11"/>
  <c r="T144" i="11"/>
  <c r="S144" i="11"/>
  <c r="U143" i="11"/>
  <c r="T143" i="11"/>
  <c r="S143" i="11"/>
  <c r="U142" i="11"/>
  <c r="T142" i="11"/>
  <c r="S142" i="11"/>
  <c r="U140" i="11"/>
  <c r="T140" i="11"/>
  <c r="R117" i="11"/>
  <c r="M117" i="11"/>
  <c r="L117" i="11"/>
  <c r="K117" i="11"/>
  <c r="R116" i="11"/>
  <c r="J192" i="11" s="1"/>
  <c r="M116" i="11"/>
  <c r="L116" i="11"/>
  <c r="C192" i="11" s="1"/>
  <c r="K116" i="11"/>
  <c r="B192" i="11" s="1"/>
  <c r="R115" i="11"/>
  <c r="M115" i="11"/>
  <c r="L115" i="11"/>
  <c r="K115" i="11"/>
  <c r="R114" i="11"/>
  <c r="M114" i="11"/>
  <c r="L114" i="11"/>
  <c r="K114" i="11"/>
  <c r="E114" i="11"/>
  <c r="R113" i="11"/>
  <c r="M113" i="11"/>
  <c r="L113" i="11"/>
  <c r="K113" i="11"/>
  <c r="R112" i="11"/>
  <c r="M112" i="11"/>
  <c r="L112" i="11"/>
  <c r="K112" i="11"/>
  <c r="R111" i="11"/>
  <c r="M111" i="11"/>
  <c r="L111" i="11"/>
  <c r="K111" i="11"/>
  <c r="R110" i="11"/>
  <c r="M110" i="11"/>
  <c r="L110" i="11"/>
  <c r="K110" i="11"/>
  <c r="R109" i="11"/>
  <c r="M109" i="11"/>
  <c r="L109" i="11"/>
  <c r="K109" i="11"/>
  <c r="R108" i="11"/>
  <c r="M108" i="11"/>
  <c r="L108" i="11"/>
  <c r="K108" i="11"/>
  <c r="R107" i="11"/>
  <c r="M107" i="11"/>
  <c r="L107" i="11"/>
  <c r="K107" i="11"/>
  <c r="R106" i="11"/>
  <c r="M106" i="11"/>
  <c r="L106" i="11"/>
  <c r="K106" i="11"/>
  <c r="R105" i="11"/>
  <c r="M105" i="11"/>
  <c r="D188" i="11" s="1"/>
  <c r="L105" i="11"/>
  <c r="K105" i="11"/>
  <c r="R104" i="11"/>
  <c r="M104" i="11"/>
  <c r="L104" i="11"/>
  <c r="K104" i="11"/>
  <c r="R103" i="11"/>
  <c r="M103" i="11"/>
  <c r="L103" i="11"/>
  <c r="K103" i="11"/>
  <c r="R102" i="11"/>
  <c r="M102" i="11"/>
  <c r="L102" i="11"/>
  <c r="K102" i="11"/>
  <c r="E102" i="11"/>
  <c r="R101" i="11"/>
  <c r="J186" i="11" s="1"/>
  <c r="M101" i="11"/>
  <c r="L101" i="11"/>
  <c r="K101" i="11"/>
  <c r="R100" i="11"/>
  <c r="M100" i="11"/>
  <c r="L100" i="11"/>
  <c r="K100" i="11"/>
  <c r="E100" i="11"/>
  <c r="R99" i="11"/>
  <c r="M99" i="11"/>
  <c r="L99" i="11"/>
  <c r="K99" i="11"/>
  <c r="N99" i="11" s="1"/>
  <c r="R98" i="11"/>
  <c r="M98" i="11"/>
  <c r="L98" i="11"/>
  <c r="K98" i="11"/>
  <c r="R97" i="11"/>
  <c r="M97" i="11"/>
  <c r="L97" i="11"/>
  <c r="K97" i="11"/>
  <c r="B184" i="11" s="1"/>
  <c r="R96" i="11"/>
  <c r="M96" i="11"/>
  <c r="L96" i="11"/>
  <c r="K96" i="11"/>
  <c r="E96" i="11"/>
  <c r="R95" i="11"/>
  <c r="M95" i="11"/>
  <c r="L95" i="11"/>
  <c r="K95" i="11"/>
  <c r="R94" i="11"/>
  <c r="M94" i="11"/>
  <c r="L94" i="11"/>
  <c r="K94" i="11"/>
  <c r="E94" i="11"/>
  <c r="R93" i="11"/>
  <c r="M93" i="11"/>
  <c r="L93" i="11"/>
  <c r="K93" i="11"/>
  <c r="R92" i="11"/>
  <c r="M92" i="11"/>
  <c r="L92" i="11"/>
  <c r="K92" i="11"/>
  <c r="E92" i="11"/>
  <c r="R91" i="11"/>
  <c r="L181" i="11" s="1"/>
  <c r="M91" i="11"/>
  <c r="L91" i="11"/>
  <c r="K91" i="11"/>
  <c r="R90" i="11"/>
  <c r="M90" i="11"/>
  <c r="L90" i="11"/>
  <c r="K90" i="11"/>
  <c r="U180" i="11"/>
  <c r="R89" i="11"/>
  <c r="M89" i="11"/>
  <c r="L89" i="11"/>
  <c r="K89" i="11"/>
  <c r="R88" i="11"/>
  <c r="M88" i="11"/>
  <c r="L88" i="11"/>
  <c r="K88" i="11"/>
  <c r="E88" i="11"/>
  <c r="T179" i="11" s="1"/>
  <c r="R87" i="11"/>
  <c r="M87" i="11"/>
  <c r="L87" i="11"/>
  <c r="K87" i="11"/>
  <c r="R86" i="11"/>
  <c r="M86" i="11"/>
  <c r="L86" i="11"/>
  <c r="K86" i="11"/>
  <c r="E86" i="11"/>
  <c r="R85" i="11"/>
  <c r="M85" i="11"/>
  <c r="L85" i="11"/>
  <c r="K85" i="11"/>
  <c r="R84" i="11"/>
  <c r="M84" i="11"/>
  <c r="D177" i="11" s="1"/>
  <c r="L84" i="11"/>
  <c r="K84" i="11"/>
  <c r="E84" i="11"/>
  <c r="R83" i="11"/>
  <c r="L177" i="11" s="1"/>
  <c r="M83" i="11"/>
  <c r="L83" i="11"/>
  <c r="K83" i="11"/>
  <c r="R82" i="11"/>
  <c r="M82" i="11"/>
  <c r="L82" i="11"/>
  <c r="K82" i="11"/>
  <c r="R81" i="11"/>
  <c r="J176" i="11" s="1"/>
  <c r="M81" i="11"/>
  <c r="L81" i="11"/>
  <c r="K81" i="11"/>
  <c r="R80" i="11"/>
  <c r="M80" i="11"/>
  <c r="L80" i="11"/>
  <c r="K80" i="11"/>
  <c r="E80" i="11"/>
  <c r="S175" i="11" s="1"/>
  <c r="R79" i="11"/>
  <c r="M79" i="11"/>
  <c r="L79" i="11"/>
  <c r="K79" i="11"/>
  <c r="B175" i="11" s="1"/>
  <c r="M78" i="11"/>
  <c r="L78" i="11"/>
  <c r="K78" i="11"/>
  <c r="E78" i="11"/>
  <c r="J174" i="11" s="1"/>
  <c r="R77" i="11"/>
  <c r="M77" i="11"/>
  <c r="L77" i="11"/>
  <c r="K77" i="11"/>
  <c r="N77" i="11" s="1"/>
  <c r="R76" i="11"/>
  <c r="M76" i="11"/>
  <c r="L76" i="11"/>
  <c r="K76" i="11"/>
  <c r="N76" i="11" s="1"/>
  <c r="E76" i="11"/>
  <c r="U173" i="11" s="1"/>
  <c r="R75" i="11"/>
  <c r="M75" i="11"/>
  <c r="L75" i="11"/>
  <c r="C173" i="11" s="1"/>
  <c r="K75" i="11"/>
  <c r="R74" i="11"/>
  <c r="M74" i="11"/>
  <c r="L74" i="11"/>
  <c r="K74" i="11"/>
  <c r="R73" i="11"/>
  <c r="M73" i="11"/>
  <c r="L73" i="11"/>
  <c r="K73" i="11"/>
  <c r="R72" i="11"/>
  <c r="M72" i="11"/>
  <c r="L72" i="11"/>
  <c r="K72" i="11"/>
  <c r="E72" i="11"/>
  <c r="T171" i="11" s="1"/>
  <c r="R71" i="11"/>
  <c r="M71" i="11"/>
  <c r="L71" i="11"/>
  <c r="K71" i="11"/>
  <c r="R70" i="11"/>
  <c r="M70" i="11"/>
  <c r="L70" i="11"/>
  <c r="K70" i="11"/>
  <c r="E70" i="11"/>
  <c r="R69" i="11"/>
  <c r="L170" i="11" s="1"/>
  <c r="M69" i="11"/>
  <c r="L69" i="11"/>
  <c r="K69" i="11"/>
  <c r="R68" i="11"/>
  <c r="M68" i="11"/>
  <c r="L68" i="11"/>
  <c r="K68" i="11"/>
  <c r="E68" i="11"/>
  <c r="U169" i="11" s="1"/>
  <c r="R67" i="11"/>
  <c r="M67" i="11"/>
  <c r="L67" i="11"/>
  <c r="K67" i="11"/>
  <c r="R66" i="11"/>
  <c r="M66" i="11"/>
  <c r="L66" i="11"/>
  <c r="K66" i="11"/>
  <c r="R65" i="11"/>
  <c r="M65" i="11"/>
  <c r="L65" i="11"/>
  <c r="K65" i="11"/>
  <c r="R64" i="11"/>
  <c r="M64" i="11"/>
  <c r="L64" i="11"/>
  <c r="K64" i="11"/>
  <c r="B167" i="11" s="1"/>
  <c r="E64" i="11"/>
  <c r="R63" i="11"/>
  <c r="M63" i="11"/>
  <c r="L63" i="11"/>
  <c r="N63" i="11" s="1"/>
  <c r="K63" i="11"/>
  <c r="R62" i="11"/>
  <c r="M62" i="11"/>
  <c r="L62" i="11"/>
  <c r="K62" i="11"/>
  <c r="R61" i="11"/>
  <c r="M61" i="11"/>
  <c r="L61" i="11"/>
  <c r="N61" i="11" s="1"/>
  <c r="K61" i="11"/>
  <c r="R60" i="11"/>
  <c r="M60" i="11"/>
  <c r="L60" i="11"/>
  <c r="K60" i="11"/>
  <c r="R59" i="11"/>
  <c r="M59" i="11"/>
  <c r="D165" i="11" s="1"/>
  <c r="L59" i="11"/>
  <c r="C165" i="11" s="1"/>
  <c r="K59" i="11"/>
  <c r="R58" i="11"/>
  <c r="M58" i="11"/>
  <c r="L58" i="11"/>
  <c r="N58" i="11" s="1"/>
  <c r="K58" i="11"/>
  <c r="R57" i="11"/>
  <c r="M57" i="11"/>
  <c r="L57" i="11"/>
  <c r="C164" i="11" s="1"/>
  <c r="K57" i="11"/>
  <c r="R56" i="11"/>
  <c r="M56" i="11"/>
  <c r="L56" i="11"/>
  <c r="N56" i="11" s="1"/>
  <c r="K56" i="11"/>
  <c r="R55" i="11"/>
  <c r="M55" i="11"/>
  <c r="L55" i="11"/>
  <c r="C163" i="11" s="1"/>
  <c r="K55" i="11"/>
  <c r="R54" i="11"/>
  <c r="M54" i="11"/>
  <c r="L54" i="11"/>
  <c r="C162" i="11" s="1"/>
  <c r="K54" i="11"/>
  <c r="E54" i="11"/>
  <c r="R53" i="11"/>
  <c r="M53" i="11"/>
  <c r="L53" i="11"/>
  <c r="K53" i="11"/>
  <c r="R52" i="11"/>
  <c r="M52" i="11"/>
  <c r="D162" i="11" s="1"/>
  <c r="L52" i="11"/>
  <c r="K52" i="11"/>
  <c r="R51" i="11"/>
  <c r="M51" i="11"/>
  <c r="L51" i="11"/>
  <c r="K51" i="11"/>
  <c r="E51" i="11"/>
  <c r="R50" i="11"/>
  <c r="M50" i="11"/>
  <c r="L50" i="11"/>
  <c r="K50" i="11"/>
  <c r="R49" i="11"/>
  <c r="M49" i="11"/>
  <c r="L49" i="11"/>
  <c r="K49" i="11"/>
  <c r="R48" i="11"/>
  <c r="J160" i="11" s="1"/>
  <c r="M48" i="11"/>
  <c r="L48" i="11"/>
  <c r="K48" i="11"/>
  <c r="B160" i="11" s="1"/>
  <c r="R47" i="11"/>
  <c r="M47" i="11"/>
  <c r="L47" i="11"/>
  <c r="K47" i="11"/>
  <c r="E47" i="11"/>
  <c r="S159" i="11" s="1"/>
  <c r="R46" i="11"/>
  <c r="M46" i="11"/>
  <c r="L46" i="11"/>
  <c r="K46" i="11"/>
  <c r="N46" i="11" s="1"/>
  <c r="R45" i="11"/>
  <c r="M45" i="11"/>
  <c r="L45" i="11"/>
  <c r="K45" i="11"/>
  <c r="R44" i="11"/>
  <c r="M44" i="11"/>
  <c r="L44" i="11"/>
  <c r="K44" i="11"/>
  <c r="B158" i="11" s="1"/>
  <c r="R43" i="11"/>
  <c r="M43" i="11"/>
  <c r="L43" i="11"/>
  <c r="K43" i="11"/>
  <c r="E43" i="11"/>
  <c r="R42" i="11"/>
  <c r="M42" i="11"/>
  <c r="L42" i="11"/>
  <c r="N42" i="11" s="1"/>
  <c r="K42" i="11"/>
  <c r="R41" i="11"/>
  <c r="M41" i="11"/>
  <c r="L41" i="11"/>
  <c r="K41" i="11"/>
  <c r="R40" i="11"/>
  <c r="M40" i="11"/>
  <c r="D156" i="11" s="1"/>
  <c r="L40" i="11"/>
  <c r="K40" i="11"/>
  <c r="R39" i="11"/>
  <c r="M39" i="11"/>
  <c r="L39" i="11"/>
  <c r="K39" i="11"/>
  <c r="R38" i="11"/>
  <c r="M38" i="11"/>
  <c r="L38" i="11"/>
  <c r="N38" i="11" s="1"/>
  <c r="K38" i="11"/>
  <c r="R37" i="11"/>
  <c r="M37" i="11"/>
  <c r="L37" i="11"/>
  <c r="K37" i="11"/>
  <c r="R36" i="11"/>
  <c r="M36" i="11"/>
  <c r="L36" i="11"/>
  <c r="K36" i="11"/>
  <c r="R35" i="11"/>
  <c r="M35" i="11"/>
  <c r="L35" i="11"/>
  <c r="C153" i="11" s="1"/>
  <c r="K35" i="11"/>
  <c r="E35" i="11"/>
  <c r="R34" i="11"/>
  <c r="M34" i="11"/>
  <c r="L34" i="11"/>
  <c r="K34" i="11"/>
  <c r="R33" i="11"/>
  <c r="M33" i="11"/>
  <c r="L33" i="11"/>
  <c r="K33" i="11"/>
  <c r="R32" i="11"/>
  <c r="M32" i="11"/>
  <c r="L32" i="11"/>
  <c r="K32" i="11"/>
  <c r="R31" i="11"/>
  <c r="M31" i="11"/>
  <c r="L31" i="11"/>
  <c r="K31" i="11"/>
  <c r="R30" i="11"/>
  <c r="M30" i="11"/>
  <c r="L30" i="11"/>
  <c r="K30" i="11"/>
  <c r="B151" i="11" s="1"/>
  <c r="R29" i="11"/>
  <c r="M29" i="11"/>
  <c r="L29" i="11"/>
  <c r="K29" i="11"/>
  <c r="R28" i="11"/>
  <c r="M28" i="11"/>
  <c r="D150" i="11" s="1"/>
  <c r="L28" i="11"/>
  <c r="K28" i="11"/>
  <c r="R27" i="11"/>
  <c r="M27" i="11"/>
  <c r="N27" i="11" s="1"/>
  <c r="L27" i="11"/>
  <c r="K27" i="11"/>
  <c r="E27" i="11"/>
  <c r="R26" i="11"/>
  <c r="L149" i="11" s="1"/>
  <c r="M26" i="11"/>
  <c r="L26" i="11"/>
  <c r="K26" i="11"/>
  <c r="R25" i="11"/>
  <c r="M25" i="11"/>
  <c r="L25" i="11"/>
  <c r="K25" i="11"/>
  <c r="R24" i="11"/>
  <c r="H148" i="11" s="1"/>
  <c r="M24" i="11"/>
  <c r="D148" i="11" s="1"/>
  <c r="L24" i="11"/>
  <c r="K24" i="11"/>
  <c r="R23" i="11"/>
  <c r="M23" i="11"/>
  <c r="L23" i="11"/>
  <c r="K23" i="11"/>
  <c r="R22" i="11"/>
  <c r="J147" i="11" s="1"/>
  <c r="M22" i="11"/>
  <c r="L22" i="11"/>
  <c r="K22" i="11"/>
  <c r="R21" i="11"/>
  <c r="M21" i="11"/>
  <c r="L21" i="11"/>
  <c r="K21" i="11"/>
  <c r="E21" i="11"/>
  <c r="J146" i="11" s="1"/>
  <c r="R20" i="11"/>
  <c r="M20" i="11"/>
  <c r="L20" i="11"/>
  <c r="K20" i="11"/>
  <c r="R19" i="11"/>
  <c r="M19" i="11"/>
  <c r="L19" i="11"/>
  <c r="K19" i="11"/>
  <c r="B145" i="11" s="1"/>
  <c r="E19" i="11"/>
  <c r="R18" i="11"/>
  <c r="M18" i="11"/>
  <c r="L18" i="11"/>
  <c r="K18" i="11"/>
  <c r="R17" i="11"/>
  <c r="M17" i="11"/>
  <c r="L17" i="11"/>
  <c r="K17" i="11"/>
  <c r="R16" i="11"/>
  <c r="M16" i="11"/>
  <c r="L16" i="11"/>
  <c r="K16" i="11"/>
  <c r="R15" i="11"/>
  <c r="M15" i="11"/>
  <c r="L15" i="11"/>
  <c r="K15" i="11"/>
  <c r="R14" i="11"/>
  <c r="M14" i="11"/>
  <c r="D143" i="11" s="1"/>
  <c r="L14" i="11"/>
  <c r="C143" i="11" s="1"/>
  <c r="K14" i="11"/>
  <c r="B143" i="11" s="1"/>
  <c r="R13" i="11"/>
  <c r="M13" i="11"/>
  <c r="L13" i="11"/>
  <c r="K13" i="11"/>
  <c r="R12" i="11"/>
  <c r="M12" i="11"/>
  <c r="D142" i="11" s="1"/>
  <c r="L12" i="11"/>
  <c r="C142" i="11" s="1"/>
  <c r="K12" i="11"/>
  <c r="R11" i="11"/>
  <c r="M11" i="11"/>
  <c r="L11" i="11"/>
  <c r="K11" i="11"/>
  <c r="E11" i="11"/>
  <c r="S141" i="11" s="1"/>
  <c r="R10" i="11"/>
  <c r="M10" i="11"/>
  <c r="L10" i="11"/>
  <c r="K10" i="11"/>
  <c r="R9" i="11"/>
  <c r="M9" i="11"/>
  <c r="L9" i="11"/>
  <c r="K9" i="11"/>
  <c r="R8" i="11"/>
  <c r="M8" i="11"/>
  <c r="D140" i="11" s="1"/>
  <c r="L8" i="11"/>
  <c r="K8" i="11"/>
  <c r="U190" i="12"/>
  <c r="T190" i="12"/>
  <c r="S190" i="12"/>
  <c r="J190" i="12"/>
  <c r="H190" i="12"/>
  <c r="T189" i="12"/>
  <c r="U186" i="12"/>
  <c r="T186" i="12"/>
  <c r="S186" i="12"/>
  <c r="L186" i="12"/>
  <c r="J186" i="12"/>
  <c r="H186" i="12"/>
  <c r="U185" i="12"/>
  <c r="T185" i="12"/>
  <c r="S185" i="12"/>
  <c r="L185" i="12"/>
  <c r="J185" i="12"/>
  <c r="H185" i="12"/>
  <c r="U183" i="12"/>
  <c r="T183" i="12"/>
  <c r="S183" i="12"/>
  <c r="L183" i="12"/>
  <c r="J183" i="12"/>
  <c r="H183" i="12"/>
  <c r="U178" i="12"/>
  <c r="T178" i="12"/>
  <c r="S178" i="12"/>
  <c r="L178" i="12"/>
  <c r="J178" i="12"/>
  <c r="H178" i="12"/>
  <c r="U174" i="12"/>
  <c r="T174" i="12"/>
  <c r="S174" i="12"/>
  <c r="L174" i="12"/>
  <c r="J174" i="12"/>
  <c r="H174" i="12"/>
  <c r="U170" i="12"/>
  <c r="T170" i="12"/>
  <c r="S170" i="12"/>
  <c r="L170" i="12"/>
  <c r="J170" i="12"/>
  <c r="H170" i="12"/>
  <c r="U164" i="12"/>
  <c r="T164" i="12"/>
  <c r="S164" i="12"/>
  <c r="L164" i="12"/>
  <c r="J164" i="12"/>
  <c r="H164" i="12"/>
  <c r="U163" i="12"/>
  <c r="T163" i="12"/>
  <c r="S163" i="12"/>
  <c r="L163" i="12"/>
  <c r="J163" i="12"/>
  <c r="H163" i="12"/>
  <c r="U162" i="12"/>
  <c r="T162" i="12"/>
  <c r="S162" i="12"/>
  <c r="L162" i="12"/>
  <c r="J162" i="12"/>
  <c r="H162" i="12"/>
  <c r="U160" i="12"/>
  <c r="T160" i="12"/>
  <c r="S160" i="12"/>
  <c r="L160" i="12"/>
  <c r="J160" i="12"/>
  <c r="H160" i="12"/>
  <c r="U159" i="12"/>
  <c r="T159" i="12"/>
  <c r="S159" i="12"/>
  <c r="L159" i="12"/>
  <c r="J159" i="12"/>
  <c r="H159" i="12"/>
  <c r="U155" i="12"/>
  <c r="T155" i="12"/>
  <c r="S155" i="12"/>
  <c r="L155" i="12"/>
  <c r="J155" i="12"/>
  <c r="H155" i="12"/>
  <c r="U154" i="12"/>
  <c r="T154" i="12"/>
  <c r="S154" i="12"/>
  <c r="L154" i="12"/>
  <c r="J154" i="12"/>
  <c r="H154" i="12"/>
  <c r="U153" i="12"/>
  <c r="T153" i="12"/>
  <c r="S153" i="12"/>
  <c r="L153" i="12"/>
  <c r="J153" i="12"/>
  <c r="H153" i="12"/>
  <c r="U151" i="12"/>
  <c r="T151" i="12"/>
  <c r="S151" i="12"/>
  <c r="L151" i="12"/>
  <c r="J151" i="12"/>
  <c r="H151" i="12"/>
  <c r="U150" i="12"/>
  <c r="T150" i="12"/>
  <c r="S150" i="12"/>
  <c r="L150" i="12"/>
  <c r="J150" i="12"/>
  <c r="H150" i="12"/>
  <c r="U147" i="12"/>
  <c r="T147" i="12"/>
  <c r="S147" i="12"/>
  <c r="L147" i="12"/>
  <c r="J147" i="12"/>
  <c r="H147" i="12"/>
  <c r="U146" i="12"/>
  <c r="T146" i="12"/>
  <c r="S146" i="12"/>
  <c r="L146" i="12"/>
  <c r="J146" i="12"/>
  <c r="H146" i="12"/>
  <c r="U144" i="12"/>
  <c r="T144" i="12"/>
  <c r="S144" i="12"/>
  <c r="L144" i="12"/>
  <c r="J144" i="12"/>
  <c r="H144" i="12"/>
  <c r="U143" i="12"/>
  <c r="T143" i="12"/>
  <c r="S143" i="12"/>
  <c r="L143" i="12"/>
  <c r="J143" i="12"/>
  <c r="H143" i="12"/>
  <c r="U142" i="12"/>
  <c r="T142" i="12"/>
  <c r="S142" i="12"/>
  <c r="L142" i="12"/>
  <c r="J142" i="12"/>
  <c r="H142" i="12"/>
  <c r="U140" i="12"/>
  <c r="T140" i="12"/>
  <c r="S140" i="12"/>
  <c r="L140" i="12"/>
  <c r="J140" i="12"/>
  <c r="H140" i="12"/>
  <c r="U139" i="12"/>
  <c r="T139" i="12"/>
  <c r="S139" i="12"/>
  <c r="L139" i="12"/>
  <c r="J139" i="12"/>
  <c r="H139" i="12"/>
  <c r="U138" i="12"/>
  <c r="T138" i="12"/>
  <c r="L138" i="12"/>
  <c r="J138" i="12"/>
  <c r="H138" i="12"/>
  <c r="R114" i="12"/>
  <c r="M114" i="12"/>
  <c r="L114" i="12"/>
  <c r="K114" i="12"/>
  <c r="R113" i="12"/>
  <c r="M113" i="12"/>
  <c r="L113" i="12"/>
  <c r="K113" i="12"/>
  <c r="R112" i="12"/>
  <c r="M112" i="12"/>
  <c r="L112" i="12"/>
  <c r="K112" i="12"/>
  <c r="R111" i="12"/>
  <c r="M111" i="12"/>
  <c r="L111" i="12"/>
  <c r="K111" i="12"/>
  <c r="R110" i="12"/>
  <c r="M110" i="12"/>
  <c r="L110" i="12"/>
  <c r="K110" i="12"/>
  <c r="E110" i="12"/>
  <c r="U188"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D186" i="12" s="1"/>
  <c r="L104" i="12"/>
  <c r="K104" i="12"/>
  <c r="R103" i="12"/>
  <c r="M103" i="12"/>
  <c r="L103" i="12"/>
  <c r="K103" i="12"/>
  <c r="R102" i="12"/>
  <c r="M102" i="12"/>
  <c r="D185" i="12" s="1"/>
  <c r="L102" i="12"/>
  <c r="K102" i="12"/>
  <c r="R101" i="12"/>
  <c r="M101" i="12"/>
  <c r="L101" i="12"/>
  <c r="K101" i="12"/>
  <c r="E101" i="12"/>
  <c r="T184" i="12" s="1"/>
  <c r="R100" i="12"/>
  <c r="M100" i="12"/>
  <c r="L100" i="12"/>
  <c r="K100" i="12"/>
  <c r="R99" i="12"/>
  <c r="M99" i="12"/>
  <c r="L99" i="12"/>
  <c r="K99" i="12"/>
  <c r="R98" i="12"/>
  <c r="M98" i="12"/>
  <c r="L98" i="12"/>
  <c r="K98" i="12"/>
  <c r="R97" i="12"/>
  <c r="M97" i="12"/>
  <c r="L97" i="12"/>
  <c r="K97" i="12"/>
  <c r="E97" i="12"/>
  <c r="U182" i="12" s="1"/>
  <c r="R96" i="12"/>
  <c r="M96" i="12"/>
  <c r="L96" i="12"/>
  <c r="K96" i="12"/>
  <c r="R95" i="12"/>
  <c r="M95" i="12"/>
  <c r="L95" i="12"/>
  <c r="K95" i="12"/>
  <c r="E95" i="12"/>
  <c r="J181" i="12" s="1"/>
  <c r="R94" i="12"/>
  <c r="M94" i="12"/>
  <c r="L94" i="12"/>
  <c r="K94" i="12"/>
  <c r="R93" i="12"/>
  <c r="M93" i="12"/>
  <c r="L93" i="12"/>
  <c r="K93" i="12"/>
  <c r="E93" i="12"/>
  <c r="H180" i="12" s="1"/>
  <c r="R92" i="12"/>
  <c r="M92" i="12"/>
  <c r="L92" i="12"/>
  <c r="K92" i="12"/>
  <c r="R91" i="12"/>
  <c r="M91" i="12"/>
  <c r="L91" i="12"/>
  <c r="K91" i="12"/>
  <c r="E91" i="12"/>
  <c r="T179" i="12" s="1"/>
  <c r="R90" i="12"/>
  <c r="M90" i="12"/>
  <c r="L90" i="12"/>
  <c r="K90" i="12"/>
  <c r="R89" i="12"/>
  <c r="M89" i="12"/>
  <c r="L89" i="12"/>
  <c r="K89" i="12"/>
  <c r="R88" i="12"/>
  <c r="M88" i="12"/>
  <c r="L88" i="12"/>
  <c r="K88" i="12"/>
  <c r="R87" i="12"/>
  <c r="M87" i="12"/>
  <c r="L87" i="12"/>
  <c r="K87" i="12"/>
  <c r="E87" i="12"/>
  <c r="J177" i="12" s="1"/>
  <c r="R86" i="12"/>
  <c r="M86" i="12"/>
  <c r="L86" i="12"/>
  <c r="K86" i="12"/>
  <c r="R85" i="12"/>
  <c r="M85" i="12"/>
  <c r="L85" i="12"/>
  <c r="K85" i="12"/>
  <c r="E85" i="12"/>
  <c r="H176" i="12" s="1"/>
  <c r="R84" i="12"/>
  <c r="M84" i="12"/>
  <c r="L84" i="12"/>
  <c r="K84" i="12"/>
  <c r="R83" i="12"/>
  <c r="M83" i="12"/>
  <c r="L83" i="12"/>
  <c r="K83" i="12"/>
  <c r="E83" i="12"/>
  <c r="L175" i="12" s="1"/>
  <c r="R82" i="12"/>
  <c r="M82" i="12"/>
  <c r="L82" i="12"/>
  <c r="K82" i="12"/>
  <c r="R81" i="12"/>
  <c r="M81" i="12"/>
  <c r="L81" i="12"/>
  <c r="K81" i="12"/>
  <c r="R80" i="12"/>
  <c r="M80" i="12"/>
  <c r="L80" i="12"/>
  <c r="K80" i="12"/>
  <c r="R79" i="12"/>
  <c r="M79" i="12"/>
  <c r="L79" i="12"/>
  <c r="K79" i="12"/>
  <c r="E79" i="12"/>
  <c r="T173" i="12" s="1"/>
  <c r="R78" i="12"/>
  <c r="M78" i="12"/>
  <c r="L78" i="12"/>
  <c r="K78" i="12"/>
  <c r="R77" i="12"/>
  <c r="M77" i="12"/>
  <c r="L77" i="12"/>
  <c r="K77" i="12"/>
  <c r="E77" i="12"/>
  <c r="J172" i="12" s="1"/>
  <c r="R76" i="12"/>
  <c r="M76" i="12"/>
  <c r="L76" i="12"/>
  <c r="K76" i="12"/>
  <c r="R75" i="12"/>
  <c r="M75" i="12"/>
  <c r="L75" i="12"/>
  <c r="K75" i="12"/>
  <c r="E75" i="12"/>
  <c r="R74" i="12"/>
  <c r="M74" i="12"/>
  <c r="L74" i="12"/>
  <c r="K74" i="12"/>
  <c r="R73" i="12"/>
  <c r="M73" i="12"/>
  <c r="L73" i="12"/>
  <c r="K73" i="12"/>
  <c r="R72" i="12"/>
  <c r="M72" i="12"/>
  <c r="L72" i="12"/>
  <c r="K72" i="12"/>
  <c r="R71" i="12"/>
  <c r="M71" i="12"/>
  <c r="L71" i="12"/>
  <c r="K71" i="12"/>
  <c r="E71" i="12"/>
  <c r="H169" i="12" s="1"/>
  <c r="R70" i="12"/>
  <c r="M70" i="12"/>
  <c r="L70" i="12"/>
  <c r="K70" i="12"/>
  <c r="R69" i="12"/>
  <c r="M69" i="12"/>
  <c r="L69" i="12"/>
  <c r="K69" i="12"/>
  <c r="E69" i="12"/>
  <c r="S168" i="12" s="1"/>
  <c r="R68" i="12"/>
  <c r="M68" i="12"/>
  <c r="L68" i="12"/>
  <c r="K68" i="12"/>
  <c r="R67" i="12"/>
  <c r="M67" i="12"/>
  <c r="L67" i="12"/>
  <c r="K67" i="12"/>
  <c r="E67" i="12"/>
  <c r="S167" i="12" s="1"/>
  <c r="R66" i="12"/>
  <c r="M66" i="12"/>
  <c r="L66" i="12"/>
  <c r="K66" i="12"/>
  <c r="R65" i="12"/>
  <c r="M65" i="12"/>
  <c r="L65" i="12"/>
  <c r="K65" i="12"/>
  <c r="E65" i="12"/>
  <c r="U166" i="12" s="1"/>
  <c r="R64" i="12"/>
  <c r="M64" i="12"/>
  <c r="L64" i="12"/>
  <c r="K64" i="12"/>
  <c r="R63" i="12"/>
  <c r="M63" i="12"/>
  <c r="L63" i="12"/>
  <c r="K63" i="12"/>
  <c r="E63" i="12"/>
  <c r="R62" i="12"/>
  <c r="M62" i="12"/>
  <c r="L62" i="12"/>
  <c r="K62" i="12"/>
  <c r="R61" i="12"/>
  <c r="M61" i="12"/>
  <c r="L61" i="12"/>
  <c r="K61" i="12"/>
  <c r="R60" i="12"/>
  <c r="M60" i="12"/>
  <c r="L60" i="12"/>
  <c r="K60" i="12"/>
  <c r="R59" i="12"/>
  <c r="M59" i="12"/>
  <c r="L59" i="12"/>
  <c r="K59" i="12"/>
  <c r="R58" i="12"/>
  <c r="M58" i="12"/>
  <c r="L58" i="12"/>
  <c r="K58" i="12"/>
  <c r="R57" i="12"/>
  <c r="M57" i="12"/>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R47" i="12"/>
  <c r="M47" i="12"/>
  <c r="L47" i="12"/>
  <c r="K47" i="12"/>
  <c r="E47" i="12"/>
  <c r="U157" i="12" s="1"/>
  <c r="R46" i="12"/>
  <c r="M46" i="12"/>
  <c r="L46" i="12"/>
  <c r="K46" i="12"/>
  <c r="R45" i="12"/>
  <c r="M45" i="12"/>
  <c r="L45" i="12"/>
  <c r="K45" i="12"/>
  <c r="E45" i="12"/>
  <c r="J156" i="12" s="1"/>
  <c r="R44" i="12"/>
  <c r="M44" i="12"/>
  <c r="L44" i="12"/>
  <c r="K44" i="12"/>
  <c r="R43" i="12"/>
  <c r="M43" i="12"/>
  <c r="L43" i="12"/>
  <c r="K43" i="12"/>
  <c r="R42" i="12"/>
  <c r="M42" i="12"/>
  <c r="D155" i="12" s="1"/>
  <c r="L42" i="12"/>
  <c r="K42" i="12"/>
  <c r="R41" i="12"/>
  <c r="M41" i="12"/>
  <c r="L41" i="12"/>
  <c r="K41" i="12"/>
  <c r="R40" i="12"/>
  <c r="M40" i="12"/>
  <c r="L40" i="12"/>
  <c r="K40" i="12"/>
  <c r="R39" i="12"/>
  <c r="M39" i="12"/>
  <c r="L39" i="12"/>
  <c r="K39" i="12"/>
  <c r="R38" i="12"/>
  <c r="M38" i="12"/>
  <c r="L38" i="12"/>
  <c r="K38" i="12"/>
  <c r="R37" i="12"/>
  <c r="M37" i="12"/>
  <c r="L37" i="12"/>
  <c r="K37" i="12"/>
  <c r="E37" i="12"/>
  <c r="R36" i="12"/>
  <c r="M36" i="12"/>
  <c r="L36" i="12"/>
  <c r="K36" i="12"/>
  <c r="R35" i="12"/>
  <c r="M35" i="12"/>
  <c r="L35" i="12"/>
  <c r="K35" i="12"/>
  <c r="R34" i="12"/>
  <c r="M34" i="12"/>
  <c r="L34" i="12"/>
  <c r="K34" i="12"/>
  <c r="R33" i="12"/>
  <c r="M33" i="12"/>
  <c r="L33" i="12"/>
  <c r="K33" i="12"/>
  <c r="R32" i="12"/>
  <c r="M32" i="12"/>
  <c r="L32" i="12"/>
  <c r="K32" i="12"/>
  <c r="R31" i="12"/>
  <c r="M31" i="12"/>
  <c r="L31" i="12"/>
  <c r="K31" i="12"/>
  <c r="E31" i="12"/>
  <c r="R30" i="12"/>
  <c r="M30" i="12"/>
  <c r="L30" i="12"/>
  <c r="K30" i="12"/>
  <c r="R29" i="12"/>
  <c r="M29" i="12"/>
  <c r="L29" i="12"/>
  <c r="K29" i="12"/>
  <c r="E29" i="12"/>
  <c r="T148" i="12" s="1"/>
  <c r="R28" i="12"/>
  <c r="M28" i="12"/>
  <c r="L28" i="12"/>
  <c r="K28" i="12"/>
  <c r="R27" i="12"/>
  <c r="M27" i="12"/>
  <c r="L27" i="12"/>
  <c r="K27" i="12"/>
  <c r="R26" i="12"/>
  <c r="M26" i="12"/>
  <c r="L26" i="12"/>
  <c r="K26" i="12"/>
  <c r="R25" i="12"/>
  <c r="M25" i="12"/>
  <c r="L25" i="12"/>
  <c r="K25" i="12"/>
  <c r="R24" i="12"/>
  <c r="M24" i="12"/>
  <c r="L24" i="12"/>
  <c r="K24" i="12"/>
  <c r="R23" i="12"/>
  <c r="M23" i="12"/>
  <c r="L23" i="12"/>
  <c r="K23" i="12"/>
  <c r="E23" i="12"/>
  <c r="U145"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41" i="12" s="1"/>
  <c r="R14" i="12"/>
  <c r="M14" i="12"/>
  <c r="L14" i="12"/>
  <c r="K14" i="12"/>
  <c r="R13" i="12"/>
  <c r="M13" i="12"/>
  <c r="L13" i="12"/>
  <c r="K13" i="12"/>
  <c r="R12" i="12"/>
  <c r="M12" i="12"/>
  <c r="L12" i="12"/>
  <c r="K12" i="12"/>
  <c r="R11" i="12"/>
  <c r="M11" i="12"/>
  <c r="L11" i="12"/>
  <c r="K11" i="12"/>
  <c r="R10" i="12"/>
  <c r="M10" i="12"/>
  <c r="L10" i="12"/>
  <c r="K10" i="12"/>
  <c r="R9" i="12"/>
  <c r="M9" i="12"/>
  <c r="L9" i="12"/>
  <c r="K9" i="12"/>
  <c r="R8" i="12"/>
  <c r="M8" i="12"/>
  <c r="L8" i="12"/>
  <c r="K8" i="12"/>
  <c r="N69" i="7"/>
  <c r="T137" i="7"/>
  <c r="U137" i="7"/>
  <c r="T140" i="7"/>
  <c r="U140" i="7"/>
  <c r="T141" i="7"/>
  <c r="U141" i="7"/>
  <c r="T142" i="7"/>
  <c r="U142"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T158" i="7"/>
  <c r="U158" i="7"/>
  <c r="T159" i="7"/>
  <c r="U159" i="7"/>
  <c r="T160" i="7"/>
  <c r="U160" i="7"/>
  <c r="T161" i="7"/>
  <c r="U161" i="7"/>
  <c r="T162" i="7"/>
  <c r="U162" i="7"/>
  <c r="T163" i="7"/>
  <c r="U163" i="7"/>
  <c r="U164" i="7"/>
  <c r="T165" i="7"/>
  <c r="U165" i="7"/>
  <c r="T166" i="7"/>
  <c r="U166" i="7"/>
  <c r="T169" i="7"/>
  <c r="U169" i="7"/>
  <c r="T173" i="7"/>
  <c r="U173" i="7"/>
  <c r="T177" i="7"/>
  <c r="U177" i="7"/>
  <c r="T181" i="7"/>
  <c r="U181" i="7"/>
  <c r="T183" i="7"/>
  <c r="U183" i="7"/>
  <c r="T185" i="7"/>
  <c r="U185" i="7"/>
  <c r="T186" i="7"/>
  <c r="U186" i="7"/>
  <c r="T187" i="7"/>
  <c r="U187" i="7"/>
  <c r="T188" i="7"/>
  <c r="U188" i="7"/>
  <c r="T189" i="7"/>
  <c r="U189" i="7"/>
  <c r="S189" i="7"/>
  <c r="S188" i="7"/>
  <c r="S187" i="7"/>
  <c r="S186" i="7"/>
  <c r="S185" i="7"/>
  <c r="S183" i="7"/>
  <c r="S181" i="7"/>
  <c r="S177" i="7"/>
  <c r="S173" i="7"/>
  <c r="S169" i="7"/>
  <c r="S166" i="7"/>
  <c r="S165" i="7"/>
  <c r="S164" i="7"/>
  <c r="S163" i="7"/>
  <c r="S162" i="7"/>
  <c r="S161" i="7"/>
  <c r="S160" i="7"/>
  <c r="S159" i="7"/>
  <c r="S158" i="7"/>
  <c r="S157" i="7"/>
  <c r="S156" i="7"/>
  <c r="S155" i="7"/>
  <c r="S154" i="7"/>
  <c r="S153" i="7"/>
  <c r="S152" i="7"/>
  <c r="S151" i="7"/>
  <c r="S150" i="7"/>
  <c r="S149" i="7"/>
  <c r="S148" i="7"/>
  <c r="S147" i="7"/>
  <c r="S146" i="7"/>
  <c r="S145" i="7"/>
  <c r="S144" i="7"/>
  <c r="S143" i="7"/>
  <c r="S142" i="7"/>
  <c r="S141" i="7"/>
  <c r="S140" i="7"/>
  <c r="T171" i="5"/>
  <c r="U171" i="5"/>
  <c r="S171" i="5"/>
  <c r="N69" i="5"/>
  <c r="N70" i="5"/>
  <c r="R75" i="5"/>
  <c r="M75" i="5"/>
  <c r="L75" i="5"/>
  <c r="K75" i="5"/>
  <c r="T138" i="5"/>
  <c r="U138" i="5"/>
  <c r="T141" i="5"/>
  <c r="U141" i="5"/>
  <c r="T142" i="5"/>
  <c r="U142" i="5"/>
  <c r="T143" i="5"/>
  <c r="U143" i="5"/>
  <c r="T144" i="5"/>
  <c r="U144" i="5"/>
  <c r="T146" i="5"/>
  <c r="U146" i="5"/>
  <c r="T148" i="5"/>
  <c r="U148" i="5"/>
  <c r="T150" i="5"/>
  <c r="U150" i="5"/>
  <c r="T151" i="5"/>
  <c r="U151" i="5"/>
  <c r="T152" i="5"/>
  <c r="U152" i="5"/>
  <c r="T154" i="5"/>
  <c r="U154" i="5"/>
  <c r="T155" i="5"/>
  <c r="U155" i="5"/>
  <c r="T156" i="5"/>
  <c r="U156" i="5"/>
  <c r="T157" i="5"/>
  <c r="U157" i="5"/>
  <c r="T158" i="5"/>
  <c r="U158" i="5"/>
  <c r="T162" i="5"/>
  <c r="U162" i="5"/>
  <c r="T163" i="5"/>
  <c r="U163" i="5"/>
  <c r="T166" i="5"/>
  <c r="U166" i="5"/>
  <c r="T170" i="5"/>
  <c r="U170" i="5"/>
  <c r="T174" i="5"/>
  <c r="U174" i="5"/>
  <c r="T175" i="5"/>
  <c r="U175" i="5"/>
  <c r="T178" i="5"/>
  <c r="U178" i="5"/>
  <c r="T182" i="5"/>
  <c r="U182" i="5"/>
  <c r="T186" i="5"/>
  <c r="U186" i="5"/>
  <c r="T187" i="5"/>
  <c r="U187" i="5"/>
  <c r="T188" i="5"/>
  <c r="U188" i="5"/>
  <c r="T189" i="5"/>
  <c r="U189" i="5"/>
  <c r="T190" i="5"/>
  <c r="U190" i="5"/>
  <c r="S190" i="5"/>
  <c r="S189" i="5"/>
  <c r="S188" i="5"/>
  <c r="S187" i="5"/>
  <c r="S186" i="5"/>
  <c r="S182" i="5"/>
  <c r="S178" i="5"/>
  <c r="S175" i="5"/>
  <c r="S174" i="5"/>
  <c r="S170" i="5"/>
  <c r="S166" i="5"/>
  <c r="S163" i="5"/>
  <c r="S162" i="5"/>
  <c r="S158" i="5"/>
  <c r="S157" i="5"/>
  <c r="S156" i="5"/>
  <c r="S155" i="5"/>
  <c r="S154" i="5"/>
  <c r="S152" i="5"/>
  <c r="S151" i="5"/>
  <c r="S150" i="5"/>
  <c r="S148" i="5"/>
  <c r="S146" i="5"/>
  <c r="S144" i="5"/>
  <c r="S143" i="5"/>
  <c r="S142" i="5"/>
  <c r="S141" i="5"/>
  <c r="T144" i="3"/>
  <c r="U144" i="3"/>
  <c r="T145" i="3"/>
  <c r="U145" i="3"/>
  <c r="T146" i="3"/>
  <c r="U146" i="3"/>
  <c r="T147" i="3"/>
  <c r="U147" i="3"/>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1" i="3"/>
  <c r="U161" i="3"/>
  <c r="T162" i="3"/>
  <c r="U162" i="3"/>
  <c r="T163" i="3"/>
  <c r="U163" i="3"/>
  <c r="T164" i="3"/>
  <c r="U164" i="3"/>
  <c r="T165" i="3"/>
  <c r="U165" i="3"/>
  <c r="T166" i="3"/>
  <c r="U166" i="3"/>
  <c r="T167" i="3"/>
  <c r="U167" i="3"/>
  <c r="T168" i="3"/>
  <c r="U168" i="3"/>
  <c r="T169" i="3"/>
  <c r="U169" i="3"/>
  <c r="T171" i="3"/>
  <c r="U171" i="3"/>
  <c r="T172" i="3"/>
  <c r="U172" i="3"/>
  <c r="T176" i="3"/>
  <c r="U176" i="3"/>
  <c r="T180" i="3"/>
  <c r="U180" i="3"/>
  <c r="T184" i="3"/>
  <c r="U184" i="3"/>
  <c r="T187" i="3"/>
  <c r="U187" i="3"/>
  <c r="T188" i="3"/>
  <c r="U188" i="3"/>
  <c r="T192" i="3"/>
  <c r="U192" i="3"/>
  <c r="T193" i="3"/>
  <c r="U193" i="3"/>
  <c r="T195" i="3"/>
  <c r="U195" i="3"/>
  <c r="T196" i="3"/>
  <c r="U196" i="3"/>
  <c r="S195" i="3"/>
  <c r="S193" i="3"/>
  <c r="S192" i="3"/>
  <c r="S188" i="3"/>
  <c r="S187" i="3"/>
  <c r="S184" i="3"/>
  <c r="S180" i="3"/>
  <c r="S176" i="3"/>
  <c r="S172" i="3"/>
  <c r="S171" i="3"/>
  <c r="S169" i="3"/>
  <c r="S168" i="3"/>
  <c r="S167" i="3"/>
  <c r="S166" i="3"/>
  <c r="S165" i="3"/>
  <c r="S164" i="3"/>
  <c r="S163" i="3"/>
  <c r="S162" i="3"/>
  <c r="S161" i="3"/>
  <c r="S160" i="3"/>
  <c r="S159" i="3"/>
  <c r="S158" i="3"/>
  <c r="S157" i="3"/>
  <c r="S156" i="3"/>
  <c r="S155" i="3"/>
  <c r="S154" i="3"/>
  <c r="S153" i="3"/>
  <c r="S152" i="3"/>
  <c r="S151" i="3"/>
  <c r="S150" i="3"/>
  <c r="S149" i="3"/>
  <c r="S148" i="3"/>
  <c r="S147" i="3"/>
  <c r="S146" i="3"/>
  <c r="S145" i="3"/>
  <c r="R46" i="13"/>
  <c r="R47" i="13"/>
  <c r="R48" i="13"/>
  <c r="R49" i="13"/>
  <c r="R50" i="13"/>
  <c r="R51" i="13"/>
  <c r="R52" i="13"/>
  <c r="R53" i="13"/>
  <c r="R54" i="13"/>
  <c r="R55" i="13"/>
  <c r="R56" i="13"/>
  <c r="R57" i="13"/>
  <c r="R58" i="13"/>
  <c r="R59" i="13"/>
  <c r="R60" i="13"/>
  <c r="R61" i="13"/>
  <c r="R62" i="13"/>
  <c r="R63" i="13"/>
  <c r="R64" i="13"/>
  <c r="R65" i="13"/>
  <c r="R66" i="13"/>
  <c r="R67" i="13"/>
  <c r="R68" i="13"/>
  <c r="R69" i="13"/>
  <c r="R70" i="13"/>
  <c r="R71" i="13"/>
  <c r="R72" i="13"/>
  <c r="R73" i="13"/>
  <c r="R74" i="13"/>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R102" i="13"/>
  <c r="R103" i="13"/>
  <c r="R104" i="13"/>
  <c r="R105" i="13"/>
  <c r="R106" i="13"/>
  <c r="R107" i="13"/>
  <c r="R108" i="13"/>
  <c r="R109" i="13"/>
  <c r="R110" i="13"/>
  <c r="R111" i="13"/>
  <c r="R112" i="13"/>
  <c r="R113" i="13"/>
  <c r="R114" i="13"/>
  <c r="R115" i="13"/>
  <c r="R116" i="13"/>
  <c r="R117" i="13"/>
  <c r="R118" i="13"/>
  <c r="R119" i="13"/>
  <c r="R120" i="13"/>
  <c r="R121" i="13"/>
  <c r="R122" i="13"/>
  <c r="R123" i="13"/>
  <c r="R124" i="13"/>
  <c r="R125" i="13"/>
  <c r="R126" i="13"/>
  <c r="R127" i="13"/>
  <c r="R45" i="13"/>
  <c r="H168" i="13" s="1"/>
  <c r="M80" i="13"/>
  <c r="L80" i="13"/>
  <c r="K80" i="13"/>
  <c r="N126" i="13"/>
  <c r="M75" i="13"/>
  <c r="L75" i="13"/>
  <c r="K75" i="13"/>
  <c r="M76" i="13"/>
  <c r="L76" i="13"/>
  <c r="K76" i="13"/>
  <c r="M67" i="13"/>
  <c r="L67" i="13"/>
  <c r="K67" i="13"/>
  <c r="T187" i="1"/>
  <c r="U187" i="1"/>
  <c r="T188" i="1"/>
  <c r="U188" i="1"/>
  <c r="T191" i="1"/>
  <c r="U191" i="1"/>
  <c r="S191" i="1"/>
  <c r="S188" i="1"/>
  <c r="S187" i="1"/>
  <c r="T148" i="1"/>
  <c r="U148" i="1"/>
  <c r="T153" i="1"/>
  <c r="U153" i="1"/>
  <c r="T157" i="1"/>
  <c r="U157" i="1"/>
  <c r="T159" i="1"/>
  <c r="U159" i="1"/>
  <c r="S159" i="1"/>
  <c r="S157" i="1"/>
  <c r="S153" i="1"/>
  <c r="S148" i="1"/>
  <c r="M47" i="38"/>
  <c r="L47" i="38"/>
  <c r="K47" i="38"/>
  <c r="M46" i="38"/>
  <c r="L46" i="38"/>
  <c r="K46" i="38"/>
  <c r="M36" i="38"/>
  <c r="L36" i="38"/>
  <c r="K36" i="38"/>
  <c r="R10" i="37"/>
  <c r="R11" i="37"/>
  <c r="R12" i="37"/>
  <c r="R13" i="37"/>
  <c r="R16" i="37"/>
  <c r="R20" i="37"/>
  <c r="R21" i="37"/>
  <c r="R22" i="37"/>
  <c r="H88" i="37" s="1"/>
  <c r="R23" i="37"/>
  <c r="R24" i="37"/>
  <c r="R27" i="37"/>
  <c r="R28" i="37"/>
  <c r="R29" i="37"/>
  <c r="R30" i="37"/>
  <c r="R31" i="37"/>
  <c r="R32" i="37"/>
  <c r="L92" i="37" s="1"/>
  <c r="R33" i="37"/>
  <c r="R34" i="37"/>
  <c r="R35" i="37"/>
  <c r="R36" i="37"/>
  <c r="R37" i="37"/>
  <c r="R38" i="37"/>
  <c r="R39" i="37"/>
  <c r="R40" i="37"/>
  <c r="J96" i="37" s="1"/>
  <c r="R41" i="37"/>
  <c r="R42" i="37"/>
  <c r="R43" i="37"/>
  <c r="R45" i="37"/>
  <c r="R46" i="37"/>
  <c r="R47" i="37"/>
  <c r="J99" i="37" s="1"/>
  <c r="R48" i="37"/>
  <c r="R49" i="37"/>
  <c r="R50" i="37"/>
  <c r="R51" i="37"/>
  <c r="L101" i="37" s="1"/>
  <c r="R52" i="37"/>
  <c r="R53" i="37"/>
  <c r="R54" i="37"/>
  <c r="R55" i="37"/>
  <c r="R56" i="37"/>
  <c r="R57" i="37"/>
  <c r="R58" i="37"/>
  <c r="M45" i="37"/>
  <c r="L45" i="37"/>
  <c r="K45" i="37"/>
  <c r="R7" i="36"/>
  <c r="H101" i="36" s="1"/>
  <c r="R8" i="36"/>
  <c r="R9" i="36"/>
  <c r="R10" i="36"/>
  <c r="R11" i="36"/>
  <c r="R12" i="36"/>
  <c r="R13" i="36"/>
  <c r="R14" i="36"/>
  <c r="R15" i="36"/>
  <c r="R16" i="36"/>
  <c r="R17" i="36"/>
  <c r="R18" i="36"/>
  <c r="R19" i="36"/>
  <c r="R23" i="36"/>
  <c r="R26" i="36"/>
  <c r="R27" i="36"/>
  <c r="R28" i="36"/>
  <c r="R29" i="36"/>
  <c r="R30" i="36"/>
  <c r="R31" i="36"/>
  <c r="R32" i="36"/>
  <c r="R33" i="36"/>
  <c r="R34" i="36"/>
  <c r="R35" i="36"/>
  <c r="R36" i="36"/>
  <c r="R37" i="36"/>
  <c r="R38" i="36"/>
  <c r="R39" i="36"/>
  <c r="R40" i="36"/>
  <c r="R41" i="36"/>
  <c r="R42" i="36"/>
  <c r="R43" i="36"/>
  <c r="R44" i="36"/>
  <c r="R48" i="36"/>
  <c r="R49" i="36"/>
  <c r="R50" i="36"/>
  <c r="R51" i="36"/>
  <c r="R52" i="36"/>
  <c r="R53" i="36"/>
  <c r="R54" i="36"/>
  <c r="R55" i="36"/>
  <c r="R56" i="36"/>
  <c r="R57" i="36"/>
  <c r="R58" i="36"/>
  <c r="R59" i="36"/>
  <c r="R60" i="36"/>
  <c r="R61" i="36"/>
  <c r="R62" i="36"/>
  <c r="R63" i="36"/>
  <c r="R64" i="36"/>
  <c r="M62" i="36"/>
  <c r="K62" i="36"/>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10" i="35" s="1"/>
  <c r="R8" i="35"/>
  <c r="R9" i="35"/>
  <c r="R11" i="35"/>
  <c r="R7" i="34"/>
  <c r="R8" i="34"/>
  <c r="L77" i="34" s="1"/>
  <c r="R9" i="34"/>
  <c r="R10" i="34"/>
  <c r="R11" i="34"/>
  <c r="R12" i="34"/>
  <c r="L79" i="34" s="1"/>
  <c r="R13" i="34"/>
  <c r="R14" i="34"/>
  <c r="R15" i="34"/>
  <c r="R26" i="34"/>
  <c r="H85" i="34" s="1"/>
  <c r="R27" i="34"/>
  <c r="R28" i="34"/>
  <c r="R29" i="34"/>
  <c r="R30" i="34"/>
  <c r="R31" i="34"/>
  <c r="R32" i="34"/>
  <c r="R33" i="34"/>
  <c r="R34" i="34"/>
  <c r="R35" i="34"/>
  <c r="R36" i="34"/>
  <c r="R37" i="34"/>
  <c r="R38" i="34"/>
  <c r="J90" i="34" s="1"/>
  <c r="R39" i="34"/>
  <c r="R40" i="34"/>
  <c r="R41" i="34"/>
  <c r="R42" i="34"/>
  <c r="H92" i="34" s="1"/>
  <c r="R43" i="34"/>
  <c r="R44" i="34"/>
  <c r="R51" i="34"/>
  <c r="L95" i="34" s="1"/>
  <c r="R52" i="34"/>
  <c r="R53" i="34"/>
  <c r="M43" i="34"/>
  <c r="L43" i="34"/>
  <c r="K43" i="34"/>
  <c r="M42" i="34"/>
  <c r="L42" i="34"/>
  <c r="K42" i="34"/>
  <c r="M37" i="34"/>
  <c r="L37" i="34"/>
  <c r="K37" i="34"/>
  <c r="M32" i="34"/>
  <c r="L32" i="34"/>
  <c r="K32" i="34"/>
  <c r="R8" i="32"/>
  <c r="R9" i="32"/>
  <c r="R10" i="32"/>
  <c r="J77" i="32" s="1"/>
  <c r="R11" i="32"/>
  <c r="R12" i="32"/>
  <c r="R13" i="32"/>
  <c r="R14" i="32"/>
  <c r="J79" i="32" s="1"/>
  <c r="R15" i="32"/>
  <c r="R16" i="32"/>
  <c r="R17" i="32"/>
  <c r="R18" i="32"/>
  <c r="L81" i="32" s="1"/>
  <c r="R19" i="32"/>
  <c r="R20" i="32"/>
  <c r="R21" i="32"/>
  <c r="R22" i="32"/>
  <c r="J83" i="32" s="1"/>
  <c r="R23" i="32"/>
  <c r="R24" i="32"/>
  <c r="R25" i="32"/>
  <c r="R26" i="32"/>
  <c r="L85" i="32" s="1"/>
  <c r="R27" i="32"/>
  <c r="R28" i="32"/>
  <c r="R29" i="32"/>
  <c r="R30" i="32"/>
  <c r="L87" i="32" s="1"/>
  <c r="R31" i="32"/>
  <c r="R32" i="32"/>
  <c r="R33" i="32"/>
  <c r="R34" i="32"/>
  <c r="J89" i="32" s="1"/>
  <c r="R35" i="32"/>
  <c r="R37" i="32"/>
  <c r="R38" i="32"/>
  <c r="R39" i="32"/>
  <c r="R40" i="32"/>
  <c r="R41" i="32"/>
  <c r="R42" i="32"/>
  <c r="R43" i="32"/>
  <c r="R44" i="32"/>
  <c r="R45" i="32"/>
  <c r="R46" i="32"/>
  <c r="R47" i="32"/>
  <c r="L95" i="32" s="1"/>
  <c r="R48" i="32"/>
  <c r="R49" i="32"/>
  <c r="R50" i="32"/>
  <c r="R51" i="32"/>
  <c r="R52" i="32"/>
  <c r="R53" i="32"/>
  <c r="R36" i="32"/>
  <c r="M52" i="32"/>
  <c r="N52" i="32" s="1"/>
  <c r="L52" i="32"/>
  <c r="M43" i="32"/>
  <c r="L43" i="32"/>
  <c r="K43" i="32"/>
  <c r="N43" i="32" s="1"/>
  <c r="R31" i="31"/>
  <c r="J85" i="31" s="1"/>
  <c r="R32" i="31"/>
  <c r="R33" i="31"/>
  <c r="R34" i="31"/>
  <c r="R35" i="31"/>
  <c r="R36" i="31"/>
  <c r="R37" i="31"/>
  <c r="R38" i="31"/>
  <c r="R39" i="31"/>
  <c r="L89" i="31" s="1"/>
  <c r="R40" i="31"/>
  <c r="R41" i="31"/>
  <c r="R42" i="31"/>
  <c r="R43" i="31"/>
  <c r="L91" i="31" s="1"/>
  <c r="R44" i="31"/>
  <c r="R45" i="31"/>
  <c r="R46" i="31"/>
  <c r="J92" i="31" s="1"/>
  <c r="R47" i="31"/>
  <c r="J93" i="31" s="1"/>
  <c r="R48" i="31"/>
  <c r="R30" i="31"/>
  <c r="J84" i="31" s="1"/>
  <c r="M13" i="31"/>
  <c r="L13" i="31"/>
  <c r="K13" i="31"/>
  <c r="R7" i="29"/>
  <c r="J79" i="29" s="1"/>
  <c r="R8" i="29"/>
  <c r="J80" i="29" s="1"/>
  <c r="R9" i="29"/>
  <c r="R10" i="29"/>
  <c r="R11" i="29"/>
  <c r="R12" i="29"/>
  <c r="R13" i="29"/>
  <c r="R14" i="29"/>
  <c r="R15" i="29"/>
  <c r="R16" i="29"/>
  <c r="R17" i="29"/>
  <c r="R18" i="29"/>
  <c r="R19" i="29"/>
  <c r="R20" i="29"/>
  <c r="L86" i="29" s="1"/>
  <c r="R21" i="29"/>
  <c r="R22" i="29"/>
  <c r="R24" i="29"/>
  <c r="R25" i="29"/>
  <c r="R27" i="29"/>
  <c r="R28" i="29"/>
  <c r="R29" i="29"/>
  <c r="R30" i="29"/>
  <c r="R31" i="29"/>
  <c r="R32" i="29"/>
  <c r="R33" i="29"/>
  <c r="R34" i="29"/>
  <c r="R36" i="29"/>
  <c r="R37" i="29"/>
  <c r="R38" i="29"/>
  <c r="R39" i="29"/>
  <c r="R42" i="29"/>
  <c r="R43" i="29"/>
  <c r="R44" i="29"/>
  <c r="R45" i="29"/>
  <c r="R46" i="29"/>
  <c r="R47" i="29"/>
  <c r="R48" i="29"/>
  <c r="L97" i="29" s="1"/>
  <c r="R49" i="29"/>
  <c r="H98" i="29" s="1"/>
  <c r="R50" i="29"/>
  <c r="R51" i="29"/>
  <c r="R52" i="29"/>
  <c r="J99" i="29" s="1"/>
  <c r="R53" i="29"/>
  <c r="H100" i="29" s="1"/>
  <c r="R55" i="29"/>
  <c r="R56" i="29"/>
  <c r="R57" i="29"/>
  <c r="M55" i="29"/>
  <c r="L55" i="29"/>
  <c r="K55" i="29"/>
  <c r="R7" i="30"/>
  <c r="R8" i="30"/>
  <c r="R9" i="30"/>
  <c r="R10" i="30"/>
  <c r="R11" i="30"/>
  <c r="R12" i="30"/>
  <c r="R13" i="30"/>
  <c r="R14" i="30"/>
  <c r="R15" i="30"/>
  <c r="R16" i="30"/>
  <c r="R17" i="30"/>
  <c r="R18" i="30"/>
  <c r="R19" i="30"/>
  <c r="R20" i="30"/>
  <c r="R21" i="30"/>
  <c r="R22" i="30"/>
  <c r="R23" i="30"/>
  <c r="R24" i="30"/>
  <c r="R25" i="30"/>
  <c r="R26" i="30"/>
  <c r="R27" i="30"/>
  <c r="R28" i="30"/>
  <c r="R29" i="30"/>
  <c r="R30" i="30"/>
  <c r="R31" i="30"/>
  <c r="R32" i="30"/>
  <c r="R33" i="30"/>
  <c r="R34" i="30"/>
  <c r="R35" i="30"/>
  <c r="R36" i="30"/>
  <c r="R8" i="28"/>
  <c r="R9" i="28"/>
  <c r="R10" i="28"/>
  <c r="R11" i="28"/>
  <c r="L85" i="28" s="1"/>
  <c r="R12" i="28"/>
  <c r="R13" i="28"/>
  <c r="R14" i="28"/>
  <c r="R15" i="28"/>
  <c r="R16" i="28"/>
  <c r="R17" i="28"/>
  <c r="R18" i="28"/>
  <c r="J88" i="28" s="1"/>
  <c r="R19" i="28"/>
  <c r="L89" i="28" s="1"/>
  <c r="R20" i="28"/>
  <c r="R21" i="28"/>
  <c r="R23" i="28"/>
  <c r="R24" i="28"/>
  <c r="R25" i="28"/>
  <c r="R26" i="28"/>
  <c r="R27" i="28"/>
  <c r="R28" i="28"/>
  <c r="R29" i="28"/>
  <c r="R30" i="28"/>
  <c r="R31" i="28"/>
  <c r="R32" i="28"/>
  <c r="R33" i="28"/>
  <c r="R34" i="28"/>
  <c r="R35" i="28"/>
  <c r="R36" i="28"/>
  <c r="R37" i="28"/>
  <c r="R38" i="28"/>
  <c r="R39" i="28"/>
  <c r="R40" i="28"/>
  <c r="R41" i="28"/>
  <c r="R42" i="28"/>
  <c r="R43" i="28"/>
  <c r="R44" i="28"/>
  <c r="R45" i="28"/>
  <c r="L101" i="28" s="1"/>
  <c r="R46" i="28"/>
  <c r="R47" i="28"/>
  <c r="R48" i="28"/>
  <c r="R49" i="28"/>
  <c r="R50" i="28"/>
  <c r="R51" i="28"/>
  <c r="R52" i="28"/>
  <c r="R53" i="28"/>
  <c r="R54" i="28"/>
  <c r="R55" i="28"/>
  <c r="R56" i="28"/>
  <c r="M30" i="30"/>
  <c r="L30" i="30"/>
  <c r="K30" i="30"/>
  <c r="M29" i="30"/>
  <c r="L29" i="30"/>
  <c r="K29" i="30"/>
  <c r="M24" i="30"/>
  <c r="L24" i="30"/>
  <c r="K24" i="30"/>
  <c r="M14" i="30"/>
  <c r="L14" i="30"/>
  <c r="K14" i="30"/>
  <c r="M8" i="30"/>
  <c r="L8" i="30"/>
  <c r="K8" i="30"/>
  <c r="E48" i="28"/>
  <c r="U102" i="28" s="1"/>
  <c r="E39" i="28"/>
  <c r="U98" i="28" s="1"/>
  <c r="E33" i="28"/>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L8" i="38"/>
  <c r="D80" i="38"/>
  <c r="L7" i="38"/>
  <c r="C80" i="38" s="1"/>
  <c r="M58" i="37"/>
  <c r="L58" i="37"/>
  <c r="K58" i="37"/>
  <c r="M57" i="37"/>
  <c r="L57" i="37"/>
  <c r="K57" i="37"/>
  <c r="M56" i="37"/>
  <c r="L56" i="37"/>
  <c r="K56" i="37"/>
  <c r="M55" i="37"/>
  <c r="L55" i="37"/>
  <c r="K55" i="37"/>
  <c r="M54" i="37"/>
  <c r="L54" i="37"/>
  <c r="K54" i="37"/>
  <c r="M53" i="37"/>
  <c r="L53" i="37"/>
  <c r="K53" i="37"/>
  <c r="M52" i="37"/>
  <c r="L52" i="37"/>
  <c r="K52" i="37"/>
  <c r="M51" i="37"/>
  <c r="L51" i="37"/>
  <c r="K51" i="37"/>
  <c r="M50" i="37"/>
  <c r="L50" i="37"/>
  <c r="K50" i="37"/>
  <c r="M49" i="37"/>
  <c r="L49" i="37"/>
  <c r="K49" i="37"/>
  <c r="M48" i="37"/>
  <c r="L48" i="37"/>
  <c r="K48" i="37"/>
  <c r="M47" i="37"/>
  <c r="L47" i="37"/>
  <c r="K47" i="37"/>
  <c r="M46" i="37"/>
  <c r="L46" i="37"/>
  <c r="K46" i="37"/>
  <c r="M43" i="37"/>
  <c r="L43" i="37"/>
  <c r="K43" i="37"/>
  <c r="M42" i="37"/>
  <c r="L42" i="37"/>
  <c r="K42" i="37"/>
  <c r="B97" i="37" s="1"/>
  <c r="M41" i="37"/>
  <c r="L41" i="37"/>
  <c r="K41" i="37"/>
  <c r="M40" i="37"/>
  <c r="L40" i="37"/>
  <c r="K40" i="37"/>
  <c r="M39" i="37"/>
  <c r="L39" i="37"/>
  <c r="K39" i="37"/>
  <c r="M38" i="37"/>
  <c r="L38" i="37"/>
  <c r="K38" i="37"/>
  <c r="M37" i="37"/>
  <c r="L37" i="37"/>
  <c r="K37" i="37"/>
  <c r="M36" i="37"/>
  <c r="L36" i="37"/>
  <c r="K36" i="37"/>
  <c r="M35" i="37"/>
  <c r="L35" i="37"/>
  <c r="K35" i="37"/>
  <c r="M34" i="37"/>
  <c r="L34" i="37"/>
  <c r="K34" i="37"/>
  <c r="M33" i="37"/>
  <c r="L33" i="37"/>
  <c r="K33" i="37"/>
  <c r="M32" i="37"/>
  <c r="L32" i="37"/>
  <c r="K32" i="37"/>
  <c r="M31" i="37"/>
  <c r="L31" i="37"/>
  <c r="K31" i="37"/>
  <c r="M30" i="37"/>
  <c r="L30" i="37"/>
  <c r="K30" i="37"/>
  <c r="M29" i="37"/>
  <c r="L29" i="37"/>
  <c r="K29" i="37"/>
  <c r="M28" i="37"/>
  <c r="L28" i="37"/>
  <c r="K28" i="37"/>
  <c r="M27" i="37"/>
  <c r="L27" i="37"/>
  <c r="K27" i="37"/>
  <c r="M24" i="37"/>
  <c r="L24" i="37"/>
  <c r="K24" i="37"/>
  <c r="M23" i="37"/>
  <c r="L23" i="37"/>
  <c r="K23" i="37"/>
  <c r="M22" i="37"/>
  <c r="L22" i="37"/>
  <c r="K22" i="37"/>
  <c r="M21" i="37"/>
  <c r="L21" i="37"/>
  <c r="K21" i="37"/>
  <c r="M20" i="37"/>
  <c r="L20" i="37"/>
  <c r="K20" i="37"/>
  <c r="M19" i="37"/>
  <c r="L19" i="37"/>
  <c r="K19" i="37"/>
  <c r="M17" i="37"/>
  <c r="L17" i="37"/>
  <c r="K17" i="37"/>
  <c r="M16" i="37"/>
  <c r="L16" i="37"/>
  <c r="C86" i="37" s="1"/>
  <c r="K16" i="37"/>
  <c r="M13" i="37"/>
  <c r="L13" i="37"/>
  <c r="K13" i="37"/>
  <c r="M12" i="37"/>
  <c r="L12" i="37"/>
  <c r="K12" i="37"/>
  <c r="M11" i="37"/>
  <c r="K11" i="37"/>
  <c r="M64" i="36"/>
  <c r="L64" i="36"/>
  <c r="M63" i="36"/>
  <c r="K63" i="36"/>
  <c r="M59" i="36"/>
  <c r="L59" i="36"/>
  <c r="K59" i="36"/>
  <c r="M58" i="36"/>
  <c r="L58" i="36"/>
  <c r="K58" i="36"/>
  <c r="M55" i="36"/>
  <c r="L55" i="36"/>
  <c r="K55" i="36"/>
  <c r="M54" i="36"/>
  <c r="L54" i="36"/>
  <c r="K54" i="36"/>
  <c r="M52" i="36"/>
  <c r="L52" i="36"/>
  <c r="K52" i="36"/>
  <c r="M51" i="36"/>
  <c r="L51" i="36"/>
  <c r="K51" i="36"/>
  <c r="M49" i="36"/>
  <c r="L49" i="36"/>
  <c r="K49" i="36"/>
  <c r="M48" i="36"/>
  <c r="L48" i="36"/>
  <c r="K48" i="36"/>
  <c r="M44" i="36"/>
  <c r="L44" i="36"/>
  <c r="K44" i="36"/>
  <c r="M43" i="36"/>
  <c r="L43" i="36"/>
  <c r="K43" i="36"/>
  <c r="M42" i="36"/>
  <c r="L42" i="36"/>
  <c r="K42" i="36"/>
  <c r="M39" i="36"/>
  <c r="L39" i="36"/>
  <c r="K39" i="36"/>
  <c r="M38" i="36"/>
  <c r="L38" i="36"/>
  <c r="K38" i="36"/>
  <c r="M37" i="36"/>
  <c r="L37" i="36"/>
  <c r="K37" i="36"/>
  <c r="M36" i="36"/>
  <c r="M35" i="36"/>
  <c r="M34" i="36"/>
  <c r="D114" i="36" s="1"/>
  <c r="M33" i="36"/>
  <c r="M32" i="36"/>
  <c r="M31" i="36"/>
  <c r="M30" i="36"/>
  <c r="M29" i="36"/>
  <c r="M28" i="36"/>
  <c r="M27" i="36"/>
  <c r="M26" i="36"/>
  <c r="M24" i="36"/>
  <c r="M23" i="36"/>
  <c r="M22" i="36"/>
  <c r="M21" i="36"/>
  <c r="M19" i="36"/>
  <c r="L19" i="36"/>
  <c r="M18" i="36"/>
  <c r="L18" i="36"/>
  <c r="K18" i="36"/>
  <c r="M17" i="36"/>
  <c r="L17" i="36"/>
  <c r="K17" i="36"/>
  <c r="M16" i="36"/>
  <c r="L16" i="36"/>
  <c r="K16" i="36"/>
  <c r="M15" i="36"/>
  <c r="L15" i="36"/>
  <c r="K15" i="36"/>
  <c r="M14" i="36"/>
  <c r="L14" i="36"/>
  <c r="K14" i="36"/>
  <c r="M13" i="36"/>
  <c r="L13" i="36"/>
  <c r="K13" i="36"/>
  <c r="M12" i="36"/>
  <c r="L12" i="36"/>
  <c r="K12" i="36"/>
  <c r="M11" i="36"/>
  <c r="L11" i="36"/>
  <c r="K11" i="36"/>
  <c r="M10" i="36"/>
  <c r="L10" i="36"/>
  <c r="K10" i="36"/>
  <c r="M9" i="36"/>
  <c r="L9" i="36"/>
  <c r="K9" i="36"/>
  <c r="M8" i="36"/>
  <c r="L8" i="36"/>
  <c r="K8" i="36"/>
  <c r="M7" i="36"/>
  <c r="D101" i="36" s="1"/>
  <c r="L7" i="36"/>
  <c r="C101" i="36" s="1"/>
  <c r="K7" i="36"/>
  <c r="B101" i="36" s="1"/>
  <c r="K37" i="35"/>
  <c r="K36" i="35"/>
  <c r="K35" i="35"/>
  <c r="M23" i="35"/>
  <c r="M22" i="35"/>
  <c r="N22" i="35" s="1"/>
  <c r="M21" i="35"/>
  <c r="L21" i="35"/>
  <c r="K21" i="35"/>
  <c r="M18" i="35"/>
  <c r="L18" i="35"/>
  <c r="K18" i="35"/>
  <c r="M17" i="35"/>
  <c r="L17" i="35"/>
  <c r="K17" i="35"/>
  <c r="M16" i="35"/>
  <c r="L16" i="35"/>
  <c r="K16" i="35"/>
  <c r="N16" i="35" s="1"/>
  <c r="M15" i="35"/>
  <c r="L15" i="35"/>
  <c r="K15" i="35"/>
  <c r="M14" i="35"/>
  <c r="L14" i="35"/>
  <c r="K14" i="35"/>
  <c r="M13" i="35"/>
  <c r="L13" i="35"/>
  <c r="K13" i="35"/>
  <c r="M53" i="34"/>
  <c r="L53" i="34"/>
  <c r="K53" i="34"/>
  <c r="M52" i="34"/>
  <c r="L52" i="34"/>
  <c r="K52" i="34"/>
  <c r="M51" i="34"/>
  <c r="L51" i="34"/>
  <c r="K51" i="34"/>
  <c r="M50" i="34"/>
  <c r="L50" i="34"/>
  <c r="K50" i="34"/>
  <c r="M49" i="34"/>
  <c r="L49" i="34"/>
  <c r="K49" i="34"/>
  <c r="M48" i="34"/>
  <c r="L48" i="34"/>
  <c r="K48" i="34"/>
  <c r="M47" i="34"/>
  <c r="L47" i="34"/>
  <c r="K47" i="34"/>
  <c r="M46" i="34"/>
  <c r="L46" i="34"/>
  <c r="K46" i="34"/>
  <c r="M45" i="34"/>
  <c r="L45" i="34"/>
  <c r="K45" i="34"/>
  <c r="M44" i="34"/>
  <c r="L44" i="34"/>
  <c r="K44" i="34"/>
  <c r="M41" i="34"/>
  <c r="L41" i="34"/>
  <c r="K41" i="34"/>
  <c r="M40" i="34"/>
  <c r="L40" i="34"/>
  <c r="K40" i="34"/>
  <c r="M39" i="34"/>
  <c r="L39" i="34"/>
  <c r="K39" i="34"/>
  <c r="M38" i="34"/>
  <c r="L38" i="34"/>
  <c r="K38" i="34"/>
  <c r="M36" i="34"/>
  <c r="L36" i="34"/>
  <c r="K36" i="34"/>
  <c r="M35" i="34"/>
  <c r="L35" i="34"/>
  <c r="K35" i="34"/>
  <c r="M34" i="34"/>
  <c r="L34" i="34"/>
  <c r="K34" i="34"/>
  <c r="M33" i="34"/>
  <c r="L33" i="34"/>
  <c r="K33" i="34"/>
  <c r="M31" i="34"/>
  <c r="L31" i="34"/>
  <c r="K31" i="34"/>
  <c r="M30" i="34"/>
  <c r="L30" i="34"/>
  <c r="K30" i="34"/>
  <c r="M29" i="34"/>
  <c r="L29" i="34"/>
  <c r="K29" i="34"/>
  <c r="M28" i="34"/>
  <c r="L28" i="34"/>
  <c r="K28" i="34"/>
  <c r="M27" i="34"/>
  <c r="L27" i="34"/>
  <c r="C85" i="34" s="1"/>
  <c r="K27" i="34"/>
  <c r="M21" i="34"/>
  <c r="L21" i="34"/>
  <c r="K21" i="34"/>
  <c r="B83" i="34" s="1"/>
  <c r="M20" i="34"/>
  <c r="L20" i="34"/>
  <c r="K20" i="34"/>
  <c r="M19" i="34"/>
  <c r="L19" i="34"/>
  <c r="K19" i="34"/>
  <c r="M18" i="34"/>
  <c r="L18" i="34"/>
  <c r="K18" i="34"/>
  <c r="M17" i="34"/>
  <c r="L17" i="34"/>
  <c r="K17" i="34"/>
  <c r="M15" i="34"/>
  <c r="L15" i="34"/>
  <c r="K15" i="34"/>
  <c r="M14" i="34"/>
  <c r="L14" i="34"/>
  <c r="K14" i="34"/>
  <c r="M13" i="34"/>
  <c r="L13" i="34"/>
  <c r="K13" i="34"/>
  <c r="M12" i="34"/>
  <c r="L12" i="34"/>
  <c r="K12" i="34"/>
  <c r="B79" i="34" s="1"/>
  <c r="M11" i="34"/>
  <c r="L11" i="34"/>
  <c r="K11" i="34"/>
  <c r="M10" i="34"/>
  <c r="L10" i="34"/>
  <c r="K10" i="34"/>
  <c r="M9" i="34"/>
  <c r="L9" i="34"/>
  <c r="K9" i="34"/>
  <c r="M8" i="34"/>
  <c r="L8" i="34"/>
  <c r="K8" i="34"/>
  <c r="M7" i="34"/>
  <c r="L7" i="34"/>
  <c r="K7" i="34"/>
  <c r="M53" i="32"/>
  <c r="N53" i="32" s="1"/>
  <c r="L53" i="32"/>
  <c r="K53" i="32"/>
  <c r="M51" i="32"/>
  <c r="L51" i="32"/>
  <c r="N51" i="32" s="1"/>
  <c r="K51" i="32"/>
  <c r="M50" i="32"/>
  <c r="L50" i="32"/>
  <c r="K50" i="32"/>
  <c r="M49" i="32"/>
  <c r="L49" i="32"/>
  <c r="K49" i="32"/>
  <c r="M48" i="32"/>
  <c r="L48" i="32"/>
  <c r="K48" i="32"/>
  <c r="M47" i="32"/>
  <c r="L47" i="32"/>
  <c r="N47" i="32" s="1"/>
  <c r="K47" i="32"/>
  <c r="M46" i="32"/>
  <c r="L46" i="32"/>
  <c r="K46" i="32"/>
  <c r="N46" i="32" s="1"/>
  <c r="M45" i="32"/>
  <c r="L45" i="32"/>
  <c r="K45" i="32"/>
  <c r="M44" i="32"/>
  <c r="L44" i="32"/>
  <c r="K44" i="32"/>
  <c r="M42" i="32"/>
  <c r="K42" i="32"/>
  <c r="M41" i="32"/>
  <c r="L41" i="32"/>
  <c r="K41" i="32"/>
  <c r="M40" i="32"/>
  <c r="L40" i="32"/>
  <c r="K40" i="32"/>
  <c r="M39" i="32"/>
  <c r="L39" i="32"/>
  <c r="K39" i="32"/>
  <c r="M38" i="32"/>
  <c r="L38" i="32"/>
  <c r="K38" i="32"/>
  <c r="M37" i="32"/>
  <c r="L37" i="32"/>
  <c r="K37" i="32"/>
  <c r="M36" i="32"/>
  <c r="L36" i="32"/>
  <c r="K36" i="32"/>
  <c r="M35" i="32"/>
  <c r="L35" i="32"/>
  <c r="K35" i="32"/>
  <c r="M34" i="32"/>
  <c r="L34" i="32"/>
  <c r="K34" i="32"/>
  <c r="M33" i="32"/>
  <c r="L33" i="32"/>
  <c r="K33" i="32"/>
  <c r="M32" i="32"/>
  <c r="L32" i="32"/>
  <c r="K32" i="32"/>
  <c r="M31" i="32"/>
  <c r="L31" i="32"/>
  <c r="K31" i="32"/>
  <c r="M30" i="32"/>
  <c r="L30" i="32"/>
  <c r="K30" i="32"/>
  <c r="M29" i="32"/>
  <c r="L29" i="32"/>
  <c r="K29" i="32"/>
  <c r="M28" i="32"/>
  <c r="L28" i="32"/>
  <c r="K28" i="32"/>
  <c r="M27" i="32"/>
  <c r="L27" i="32"/>
  <c r="K27" i="32"/>
  <c r="M26" i="32"/>
  <c r="L26" i="32"/>
  <c r="K26" i="32"/>
  <c r="M25" i="32"/>
  <c r="L25" i="32"/>
  <c r="K25" i="32"/>
  <c r="M24" i="32"/>
  <c r="L24" i="32"/>
  <c r="K24" i="32"/>
  <c r="M23" i="32"/>
  <c r="L23" i="32"/>
  <c r="K23" i="32"/>
  <c r="M22" i="32"/>
  <c r="L22" i="32"/>
  <c r="K22" i="32"/>
  <c r="M21" i="32"/>
  <c r="L21" i="32"/>
  <c r="K21" i="32"/>
  <c r="M20" i="32"/>
  <c r="L20" i="32"/>
  <c r="K20" i="32"/>
  <c r="M19" i="32"/>
  <c r="L19" i="32"/>
  <c r="C82" i="32" s="1"/>
  <c r="K19" i="32"/>
  <c r="M18" i="32"/>
  <c r="L18" i="32"/>
  <c r="K18" i="32"/>
  <c r="M17" i="32"/>
  <c r="L17" i="32"/>
  <c r="K17" i="32"/>
  <c r="M16" i="32"/>
  <c r="L16" i="32"/>
  <c r="K16" i="32"/>
  <c r="M15" i="32"/>
  <c r="L15" i="32"/>
  <c r="K15" i="32"/>
  <c r="M14" i="32"/>
  <c r="L14" i="32"/>
  <c r="K14" i="32"/>
  <c r="M13" i="32"/>
  <c r="L13" i="32"/>
  <c r="K13" i="32"/>
  <c r="M12" i="32"/>
  <c r="L12" i="32"/>
  <c r="K12" i="32"/>
  <c r="M11" i="32"/>
  <c r="L11" i="32"/>
  <c r="K11" i="32"/>
  <c r="M10" i="32"/>
  <c r="L10" i="32"/>
  <c r="K10" i="32"/>
  <c r="M9" i="32"/>
  <c r="L9" i="32"/>
  <c r="K9" i="32"/>
  <c r="M8" i="32"/>
  <c r="D76" i="32" s="1"/>
  <c r="L8" i="32"/>
  <c r="K8" i="32"/>
  <c r="M48" i="31"/>
  <c r="L48" i="31"/>
  <c r="K48" i="31"/>
  <c r="M47" i="31"/>
  <c r="L47" i="31"/>
  <c r="K47" i="31"/>
  <c r="M46" i="31"/>
  <c r="L46" i="31"/>
  <c r="K46" i="31"/>
  <c r="M45" i="31"/>
  <c r="L45" i="31"/>
  <c r="K45" i="31"/>
  <c r="M44" i="31"/>
  <c r="L44" i="31"/>
  <c r="K44" i="31"/>
  <c r="M43" i="31"/>
  <c r="L43" i="31"/>
  <c r="C91" i="31" s="1"/>
  <c r="K43" i="31"/>
  <c r="M42" i="31"/>
  <c r="L42" i="31"/>
  <c r="K42" i="31"/>
  <c r="M41" i="31"/>
  <c r="L41" i="31"/>
  <c r="K41" i="31"/>
  <c r="M40" i="31"/>
  <c r="L40" i="31"/>
  <c r="K40" i="31"/>
  <c r="M39" i="31"/>
  <c r="L39" i="31"/>
  <c r="K39" i="31"/>
  <c r="M38" i="31"/>
  <c r="L38" i="31"/>
  <c r="K38" i="31"/>
  <c r="M37" i="31"/>
  <c r="L37" i="31"/>
  <c r="C88" i="31" s="1"/>
  <c r="K37" i="31"/>
  <c r="M36" i="31"/>
  <c r="L36" i="31"/>
  <c r="K36" i="31"/>
  <c r="M35" i="31"/>
  <c r="L35" i="31"/>
  <c r="C87" i="31" s="1"/>
  <c r="K35" i="31"/>
  <c r="M34" i="31"/>
  <c r="L34" i="31"/>
  <c r="K34" i="31"/>
  <c r="M33" i="31"/>
  <c r="L33" i="31"/>
  <c r="K33" i="31"/>
  <c r="M32" i="31"/>
  <c r="L32" i="31"/>
  <c r="K32" i="31"/>
  <c r="M31" i="31"/>
  <c r="L31" i="31"/>
  <c r="K31" i="31"/>
  <c r="M30" i="31"/>
  <c r="L30" i="31"/>
  <c r="K30" i="31"/>
  <c r="M29" i="31"/>
  <c r="L29" i="31"/>
  <c r="K29" i="31"/>
  <c r="M28" i="31"/>
  <c r="L28" i="31"/>
  <c r="K28" i="31"/>
  <c r="M27" i="31"/>
  <c r="L27" i="31"/>
  <c r="K27" i="31"/>
  <c r="M26" i="31"/>
  <c r="L26" i="31"/>
  <c r="K26" i="31"/>
  <c r="M25" i="31"/>
  <c r="L25" i="31"/>
  <c r="K25" i="31"/>
  <c r="M24" i="31"/>
  <c r="L24" i="31"/>
  <c r="K24" i="31"/>
  <c r="M23" i="31"/>
  <c r="L23" i="31"/>
  <c r="K23" i="31"/>
  <c r="M22" i="31"/>
  <c r="L22" i="31"/>
  <c r="K22" i="31"/>
  <c r="M21" i="31"/>
  <c r="L21" i="31"/>
  <c r="C80" i="31" s="1"/>
  <c r="K21" i="31"/>
  <c r="M20" i="31"/>
  <c r="L20" i="31"/>
  <c r="K20" i="31"/>
  <c r="M19" i="31"/>
  <c r="L19" i="31"/>
  <c r="K19" i="31"/>
  <c r="B79" i="31"/>
  <c r="M18" i="31"/>
  <c r="L18" i="31"/>
  <c r="K18" i="31"/>
  <c r="M17" i="31"/>
  <c r="L17" i="31"/>
  <c r="K17" i="31"/>
  <c r="M16" i="31"/>
  <c r="L16" i="31"/>
  <c r="K16" i="31"/>
  <c r="M15" i="31"/>
  <c r="L15" i="31"/>
  <c r="K15" i="31"/>
  <c r="M14" i="31"/>
  <c r="L14" i="31"/>
  <c r="K14" i="31"/>
  <c r="M12" i="31"/>
  <c r="L12" i="31"/>
  <c r="K12" i="31"/>
  <c r="M11" i="31"/>
  <c r="L11" i="31"/>
  <c r="K11" i="31"/>
  <c r="M10" i="31"/>
  <c r="L10" i="31"/>
  <c r="K10" i="31"/>
  <c r="M9" i="31"/>
  <c r="L9" i="31"/>
  <c r="K9" i="31"/>
  <c r="M8" i="31"/>
  <c r="L8" i="31"/>
  <c r="K8" i="31"/>
  <c r="M7" i="31"/>
  <c r="D73" i="31" s="1"/>
  <c r="L7" i="31"/>
  <c r="K7" i="31"/>
  <c r="B73" i="31" s="1"/>
  <c r="M36" i="30"/>
  <c r="L36" i="30"/>
  <c r="K36" i="30"/>
  <c r="M35" i="30"/>
  <c r="L35" i="30"/>
  <c r="K35" i="30"/>
  <c r="M34" i="30"/>
  <c r="L34" i="30"/>
  <c r="K34" i="30"/>
  <c r="M33" i="30"/>
  <c r="L33" i="30"/>
  <c r="K33" i="30"/>
  <c r="M32" i="30"/>
  <c r="L32" i="30"/>
  <c r="K32" i="30"/>
  <c r="M31" i="30"/>
  <c r="L31" i="30"/>
  <c r="K31" i="30"/>
  <c r="M28" i="30"/>
  <c r="L28" i="30"/>
  <c r="K28" i="30"/>
  <c r="M27" i="30"/>
  <c r="L27" i="30"/>
  <c r="K27" i="30"/>
  <c r="M26" i="30"/>
  <c r="L26" i="30"/>
  <c r="K26" i="30"/>
  <c r="M25" i="30"/>
  <c r="L25" i="30"/>
  <c r="K25" i="30"/>
  <c r="M23" i="30"/>
  <c r="L23" i="30"/>
  <c r="K23" i="30"/>
  <c r="M22" i="30"/>
  <c r="L22" i="30"/>
  <c r="K22" i="30"/>
  <c r="M21" i="30"/>
  <c r="L21" i="30"/>
  <c r="K21" i="30"/>
  <c r="M20" i="30"/>
  <c r="L20" i="30"/>
  <c r="K20" i="30"/>
  <c r="M19" i="30"/>
  <c r="L19" i="30"/>
  <c r="K19" i="30"/>
  <c r="M18" i="30"/>
  <c r="L18" i="30"/>
  <c r="K18" i="30"/>
  <c r="M17" i="30"/>
  <c r="L17" i="30"/>
  <c r="K17" i="30"/>
  <c r="M16" i="30"/>
  <c r="L16" i="30"/>
  <c r="K16" i="30"/>
  <c r="M15" i="30"/>
  <c r="L15" i="30"/>
  <c r="K15" i="30"/>
  <c r="M13" i="30"/>
  <c r="L13" i="30"/>
  <c r="K13" i="30"/>
  <c r="M12" i="30"/>
  <c r="L12" i="30"/>
  <c r="K12" i="30"/>
  <c r="M11" i="30"/>
  <c r="L11" i="30"/>
  <c r="K11" i="30"/>
  <c r="M10" i="30"/>
  <c r="L10" i="30"/>
  <c r="K10" i="30"/>
  <c r="M9" i="30"/>
  <c r="L9" i="30"/>
  <c r="K9" i="30"/>
  <c r="M7" i="30"/>
  <c r="L7" i="30"/>
  <c r="K7" i="30"/>
  <c r="M57" i="29"/>
  <c r="L57" i="29"/>
  <c r="K57" i="29"/>
  <c r="M56" i="29"/>
  <c r="L56" i="29"/>
  <c r="K56" i="29"/>
  <c r="M53" i="29"/>
  <c r="L53" i="29"/>
  <c r="K53" i="29"/>
  <c r="M52" i="29"/>
  <c r="L52" i="29"/>
  <c r="K52" i="29"/>
  <c r="M51" i="29"/>
  <c r="L51" i="29"/>
  <c r="K51" i="29"/>
  <c r="M50" i="29"/>
  <c r="L50" i="29"/>
  <c r="K50" i="29"/>
  <c r="M49" i="29"/>
  <c r="L49" i="29"/>
  <c r="K49" i="29"/>
  <c r="M48" i="29"/>
  <c r="L48" i="29"/>
  <c r="K48" i="29"/>
  <c r="M47" i="29"/>
  <c r="L47" i="29"/>
  <c r="K47" i="29"/>
  <c r="M46" i="29"/>
  <c r="L46" i="29"/>
  <c r="K46" i="29"/>
  <c r="M45" i="29"/>
  <c r="L45" i="29"/>
  <c r="K45" i="29"/>
  <c r="M44" i="29"/>
  <c r="L44" i="29"/>
  <c r="K44" i="29"/>
  <c r="M43" i="29"/>
  <c r="L43" i="29"/>
  <c r="K43" i="29"/>
  <c r="M42" i="29"/>
  <c r="L42" i="29"/>
  <c r="K42" i="29"/>
  <c r="M39" i="29"/>
  <c r="L39" i="29"/>
  <c r="K39" i="29"/>
  <c r="M38" i="29"/>
  <c r="L38" i="29"/>
  <c r="K38" i="29"/>
  <c r="M56" i="28"/>
  <c r="L56" i="28"/>
  <c r="K56" i="28"/>
  <c r="M55" i="28"/>
  <c r="L55" i="28"/>
  <c r="K55" i="28"/>
  <c r="M54" i="28"/>
  <c r="L54" i="28"/>
  <c r="K54" i="28"/>
  <c r="M53" i="28"/>
  <c r="L53" i="28"/>
  <c r="K53" i="28"/>
  <c r="M52" i="28"/>
  <c r="L52" i="28"/>
  <c r="K52" i="28"/>
  <c r="M51" i="28"/>
  <c r="L51" i="28"/>
  <c r="K51" i="28"/>
  <c r="M48" i="28"/>
  <c r="L48" i="28"/>
  <c r="K48" i="28"/>
  <c r="M47" i="28"/>
  <c r="L47" i="28"/>
  <c r="K47" i="28"/>
  <c r="M46" i="28"/>
  <c r="L46" i="28"/>
  <c r="K46" i="28"/>
  <c r="M45" i="28"/>
  <c r="L45" i="28"/>
  <c r="K45" i="28"/>
  <c r="M44" i="28"/>
  <c r="L44" i="28"/>
  <c r="K44" i="28"/>
  <c r="M43" i="28"/>
  <c r="L43" i="28"/>
  <c r="K43" i="28"/>
  <c r="M42" i="28"/>
  <c r="L42" i="28"/>
  <c r="K42" i="28"/>
  <c r="M41" i="28"/>
  <c r="L41" i="28"/>
  <c r="K41" i="28"/>
  <c r="M40" i="28"/>
  <c r="L40" i="28"/>
  <c r="K40" i="28"/>
  <c r="M38" i="28"/>
  <c r="L38" i="28"/>
  <c r="K38" i="28"/>
  <c r="M37" i="28"/>
  <c r="L37" i="28"/>
  <c r="K37" i="28"/>
  <c r="M36" i="28"/>
  <c r="L36" i="28"/>
  <c r="K36" i="28"/>
  <c r="M35" i="28"/>
  <c r="L35" i="28"/>
  <c r="K35" i="28"/>
  <c r="M34" i="28"/>
  <c r="L34" i="28"/>
  <c r="K34" i="28"/>
  <c r="M33" i="28"/>
  <c r="L33" i="28"/>
  <c r="K33" i="28"/>
  <c r="M32" i="28"/>
  <c r="L32" i="28"/>
  <c r="K32" i="28"/>
  <c r="M31" i="28"/>
  <c r="L31" i="28"/>
  <c r="K31" i="28"/>
  <c r="M30" i="28"/>
  <c r="L30" i="28"/>
  <c r="K30" i="28"/>
  <c r="M29" i="28"/>
  <c r="L29" i="28"/>
  <c r="K29" i="28"/>
  <c r="M28" i="28"/>
  <c r="L28" i="28"/>
  <c r="K28" i="28"/>
  <c r="M27" i="28"/>
  <c r="L27" i="28"/>
  <c r="K27" i="28"/>
  <c r="M26" i="28"/>
  <c r="L26" i="28"/>
  <c r="K26" i="28"/>
  <c r="M25" i="28"/>
  <c r="L25" i="28"/>
  <c r="K25" i="28"/>
  <c r="M24" i="28"/>
  <c r="L24" i="28"/>
  <c r="K24" i="28"/>
  <c r="M23" i="28"/>
  <c r="L23" i="28"/>
  <c r="K23" i="28"/>
  <c r="M21" i="28"/>
  <c r="L21" i="28"/>
  <c r="K21" i="28"/>
  <c r="M20" i="28"/>
  <c r="L20" i="28"/>
  <c r="K20" i="28"/>
  <c r="M19" i="28"/>
  <c r="L19" i="28"/>
  <c r="K19" i="28"/>
  <c r="M18" i="28"/>
  <c r="L18" i="28"/>
  <c r="K18" i="28"/>
  <c r="M17" i="28"/>
  <c r="L17" i="28"/>
  <c r="K17" i="28"/>
  <c r="M16" i="28"/>
  <c r="L16" i="28"/>
  <c r="K16" i="28"/>
  <c r="M15" i="28"/>
  <c r="L15" i="28"/>
  <c r="K15" i="28"/>
  <c r="M14" i="28"/>
  <c r="L14" i="28"/>
  <c r="K14" i="28"/>
  <c r="M13" i="28"/>
  <c r="D86" i="28" s="1"/>
  <c r="L13" i="28"/>
  <c r="K13" i="28"/>
  <c r="M12" i="28"/>
  <c r="L12" i="28"/>
  <c r="K12" i="28"/>
  <c r="M11" i="28"/>
  <c r="L11" i="28"/>
  <c r="K11" i="28"/>
  <c r="M10" i="28"/>
  <c r="L10" i="28"/>
  <c r="K10" i="28"/>
  <c r="M9" i="28"/>
  <c r="L9" i="28"/>
  <c r="K9" i="28"/>
  <c r="M8" i="28"/>
  <c r="L8" i="28"/>
  <c r="K8" i="28"/>
  <c r="U150" i="2"/>
  <c r="M70" i="13"/>
  <c r="L70" i="13"/>
  <c r="K70" i="13"/>
  <c r="M69" i="13"/>
  <c r="L69" i="13"/>
  <c r="K69" i="13"/>
  <c r="M68" i="13"/>
  <c r="L68" i="13"/>
  <c r="K68" i="13"/>
  <c r="M66" i="13"/>
  <c r="L66" i="13"/>
  <c r="K66" i="13"/>
  <c r="M65" i="13"/>
  <c r="L65" i="13"/>
  <c r="K65" i="13"/>
  <c r="L159" i="2"/>
  <c r="J185" i="2"/>
  <c r="L185" i="2"/>
  <c r="H185" i="2"/>
  <c r="H181" i="2"/>
  <c r="J181" i="2"/>
  <c r="L181" i="2"/>
  <c r="L177" i="2"/>
  <c r="J177" i="2"/>
  <c r="H177" i="2"/>
  <c r="H173" i="2"/>
  <c r="J173" i="2"/>
  <c r="L173" i="2"/>
  <c r="L169" i="2"/>
  <c r="J169" i="2"/>
  <c r="H169" i="2"/>
  <c r="J139" i="2"/>
  <c r="L139" i="2"/>
  <c r="J140" i="2"/>
  <c r="L140" i="2"/>
  <c r="J141" i="2"/>
  <c r="L141" i="2"/>
  <c r="J142" i="2"/>
  <c r="L142" i="2"/>
  <c r="J143" i="2"/>
  <c r="L143" i="2"/>
  <c r="J144" i="2"/>
  <c r="L144" i="2"/>
  <c r="J145" i="2"/>
  <c r="L145" i="2"/>
  <c r="J146" i="2"/>
  <c r="L146" i="2"/>
  <c r="J147" i="2"/>
  <c r="L147" i="2"/>
  <c r="J148" i="2"/>
  <c r="L148" i="2"/>
  <c r="J149" i="2"/>
  <c r="L149" i="2"/>
  <c r="J150" i="2"/>
  <c r="L150" i="2"/>
  <c r="J151" i="2"/>
  <c r="L151" i="2"/>
  <c r="J152" i="2"/>
  <c r="L152" i="2"/>
  <c r="J153" i="2"/>
  <c r="L153" i="2"/>
  <c r="J154" i="2"/>
  <c r="L154" i="2"/>
  <c r="J155" i="2"/>
  <c r="L155" i="2"/>
  <c r="J156" i="2"/>
  <c r="L156" i="2"/>
  <c r="J157" i="2"/>
  <c r="L157" i="2"/>
  <c r="J158" i="2"/>
  <c r="L158" i="2"/>
  <c r="J159" i="2"/>
  <c r="J160" i="2"/>
  <c r="L160" i="2"/>
  <c r="J161" i="2"/>
  <c r="L161" i="2"/>
  <c r="J162" i="2"/>
  <c r="L162" i="2"/>
  <c r="J163" i="2"/>
  <c r="L163" i="2"/>
  <c r="J164" i="2"/>
  <c r="L164" i="2"/>
  <c r="J165" i="2"/>
  <c r="L165" i="2"/>
  <c r="J166" i="2"/>
  <c r="L166" i="2"/>
  <c r="H165" i="2"/>
  <c r="H161" i="2"/>
  <c r="H157" i="2"/>
  <c r="H153" i="2"/>
  <c r="H149" i="2"/>
  <c r="H145" i="2"/>
  <c r="H141" i="2"/>
  <c r="H166" i="2"/>
  <c r="H167" i="2"/>
  <c r="H164" i="2"/>
  <c r="H163" i="2"/>
  <c r="H162" i="2"/>
  <c r="H160" i="2"/>
  <c r="H159" i="2"/>
  <c r="H158" i="2"/>
  <c r="H156" i="2"/>
  <c r="H155" i="2"/>
  <c r="H154" i="2"/>
  <c r="H152" i="2"/>
  <c r="H151" i="2"/>
  <c r="H150" i="2"/>
  <c r="H148" i="2"/>
  <c r="H147" i="2"/>
  <c r="H146" i="2"/>
  <c r="H144" i="2"/>
  <c r="H143" i="2"/>
  <c r="H142" i="2"/>
  <c r="H140" i="2"/>
  <c r="H139" i="2"/>
  <c r="J137" i="2"/>
  <c r="L137" i="2"/>
  <c r="H137" i="2"/>
  <c r="J138" i="2"/>
  <c r="L138" i="2"/>
  <c r="H138" i="2"/>
  <c r="T164" i="2"/>
  <c r="T189" i="2"/>
  <c r="S140" i="2"/>
  <c r="T140" i="2"/>
  <c r="U140" i="2"/>
  <c r="S141" i="2"/>
  <c r="T141" i="2"/>
  <c r="U141" i="2"/>
  <c r="S142" i="2"/>
  <c r="T142" i="2"/>
  <c r="U142" i="2"/>
  <c r="S143" i="2"/>
  <c r="T143" i="2"/>
  <c r="U143" i="2"/>
  <c r="S144" i="2"/>
  <c r="T144" i="2"/>
  <c r="U144" i="2"/>
  <c r="S145" i="2"/>
  <c r="T145" i="2"/>
  <c r="U145" i="2"/>
  <c r="S146" i="2"/>
  <c r="T146" i="2"/>
  <c r="U146" i="2"/>
  <c r="S147" i="2"/>
  <c r="T147" i="2"/>
  <c r="U147" i="2"/>
  <c r="S148" i="2"/>
  <c r="T148" i="2"/>
  <c r="U148" i="2"/>
  <c r="S149" i="2"/>
  <c r="T149" i="2"/>
  <c r="U149" i="2"/>
  <c r="S150" i="2"/>
  <c r="T150" i="2"/>
  <c r="S151" i="2"/>
  <c r="T151" i="2"/>
  <c r="U151" i="2"/>
  <c r="S152" i="2"/>
  <c r="T152" i="2"/>
  <c r="U152" i="2"/>
  <c r="S153" i="2"/>
  <c r="T153" i="2"/>
  <c r="U153" i="2"/>
  <c r="S154" i="2"/>
  <c r="T154" i="2"/>
  <c r="U154" i="2"/>
  <c r="S155" i="2"/>
  <c r="T155" i="2"/>
  <c r="U155" i="2"/>
  <c r="S156" i="2"/>
  <c r="T156" i="2"/>
  <c r="U156" i="2"/>
  <c r="S157" i="2"/>
  <c r="T157" i="2"/>
  <c r="U157" i="2"/>
  <c r="S158" i="2"/>
  <c r="T158" i="2"/>
  <c r="U158" i="2"/>
  <c r="S159" i="2"/>
  <c r="T159" i="2"/>
  <c r="U159" i="2"/>
  <c r="S160" i="2"/>
  <c r="T160" i="2"/>
  <c r="U160" i="2"/>
  <c r="S161" i="2"/>
  <c r="T161" i="2"/>
  <c r="U161" i="2"/>
  <c r="S162" i="2"/>
  <c r="T162" i="2"/>
  <c r="U162" i="2"/>
  <c r="S163" i="2"/>
  <c r="T163" i="2"/>
  <c r="U163" i="2"/>
  <c r="S164" i="2"/>
  <c r="U164" i="2"/>
  <c r="S165" i="2"/>
  <c r="T165" i="2"/>
  <c r="U165" i="2"/>
  <c r="S166" i="2"/>
  <c r="T166" i="2"/>
  <c r="U166" i="2"/>
  <c r="S167" i="2"/>
  <c r="T167" i="2"/>
  <c r="U167" i="2"/>
  <c r="S168" i="2"/>
  <c r="T168" i="2"/>
  <c r="U168" i="2"/>
  <c r="S169" i="2"/>
  <c r="T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T180" i="2"/>
  <c r="U180" i="2"/>
  <c r="S181" i="2"/>
  <c r="T181" i="2"/>
  <c r="U181" i="2"/>
  <c r="S183" i="2"/>
  <c r="T183" i="2"/>
  <c r="U183" i="2"/>
  <c r="S184" i="2"/>
  <c r="T184" i="2"/>
  <c r="U184" i="2"/>
  <c r="S185" i="2"/>
  <c r="T185" i="2"/>
  <c r="U185" i="2"/>
  <c r="S186" i="2"/>
  <c r="T186" i="2"/>
  <c r="U186" i="2"/>
  <c r="S187" i="2"/>
  <c r="T187" i="2"/>
  <c r="U187" i="2"/>
  <c r="S188" i="2"/>
  <c r="T188" i="2"/>
  <c r="U188" i="2"/>
  <c r="S189" i="2"/>
  <c r="U189" i="2"/>
  <c r="S138" i="2"/>
  <c r="T138" i="2"/>
  <c r="U138" i="2"/>
  <c r="S139" i="2"/>
  <c r="T139" i="2"/>
  <c r="U139" i="2"/>
  <c r="T137" i="2"/>
  <c r="U137" i="2"/>
  <c r="K8" i="2"/>
  <c r="N68" i="2"/>
  <c r="H176" i="2"/>
  <c r="R9" i="14"/>
  <c r="R10" i="14"/>
  <c r="R11" i="14"/>
  <c r="J141" i="14" s="1"/>
  <c r="R12" i="14"/>
  <c r="R13" i="14"/>
  <c r="R14" i="14"/>
  <c r="R15" i="14"/>
  <c r="L143" i="14" s="1"/>
  <c r="R16" i="14"/>
  <c r="R17" i="14"/>
  <c r="R18" i="14"/>
  <c r="R19" i="14"/>
  <c r="R20" i="14"/>
  <c r="R21" i="14"/>
  <c r="R22" i="14"/>
  <c r="R23" i="14"/>
  <c r="R24" i="14"/>
  <c r="L147" i="14" s="1"/>
  <c r="R25" i="14"/>
  <c r="R26" i="14"/>
  <c r="R27" i="14"/>
  <c r="R28" i="14"/>
  <c r="H149" i="14" s="1"/>
  <c r="R29" i="14"/>
  <c r="R30" i="14"/>
  <c r="R31" i="14"/>
  <c r="R32" i="14"/>
  <c r="J151" i="14" s="1"/>
  <c r="R33" i="14"/>
  <c r="R34" i="14"/>
  <c r="R35" i="14"/>
  <c r="L152" i="14" s="1"/>
  <c r="R36" i="14"/>
  <c r="R37" i="14"/>
  <c r="R38" i="14"/>
  <c r="R39" i="14"/>
  <c r="R40" i="14"/>
  <c r="R41" i="14"/>
  <c r="R42" i="14"/>
  <c r="R43" i="14"/>
  <c r="R44" i="14"/>
  <c r="R45" i="14"/>
  <c r="R46" i="14"/>
  <c r="R47" i="14"/>
  <c r="J158" i="14" s="1"/>
  <c r="R48" i="14"/>
  <c r="R49" i="14"/>
  <c r="R50" i="14"/>
  <c r="R51" i="14"/>
  <c r="R52" i="14"/>
  <c r="R53" i="14"/>
  <c r="R54" i="14"/>
  <c r="R55" i="14"/>
  <c r="R56" i="14"/>
  <c r="R57" i="14"/>
  <c r="R58" i="14"/>
  <c r="R59" i="14"/>
  <c r="J163" i="14" s="1"/>
  <c r="R60" i="14"/>
  <c r="R61" i="14"/>
  <c r="R62" i="14"/>
  <c r="R63" i="14"/>
  <c r="R64" i="14"/>
  <c r="L166" i="14" s="1"/>
  <c r="R65" i="14"/>
  <c r="R66" i="14"/>
  <c r="R67" i="14"/>
  <c r="R68" i="14"/>
  <c r="H168" i="14" s="1"/>
  <c r="R69" i="14"/>
  <c r="R70" i="14"/>
  <c r="R71" i="14"/>
  <c r="R72" i="14"/>
  <c r="R73" i="14"/>
  <c r="R74" i="14"/>
  <c r="R75" i="14"/>
  <c r="R76" i="14"/>
  <c r="J172" i="14" s="1"/>
  <c r="R77" i="14"/>
  <c r="R78" i="14"/>
  <c r="R79" i="14"/>
  <c r="R80" i="14"/>
  <c r="R81" i="14"/>
  <c r="R82" i="14"/>
  <c r="R83" i="14"/>
  <c r="L175" i="14" s="1"/>
  <c r="R84" i="14"/>
  <c r="L176" i="14" s="1"/>
  <c r="R85" i="14"/>
  <c r="R86" i="14"/>
  <c r="R87" i="14"/>
  <c r="R88" i="14"/>
  <c r="R89" i="14"/>
  <c r="R90" i="14"/>
  <c r="R91" i="14"/>
  <c r="R92" i="14"/>
  <c r="L180" i="14" s="1"/>
  <c r="R93" i="14"/>
  <c r="R94" i="14"/>
  <c r="R95" i="14"/>
  <c r="R96" i="14"/>
  <c r="R97" i="14"/>
  <c r="R98" i="14"/>
  <c r="R99" i="14"/>
  <c r="R100" i="14"/>
  <c r="L184" i="14" s="1"/>
  <c r="R101" i="14"/>
  <c r="R102" i="14"/>
  <c r="R103" i="14"/>
  <c r="R104" i="14"/>
  <c r="H186" i="14" s="1"/>
  <c r="R105" i="14"/>
  <c r="R106" i="14"/>
  <c r="R107" i="14"/>
  <c r="J187" i="14" s="1"/>
  <c r="R108" i="14"/>
  <c r="H188" i="14" s="1"/>
  <c r="R109" i="14"/>
  <c r="R110" i="14"/>
  <c r="R111" i="14"/>
  <c r="R112" i="14"/>
  <c r="J190" i="14" s="1"/>
  <c r="R113" i="14"/>
  <c r="R114" i="14"/>
  <c r="R115" i="14"/>
  <c r="R116" i="14"/>
  <c r="L192" i="14" s="1"/>
  <c r="R117" i="14"/>
  <c r="R8" i="14"/>
  <c r="M35" i="14"/>
  <c r="L35" i="14"/>
  <c r="K35" i="14"/>
  <c r="K8" i="14"/>
  <c r="L8" i="14"/>
  <c r="N8" i="14" s="1"/>
  <c r="M8" i="14"/>
  <c r="K9" i="14"/>
  <c r="L9" i="14"/>
  <c r="M9" i="14"/>
  <c r="K10" i="14"/>
  <c r="L10" i="14"/>
  <c r="M10" i="14"/>
  <c r="K11" i="14"/>
  <c r="N11" i="14" s="1"/>
  <c r="L11" i="14"/>
  <c r="M11" i="14"/>
  <c r="K12" i="14"/>
  <c r="L12" i="14"/>
  <c r="N12" i="14" s="1"/>
  <c r="M12" i="14"/>
  <c r="K13" i="14"/>
  <c r="L13" i="14"/>
  <c r="M13" i="14"/>
  <c r="N13" i="14" s="1"/>
  <c r="K14" i="14"/>
  <c r="L14" i="14"/>
  <c r="M14" i="14"/>
  <c r="K15" i="14"/>
  <c r="L15" i="14"/>
  <c r="M15" i="14"/>
  <c r="K16" i="14"/>
  <c r="L16" i="14"/>
  <c r="C143" i="14" s="1"/>
  <c r="M16" i="14"/>
  <c r="K17" i="14"/>
  <c r="L17" i="14"/>
  <c r="M17" i="14"/>
  <c r="K18" i="14"/>
  <c r="B144" i="14" s="1"/>
  <c r="L18" i="14"/>
  <c r="M18" i="14"/>
  <c r="K19" i="14"/>
  <c r="N19" i="14" s="1"/>
  <c r="L19" i="14"/>
  <c r="M19" i="14"/>
  <c r="K20" i="14"/>
  <c r="L20" i="14"/>
  <c r="C145" i="14" s="1"/>
  <c r="M20" i="14"/>
  <c r="D145" i="14" s="1"/>
  <c r="K21" i="14"/>
  <c r="L21" i="14"/>
  <c r="M21" i="14"/>
  <c r="N21" i="14" s="1"/>
  <c r="K22" i="14"/>
  <c r="L22" i="14"/>
  <c r="M22" i="14"/>
  <c r="K23" i="14"/>
  <c r="L23" i="14"/>
  <c r="C146" i="14" s="1"/>
  <c r="M23" i="14"/>
  <c r="K24" i="14"/>
  <c r="L24" i="14"/>
  <c r="C147" i="14" s="1"/>
  <c r="M24" i="14"/>
  <c r="K25" i="14"/>
  <c r="L25" i="14"/>
  <c r="M25" i="14"/>
  <c r="K26" i="14"/>
  <c r="L26" i="14"/>
  <c r="M26" i="14"/>
  <c r="K27" i="14"/>
  <c r="L27" i="14"/>
  <c r="M27" i="14"/>
  <c r="K28" i="14"/>
  <c r="L28" i="14"/>
  <c r="M28" i="14"/>
  <c r="K29" i="14"/>
  <c r="L29" i="14"/>
  <c r="M29" i="14"/>
  <c r="K30" i="14"/>
  <c r="L30" i="14"/>
  <c r="M30" i="14"/>
  <c r="K31" i="14"/>
  <c r="L31" i="14"/>
  <c r="M31" i="14"/>
  <c r="K32" i="14"/>
  <c r="L32" i="14"/>
  <c r="M32" i="14"/>
  <c r="K33" i="14"/>
  <c r="L33" i="14"/>
  <c r="M33" i="14"/>
  <c r="K34" i="14"/>
  <c r="L34" i="14"/>
  <c r="M34" i="14"/>
  <c r="K36" i="14"/>
  <c r="B152" i="14" s="1"/>
  <c r="L36" i="14"/>
  <c r="M36" i="14"/>
  <c r="K37" i="14"/>
  <c r="L37" i="14"/>
  <c r="M37" i="14"/>
  <c r="K38" i="14"/>
  <c r="L38" i="14"/>
  <c r="M38" i="14"/>
  <c r="N38" i="14" s="1"/>
  <c r="K39" i="14"/>
  <c r="L39" i="14"/>
  <c r="M39" i="14"/>
  <c r="K40" i="14"/>
  <c r="L40" i="14"/>
  <c r="M40" i="14"/>
  <c r="K41" i="14"/>
  <c r="L41" i="14"/>
  <c r="M41" i="14"/>
  <c r="K42" i="14"/>
  <c r="L42" i="14"/>
  <c r="M42" i="14"/>
  <c r="K43" i="14"/>
  <c r="L43" i="14"/>
  <c r="M43" i="14"/>
  <c r="K44" i="14"/>
  <c r="L44" i="14"/>
  <c r="M44" i="14"/>
  <c r="K45" i="14"/>
  <c r="L45" i="14"/>
  <c r="M45" i="14"/>
  <c r="K46" i="14"/>
  <c r="L46" i="14"/>
  <c r="M46" i="14"/>
  <c r="K47" i="14"/>
  <c r="L47" i="14"/>
  <c r="M47" i="14"/>
  <c r="K48" i="14"/>
  <c r="L48" i="14"/>
  <c r="M48" i="14"/>
  <c r="K49" i="14"/>
  <c r="L49" i="14"/>
  <c r="C159" i="14" s="1"/>
  <c r="M49" i="14"/>
  <c r="K50" i="14"/>
  <c r="L50" i="14"/>
  <c r="M50" i="14"/>
  <c r="K51" i="14"/>
  <c r="L51" i="14"/>
  <c r="M51" i="14"/>
  <c r="K52" i="14"/>
  <c r="L52" i="14"/>
  <c r="M52" i="14"/>
  <c r="K53" i="14"/>
  <c r="L53" i="14"/>
  <c r="M53" i="14"/>
  <c r="K54" i="14"/>
  <c r="L54" i="14"/>
  <c r="M54" i="14"/>
  <c r="K55" i="14"/>
  <c r="L55" i="14"/>
  <c r="M55" i="14"/>
  <c r="K56" i="14"/>
  <c r="L56" i="14"/>
  <c r="M56" i="14"/>
  <c r="K57" i="14"/>
  <c r="L57" i="14"/>
  <c r="M57" i="14"/>
  <c r="K58" i="14"/>
  <c r="L58" i="14"/>
  <c r="M58" i="14"/>
  <c r="K59" i="14"/>
  <c r="N59" i="14" s="1"/>
  <c r="L59" i="14"/>
  <c r="M59" i="14"/>
  <c r="K60" i="14"/>
  <c r="L60" i="14"/>
  <c r="M60" i="14"/>
  <c r="K61" i="14"/>
  <c r="L61" i="14"/>
  <c r="M61" i="14"/>
  <c r="K62" i="14"/>
  <c r="L62" i="14"/>
  <c r="M62" i="14"/>
  <c r="N62" i="14" s="1"/>
  <c r="K63" i="14"/>
  <c r="L63" i="14"/>
  <c r="M63" i="14"/>
  <c r="K64" i="14"/>
  <c r="N64" i="14" s="1"/>
  <c r="L64" i="14"/>
  <c r="M64" i="14"/>
  <c r="K65" i="14"/>
  <c r="L65" i="14"/>
  <c r="M65" i="14"/>
  <c r="K66" i="14"/>
  <c r="L66" i="14"/>
  <c r="M66" i="14"/>
  <c r="K67" i="14"/>
  <c r="B167" i="14" s="1"/>
  <c r="L67" i="14"/>
  <c r="M67" i="14"/>
  <c r="K68" i="14"/>
  <c r="L68" i="14"/>
  <c r="M68" i="14"/>
  <c r="K69" i="14"/>
  <c r="L69" i="14"/>
  <c r="M69" i="14"/>
  <c r="D168" i="14" s="1"/>
  <c r="R9" i="15"/>
  <c r="R10" i="15"/>
  <c r="R11" i="15"/>
  <c r="R12" i="15"/>
  <c r="R13" i="15"/>
  <c r="R14" i="15"/>
  <c r="R15" i="15"/>
  <c r="R16" i="15"/>
  <c r="R17" i="15"/>
  <c r="R18" i="15"/>
  <c r="R19" i="15"/>
  <c r="R20" i="15"/>
  <c r="R21" i="15"/>
  <c r="R22" i="15"/>
  <c r="R23" i="15"/>
  <c r="R24" i="15"/>
  <c r="R25" i="15"/>
  <c r="J159" i="15" s="1"/>
  <c r="R26" i="15"/>
  <c r="R27" i="15"/>
  <c r="R28" i="15"/>
  <c r="R29" i="15"/>
  <c r="R30" i="15"/>
  <c r="R31" i="15"/>
  <c r="R32" i="15"/>
  <c r="R33" i="15"/>
  <c r="R34" i="15"/>
  <c r="R35" i="15"/>
  <c r="R36" i="15"/>
  <c r="R37" i="15"/>
  <c r="R38" i="15"/>
  <c r="R39" i="15"/>
  <c r="R40" i="15"/>
  <c r="R41" i="15"/>
  <c r="R42" i="15"/>
  <c r="R43" i="15"/>
  <c r="R44" i="15"/>
  <c r="R45" i="15"/>
  <c r="R46" i="15"/>
  <c r="R47" i="15"/>
  <c r="R48" i="15"/>
  <c r="R49" i="15"/>
  <c r="R50" i="15"/>
  <c r="L171" i="15" s="1"/>
  <c r="R51" i="15"/>
  <c r="R52" i="15"/>
  <c r="R53" i="15"/>
  <c r="R54" i="15"/>
  <c r="R55" i="15"/>
  <c r="R56" i="15"/>
  <c r="R57" i="15"/>
  <c r="R58" i="15"/>
  <c r="R59" i="15"/>
  <c r="R60" i="15"/>
  <c r="R61" i="15"/>
  <c r="R62" i="15"/>
  <c r="R63" i="15"/>
  <c r="R64" i="15"/>
  <c r="R65" i="15"/>
  <c r="R66" i="15"/>
  <c r="R67" i="15"/>
  <c r="R68" i="15"/>
  <c r="R69" i="15"/>
  <c r="R70" i="15"/>
  <c r="R71" i="15"/>
  <c r="R72" i="15"/>
  <c r="R73" i="15"/>
  <c r="R74" i="15"/>
  <c r="R75" i="15"/>
  <c r="R76" i="15"/>
  <c r="R77" i="15"/>
  <c r="R78" i="15"/>
  <c r="J184" i="15" s="1"/>
  <c r="R79" i="15"/>
  <c r="R80" i="15"/>
  <c r="R81" i="15"/>
  <c r="R82" i="15"/>
  <c r="R83" i="15"/>
  <c r="R84" i="15"/>
  <c r="R86" i="15"/>
  <c r="R87" i="15"/>
  <c r="L188" i="15" s="1"/>
  <c r="R88" i="15"/>
  <c r="R89" i="15"/>
  <c r="R90" i="15"/>
  <c r="R91" i="15"/>
  <c r="R92" i="15"/>
  <c r="R93" i="15"/>
  <c r="R94" i="15"/>
  <c r="R95" i="15"/>
  <c r="R96" i="15"/>
  <c r="R97" i="15"/>
  <c r="R98" i="15"/>
  <c r="R99" i="15"/>
  <c r="R101" i="15"/>
  <c r="R102" i="15"/>
  <c r="R103" i="15"/>
  <c r="R104" i="15"/>
  <c r="R105" i="15"/>
  <c r="R106" i="15"/>
  <c r="R107" i="15"/>
  <c r="R108" i="15"/>
  <c r="R109" i="15"/>
  <c r="R110" i="15"/>
  <c r="R112" i="15"/>
  <c r="R113" i="15"/>
  <c r="R114" i="15"/>
  <c r="R115" i="15"/>
  <c r="R116" i="15"/>
  <c r="R117" i="15"/>
  <c r="R118" i="15"/>
  <c r="R119" i="15"/>
  <c r="R120" i="15"/>
  <c r="R121" i="15"/>
  <c r="R122" i="15"/>
  <c r="R124" i="15"/>
  <c r="R8" i="15"/>
  <c r="H152" i="15" s="1"/>
  <c r="K8" i="15"/>
  <c r="L8" i="15"/>
  <c r="M8" i="15"/>
  <c r="K9" i="15"/>
  <c r="L9" i="15"/>
  <c r="M9" i="15"/>
  <c r="K10" i="15"/>
  <c r="L10" i="15"/>
  <c r="M10" i="15"/>
  <c r="K11" i="15"/>
  <c r="L11" i="15"/>
  <c r="M11" i="15"/>
  <c r="K12" i="15"/>
  <c r="L12" i="15"/>
  <c r="M12" i="15"/>
  <c r="K13" i="15"/>
  <c r="L13" i="15"/>
  <c r="M13" i="15"/>
  <c r="K14" i="15"/>
  <c r="L14" i="15"/>
  <c r="M14" i="15"/>
  <c r="K15" i="15"/>
  <c r="L15" i="15"/>
  <c r="M15" i="15"/>
  <c r="K16" i="15"/>
  <c r="L16" i="15"/>
  <c r="M16" i="15"/>
  <c r="K17" i="15"/>
  <c r="L17" i="15"/>
  <c r="M17" i="15"/>
  <c r="K18" i="15"/>
  <c r="L18" i="15"/>
  <c r="M18" i="15"/>
  <c r="K19" i="15"/>
  <c r="L19" i="15"/>
  <c r="M19" i="15"/>
  <c r="K20" i="15"/>
  <c r="L20" i="15"/>
  <c r="M20" i="15"/>
  <c r="K21" i="15"/>
  <c r="L21" i="15"/>
  <c r="M21" i="15"/>
  <c r="K22" i="15"/>
  <c r="L22" i="15"/>
  <c r="M22" i="15"/>
  <c r="K23" i="15"/>
  <c r="L23" i="15"/>
  <c r="M23" i="15"/>
  <c r="K24" i="15"/>
  <c r="L24" i="15"/>
  <c r="M24" i="15"/>
  <c r="K25" i="15"/>
  <c r="L25" i="15"/>
  <c r="M25" i="15"/>
  <c r="K26" i="15"/>
  <c r="L26" i="15"/>
  <c r="M26" i="15"/>
  <c r="K27" i="15"/>
  <c r="L27" i="15"/>
  <c r="M27" i="15"/>
  <c r="K28" i="15"/>
  <c r="L28" i="15"/>
  <c r="M28" i="15"/>
  <c r="K29" i="15"/>
  <c r="L29" i="15"/>
  <c r="M29" i="15"/>
  <c r="K30" i="15"/>
  <c r="L30" i="15"/>
  <c r="M30" i="15"/>
  <c r="K31" i="15"/>
  <c r="L31" i="15"/>
  <c r="M31" i="15"/>
  <c r="K32" i="15"/>
  <c r="L32" i="15"/>
  <c r="M32" i="15"/>
  <c r="K33" i="15"/>
  <c r="L33" i="15"/>
  <c r="M33" i="15"/>
  <c r="K34" i="15"/>
  <c r="L34" i="15"/>
  <c r="M34" i="15"/>
  <c r="D163" i="15" s="1"/>
  <c r="K35" i="15"/>
  <c r="L35" i="15"/>
  <c r="M35" i="15"/>
  <c r="K36" i="15"/>
  <c r="L36" i="15"/>
  <c r="M36" i="15"/>
  <c r="K37" i="15"/>
  <c r="L37" i="15"/>
  <c r="M37" i="15"/>
  <c r="K38" i="15"/>
  <c r="L38" i="15"/>
  <c r="M38" i="15"/>
  <c r="K39" i="15"/>
  <c r="L39" i="15"/>
  <c r="M39" i="15"/>
  <c r="K40" i="15"/>
  <c r="L40" i="15"/>
  <c r="M40" i="15"/>
  <c r="K41" i="15"/>
  <c r="L41" i="15"/>
  <c r="M41" i="15"/>
  <c r="K42" i="15"/>
  <c r="L42" i="15"/>
  <c r="M42" i="15"/>
  <c r="K43" i="15"/>
  <c r="L43" i="15"/>
  <c r="M43" i="15"/>
  <c r="K44" i="15"/>
  <c r="L44" i="15"/>
  <c r="M44" i="15"/>
  <c r="K45" i="15"/>
  <c r="L45" i="15"/>
  <c r="M45" i="15"/>
  <c r="K46" i="15"/>
  <c r="L46" i="15"/>
  <c r="M46" i="15"/>
  <c r="K47" i="15"/>
  <c r="L47" i="15"/>
  <c r="M47" i="15"/>
  <c r="K48" i="15"/>
  <c r="L48" i="15"/>
  <c r="M48" i="15"/>
  <c r="K49" i="15"/>
  <c r="L49" i="15"/>
  <c r="M49" i="15"/>
  <c r="K50" i="15"/>
  <c r="L50" i="15"/>
  <c r="M50" i="15"/>
  <c r="K51" i="15"/>
  <c r="L51" i="15"/>
  <c r="M51" i="15"/>
  <c r="K52" i="15"/>
  <c r="L52" i="15"/>
  <c r="M52" i="15"/>
  <c r="K53" i="15"/>
  <c r="L53" i="15"/>
  <c r="M53" i="15"/>
  <c r="K54" i="15"/>
  <c r="L54" i="15"/>
  <c r="M54" i="15"/>
  <c r="K55" i="15"/>
  <c r="L55" i="15"/>
  <c r="M55" i="15"/>
  <c r="K56" i="15"/>
  <c r="L56" i="15"/>
  <c r="M56" i="15"/>
  <c r="K57" i="15"/>
  <c r="L57" i="15"/>
  <c r="M57" i="15"/>
  <c r="K58" i="15"/>
  <c r="L58" i="15"/>
  <c r="M58" i="15"/>
  <c r="K59" i="15"/>
  <c r="L59" i="15"/>
  <c r="M59" i="15"/>
  <c r="K60" i="15"/>
  <c r="L60" i="15"/>
  <c r="M60" i="15"/>
  <c r="K61" i="15"/>
  <c r="L61" i="15"/>
  <c r="M61" i="15"/>
  <c r="K62" i="15"/>
  <c r="L62" i="15"/>
  <c r="M62" i="15"/>
  <c r="K63" i="15"/>
  <c r="L63" i="15"/>
  <c r="M63" i="15"/>
  <c r="K64" i="15"/>
  <c r="L64" i="15"/>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M58" i="8"/>
  <c r="L58" i="8"/>
  <c r="K58" i="8"/>
  <c r="M43" i="8"/>
  <c r="L43" i="8"/>
  <c r="K43" i="8"/>
  <c r="M36" i="8"/>
  <c r="L36" i="8"/>
  <c r="K36" i="8"/>
  <c r="M33" i="8"/>
  <c r="L33" i="8"/>
  <c r="K33" i="8"/>
  <c r="M30" i="8"/>
  <c r="L30" i="8"/>
  <c r="K30" i="8"/>
  <c r="M15" i="8"/>
  <c r="L15" i="8"/>
  <c r="N15" i="8" s="1"/>
  <c r="K15" i="8"/>
  <c r="M39" i="8"/>
  <c r="L39" i="8"/>
  <c r="K39" i="8"/>
  <c r="M38" i="8"/>
  <c r="L38" i="8"/>
  <c r="K38" i="8"/>
  <c r="M37" i="8"/>
  <c r="L37" i="8"/>
  <c r="K37" i="8"/>
  <c r="M35" i="8"/>
  <c r="L35" i="8"/>
  <c r="N35" i="8" s="1"/>
  <c r="K35" i="8"/>
  <c r="M34" i="8"/>
  <c r="L34" i="8"/>
  <c r="K34" i="8"/>
  <c r="M32" i="8"/>
  <c r="L32" i="8"/>
  <c r="K32" i="8"/>
  <c r="M31" i="8"/>
  <c r="L31" i="8"/>
  <c r="K31" i="8"/>
  <c r="M29" i="8"/>
  <c r="L29" i="8"/>
  <c r="K29" i="8"/>
  <c r="M28" i="8"/>
  <c r="L28" i="8"/>
  <c r="K28" i="8"/>
  <c r="M27" i="8"/>
  <c r="L27" i="8"/>
  <c r="K27" i="8"/>
  <c r="M26" i="8"/>
  <c r="L26" i="8"/>
  <c r="K26" i="8"/>
  <c r="M25" i="8"/>
  <c r="L25" i="8"/>
  <c r="K25" i="8"/>
  <c r="M24" i="8"/>
  <c r="L24" i="8"/>
  <c r="K24" i="8"/>
  <c r="M23" i="8"/>
  <c r="L23" i="8"/>
  <c r="K23" i="8"/>
  <c r="M22" i="8"/>
  <c r="L22" i="8"/>
  <c r="K22" i="8"/>
  <c r="M21" i="8"/>
  <c r="L21" i="8"/>
  <c r="N21" i="8" s="1"/>
  <c r="K21" i="8"/>
  <c r="M20" i="8"/>
  <c r="L20" i="8"/>
  <c r="K20" i="8"/>
  <c r="M19" i="8"/>
  <c r="L19" i="8"/>
  <c r="K19" i="8"/>
  <c r="M18" i="8"/>
  <c r="L18" i="8"/>
  <c r="K18" i="8"/>
  <c r="M17" i="8"/>
  <c r="L17" i="8"/>
  <c r="K17" i="8"/>
  <c r="M16" i="8"/>
  <c r="L16" i="8"/>
  <c r="K16" i="8"/>
  <c r="N16" i="8" s="1"/>
  <c r="M14" i="8"/>
  <c r="L14" i="8"/>
  <c r="K14" i="8"/>
  <c r="M13" i="8"/>
  <c r="L13" i="8"/>
  <c r="K13" i="8"/>
  <c r="M12" i="8"/>
  <c r="L12" i="8"/>
  <c r="N12" i="8" s="1"/>
  <c r="K12" i="8"/>
  <c r="M11" i="8"/>
  <c r="L11" i="8"/>
  <c r="K11" i="8"/>
  <c r="M10" i="8"/>
  <c r="L10" i="8"/>
  <c r="K10" i="8"/>
  <c r="M9" i="8"/>
  <c r="L9" i="8"/>
  <c r="K9" i="8"/>
  <c r="M8" i="8"/>
  <c r="L8" i="8"/>
  <c r="K8" i="8"/>
  <c r="M69" i="8"/>
  <c r="L69" i="8"/>
  <c r="K69" i="8"/>
  <c r="M68" i="8"/>
  <c r="L68" i="8"/>
  <c r="K68" i="8"/>
  <c r="M67" i="8"/>
  <c r="D175" i="8" s="1"/>
  <c r="L67" i="8"/>
  <c r="K67" i="8"/>
  <c r="M66" i="8"/>
  <c r="L66" i="8"/>
  <c r="K66" i="8"/>
  <c r="M65" i="8"/>
  <c r="L65" i="8"/>
  <c r="K65" i="8"/>
  <c r="M64" i="8"/>
  <c r="L64" i="8"/>
  <c r="K64" i="8"/>
  <c r="M63" i="8"/>
  <c r="L63" i="8"/>
  <c r="K63" i="8"/>
  <c r="M62" i="8"/>
  <c r="L62" i="8"/>
  <c r="K62" i="8"/>
  <c r="M61" i="8"/>
  <c r="L61" i="8"/>
  <c r="K61" i="8"/>
  <c r="M60" i="8"/>
  <c r="L60" i="8"/>
  <c r="K60" i="8"/>
  <c r="M59" i="8"/>
  <c r="L59" i="8"/>
  <c r="K59" i="8"/>
  <c r="M57" i="8"/>
  <c r="L57" i="8"/>
  <c r="K57" i="8"/>
  <c r="M56" i="8"/>
  <c r="L56" i="8"/>
  <c r="K56" i="8"/>
  <c r="M55" i="8"/>
  <c r="L55" i="8"/>
  <c r="K55" i="8"/>
  <c r="M54" i="8"/>
  <c r="L54" i="8"/>
  <c r="K54" i="8"/>
  <c r="M53" i="8"/>
  <c r="L53" i="8"/>
  <c r="N53" i="8" s="1"/>
  <c r="K53" i="8"/>
  <c r="M52" i="8"/>
  <c r="L52" i="8"/>
  <c r="K52" i="8"/>
  <c r="M51" i="8"/>
  <c r="L51" i="8"/>
  <c r="K51" i="8"/>
  <c r="M50" i="8"/>
  <c r="L50" i="8"/>
  <c r="K50" i="8"/>
  <c r="M49" i="8"/>
  <c r="L49" i="8"/>
  <c r="K49" i="8"/>
  <c r="M48" i="8"/>
  <c r="L48" i="8"/>
  <c r="K48" i="8"/>
  <c r="B166" i="8" s="1"/>
  <c r="M47" i="8"/>
  <c r="L47" i="8"/>
  <c r="K47" i="8"/>
  <c r="M46" i="8"/>
  <c r="L46" i="8"/>
  <c r="K46" i="8"/>
  <c r="M45" i="8"/>
  <c r="L45" i="8"/>
  <c r="N45" i="8" s="1"/>
  <c r="K45" i="8"/>
  <c r="M44" i="8"/>
  <c r="L44" i="8"/>
  <c r="K44" i="8"/>
  <c r="M42" i="8"/>
  <c r="L42" i="8"/>
  <c r="K42" i="8"/>
  <c r="M41" i="8"/>
  <c r="L41" i="8"/>
  <c r="K41" i="8"/>
  <c r="M40" i="8"/>
  <c r="L40" i="8"/>
  <c r="K40" i="8"/>
  <c r="M71" i="8"/>
  <c r="L71" i="8"/>
  <c r="K71" i="8"/>
  <c r="B177" i="8" s="1"/>
  <c r="M70" i="8"/>
  <c r="L70" i="8"/>
  <c r="K70" i="8"/>
  <c r="R9" i="7"/>
  <c r="R10" i="7"/>
  <c r="R11" i="7"/>
  <c r="R12" i="7"/>
  <c r="R13" i="7"/>
  <c r="R14" i="7"/>
  <c r="R15" i="7"/>
  <c r="R16" i="7"/>
  <c r="R17" i="7"/>
  <c r="R18" i="7"/>
  <c r="R19" i="7"/>
  <c r="R20" i="7"/>
  <c r="R21" i="7"/>
  <c r="R22" i="7"/>
  <c r="R23" i="7"/>
  <c r="R24" i="7"/>
  <c r="R25" i="7"/>
  <c r="R26" i="7"/>
  <c r="R27" i="7"/>
  <c r="R28" i="7"/>
  <c r="R29" i="7"/>
  <c r="R30" i="7"/>
  <c r="R31" i="7"/>
  <c r="R32" i="7"/>
  <c r="R33" i="7"/>
  <c r="R34" i="7"/>
  <c r="R35" i="7"/>
  <c r="R36" i="7"/>
  <c r="R37" i="7"/>
  <c r="R38" i="7"/>
  <c r="R39" i="7"/>
  <c r="R40" i="7"/>
  <c r="R41" i="7"/>
  <c r="R42" i="7"/>
  <c r="R43" i="7"/>
  <c r="R44" i="7"/>
  <c r="R45" i="7"/>
  <c r="R46" i="7"/>
  <c r="R47" i="7"/>
  <c r="R48" i="7"/>
  <c r="R49" i="7"/>
  <c r="R50" i="7"/>
  <c r="R51" i="7"/>
  <c r="R52" i="7"/>
  <c r="R53" i="7"/>
  <c r="R54" i="7"/>
  <c r="R55" i="7"/>
  <c r="R56" i="7"/>
  <c r="R57" i="7"/>
  <c r="R58" i="7"/>
  <c r="R59" i="7"/>
  <c r="R60" i="7"/>
  <c r="R61" i="7"/>
  <c r="R62" i="7"/>
  <c r="R63" i="7"/>
  <c r="R66" i="7"/>
  <c r="W165" i="7" s="1"/>
  <c r="R67" i="7"/>
  <c r="R68" i="7"/>
  <c r="L166" i="7" s="1"/>
  <c r="R69" i="7"/>
  <c r="R70" i="7"/>
  <c r="R71" i="7"/>
  <c r="R72" i="7"/>
  <c r="R73" i="7"/>
  <c r="R74" i="7"/>
  <c r="R75" i="7"/>
  <c r="R76" i="7"/>
  <c r="R77" i="7"/>
  <c r="R78" i="7"/>
  <c r="R79" i="7"/>
  <c r="R80" i="7"/>
  <c r="R81" i="7"/>
  <c r="R82" i="7"/>
  <c r="R83" i="7"/>
  <c r="R84" i="7"/>
  <c r="R85" i="7"/>
  <c r="R86" i="7"/>
  <c r="R87" i="7"/>
  <c r="R88" i="7"/>
  <c r="R89" i="7"/>
  <c r="R90" i="7"/>
  <c r="R91" i="7"/>
  <c r="R92" i="7"/>
  <c r="R93" i="7"/>
  <c r="R94" i="7"/>
  <c r="R95" i="7"/>
  <c r="R96" i="7"/>
  <c r="R97" i="7"/>
  <c r="R98" i="7"/>
  <c r="R99" i="7"/>
  <c r="R100" i="7"/>
  <c r="R101" i="7"/>
  <c r="R102" i="7"/>
  <c r="R103" i="7"/>
  <c r="R104" i="7"/>
  <c r="R105" i="7"/>
  <c r="R106" i="7"/>
  <c r="R107" i="7"/>
  <c r="R108" i="7"/>
  <c r="R109" i="7"/>
  <c r="R110" i="7"/>
  <c r="R111" i="7"/>
  <c r="R112" i="7"/>
  <c r="R113" i="7"/>
  <c r="R114" i="7"/>
  <c r="R8" i="7"/>
  <c r="M9" i="7"/>
  <c r="L9" i="7"/>
  <c r="K9" i="7"/>
  <c r="M17" i="7"/>
  <c r="L17" i="7"/>
  <c r="K17" i="7"/>
  <c r="M16" i="7"/>
  <c r="L16" i="7"/>
  <c r="K16" i="7"/>
  <c r="M15" i="7"/>
  <c r="L15" i="7"/>
  <c r="K15" i="7"/>
  <c r="M14" i="7"/>
  <c r="L14" i="7"/>
  <c r="K14" i="7"/>
  <c r="E14" i="7"/>
  <c r="T139" i="7" s="1"/>
  <c r="M13" i="7"/>
  <c r="L13" i="7"/>
  <c r="K13" i="7"/>
  <c r="M12" i="7"/>
  <c r="L12" i="7"/>
  <c r="K12" i="7"/>
  <c r="E12" i="7"/>
  <c r="T138" i="7" s="1"/>
  <c r="M11" i="7"/>
  <c r="L11" i="7"/>
  <c r="K11" i="7"/>
  <c r="M10" i="7"/>
  <c r="L10" i="7"/>
  <c r="K10" i="7"/>
  <c r="M8" i="7"/>
  <c r="L8" i="7"/>
  <c r="K8" i="7"/>
  <c r="M45" i="7"/>
  <c r="L45" i="7"/>
  <c r="K45" i="7"/>
  <c r="M44" i="7"/>
  <c r="L44" i="7"/>
  <c r="K44" i="7"/>
  <c r="M43" i="7"/>
  <c r="L43" i="7"/>
  <c r="K43" i="7"/>
  <c r="M42" i="7"/>
  <c r="L42" i="7"/>
  <c r="K42" i="7"/>
  <c r="M41" i="7"/>
  <c r="L41" i="7"/>
  <c r="K41" i="7"/>
  <c r="M40" i="7"/>
  <c r="L40" i="7"/>
  <c r="K40" i="7"/>
  <c r="M39" i="7"/>
  <c r="L39" i="7"/>
  <c r="K39" i="7"/>
  <c r="M38" i="7"/>
  <c r="L38" i="7"/>
  <c r="K38" i="7"/>
  <c r="M37" i="7"/>
  <c r="L37" i="7"/>
  <c r="K37" i="7"/>
  <c r="M36" i="7"/>
  <c r="L36" i="7"/>
  <c r="K36" i="7"/>
  <c r="M35" i="7"/>
  <c r="L35" i="7"/>
  <c r="K35" i="7"/>
  <c r="M34" i="7"/>
  <c r="L34" i="7"/>
  <c r="K34" i="7"/>
  <c r="M33" i="7"/>
  <c r="L33" i="7"/>
  <c r="K33" i="7"/>
  <c r="M32" i="7"/>
  <c r="L32" i="7"/>
  <c r="K32" i="7"/>
  <c r="M31" i="7"/>
  <c r="L31" i="7"/>
  <c r="K31" i="7"/>
  <c r="M30" i="7"/>
  <c r="L30" i="7"/>
  <c r="K30" i="7"/>
  <c r="M29" i="7"/>
  <c r="L29" i="7"/>
  <c r="K29" i="7"/>
  <c r="M28" i="7"/>
  <c r="L28" i="7"/>
  <c r="K28" i="7"/>
  <c r="M27" i="7"/>
  <c r="L27" i="7"/>
  <c r="K27" i="7"/>
  <c r="M26" i="7"/>
  <c r="L26" i="7"/>
  <c r="K26" i="7"/>
  <c r="M25" i="7"/>
  <c r="L25" i="7"/>
  <c r="K25" i="7"/>
  <c r="M24" i="7"/>
  <c r="L24" i="7"/>
  <c r="K24" i="7"/>
  <c r="M23" i="7"/>
  <c r="L23" i="7"/>
  <c r="K23" i="7"/>
  <c r="M22" i="7"/>
  <c r="L22" i="7"/>
  <c r="K22" i="7"/>
  <c r="M21" i="7"/>
  <c r="L21" i="7"/>
  <c r="K21" i="7"/>
  <c r="M20" i="7"/>
  <c r="L20" i="7"/>
  <c r="K20" i="7"/>
  <c r="M19" i="7"/>
  <c r="L19" i="7"/>
  <c r="K19" i="7"/>
  <c r="M18" i="7"/>
  <c r="L18" i="7"/>
  <c r="K18" i="7"/>
  <c r="M58" i="7"/>
  <c r="L58" i="7"/>
  <c r="K58" i="7"/>
  <c r="M57" i="7"/>
  <c r="L57" i="7"/>
  <c r="K57" i="7"/>
  <c r="M56" i="7"/>
  <c r="L56" i="7"/>
  <c r="K56" i="7"/>
  <c r="M55" i="7"/>
  <c r="L55" i="7"/>
  <c r="K55" i="7"/>
  <c r="M54" i="7"/>
  <c r="L54" i="7"/>
  <c r="K54" i="7"/>
  <c r="M53" i="7"/>
  <c r="L53" i="7"/>
  <c r="K53" i="7"/>
  <c r="M52" i="7"/>
  <c r="L52" i="7"/>
  <c r="K52" i="7"/>
  <c r="M51" i="7"/>
  <c r="L51" i="7"/>
  <c r="K51" i="7"/>
  <c r="M50" i="7"/>
  <c r="L50" i="7"/>
  <c r="K50" i="7"/>
  <c r="M49" i="7"/>
  <c r="L49" i="7"/>
  <c r="K49" i="7"/>
  <c r="M48" i="7"/>
  <c r="L48" i="7"/>
  <c r="K48" i="7"/>
  <c r="M47" i="7"/>
  <c r="L47" i="7"/>
  <c r="K47" i="7"/>
  <c r="M46" i="7"/>
  <c r="L46" i="7"/>
  <c r="K46" i="7"/>
  <c r="M65" i="7"/>
  <c r="L65" i="7"/>
  <c r="K65" i="7"/>
  <c r="M64" i="7"/>
  <c r="L64" i="7"/>
  <c r="K64" i="7"/>
  <c r="M63" i="7"/>
  <c r="L63" i="7"/>
  <c r="K63" i="7"/>
  <c r="M62" i="7"/>
  <c r="L62" i="7"/>
  <c r="K62" i="7"/>
  <c r="M61" i="7"/>
  <c r="L61" i="7"/>
  <c r="K61" i="7"/>
  <c r="M60" i="7"/>
  <c r="L60" i="7"/>
  <c r="K60" i="7"/>
  <c r="M59" i="7"/>
  <c r="L59" i="7"/>
  <c r="K59" i="7"/>
  <c r="R67" i="5"/>
  <c r="R68" i="5"/>
  <c r="R69" i="5"/>
  <c r="R70" i="5"/>
  <c r="R71" i="5"/>
  <c r="R72" i="5"/>
  <c r="R73" i="5"/>
  <c r="R74" i="5"/>
  <c r="R76" i="5"/>
  <c r="R77" i="5"/>
  <c r="R78" i="5"/>
  <c r="R79" i="5"/>
  <c r="R80" i="5"/>
  <c r="R81" i="5"/>
  <c r="R82" i="5"/>
  <c r="R83" i="5"/>
  <c r="R84" i="5"/>
  <c r="H175" i="5" s="1"/>
  <c r="R85" i="5"/>
  <c r="R86" i="5"/>
  <c r="R87" i="5"/>
  <c r="R88" i="5"/>
  <c r="R89" i="5"/>
  <c r="R90" i="5"/>
  <c r="R91" i="5"/>
  <c r="R92" i="5"/>
  <c r="R93" i="5"/>
  <c r="R94" i="5"/>
  <c r="R95" i="5"/>
  <c r="R96" i="5"/>
  <c r="R97" i="5"/>
  <c r="R98" i="5"/>
  <c r="R99" i="5"/>
  <c r="R100" i="5"/>
  <c r="R101" i="5"/>
  <c r="R102" i="5"/>
  <c r="R103" i="5"/>
  <c r="R104" i="5"/>
  <c r="R105" i="5"/>
  <c r="R106" i="5"/>
  <c r="R107" i="5"/>
  <c r="R108" i="5"/>
  <c r="R109" i="5"/>
  <c r="R110" i="5"/>
  <c r="R111" i="5"/>
  <c r="R112" i="5"/>
  <c r="R113" i="5"/>
  <c r="R114" i="5"/>
  <c r="R115" i="5"/>
  <c r="R9" i="5"/>
  <c r="R10" i="5"/>
  <c r="R11" i="5"/>
  <c r="R12" i="5"/>
  <c r="R13" i="5"/>
  <c r="R14" i="5"/>
  <c r="R15" i="5"/>
  <c r="R16" i="5"/>
  <c r="R17" i="5"/>
  <c r="R18" i="5"/>
  <c r="R19" i="5"/>
  <c r="R20" i="5"/>
  <c r="R21" i="5"/>
  <c r="R22" i="5"/>
  <c r="R23" i="5"/>
  <c r="R24" i="5"/>
  <c r="R25" i="5"/>
  <c r="R26" i="5"/>
  <c r="R27" i="5"/>
  <c r="R28" i="5"/>
  <c r="R29" i="5"/>
  <c r="R30" i="5"/>
  <c r="R31" i="5"/>
  <c r="R32" i="5"/>
  <c r="R33" i="5"/>
  <c r="R34" i="5"/>
  <c r="R35" i="5"/>
  <c r="R36" i="5"/>
  <c r="R37" i="5"/>
  <c r="R38" i="5"/>
  <c r="R39" i="5"/>
  <c r="R40" i="5"/>
  <c r="R41" i="5"/>
  <c r="R42" i="5"/>
  <c r="R43" i="5"/>
  <c r="R44" i="5"/>
  <c r="R45" i="5"/>
  <c r="R46" i="5"/>
  <c r="R47" i="5"/>
  <c r="R48" i="5"/>
  <c r="W157" i="5" s="1"/>
  <c r="R49" i="5"/>
  <c r="R50" i="5"/>
  <c r="R51" i="5"/>
  <c r="R52" i="5"/>
  <c r="R53" i="5"/>
  <c r="R54" i="5"/>
  <c r="R55" i="5"/>
  <c r="R56" i="5"/>
  <c r="R57" i="5"/>
  <c r="R58" i="5"/>
  <c r="R59" i="5"/>
  <c r="R60" i="5"/>
  <c r="R61" i="5"/>
  <c r="R62" i="5"/>
  <c r="R63" i="5"/>
  <c r="R64" i="5"/>
  <c r="R65" i="5"/>
  <c r="R66" i="5"/>
  <c r="R8" i="5"/>
  <c r="M25" i="5"/>
  <c r="L25" i="5"/>
  <c r="K25" i="5"/>
  <c r="M36" i="5"/>
  <c r="L36" i="5"/>
  <c r="K36" i="5"/>
  <c r="M35" i="5"/>
  <c r="L35" i="5"/>
  <c r="K35" i="5"/>
  <c r="M34" i="5"/>
  <c r="L34" i="5"/>
  <c r="K34" i="5"/>
  <c r="M33" i="5"/>
  <c r="L33" i="5"/>
  <c r="K33" i="5"/>
  <c r="M32" i="5"/>
  <c r="L32" i="5"/>
  <c r="K32" i="5"/>
  <c r="M31" i="5"/>
  <c r="L31" i="5"/>
  <c r="K31" i="5"/>
  <c r="E31" i="5"/>
  <c r="M30" i="5"/>
  <c r="L30" i="5"/>
  <c r="K30" i="5"/>
  <c r="M29" i="5"/>
  <c r="L29" i="5"/>
  <c r="K29" i="5"/>
  <c r="M28" i="5"/>
  <c r="L28" i="5"/>
  <c r="K28" i="5"/>
  <c r="E28" i="5"/>
  <c r="M27" i="5"/>
  <c r="L27" i="5"/>
  <c r="K27" i="5"/>
  <c r="M26" i="5"/>
  <c r="L26" i="5"/>
  <c r="K26" i="5"/>
  <c r="M24" i="5"/>
  <c r="L24" i="5"/>
  <c r="K24" i="5"/>
  <c r="M23" i="5"/>
  <c r="L23" i="5"/>
  <c r="K23" i="5"/>
  <c r="E23" i="5"/>
  <c r="M22" i="5"/>
  <c r="L22" i="5"/>
  <c r="K22" i="5"/>
  <c r="M21" i="5"/>
  <c r="L21" i="5"/>
  <c r="K21" i="5"/>
  <c r="M20" i="5"/>
  <c r="L20" i="5"/>
  <c r="K20" i="5"/>
  <c r="M19" i="5"/>
  <c r="L19" i="5"/>
  <c r="K19" i="5"/>
  <c r="M18" i="5"/>
  <c r="L18" i="5"/>
  <c r="K18" i="5"/>
  <c r="M17" i="5"/>
  <c r="L17" i="5"/>
  <c r="K17" i="5"/>
  <c r="M16" i="5"/>
  <c r="L16" i="5"/>
  <c r="K16" i="5"/>
  <c r="M15" i="5"/>
  <c r="L15" i="5"/>
  <c r="K15" i="5"/>
  <c r="M14" i="5"/>
  <c r="L14" i="5"/>
  <c r="K14" i="5"/>
  <c r="M13" i="5"/>
  <c r="L13" i="5"/>
  <c r="K13" i="5"/>
  <c r="E13" i="5"/>
  <c r="M12" i="5"/>
  <c r="L12" i="5"/>
  <c r="K12" i="5"/>
  <c r="M11" i="5"/>
  <c r="L11" i="5"/>
  <c r="K11" i="5"/>
  <c r="E11" i="5"/>
  <c r="M10" i="5"/>
  <c r="L10" i="5"/>
  <c r="K10" i="5"/>
  <c r="M9" i="5"/>
  <c r="L9" i="5"/>
  <c r="K9" i="5"/>
  <c r="M8" i="5"/>
  <c r="D138" i="5" s="1"/>
  <c r="L8" i="5"/>
  <c r="K8" i="5"/>
  <c r="M64" i="5"/>
  <c r="L64" i="5"/>
  <c r="K64" i="5"/>
  <c r="M63" i="5"/>
  <c r="L63" i="5"/>
  <c r="K63" i="5"/>
  <c r="B165" i="5" s="1"/>
  <c r="E63" i="5"/>
  <c r="U165" i="5" s="1"/>
  <c r="M62" i="5"/>
  <c r="L62" i="5"/>
  <c r="K62" i="5"/>
  <c r="M61" i="5"/>
  <c r="L61" i="5"/>
  <c r="K61" i="5"/>
  <c r="E61" i="5"/>
  <c r="M60" i="5"/>
  <c r="L60" i="5"/>
  <c r="K60" i="5"/>
  <c r="M59" i="5"/>
  <c r="L59" i="5"/>
  <c r="K59" i="5"/>
  <c r="M58" i="5"/>
  <c r="L58" i="5"/>
  <c r="K58" i="5"/>
  <c r="M57" i="5"/>
  <c r="L57" i="5"/>
  <c r="K57" i="5"/>
  <c r="M56" i="5"/>
  <c r="L56" i="5"/>
  <c r="K56" i="5"/>
  <c r="E56" i="5"/>
  <c r="U161" i="5" s="1"/>
  <c r="M55" i="5"/>
  <c r="L55" i="5"/>
  <c r="K55" i="5"/>
  <c r="M54" i="5"/>
  <c r="L54" i="5"/>
  <c r="K54" i="5"/>
  <c r="E54" i="5"/>
  <c r="T160" i="5" s="1"/>
  <c r="M53" i="5"/>
  <c r="L53" i="5"/>
  <c r="K53" i="5"/>
  <c r="M52" i="5"/>
  <c r="L52" i="5"/>
  <c r="K52" i="5"/>
  <c r="E52" i="5"/>
  <c r="M51" i="5"/>
  <c r="L51" i="5"/>
  <c r="K51" i="5"/>
  <c r="M50" i="5"/>
  <c r="L50" i="5"/>
  <c r="K50" i="5"/>
  <c r="M49" i="5"/>
  <c r="L49" i="5"/>
  <c r="K49" i="5"/>
  <c r="M48" i="5"/>
  <c r="L48" i="5"/>
  <c r="K48" i="5"/>
  <c r="M47" i="5"/>
  <c r="L47" i="5"/>
  <c r="C157" i="5" s="1"/>
  <c r="K47" i="5"/>
  <c r="M46" i="5"/>
  <c r="L46" i="5"/>
  <c r="K46" i="5"/>
  <c r="M45" i="5"/>
  <c r="L45" i="5"/>
  <c r="K45" i="5"/>
  <c r="M44" i="5"/>
  <c r="L44" i="5"/>
  <c r="K44" i="5"/>
  <c r="M43" i="5"/>
  <c r="L43" i="5"/>
  <c r="C155" i="5" s="1"/>
  <c r="K43" i="5"/>
  <c r="M42" i="5"/>
  <c r="L42" i="5"/>
  <c r="K42" i="5"/>
  <c r="M41" i="5"/>
  <c r="L41" i="5"/>
  <c r="K41" i="5"/>
  <c r="M40" i="5"/>
  <c r="L40" i="5"/>
  <c r="K40" i="5"/>
  <c r="E40" i="5"/>
  <c r="U153" i="5" s="1"/>
  <c r="M39" i="5"/>
  <c r="L39" i="5"/>
  <c r="K39" i="5"/>
  <c r="M38" i="5"/>
  <c r="L38" i="5"/>
  <c r="K38" i="5"/>
  <c r="M37" i="5"/>
  <c r="L37" i="5"/>
  <c r="C152" i="5" s="1"/>
  <c r="K37" i="5"/>
  <c r="M66" i="5"/>
  <c r="L66" i="5"/>
  <c r="K66" i="5"/>
  <c r="M65" i="5"/>
  <c r="L65" i="5"/>
  <c r="K65" i="5"/>
  <c r="R9" i="3"/>
  <c r="R10" i="3"/>
  <c r="R11" i="3"/>
  <c r="R12" i="3"/>
  <c r="R13" i="3"/>
  <c r="R14" i="3"/>
  <c r="R15" i="3"/>
  <c r="R16" i="3"/>
  <c r="R17" i="3"/>
  <c r="R18" i="3"/>
  <c r="H149" i="3" s="1"/>
  <c r="R19" i="3"/>
  <c r="R20" i="3"/>
  <c r="R21" i="3"/>
  <c r="R22" i="3"/>
  <c r="J151" i="3" s="1"/>
  <c r="R23" i="3"/>
  <c r="R24" i="3"/>
  <c r="R25" i="3"/>
  <c r="R26" i="3"/>
  <c r="J153" i="3" s="1"/>
  <c r="R27" i="3"/>
  <c r="R28" i="3"/>
  <c r="R29" i="3"/>
  <c r="R30" i="3"/>
  <c r="R31" i="3"/>
  <c r="R32" i="3"/>
  <c r="R33" i="3"/>
  <c r="R34" i="3"/>
  <c r="L157" i="3" s="1"/>
  <c r="R35" i="3"/>
  <c r="R36" i="3"/>
  <c r="R37" i="3"/>
  <c r="R38" i="3"/>
  <c r="H158" i="3" s="1"/>
  <c r="R39" i="3"/>
  <c r="J159" i="3" s="1"/>
  <c r="R40" i="3"/>
  <c r="R41" i="3"/>
  <c r="R42" i="3"/>
  <c r="J160" i="3" s="1"/>
  <c r="R43" i="3"/>
  <c r="R44" i="3"/>
  <c r="R45" i="3"/>
  <c r="R46" i="3"/>
  <c r="R47" i="3"/>
  <c r="R48" i="3"/>
  <c r="R49" i="3"/>
  <c r="R50" i="3"/>
  <c r="R51" i="3"/>
  <c r="R52" i="3"/>
  <c r="R53" i="3"/>
  <c r="R54" i="3"/>
  <c r="R55" i="3"/>
  <c r="R56" i="3"/>
  <c r="R57" i="3"/>
  <c r="R58" i="3"/>
  <c r="H167" i="3" s="1"/>
  <c r="R59" i="3"/>
  <c r="R60" i="3"/>
  <c r="R61" i="3"/>
  <c r="R62" i="3"/>
  <c r="W169" i="3" s="1"/>
  <c r="R63" i="3"/>
  <c r="R64" i="3"/>
  <c r="R65" i="3"/>
  <c r="R66" i="3"/>
  <c r="W171" i="3" s="1"/>
  <c r="R67" i="3"/>
  <c r="R68" i="3"/>
  <c r="R69" i="3"/>
  <c r="R70" i="3"/>
  <c r="R71" i="3"/>
  <c r="R72" i="3"/>
  <c r="R73" i="3"/>
  <c r="R74" i="3"/>
  <c r="R75" i="3"/>
  <c r="R76" i="3"/>
  <c r="R77" i="3"/>
  <c r="R78" i="3"/>
  <c r="R79" i="3"/>
  <c r="R80" i="3"/>
  <c r="R81" i="3"/>
  <c r="R82" i="3"/>
  <c r="R83" i="3"/>
  <c r="R84" i="3"/>
  <c r="R85" i="3"/>
  <c r="R86" i="3"/>
  <c r="R87" i="3"/>
  <c r="R88" i="3"/>
  <c r="R89" i="3"/>
  <c r="R90" i="3"/>
  <c r="R91" i="3"/>
  <c r="R92" i="3"/>
  <c r="R93" i="3"/>
  <c r="R94" i="3"/>
  <c r="R95" i="3"/>
  <c r="R96" i="3"/>
  <c r="R97" i="3"/>
  <c r="R98" i="3"/>
  <c r="R99" i="3"/>
  <c r="R100" i="3"/>
  <c r="R101" i="3"/>
  <c r="R102" i="3"/>
  <c r="R103" i="3"/>
  <c r="R104" i="3"/>
  <c r="R105" i="3"/>
  <c r="R106" i="3"/>
  <c r="R107" i="3"/>
  <c r="R108" i="3"/>
  <c r="R109" i="3"/>
  <c r="R110" i="3"/>
  <c r="J192" i="3" s="1"/>
  <c r="R111" i="3"/>
  <c r="R112" i="3"/>
  <c r="R113" i="3"/>
  <c r="R114" i="3"/>
  <c r="R115" i="3"/>
  <c r="R116" i="3"/>
  <c r="R117" i="3"/>
  <c r="R118" i="3"/>
  <c r="L196" i="3" s="1"/>
  <c r="R119" i="3"/>
  <c r="R8" i="3"/>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100" i="2"/>
  <c r="R101" i="2"/>
  <c r="R102" i="2"/>
  <c r="R103" i="2"/>
  <c r="R104" i="2"/>
  <c r="R105" i="2"/>
  <c r="R106" i="2"/>
  <c r="R107" i="2"/>
  <c r="R108" i="2"/>
  <c r="R109" i="2"/>
  <c r="R110" i="2"/>
  <c r="R111" i="2"/>
  <c r="R112" i="2"/>
  <c r="R113"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8" i="2"/>
  <c r="K29"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8" i="1"/>
  <c r="J142" i="1" s="1"/>
  <c r="M54" i="3"/>
  <c r="L54" i="3"/>
  <c r="K54" i="3"/>
  <c r="M51" i="3"/>
  <c r="L51" i="3"/>
  <c r="K51" i="3"/>
  <c r="M50" i="3"/>
  <c r="L50" i="3"/>
  <c r="K50" i="3"/>
  <c r="M37" i="3"/>
  <c r="L37" i="3"/>
  <c r="K37" i="3"/>
  <c r="M35" i="3"/>
  <c r="L35" i="3"/>
  <c r="K35" i="3"/>
  <c r="M34" i="3"/>
  <c r="L34" i="3"/>
  <c r="K34" i="3"/>
  <c r="B157" i="3" s="1"/>
  <c r="M33" i="3"/>
  <c r="L33" i="3"/>
  <c r="K33" i="3"/>
  <c r="M32" i="3"/>
  <c r="D156" i="3" s="1"/>
  <c r="L32" i="3"/>
  <c r="K32" i="3"/>
  <c r="M31" i="3"/>
  <c r="L31" i="3"/>
  <c r="K31" i="3"/>
  <c r="M30" i="3"/>
  <c r="L30" i="3"/>
  <c r="C155" i="3" s="1"/>
  <c r="K30" i="3"/>
  <c r="M29" i="3"/>
  <c r="L29" i="3"/>
  <c r="K29" i="3"/>
  <c r="B154" i="3" s="1"/>
  <c r="M28" i="3"/>
  <c r="D154" i="3" s="1"/>
  <c r="L28" i="3"/>
  <c r="K28" i="3"/>
  <c r="M27" i="3"/>
  <c r="L27" i="3"/>
  <c r="K27" i="3"/>
  <c r="M26" i="3"/>
  <c r="L26" i="3"/>
  <c r="K26" i="3"/>
  <c r="B153" i="3" s="1"/>
  <c r="M25" i="3"/>
  <c r="L25" i="3"/>
  <c r="K25" i="3"/>
  <c r="M24" i="3"/>
  <c r="L24" i="3"/>
  <c r="K24" i="3"/>
  <c r="M23" i="3"/>
  <c r="N23" i="3" s="1"/>
  <c r="L23" i="3"/>
  <c r="K23" i="3"/>
  <c r="M22" i="3"/>
  <c r="L22" i="3"/>
  <c r="K22" i="3"/>
  <c r="M21" i="3"/>
  <c r="L21" i="3"/>
  <c r="K21" i="3"/>
  <c r="N21" i="3" s="1"/>
  <c r="M20" i="3"/>
  <c r="D150" i="3" s="1"/>
  <c r="L20" i="3"/>
  <c r="K20" i="3"/>
  <c r="M19" i="3"/>
  <c r="N19" i="3" s="1"/>
  <c r="L19" i="3"/>
  <c r="K19" i="3"/>
  <c r="M18" i="3"/>
  <c r="L18" i="3"/>
  <c r="K18" i="3"/>
  <c r="M17" i="3"/>
  <c r="L17" i="3"/>
  <c r="K17" i="3"/>
  <c r="N17" i="3" s="1"/>
  <c r="M16" i="3"/>
  <c r="D148" i="3" s="1"/>
  <c r="L16" i="3"/>
  <c r="K16" i="3"/>
  <c r="M15" i="3"/>
  <c r="L15" i="3"/>
  <c r="K15" i="3"/>
  <c r="M14" i="3"/>
  <c r="L14" i="3"/>
  <c r="K14" i="3"/>
  <c r="M13" i="3"/>
  <c r="L13" i="3"/>
  <c r="K13" i="3"/>
  <c r="M12" i="3"/>
  <c r="L12" i="3"/>
  <c r="K12" i="3"/>
  <c r="M11" i="3"/>
  <c r="L11" i="3"/>
  <c r="K11" i="3"/>
  <c r="M10" i="3"/>
  <c r="L10" i="3"/>
  <c r="C145" i="3" s="1"/>
  <c r="K10" i="3"/>
  <c r="B145" i="3" s="1"/>
  <c r="M9" i="3"/>
  <c r="L9" i="3"/>
  <c r="K9" i="3"/>
  <c r="M8" i="3"/>
  <c r="L8" i="3"/>
  <c r="K8" i="3"/>
  <c r="M63" i="3"/>
  <c r="L63" i="3"/>
  <c r="K63" i="3"/>
  <c r="M62" i="3"/>
  <c r="L62" i="3"/>
  <c r="K62" i="3"/>
  <c r="M61" i="3"/>
  <c r="L61" i="3"/>
  <c r="K61" i="3"/>
  <c r="N61" i="3" s="1"/>
  <c r="M60" i="3"/>
  <c r="L60" i="3"/>
  <c r="K60" i="3"/>
  <c r="M59" i="3"/>
  <c r="N59" i="3" s="1"/>
  <c r="L59" i="3"/>
  <c r="K59" i="3"/>
  <c r="M58" i="3"/>
  <c r="L58" i="3"/>
  <c r="K58" i="3"/>
  <c r="M57" i="3"/>
  <c r="L57" i="3"/>
  <c r="K57" i="3"/>
  <c r="M56" i="3"/>
  <c r="L56" i="3"/>
  <c r="K56" i="3"/>
  <c r="M55" i="3"/>
  <c r="L55" i="3"/>
  <c r="K55" i="3"/>
  <c r="M53" i="3"/>
  <c r="L53" i="3"/>
  <c r="K53" i="3"/>
  <c r="M52" i="3"/>
  <c r="L52" i="3"/>
  <c r="K52" i="3"/>
  <c r="N52" i="3" s="1"/>
  <c r="M49" i="3"/>
  <c r="L49" i="3"/>
  <c r="K49" i="3"/>
  <c r="M48" i="3"/>
  <c r="D163" i="3" s="1"/>
  <c r="L48" i="3"/>
  <c r="K48" i="3"/>
  <c r="M47" i="3"/>
  <c r="L47" i="3"/>
  <c r="K47" i="3"/>
  <c r="M46" i="3"/>
  <c r="L46" i="3"/>
  <c r="K46" i="3"/>
  <c r="M45" i="3"/>
  <c r="L45" i="3"/>
  <c r="K45" i="3"/>
  <c r="M44" i="3"/>
  <c r="L44" i="3"/>
  <c r="K44" i="3"/>
  <c r="M43" i="3"/>
  <c r="L43" i="3"/>
  <c r="N43" i="3" s="1"/>
  <c r="K43" i="3"/>
  <c r="B161" i="3" s="1"/>
  <c r="M42" i="3"/>
  <c r="L42" i="3"/>
  <c r="K42" i="3"/>
  <c r="M41" i="3"/>
  <c r="L41" i="3"/>
  <c r="K41" i="3"/>
  <c r="M40" i="3"/>
  <c r="L40" i="3"/>
  <c r="K40" i="3"/>
  <c r="M39" i="3"/>
  <c r="L39" i="3"/>
  <c r="K39" i="3"/>
  <c r="M38" i="3"/>
  <c r="L38" i="3"/>
  <c r="K38" i="3"/>
  <c r="B158" i="3" s="1"/>
  <c r="M36" i="3"/>
  <c r="L36" i="3"/>
  <c r="K36" i="3"/>
  <c r="M39" i="2"/>
  <c r="L39" i="2"/>
  <c r="K39" i="2"/>
  <c r="M38" i="2"/>
  <c r="L38" i="2"/>
  <c r="K38" i="2"/>
  <c r="B152" i="2" s="1"/>
  <c r="M37" i="2"/>
  <c r="L37" i="2"/>
  <c r="K37" i="2"/>
  <c r="M36" i="2"/>
  <c r="L36" i="2"/>
  <c r="K36" i="2"/>
  <c r="M35" i="2"/>
  <c r="L35" i="2"/>
  <c r="K35" i="2"/>
  <c r="M34" i="2"/>
  <c r="L34" i="2"/>
  <c r="K34" i="2"/>
  <c r="M33" i="2"/>
  <c r="L33" i="2"/>
  <c r="K33" i="2"/>
  <c r="M32" i="2"/>
  <c r="L32" i="2"/>
  <c r="K32" i="2"/>
  <c r="M31" i="2"/>
  <c r="L31" i="2"/>
  <c r="K31" i="2"/>
  <c r="M30" i="2"/>
  <c r="L30" i="2"/>
  <c r="K30" i="2"/>
  <c r="M29" i="2"/>
  <c r="L29" i="2"/>
  <c r="K29" i="2"/>
  <c r="M28" i="2"/>
  <c r="L28" i="2"/>
  <c r="K28" i="2"/>
  <c r="M27" i="2"/>
  <c r="L27" i="2"/>
  <c r="K27" i="2"/>
  <c r="M26" i="2"/>
  <c r="L26" i="2"/>
  <c r="K26" i="2"/>
  <c r="M25" i="2"/>
  <c r="L25" i="2"/>
  <c r="K25" i="2"/>
  <c r="M24" i="2"/>
  <c r="L24" i="2"/>
  <c r="K24" i="2"/>
  <c r="M23" i="2"/>
  <c r="L23" i="2"/>
  <c r="K23" i="2"/>
  <c r="M22" i="2"/>
  <c r="L22" i="2"/>
  <c r="K22" i="2"/>
  <c r="M21" i="2"/>
  <c r="L21" i="2"/>
  <c r="K21" i="2"/>
  <c r="M20" i="2"/>
  <c r="L20" i="2"/>
  <c r="K20" i="2"/>
  <c r="M19" i="2"/>
  <c r="L19" i="2"/>
  <c r="K19" i="2"/>
  <c r="M18" i="2"/>
  <c r="L18" i="2"/>
  <c r="K18" i="2"/>
  <c r="M17" i="2"/>
  <c r="L17" i="2"/>
  <c r="K17" i="2"/>
  <c r="M16" i="2"/>
  <c r="L16" i="2"/>
  <c r="K16" i="2"/>
  <c r="M15" i="2"/>
  <c r="L15" i="2"/>
  <c r="K15" i="2"/>
  <c r="M14" i="2"/>
  <c r="L14" i="2"/>
  <c r="K14" i="2"/>
  <c r="M13" i="2"/>
  <c r="L13" i="2"/>
  <c r="K13" i="2"/>
  <c r="M12" i="2"/>
  <c r="L12" i="2"/>
  <c r="K12" i="2"/>
  <c r="M11" i="2"/>
  <c r="L11" i="2"/>
  <c r="K11" i="2"/>
  <c r="M10" i="2"/>
  <c r="L10" i="2"/>
  <c r="K10" i="2"/>
  <c r="M9" i="2"/>
  <c r="L9" i="2"/>
  <c r="K9" i="2"/>
  <c r="M8" i="2"/>
  <c r="L8" i="2"/>
  <c r="M55" i="2"/>
  <c r="L55" i="2"/>
  <c r="K55" i="2"/>
  <c r="M54" i="2"/>
  <c r="L54" i="2"/>
  <c r="K54" i="2"/>
  <c r="M53" i="2"/>
  <c r="L53" i="2"/>
  <c r="K53" i="2"/>
  <c r="M52" i="2"/>
  <c r="L52" i="2"/>
  <c r="K52" i="2"/>
  <c r="M51" i="2"/>
  <c r="L51" i="2"/>
  <c r="K51" i="2"/>
  <c r="M50" i="2"/>
  <c r="L50" i="2"/>
  <c r="K50" i="2"/>
  <c r="M49" i="2"/>
  <c r="L49" i="2"/>
  <c r="K49" i="2"/>
  <c r="M48" i="2"/>
  <c r="L48" i="2"/>
  <c r="K48" i="2"/>
  <c r="M47" i="2"/>
  <c r="L47" i="2"/>
  <c r="K47" i="2"/>
  <c r="M46" i="2"/>
  <c r="L46" i="2"/>
  <c r="K46" i="2"/>
  <c r="M45" i="2"/>
  <c r="L45" i="2"/>
  <c r="K45" i="2"/>
  <c r="M44" i="2"/>
  <c r="L44" i="2"/>
  <c r="K44" i="2"/>
  <c r="M43" i="2"/>
  <c r="L43" i="2"/>
  <c r="K43" i="2"/>
  <c r="M42" i="2"/>
  <c r="L42" i="2"/>
  <c r="K42" i="2"/>
  <c r="M41" i="2"/>
  <c r="L41" i="2"/>
  <c r="K41" i="2"/>
  <c r="M40" i="2"/>
  <c r="L40" i="2"/>
  <c r="K40" i="2"/>
  <c r="M63" i="2"/>
  <c r="L63" i="2"/>
  <c r="K63" i="2"/>
  <c r="M62" i="2"/>
  <c r="L62" i="2"/>
  <c r="K62" i="2"/>
  <c r="M61" i="2"/>
  <c r="L61" i="2"/>
  <c r="K61" i="2"/>
  <c r="M60" i="2"/>
  <c r="L60" i="2"/>
  <c r="C163" i="2" s="1"/>
  <c r="K60" i="2"/>
  <c r="M59" i="2"/>
  <c r="L59" i="2"/>
  <c r="K59" i="2"/>
  <c r="M58" i="2"/>
  <c r="L58" i="2"/>
  <c r="K58" i="2"/>
  <c r="M57" i="2"/>
  <c r="L57" i="2"/>
  <c r="K57" i="2"/>
  <c r="M56" i="2"/>
  <c r="L56" i="2"/>
  <c r="K56" i="2"/>
  <c r="E15" i="1"/>
  <c r="U145" i="1" s="1"/>
  <c r="M41" i="1"/>
  <c r="L41" i="1"/>
  <c r="K41" i="1"/>
  <c r="M26" i="1"/>
  <c r="L26" i="1"/>
  <c r="K26" i="1"/>
  <c r="M21" i="1"/>
  <c r="L21" i="1"/>
  <c r="K21" i="1"/>
  <c r="K8" i="1"/>
  <c r="L8" i="1"/>
  <c r="M8" i="1"/>
  <c r="K9" i="1"/>
  <c r="L9" i="1"/>
  <c r="M9" i="1"/>
  <c r="K10" i="1"/>
  <c r="L10" i="1"/>
  <c r="M10" i="1"/>
  <c r="L11" i="1"/>
  <c r="M11" i="1"/>
  <c r="K12" i="1"/>
  <c r="L12" i="1"/>
  <c r="M12" i="1"/>
  <c r="K13" i="1"/>
  <c r="L13" i="1"/>
  <c r="M13" i="1"/>
  <c r="K14" i="1"/>
  <c r="L14" i="1"/>
  <c r="M14" i="1"/>
  <c r="K15" i="1"/>
  <c r="L15" i="1"/>
  <c r="M15" i="1"/>
  <c r="K16" i="1"/>
  <c r="L16" i="1"/>
  <c r="M16" i="1"/>
  <c r="K17" i="1"/>
  <c r="L17" i="1"/>
  <c r="M17" i="1"/>
  <c r="K18" i="1"/>
  <c r="L18" i="1"/>
  <c r="M18" i="1"/>
  <c r="K19" i="1"/>
  <c r="L19" i="1"/>
  <c r="M19" i="1"/>
  <c r="K20" i="1"/>
  <c r="L20" i="1"/>
  <c r="M20" i="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K34" i="1"/>
  <c r="L34" i="1"/>
  <c r="M34" i="1"/>
  <c r="K35" i="1"/>
  <c r="L35" i="1"/>
  <c r="M35" i="1"/>
  <c r="K36" i="1"/>
  <c r="L36" i="1"/>
  <c r="M36" i="1"/>
  <c r="K37" i="1"/>
  <c r="L37" i="1"/>
  <c r="M37" i="1"/>
  <c r="K38" i="1"/>
  <c r="L38" i="1"/>
  <c r="M38" i="1"/>
  <c r="K39" i="1"/>
  <c r="L39" i="1"/>
  <c r="M39" i="1"/>
  <c r="K40" i="1"/>
  <c r="L40" i="1"/>
  <c r="M40" i="1"/>
  <c r="K42" i="1"/>
  <c r="L42" i="1"/>
  <c r="M42" i="1"/>
  <c r="K43" i="1"/>
  <c r="L43" i="1"/>
  <c r="M43" i="1"/>
  <c r="K44" i="1"/>
  <c r="L44" i="1"/>
  <c r="M44" i="1"/>
  <c r="K45" i="1"/>
  <c r="L45" i="1"/>
  <c r="M45" i="1"/>
  <c r="K46" i="1"/>
  <c r="L46" i="1"/>
  <c r="M46" i="1"/>
  <c r="K47" i="1"/>
  <c r="L47" i="1"/>
  <c r="M47" i="1"/>
  <c r="K48" i="1"/>
  <c r="L48" i="1"/>
  <c r="M48" i="1"/>
  <c r="K49" i="1"/>
  <c r="L49" i="1"/>
  <c r="M49" i="1"/>
  <c r="K50" i="1"/>
  <c r="L50" i="1"/>
  <c r="M50" i="1"/>
  <c r="K51" i="1"/>
  <c r="L51" i="1"/>
  <c r="M51" i="1"/>
  <c r="K52" i="1"/>
  <c r="L52" i="1"/>
  <c r="M52" i="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E39" i="1"/>
  <c r="T156" i="1" s="1"/>
  <c r="E37" i="1"/>
  <c r="S155" i="1" s="1"/>
  <c r="E31" i="1"/>
  <c r="S152" i="1" s="1"/>
  <c r="E29" i="1"/>
  <c r="E24" i="1"/>
  <c r="S149" i="1" s="1"/>
  <c r="E19" i="1"/>
  <c r="E13" i="1"/>
  <c r="S144" i="1" s="1"/>
  <c r="E11" i="1"/>
  <c r="S143" i="1" s="1"/>
  <c r="E70" i="1"/>
  <c r="T171" i="1" s="1"/>
  <c r="E66" i="1"/>
  <c r="E64" i="1"/>
  <c r="E62" i="1"/>
  <c r="E58" i="1"/>
  <c r="T165" i="1" s="1"/>
  <c r="E56" i="1"/>
  <c r="E54" i="1"/>
  <c r="T163" i="1" s="1"/>
  <c r="E50" i="1"/>
  <c r="T161" i="1" s="1"/>
  <c r="E48" i="1"/>
  <c r="S160" i="1" s="1"/>
  <c r="J189" i="2"/>
  <c r="L189" i="2"/>
  <c r="H189" i="2"/>
  <c r="L127" i="13"/>
  <c r="C206" i="13" s="1"/>
  <c r="M127" i="13"/>
  <c r="K127" i="13"/>
  <c r="K119" i="13"/>
  <c r="H187" i="2"/>
  <c r="M116" i="14"/>
  <c r="M117" i="14"/>
  <c r="L117" i="14"/>
  <c r="N117" i="14" s="1"/>
  <c r="L116" i="14"/>
  <c r="K116" i="14"/>
  <c r="K117" i="14"/>
  <c r="M124" i="15"/>
  <c r="M122" i="15"/>
  <c r="L124" i="15"/>
  <c r="K124" i="15"/>
  <c r="K122" i="15"/>
  <c r="L122" i="15" s="1"/>
  <c r="M120" i="8"/>
  <c r="M121" i="8"/>
  <c r="L120" i="8"/>
  <c r="L121" i="8"/>
  <c r="K120" i="8"/>
  <c r="K121" i="8"/>
  <c r="L113" i="7"/>
  <c r="M113" i="7"/>
  <c r="L114" i="7"/>
  <c r="M114" i="7"/>
  <c r="K113" i="7"/>
  <c r="K114" i="7"/>
  <c r="K84" i="6"/>
  <c r="L84" i="6"/>
  <c r="M84" i="6"/>
  <c r="K83" i="6"/>
  <c r="L83" i="6"/>
  <c r="M83" i="6"/>
  <c r="K82" i="6"/>
  <c r="L82" i="6"/>
  <c r="M82" i="6"/>
  <c r="M115" i="5"/>
  <c r="L115" i="5"/>
  <c r="K115" i="5"/>
  <c r="M114" i="5"/>
  <c r="L114" i="5"/>
  <c r="K114" i="5"/>
  <c r="M118" i="3"/>
  <c r="M119" i="3"/>
  <c r="L118" i="3"/>
  <c r="L119" i="3"/>
  <c r="K118" i="3"/>
  <c r="K119" i="3"/>
  <c r="K112" i="2"/>
  <c r="L112" i="2"/>
  <c r="M112" i="2"/>
  <c r="K113" i="2"/>
  <c r="L113" i="2"/>
  <c r="M113" i="2"/>
  <c r="L117" i="1"/>
  <c r="M117" i="1"/>
  <c r="K116" i="1"/>
  <c r="L116" i="1"/>
  <c r="M116" i="1"/>
  <c r="K113" i="3"/>
  <c r="K81" i="6"/>
  <c r="L81" i="6"/>
  <c r="M81" i="6"/>
  <c r="K79" i="6"/>
  <c r="L79" i="6"/>
  <c r="M79" i="6"/>
  <c r="M123" i="13"/>
  <c r="L123" i="13"/>
  <c r="K123" i="13"/>
  <c r="M115" i="14"/>
  <c r="L115" i="14"/>
  <c r="K115" i="14"/>
  <c r="M114" i="14"/>
  <c r="L114" i="14"/>
  <c r="K114" i="14"/>
  <c r="M121" i="15"/>
  <c r="K121" i="15"/>
  <c r="L121" i="15" s="1"/>
  <c r="M120" i="15"/>
  <c r="K120" i="15"/>
  <c r="K119" i="8"/>
  <c r="L119" i="8"/>
  <c r="M119" i="8"/>
  <c r="M118" i="8"/>
  <c r="L118" i="8"/>
  <c r="K118" i="8"/>
  <c r="K112" i="7"/>
  <c r="L112" i="7"/>
  <c r="M112" i="7"/>
  <c r="M111" i="7"/>
  <c r="L111" i="7"/>
  <c r="K111" i="7"/>
  <c r="M113" i="5"/>
  <c r="L113" i="5"/>
  <c r="M112" i="5"/>
  <c r="L112" i="5"/>
  <c r="K113" i="5"/>
  <c r="K112" i="5"/>
  <c r="K117" i="3"/>
  <c r="L117" i="3"/>
  <c r="M117" i="3"/>
  <c r="M116" i="3"/>
  <c r="L116" i="3"/>
  <c r="K116" i="3"/>
  <c r="L188" i="2"/>
  <c r="J188" i="2"/>
  <c r="M111" i="2"/>
  <c r="M110" i="2"/>
  <c r="L111" i="2"/>
  <c r="L110" i="2"/>
  <c r="K111" i="2"/>
  <c r="K110" i="2"/>
  <c r="M115" i="1"/>
  <c r="M114" i="1"/>
  <c r="L115" i="1"/>
  <c r="L114" i="1"/>
  <c r="K115" i="1"/>
  <c r="K114" i="1"/>
  <c r="E122" i="13"/>
  <c r="U204" i="13" s="1"/>
  <c r="K122" i="13"/>
  <c r="L122" i="13"/>
  <c r="M122" i="13"/>
  <c r="K121" i="13"/>
  <c r="L121" i="13"/>
  <c r="M121" i="13"/>
  <c r="K113" i="14"/>
  <c r="L113" i="14"/>
  <c r="M113" i="14"/>
  <c r="K112" i="14"/>
  <c r="B190" i="14" s="1"/>
  <c r="L112" i="14"/>
  <c r="M112" i="14"/>
  <c r="E119" i="15"/>
  <c r="T202" i="15" s="1"/>
  <c r="K119" i="15"/>
  <c r="L119" i="15" s="1"/>
  <c r="M119" i="15"/>
  <c r="K118" i="15"/>
  <c r="L118" i="15"/>
  <c r="M118" i="15"/>
  <c r="E117" i="8"/>
  <c r="K117" i="8"/>
  <c r="L117" i="8"/>
  <c r="M117" i="8"/>
  <c r="K116" i="8"/>
  <c r="L116" i="8"/>
  <c r="M116" i="8"/>
  <c r="K110" i="7"/>
  <c r="L110" i="7"/>
  <c r="M110" i="7"/>
  <c r="K109" i="7"/>
  <c r="L109" i="7"/>
  <c r="M109" i="7"/>
  <c r="K78" i="6"/>
  <c r="L78" i="6"/>
  <c r="M78" i="6"/>
  <c r="K77" i="6"/>
  <c r="L77" i="6"/>
  <c r="M77" i="6"/>
  <c r="E78" i="6"/>
  <c r="T141" i="6" s="1"/>
  <c r="K111" i="5"/>
  <c r="L111" i="5"/>
  <c r="M111" i="5"/>
  <c r="K110" i="5"/>
  <c r="L110" i="5"/>
  <c r="M110" i="5"/>
  <c r="K115" i="3"/>
  <c r="L115" i="3"/>
  <c r="M115" i="3"/>
  <c r="K114" i="3"/>
  <c r="L114" i="3"/>
  <c r="M114" i="3"/>
  <c r="E115" i="3"/>
  <c r="L187" i="2"/>
  <c r="J187" i="2"/>
  <c r="H186" i="2"/>
  <c r="K109" i="2"/>
  <c r="L109" i="2"/>
  <c r="M109" i="2"/>
  <c r="K108" i="2"/>
  <c r="L108" i="2"/>
  <c r="M108" i="2"/>
  <c r="L112" i="1"/>
  <c r="L113" i="1"/>
  <c r="E112" i="1"/>
  <c r="U192" i="1" s="1"/>
  <c r="L111" i="1"/>
  <c r="K113" i="1"/>
  <c r="K112" i="1"/>
  <c r="K111" i="1"/>
  <c r="M113" i="1"/>
  <c r="M112" i="1"/>
  <c r="M111" i="1"/>
  <c r="K76" i="6"/>
  <c r="L76" i="6"/>
  <c r="M76" i="6"/>
  <c r="K75" i="6"/>
  <c r="L75" i="6"/>
  <c r="M75" i="6"/>
  <c r="K111" i="14"/>
  <c r="B189" i="14" s="1"/>
  <c r="M120" i="13"/>
  <c r="L120" i="13"/>
  <c r="K120" i="13"/>
  <c r="M111" i="14"/>
  <c r="L111" i="14"/>
  <c r="K116" i="15"/>
  <c r="L116" i="15"/>
  <c r="M116" i="15"/>
  <c r="K109" i="5"/>
  <c r="K112" i="3"/>
  <c r="L186" i="2"/>
  <c r="J186" i="2"/>
  <c r="L119" i="13"/>
  <c r="M119" i="13"/>
  <c r="K110" i="14"/>
  <c r="L110" i="14"/>
  <c r="M110" i="14"/>
  <c r="K117" i="15"/>
  <c r="L117" i="15"/>
  <c r="M117" i="15"/>
  <c r="K115" i="15"/>
  <c r="L115" i="15"/>
  <c r="M115" i="15"/>
  <c r="K115" i="8"/>
  <c r="L115" i="8"/>
  <c r="M115" i="8"/>
  <c r="K114" i="8"/>
  <c r="L114" i="8"/>
  <c r="M114" i="8"/>
  <c r="K108" i="7"/>
  <c r="L108" i="7"/>
  <c r="M108" i="7"/>
  <c r="K107" i="7"/>
  <c r="L107" i="7"/>
  <c r="M107" i="7"/>
  <c r="L109" i="5"/>
  <c r="M109" i="5"/>
  <c r="K108" i="5"/>
  <c r="L108" i="5"/>
  <c r="M108" i="5"/>
  <c r="L113" i="3"/>
  <c r="M113" i="3"/>
  <c r="L112" i="3"/>
  <c r="M112" i="3"/>
  <c r="K111" i="3"/>
  <c r="L111" i="3"/>
  <c r="M111" i="3"/>
  <c r="L106" i="2"/>
  <c r="K107" i="2"/>
  <c r="L107" i="2"/>
  <c r="M107" i="2"/>
  <c r="K106" i="2"/>
  <c r="M106" i="2"/>
  <c r="K110" i="1"/>
  <c r="L110" i="1"/>
  <c r="M110" i="1"/>
  <c r="M109" i="1"/>
  <c r="L109" i="1"/>
  <c r="K109" i="1"/>
  <c r="M108" i="1"/>
  <c r="L108" i="1"/>
  <c r="K108" i="1"/>
  <c r="K118" i="13"/>
  <c r="L118" i="13"/>
  <c r="M118" i="13"/>
  <c r="K117" i="13"/>
  <c r="L117" i="13"/>
  <c r="M117" i="13"/>
  <c r="K109" i="14"/>
  <c r="L109" i="14"/>
  <c r="M109" i="14"/>
  <c r="K108" i="14"/>
  <c r="N108" i="14" s="1"/>
  <c r="L108" i="14"/>
  <c r="M108" i="14"/>
  <c r="K114" i="15"/>
  <c r="L114" i="15"/>
  <c r="M114" i="15"/>
  <c r="K113" i="15"/>
  <c r="L113" i="15"/>
  <c r="M113" i="15"/>
  <c r="K113" i="8"/>
  <c r="L113" i="8"/>
  <c r="M113" i="8"/>
  <c r="K112" i="8"/>
  <c r="L112" i="8"/>
  <c r="M112" i="8"/>
  <c r="K106" i="7"/>
  <c r="L106" i="7"/>
  <c r="M106" i="7"/>
  <c r="K105" i="7"/>
  <c r="L105" i="7"/>
  <c r="M105" i="7"/>
  <c r="K74" i="6"/>
  <c r="L74" i="6"/>
  <c r="M74" i="6"/>
  <c r="K73" i="6"/>
  <c r="L73" i="6"/>
  <c r="M73" i="6"/>
  <c r="M106" i="5"/>
  <c r="M107" i="5"/>
  <c r="L106" i="5"/>
  <c r="L107" i="5"/>
  <c r="K106" i="5"/>
  <c r="K107" i="5"/>
  <c r="M110" i="3"/>
  <c r="L110" i="3"/>
  <c r="K110" i="3"/>
  <c r="J109" i="3"/>
  <c r="M109" i="3" s="1"/>
  <c r="K108" i="3"/>
  <c r="L108" i="3"/>
  <c r="M108" i="3"/>
  <c r="K105" i="2"/>
  <c r="L105" i="2"/>
  <c r="M105" i="2"/>
  <c r="K104" i="2"/>
  <c r="L104" i="2"/>
  <c r="M104" i="2"/>
  <c r="K107" i="1"/>
  <c r="L107" i="1"/>
  <c r="M107" i="1"/>
  <c r="K72" i="6"/>
  <c r="L72" i="6"/>
  <c r="M72" i="6"/>
  <c r="K71" i="6"/>
  <c r="L71" i="6"/>
  <c r="M71" i="6"/>
  <c r="E103" i="7"/>
  <c r="S184" i="7" s="1"/>
  <c r="J184" i="2"/>
  <c r="E115" i="13"/>
  <c r="K115" i="13"/>
  <c r="L115" i="13"/>
  <c r="M115" i="13"/>
  <c r="K116" i="13"/>
  <c r="L116" i="13"/>
  <c r="M116" i="13"/>
  <c r="K106" i="14"/>
  <c r="B187" i="14" s="1"/>
  <c r="L106" i="14"/>
  <c r="M106" i="14"/>
  <c r="K107" i="14"/>
  <c r="L107" i="14"/>
  <c r="M107" i="14"/>
  <c r="K110" i="15"/>
  <c r="L110" i="15"/>
  <c r="M110" i="15"/>
  <c r="K112" i="15"/>
  <c r="L112" i="15"/>
  <c r="M112" i="15"/>
  <c r="E111" i="8"/>
  <c r="K110" i="8"/>
  <c r="L110" i="8"/>
  <c r="M110" i="8"/>
  <c r="K111" i="8"/>
  <c r="L111" i="8"/>
  <c r="M111" i="8"/>
  <c r="K103" i="7"/>
  <c r="L103" i="7"/>
  <c r="M103" i="7"/>
  <c r="K104" i="7"/>
  <c r="L104" i="7"/>
  <c r="M104" i="7"/>
  <c r="K104" i="5"/>
  <c r="L104" i="5"/>
  <c r="M104" i="5"/>
  <c r="E105" i="5"/>
  <c r="K105" i="5"/>
  <c r="L105" i="5"/>
  <c r="M105" i="5"/>
  <c r="K106" i="3"/>
  <c r="L106" i="3"/>
  <c r="M106" i="3"/>
  <c r="K107" i="3"/>
  <c r="L107" i="3"/>
  <c r="M107" i="3"/>
  <c r="L184" i="2"/>
  <c r="K103" i="2"/>
  <c r="L103" i="2"/>
  <c r="M103" i="2"/>
  <c r="K102" i="2"/>
  <c r="L102" i="2"/>
  <c r="M102" i="2"/>
  <c r="E106" i="1"/>
  <c r="K105" i="1"/>
  <c r="L105" i="1"/>
  <c r="M105" i="1"/>
  <c r="K106" i="1"/>
  <c r="L106" i="1"/>
  <c r="M106" i="1"/>
  <c r="E103" i="5"/>
  <c r="U184" i="5" s="1"/>
  <c r="K113" i="13"/>
  <c r="L113" i="13"/>
  <c r="M113" i="13"/>
  <c r="K114" i="13"/>
  <c r="L114" i="13"/>
  <c r="M114" i="13"/>
  <c r="K104" i="14"/>
  <c r="L104" i="14"/>
  <c r="N104" i="14" s="1"/>
  <c r="M104" i="14"/>
  <c r="K105" i="14"/>
  <c r="L105" i="14"/>
  <c r="M105" i="14"/>
  <c r="N105" i="14" s="1"/>
  <c r="K108" i="15"/>
  <c r="L108" i="15"/>
  <c r="M108" i="15"/>
  <c r="K109" i="15"/>
  <c r="L109" i="15"/>
  <c r="M109" i="15"/>
  <c r="K108" i="8"/>
  <c r="L108" i="8"/>
  <c r="M108" i="8"/>
  <c r="K109" i="8"/>
  <c r="L109" i="8"/>
  <c r="M109" i="8"/>
  <c r="K101" i="7"/>
  <c r="L101" i="7"/>
  <c r="M101" i="7"/>
  <c r="D183" i="7" s="1"/>
  <c r="K102" i="7"/>
  <c r="L102" i="7"/>
  <c r="M102" i="7"/>
  <c r="K68" i="6"/>
  <c r="L68" i="6"/>
  <c r="M68" i="6"/>
  <c r="K70" i="6"/>
  <c r="L70" i="6"/>
  <c r="M70" i="6"/>
  <c r="K66" i="6"/>
  <c r="L66" i="6"/>
  <c r="M66" i="6"/>
  <c r="M103" i="5"/>
  <c r="D184" i="5" s="1"/>
  <c r="L103" i="5"/>
  <c r="K103" i="5"/>
  <c r="L104" i="3"/>
  <c r="M104" i="3"/>
  <c r="K105" i="3"/>
  <c r="L105" i="3"/>
  <c r="N105" i="3" s="1"/>
  <c r="M105" i="3"/>
  <c r="E105" i="3"/>
  <c r="E107" i="3"/>
  <c r="J183" i="2"/>
  <c r="L183" i="2"/>
  <c r="K100" i="2"/>
  <c r="L100" i="2"/>
  <c r="M100" i="2"/>
  <c r="K101" i="2"/>
  <c r="L101" i="2"/>
  <c r="M101" i="2"/>
  <c r="K99" i="1"/>
  <c r="L99" i="1"/>
  <c r="M99" i="1"/>
  <c r="K100" i="1"/>
  <c r="L100" i="1"/>
  <c r="M100" i="1"/>
  <c r="K101" i="1"/>
  <c r="L101" i="1"/>
  <c r="M101" i="1"/>
  <c r="K102" i="1"/>
  <c r="L102" i="1"/>
  <c r="M102" i="1"/>
  <c r="K103" i="1"/>
  <c r="L103" i="1"/>
  <c r="M103" i="1"/>
  <c r="K104" i="1"/>
  <c r="L104" i="1"/>
  <c r="M104" i="1"/>
  <c r="K98" i="2"/>
  <c r="L98" i="2"/>
  <c r="M98" i="2"/>
  <c r="K111" i="13"/>
  <c r="L111" i="13"/>
  <c r="M111" i="13"/>
  <c r="K112" i="13"/>
  <c r="L112" i="13"/>
  <c r="M112" i="13"/>
  <c r="K102" i="14"/>
  <c r="L102" i="14"/>
  <c r="M102" i="14"/>
  <c r="K103" i="14"/>
  <c r="L103" i="14"/>
  <c r="M103" i="14"/>
  <c r="K107" i="15"/>
  <c r="L107" i="15"/>
  <c r="M107" i="15"/>
  <c r="K106" i="15"/>
  <c r="L106" i="15"/>
  <c r="M106" i="15"/>
  <c r="E107" i="15"/>
  <c r="K107" i="8"/>
  <c r="L107" i="8"/>
  <c r="M107" i="8"/>
  <c r="K106" i="8"/>
  <c r="L106" i="8"/>
  <c r="M106" i="8"/>
  <c r="E107" i="8"/>
  <c r="K100" i="7"/>
  <c r="L100" i="7"/>
  <c r="M100" i="7"/>
  <c r="K99" i="7"/>
  <c r="L99" i="7"/>
  <c r="M99" i="7"/>
  <c r="E100" i="7"/>
  <c r="K100" i="5"/>
  <c r="L100" i="5"/>
  <c r="M100" i="5"/>
  <c r="K102" i="3"/>
  <c r="L102" i="3"/>
  <c r="M102" i="3"/>
  <c r="K103" i="3"/>
  <c r="L103" i="3"/>
  <c r="M103" i="3"/>
  <c r="E103" i="3"/>
  <c r="T189" i="3" s="1"/>
  <c r="K91" i="3"/>
  <c r="E98" i="1"/>
  <c r="E96" i="1"/>
  <c r="S184" i="1" s="1"/>
  <c r="E94" i="1"/>
  <c r="E90" i="1"/>
  <c r="E88" i="1"/>
  <c r="S180" i="1" s="1"/>
  <c r="E86" i="1"/>
  <c r="E82" i="1"/>
  <c r="E80" i="1"/>
  <c r="T176" i="1" s="1"/>
  <c r="E78" i="1"/>
  <c r="S175" i="1" s="1"/>
  <c r="E74" i="1"/>
  <c r="T173" i="1" s="1"/>
  <c r="E72" i="1"/>
  <c r="U172" i="1" s="1"/>
  <c r="K89" i="1"/>
  <c r="K90" i="1"/>
  <c r="L89" i="1"/>
  <c r="L90" i="1"/>
  <c r="M89" i="1"/>
  <c r="M90" i="1"/>
  <c r="K97" i="1"/>
  <c r="K98" i="1"/>
  <c r="L97" i="1"/>
  <c r="L98" i="1"/>
  <c r="M97" i="1"/>
  <c r="M98" i="1"/>
  <c r="K95" i="1"/>
  <c r="K96" i="1"/>
  <c r="L95" i="1"/>
  <c r="L96" i="1"/>
  <c r="M95" i="1"/>
  <c r="M96" i="1"/>
  <c r="K93" i="1"/>
  <c r="K94" i="1"/>
  <c r="L93" i="1"/>
  <c r="L94" i="1"/>
  <c r="M93" i="1"/>
  <c r="M94" i="1"/>
  <c r="K91" i="1"/>
  <c r="K92" i="1"/>
  <c r="L91" i="1"/>
  <c r="L92" i="1"/>
  <c r="M91" i="1"/>
  <c r="M92" i="1"/>
  <c r="K87" i="1"/>
  <c r="K88" i="1"/>
  <c r="L87" i="1"/>
  <c r="L88" i="1"/>
  <c r="M87" i="1"/>
  <c r="M88" i="1"/>
  <c r="K85" i="1"/>
  <c r="K86" i="1"/>
  <c r="L85" i="1"/>
  <c r="L86" i="1"/>
  <c r="M85" i="1"/>
  <c r="M86" i="1"/>
  <c r="K83" i="1"/>
  <c r="K84" i="1"/>
  <c r="L83" i="1"/>
  <c r="L84" i="1"/>
  <c r="M83" i="1"/>
  <c r="M84" i="1"/>
  <c r="K81" i="1"/>
  <c r="K82" i="1"/>
  <c r="L81" i="1"/>
  <c r="L82" i="1"/>
  <c r="M81" i="1"/>
  <c r="M82" i="1"/>
  <c r="K79" i="1"/>
  <c r="K80" i="1"/>
  <c r="L79" i="1"/>
  <c r="L80" i="1"/>
  <c r="M79" i="1"/>
  <c r="M80" i="1"/>
  <c r="K77" i="1"/>
  <c r="K78" i="1"/>
  <c r="L77" i="1"/>
  <c r="L78" i="1"/>
  <c r="M77" i="1"/>
  <c r="M78" i="1"/>
  <c r="K75" i="1"/>
  <c r="K76" i="1"/>
  <c r="L75" i="1"/>
  <c r="L76" i="1"/>
  <c r="M75" i="1"/>
  <c r="M76" i="1"/>
  <c r="K73" i="1"/>
  <c r="K74" i="1"/>
  <c r="L73" i="1"/>
  <c r="L74" i="1"/>
  <c r="M73" i="1"/>
  <c r="M74" i="1"/>
  <c r="K71" i="1"/>
  <c r="K72" i="1"/>
  <c r="M71" i="1"/>
  <c r="M72" i="1"/>
  <c r="L71" i="1"/>
  <c r="L72" i="1"/>
  <c r="K96" i="2"/>
  <c r="K97" i="2"/>
  <c r="L96" i="2"/>
  <c r="L97" i="2"/>
  <c r="M96" i="2"/>
  <c r="M97" i="2"/>
  <c r="L180" i="2"/>
  <c r="K94" i="2"/>
  <c r="K95" i="2"/>
  <c r="L94" i="2"/>
  <c r="L95" i="2"/>
  <c r="M94" i="2"/>
  <c r="M95" i="2"/>
  <c r="H179" i="2"/>
  <c r="K92" i="2"/>
  <c r="K93" i="2"/>
  <c r="L92" i="2"/>
  <c r="L93" i="2"/>
  <c r="M92" i="2"/>
  <c r="M93" i="2"/>
  <c r="L178" i="2"/>
  <c r="K90" i="2"/>
  <c r="K91" i="2"/>
  <c r="L90" i="2"/>
  <c r="L91" i="2"/>
  <c r="M90" i="2"/>
  <c r="M91" i="2"/>
  <c r="K88" i="2"/>
  <c r="K89" i="2"/>
  <c r="L88" i="2"/>
  <c r="L89" i="2"/>
  <c r="M88" i="2"/>
  <c r="M89" i="2"/>
  <c r="J176" i="2"/>
  <c r="K86" i="2"/>
  <c r="K87" i="2"/>
  <c r="L86" i="2"/>
  <c r="L87" i="2"/>
  <c r="M86" i="2"/>
  <c r="M87" i="2"/>
  <c r="L175" i="2"/>
  <c r="H175" i="2"/>
  <c r="K84" i="2"/>
  <c r="K85" i="2"/>
  <c r="L84" i="2"/>
  <c r="L85" i="2"/>
  <c r="M84" i="2"/>
  <c r="M85" i="2"/>
  <c r="H174" i="2"/>
  <c r="J174" i="2"/>
  <c r="K82" i="2"/>
  <c r="K83" i="2"/>
  <c r="L82" i="2"/>
  <c r="L83" i="2"/>
  <c r="M82" i="2"/>
  <c r="M83" i="2"/>
  <c r="K80" i="2"/>
  <c r="K81" i="2"/>
  <c r="L80" i="2"/>
  <c r="L81" i="2"/>
  <c r="M80" i="2"/>
  <c r="M81" i="2"/>
  <c r="L172" i="2"/>
  <c r="K78" i="2"/>
  <c r="K79" i="2"/>
  <c r="L78" i="2"/>
  <c r="L79" i="2"/>
  <c r="M78" i="2"/>
  <c r="M79" i="2"/>
  <c r="J171" i="2"/>
  <c r="H171" i="2"/>
  <c r="K76" i="2"/>
  <c r="K77" i="2"/>
  <c r="L76" i="2"/>
  <c r="L77" i="2"/>
  <c r="M76" i="2"/>
  <c r="M77" i="2"/>
  <c r="J170" i="2"/>
  <c r="K74" i="2"/>
  <c r="K75" i="2"/>
  <c r="L74" i="2"/>
  <c r="L75" i="2"/>
  <c r="M74" i="2"/>
  <c r="M75" i="2"/>
  <c r="K72" i="2"/>
  <c r="K73" i="2"/>
  <c r="L72" i="2"/>
  <c r="L73" i="2"/>
  <c r="M72" i="2"/>
  <c r="M73" i="2"/>
  <c r="H168" i="2"/>
  <c r="J168" i="2"/>
  <c r="K70" i="2"/>
  <c r="K71" i="2"/>
  <c r="L70" i="2"/>
  <c r="L71" i="2"/>
  <c r="M70" i="2"/>
  <c r="M71" i="2"/>
  <c r="K69" i="2"/>
  <c r="B167" i="2" s="1"/>
  <c r="M69" i="2"/>
  <c r="D167" i="2" s="1"/>
  <c r="L69" i="2"/>
  <c r="M67" i="2"/>
  <c r="L67" i="2"/>
  <c r="K67" i="2"/>
  <c r="M66" i="2"/>
  <c r="L66" i="2"/>
  <c r="K66" i="2"/>
  <c r="M65" i="2"/>
  <c r="L65" i="2"/>
  <c r="K65" i="2"/>
  <c r="M64" i="2"/>
  <c r="L64" i="2"/>
  <c r="K64" i="2"/>
  <c r="K100" i="3"/>
  <c r="K101" i="3"/>
  <c r="L101" i="3"/>
  <c r="M101" i="3"/>
  <c r="M100" i="3"/>
  <c r="D188" i="3" s="1"/>
  <c r="L100" i="3"/>
  <c r="K98" i="3"/>
  <c r="K99" i="3"/>
  <c r="L99" i="3"/>
  <c r="M99" i="3"/>
  <c r="M98" i="3"/>
  <c r="L98" i="3"/>
  <c r="E97" i="3"/>
  <c r="T186" i="3" s="1"/>
  <c r="K96" i="3"/>
  <c r="K97" i="3"/>
  <c r="L96" i="3"/>
  <c r="L97" i="3"/>
  <c r="M96" i="3"/>
  <c r="M97" i="3"/>
  <c r="E95" i="3"/>
  <c r="S185" i="3" s="1"/>
  <c r="K94" i="3"/>
  <c r="K95" i="3"/>
  <c r="L94" i="3"/>
  <c r="L95" i="3"/>
  <c r="M94" i="3"/>
  <c r="M95" i="3"/>
  <c r="K92" i="3"/>
  <c r="K93" i="3"/>
  <c r="B184" i="3" s="1"/>
  <c r="L92" i="3"/>
  <c r="L93" i="3"/>
  <c r="M92" i="3"/>
  <c r="M93" i="3"/>
  <c r="E91" i="3"/>
  <c r="U183" i="3" s="1"/>
  <c r="K90" i="3"/>
  <c r="L91" i="3"/>
  <c r="M91" i="3"/>
  <c r="M90" i="3"/>
  <c r="L90" i="3"/>
  <c r="E89" i="3"/>
  <c r="K88" i="3"/>
  <c r="K89" i="3"/>
  <c r="L88" i="3"/>
  <c r="L89" i="3"/>
  <c r="M88" i="3"/>
  <c r="M89" i="3"/>
  <c r="E87" i="3"/>
  <c r="K86" i="3"/>
  <c r="K87" i="3"/>
  <c r="L86" i="3"/>
  <c r="L87" i="3"/>
  <c r="M86" i="3"/>
  <c r="M87" i="3"/>
  <c r="K84" i="3"/>
  <c r="B180" i="3" s="1"/>
  <c r="K85" i="3"/>
  <c r="L84" i="3"/>
  <c r="L85" i="3"/>
  <c r="M84" i="3"/>
  <c r="M85" i="3"/>
  <c r="E83" i="3"/>
  <c r="T179" i="3" s="1"/>
  <c r="K82" i="3"/>
  <c r="K83" i="3"/>
  <c r="L82" i="3"/>
  <c r="M82" i="3"/>
  <c r="M83" i="3"/>
  <c r="L83" i="3"/>
  <c r="E81" i="3"/>
  <c r="T178" i="3" s="1"/>
  <c r="K80" i="3"/>
  <c r="K81" i="3"/>
  <c r="L80" i="3"/>
  <c r="L81" i="3"/>
  <c r="M80" i="3"/>
  <c r="M81" i="3"/>
  <c r="E79" i="3"/>
  <c r="S177" i="3" s="1"/>
  <c r="K78" i="3"/>
  <c r="K79" i="3"/>
  <c r="L78" i="3"/>
  <c r="L79" i="3"/>
  <c r="M78" i="3"/>
  <c r="M79" i="3"/>
  <c r="K76" i="3"/>
  <c r="K77" i="3"/>
  <c r="L77" i="3"/>
  <c r="M77" i="3"/>
  <c r="M76" i="3"/>
  <c r="L76" i="3"/>
  <c r="E75" i="3"/>
  <c r="S175" i="3" s="1"/>
  <c r="K74" i="3"/>
  <c r="K75" i="3"/>
  <c r="L75" i="3"/>
  <c r="M75" i="3"/>
  <c r="M74" i="3"/>
  <c r="L74" i="3"/>
  <c r="E73" i="3"/>
  <c r="S174" i="3" s="1"/>
  <c r="K72" i="3"/>
  <c r="K73" i="3"/>
  <c r="L72" i="3"/>
  <c r="L73" i="3"/>
  <c r="M72" i="3"/>
  <c r="M73" i="3"/>
  <c r="E71" i="3"/>
  <c r="T173" i="3" s="1"/>
  <c r="K70" i="3"/>
  <c r="K71" i="3"/>
  <c r="L70" i="3"/>
  <c r="L71" i="3"/>
  <c r="M70" i="3"/>
  <c r="M71" i="3"/>
  <c r="K68" i="3"/>
  <c r="K69" i="3"/>
  <c r="M68" i="3"/>
  <c r="M69" i="3"/>
  <c r="L68" i="3"/>
  <c r="L69" i="3"/>
  <c r="M67" i="3"/>
  <c r="L67" i="3"/>
  <c r="K67" i="3"/>
  <c r="M66" i="3"/>
  <c r="L66" i="3"/>
  <c r="K66" i="3"/>
  <c r="M65" i="3"/>
  <c r="L65" i="3"/>
  <c r="K65" i="3"/>
  <c r="E65" i="3"/>
  <c r="U170" i="3" s="1"/>
  <c r="M64" i="3"/>
  <c r="L64" i="3"/>
  <c r="K64" i="3"/>
  <c r="K98" i="5"/>
  <c r="K99" i="5"/>
  <c r="L98" i="5"/>
  <c r="L99" i="5"/>
  <c r="M98" i="5"/>
  <c r="M99" i="5"/>
  <c r="E97" i="5"/>
  <c r="S181" i="5" s="1"/>
  <c r="K96" i="5"/>
  <c r="K97" i="5"/>
  <c r="L97" i="5"/>
  <c r="L96" i="5"/>
  <c r="M97" i="5"/>
  <c r="M96" i="5"/>
  <c r="E95" i="5"/>
  <c r="T180" i="5" s="1"/>
  <c r="K94" i="5"/>
  <c r="K95" i="5"/>
  <c r="L94" i="5"/>
  <c r="L95" i="5"/>
  <c r="M94" i="5"/>
  <c r="M95" i="5"/>
  <c r="E93" i="5"/>
  <c r="K92" i="5"/>
  <c r="K93" i="5"/>
  <c r="L92" i="5"/>
  <c r="L93" i="5"/>
  <c r="M92" i="5"/>
  <c r="M93" i="5"/>
  <c r="K90" i="5"/>
  <c r="K91" i="5"/>
  <c r="L91" i="5"/>
  <c r="L90" i="5"/>
  <c r="M91" i="5"/>
  <c r="M90" i="5"/>
  <c r="E89" i="5"/>
  <c r="K88" i="5"/>
  <c r="K89" i="5"/>
  <c r="L88" i="5"/>
  <c r="L89" i="5"/>
  <c r="M88" i="5"/>
  <c r="M89" i="5"/>
  <c r="E87" i="5"/>
  <c r="U176" i="5" s="1"/>
  <c r="K86" i="5"/>
  <c r="K87" i="5"/>
  <c r="L87" i="5"/>
  <c r="L86" i="5"/>
  <c r="M87" i="5"/>
  <c r="M86" i="5"/>
  <c r="K84" i="5"/>
  <c r="K85" i="5"/>
  <c r="L84" i="5"/>
  <c r="L85" i="5"/>
  <c r="M84" i="5"/>
  <c r="M85" i="5"/>
  <c r="K82" i="5"/>
  <c r="K83" i="5"/>
  <c r="L82" i="5"/>
  <c r="L83" i="5"/>
  <c r="M82" i="5"/>
  <c r="M83" i="5"/>
  <c r="E81" i="5"/>
  <c r="S173" i="5" s="1"/>
  <c r="K80" i="5"/>
  <c r="K81" i="5"/>
  <c r="L81" i="5"/>
  <c r="L80" i="5"/>
  <c r="M81" i="5"/>
  <c r="M80" i="5"/>
  <c r="E79" i="5"/>
  <c r="K78" i="5"/>
  <c r="K79" i="5"/>
  <c r="L79" i="5"/>
  <c r="L78" i="5"/>
  <c r="M79" i="5"/>
  <c r="M78" i="5"/>
  <c r="K76" i="5"/>
  <c r="K77" i="5"/>
  <c r="L76" i="5"/>
  <c r="L77" i="5"/>
  <c r="M76" i="5"/>
  <c r="M77" i="5"/>
  <c r="K73" i="5"/>
  <c r="K74" i="5"/>
  <c r="L74" i="5"/>
  <c r="L73" i="5"/>
  <c r="M74" i="5"/>
  <c r="M73" i="5"/>
  <c r="E72" i="5"/>
  <c r="K71" i="5"/>
  <c r="K72" i="5"/>
  <c r="L71" i="5"/>
  <c r="L72" i="5"/>
  <c r="M71" i="5"/>
  <c r="M72" i="5"/>
  <c r="E70" i="5"/>
  <c r="D168" i="5" s="1"/>
  <c r="E68" i="5"/>
  <c r="K67" i="5"/>
  <c r="K68" i="5"/>
  <c r="M67" i="5"/>
  <c r="M68" i="5"/>
  <c r="L67" i="5"/>
  <c r="L68" i="5"/>
  <c r="K64" i="6"/>
  <c r="K65" i="6"/>
  <c r="L65" i="6"/>
  <c r="M65" i="6"/>
  <c r="M64" i="6"/>
  <c r="L64" i="6"/>
  <c r="E63" i="6"/>
  <c r="S134" i="6" s="1"/>
  <c r="K62" i="6"/>
  <c r="K63" i="6"/>
  <c r="L63" i="6"/>
  <c r="M63" i="6"/>
  <c r="M62" i="6"/>
  <c r="L62" i="6"/>
  <c r="E61" i="6"/>
  <c r="S133" i="6" s="1"/>
  <c r="K60" i="6"/>
  <c r="K61" i="6"/>
  <c r="L60" i="6"/>
  <c r="L61" i="6"/>
  <c r="M60" i="6"/>
  <c r="M61" i="6"/>
  <c r="E59" i="6"/>
  <c r="T132" i="6" s="1"/>
  <c r="K58" i="6"/>
  <c r="K59" i="6"/>
  <c r="L58" i="6"/>
  <c r="L59" i="6"/>
  <c r="M58" i="6"/>
  <c r="M59" i="6"/>
  <c r="K56" i="6"/>
  <c r="K57" i="6"/>
  <c r="L56" i="6"/>
  <c r="L57" i="6"/>
  <c r="M56" i="6"/>
  <c r="M57" i="6"/>
  <c r="E55" i="6"/>
  <c r="T130" i="6" s="1"/>
  <c r="K54" i="6"/>
  <c r="K55" i="6"/>
  <c r="L55" i="6"/>
  <c r="L54" i="6"/>
  <c r="M55" i="6"/>
  <c r="M54" i="6"/>
  <c r="E53" i="6"/>
  <c r="T129" i="6" s="1"/>
  <c r="K52" i="6"/>
  <c r="K53" i="6"/>
  <c r="L53" i="6"/>
  <c r="M53" i="6"/>
  <c r="M52" i="6"/>
  <c r="L52" i="6"/>
  <c r="E51" i="6"/>
  <c r="S128" i="6" s="1"/>
  <c r="K50" i="6"/>
  <c r="K51" i="6"/>
  <c r="L51" i="6"/>
  <c r="M51" i="6"/>
  <c r="M50" i="6"/>
  <c r="L50" i="6"/>
  <c r="K48" i="6"/>
  <c r="K49" i="6"/>
  <c r="L48" i="6"/>
  <c r="L49" i="6"/>
  <c r="M48" i="6"/>
  <c r="M49" i="6"/>
  <c r="E47" i="6"/>
  <c r="S126" i="6" s="1"/>
  <c r="K46" i="6"/>
  <c r="K47" i="6"/>
  <c r="L46" i="6"/>
  <c r="L47" i="6"/>
  <c r="M46" i="6"/>
  <c r="M47" i="6"/>
  <c r="E45" i="6"/>
  <c r="T125" i="6" s="1"/>
  <c r="K44" i="6"/>
  <c r="K45" i="6"/>
  <c r="L44" i="6"/>
  <c r="L45" i="6"/>
  <c r="M44" i="6"/>
  <c r="M45" i="6"/>
  <c r="E43" i="6"/>
  <c r="U124" i="6" s="1"/>
  <c r="K43" i="6"/>
  <c r="L43" i="6"/>
  <c r="M43" i="6"/>
  <c r="E39" i="6"/>
  <c r="T122" i="6" s="1"/>
  <c r="K38" i="6"/>
  <c r="L38" i="6"/>
  <c r="M38" i="6"/>
  <c r="E37" i="6"/>
  <c r="K36" i="6"/>
  <c r="K37" i="6"/>
  <c r="L37" i="6"/>
  <c r="M37" i="6"/>
  <c r="M36" i="6"/>
  <c r="L36" i="6"/>
  <c r="E86" i="7"/>
  <c r="S175" i="7" s="1"/>
  <c r="E92" i="7"/>
  <c r="S178" i="7" s="1"/>
  <c r="K97" i="7"/>
  <c r="K98" i="7"/>
  <c r="L97" i="7"/>
  <c r="L98" i="7"/>
  <c r="M97" i="7"/>
  <c r="M98" i="7"/>
  <c r="E96" i="7"/>
  <c r="K95" i="7"/>
  <c r="K96" i="7"/>
  <c r="L96" i="7"/>
  <c r="L95" i="7"/>
  <c r="M96" i="7"/>
  <c r="M95" i="7"/>
  <c r="E94" i="7"/>
  <c r="K93" i="7"/>
  <c r="K94" i="7"/>
  <c r="L94" i="7"/>
  <c r="L93" i="7"/>
  <c r="M94" i="7"/>
  <c r="M93" i="7"/>
  <c r="K91" i="7"/>
  <c r="K92" i="7"/>
  <c r="L92" i="7"/>
  <c r="L91" i="7"/>
  <c r="M92" i="7"/>
  <c r="M91" i="7"/>
  <c r="K89" i="7"/>
  <c r="K90" i="7"/>
  <c r="L90" i="7"/>
  <c r="L89" i="7"/>
  <c r="M90" i="7"/>
  <c r="M89" i="7"/>
  <c r="E88" i="7"/>
  <c r="K87" i="7"/>
  <c r="K88" i="7"/>
  <c r="L88" i="7"/>
  <c r="L87" i="7"/>
  <c r="M88" i="7"/>
  <c r="M87" i="7"/>
  <c r="K85" i="7"/>
  <c r="K86" i="7"/>
  <c r="L86" i="7"/>
  <c r="L85" i="7"/>
  <c r="M86" i="7"/>
  <c r="M85" i="7"/>
  <c r="E84" i="7"/>
  <c r="K83" i="7"/>
  <c r="K84" i="7"/>
  <c r="L84" i="7"/>
  <c r="L83" i="7"/>
  <c r="M84" i="7"/>
  <c r="M83" i="7"/>
  <c r="K81" i="7"/>
  <c r="K82" i="7"/>
  <c r="L82" i="7"/>
  <c r="L81" i="7"/>
  <c r="M82" i="7"/>
  <c r="M81" i="7"/>
  <c r="E80" i="7"/>
  <c r="U172" i="7" s="1"/>
  <c r="K79" i="7"/>
  <c r="K80" i="7"/>
  <c r="L80" i="7"/>
  <c r="L79" i="7"/>
  <c r="M80" i="7"/>
  <c r="M79" i="7"/>
  <c r="E78" i="7"/>
  <c r="T171" i="7" s="1"/>
  <c r="K77" i="7"/>
  <c r="K78" i="7"/>
  <c r="L78" i="7"/>
  <c r="L77" i="7"/>
  <c r="M78" i="7"/>
  <c r="M77" i="7"/>
  <c r="E76" i="7"/>
  <c r="K75" i="7"/>
  <c r="K76" i="7"/>
  <c r="L76" i="7"/>
  <c r="L75" i="7"/>
  <c r="M76" i="7"/>
  <c r="M75" i="7"/>
  <c r="K73" i="7"/>
  <c r="K74" i="7"/>
  <c r="L74" i="7"/>
  <c r="L73" i="7"/>
  <c r="M74" i="7"/>
  <c r="M73" i="7"/>
  <c r="E72" i="7"/>
  <c r="K71" i="7"/>
  <c r="K72" i="7"/>
  <c r="L72" i="7"/>
  <c r="L71" i="7"/>
  <c r="M72" i="7"/>
  <c r="M71" i="7"/>
  <c r="E70" i="7"/>
  <c r="T167" i="7" s="1"/>
  <c r="K70" i="7"/>
  <c r="M70" i="7"/>
  <c r="L70" i="7"/>
  <c r="K67" i="7"/>
  <c r="K68" i="7"/>
  <c r="M67" i="7"/>
  <c r="M68" i="7"/>
  <c r="L67" i="7"/>
  <c r="L68" i="7"/>
  <c r="M66" i="7"/>
  <c r="L66" i="7"/>
  <c r="K66" i="7"/>
  <c r="K104" i="8"/>
  <c r="K105" i="8"/>
  <c r="L105" i="8"/>
  <c r="L104" i="8"/>
  <c r="M105" i="8"/>
  <c r="M104" i="8"/>
  <c r="K101" i="8"/>
  <c r="K103" i="8"/>
  <c r="L103" i="8"/>
  <c r="L101" i="8"/>
  <c r="M103" i="8"/>
  <c r="M101" i="8"/>
  <c r="K98" i="8"/>
  <c r="K100" i="8"/>
  <c r="L98" i="8"/>
  <c r="L100" i="8"/>
  <c r="M98" i="8"/>
  <c r="M100" i="8"/>
  <c r="E97" i="8"/>
  <c r="K96" i="8"/>
  <c r="K97" i="8"/>
  <c r="L97" i="8"/>
  <c r="L96" i="8"/>
  <c r="M97" i="8"/>
  <c r="M96" i="8"/>
  <c r="K94" i="8"/>
  <c r="K95" i="8"/>
  <c r="L95" i="8"/>
  <c r="L94" i="8"/>
  <c r="M95" i="8"/>
  <c r="M94" i="8"/>
  <c r="E93" i="8"/>
  <c r="K92" i="8"/>
  <c r="K93" i="8"/>
  <c r="L92" i="8"/>
  <c r="L93" i="8"/>
  <c r="M92" i="8"/>
  <c r="M93" i="8"/>
  <c r="E91" i="8"/>
  <c r="K90" i="8"/>
  <c r="K91" i="8"/>
  <c r="L91" i="8"/>
  <c r="L90" i="8"/>
  <c r="M91" i="8"/>
  <c r="M90" i="8"/>
  <c r="E89" i="8"/>
  <c r="K88" i="8"/>
  <c r="K89" i="8"/>
  <c r="L88" i="8"/>
  <c r="L89" i="8"/>
  <c r="M88" i="8"/>
  <c r="M89" i="8"/>
  <c r="K86" i="8"/>
  <c r="K87" i="8"/>
  <c r="L87" i="8"/>
  <c r="L86" i="8"/>
  <c r="M87" i="8"/>
  <c r="M86" i="8"/>
  <c r="E85" i="8"/>
  <c r="K84" i="8"/>
  <c r="K85" i="8"/>
  <c r="L84" i="8"/>
  <c r="L85" i="8"/>
  <c r="C184" i="8" s="1"/>
  <c r="M84" i="8"/>
  <c r="M85" i="8"/>
  <c r="E83" i="8"/>
  <c r="K82" i="8"/>
  <c r="K83" i="8"/>
  <c r="L82" i="8"/>
  <c r="L83" i="8"/>
  <c r="M82" i="8"/>
  <c r="M83" i="8"/>
  <c r="E81" i="8"/>
  <c r="K80" i="8"/>
  <c r="K81" i="8"/>
  <c r="L81" i="8"/>
  <c r="L80" i="8"/>
  <c r="M81" i="8"/>
  <c r="M80" i="8"/>
  <c r="K78" i="8"/>
  <c r="K79" i="8"/>
  <c r="L79" i="8"/>
  <c r="L78" i="8"/>
  <c r="M79" i="8"/>
  <c r="M78" i="8"/>
  <c r="E77" i="8"/>
  <c r="K76" i="8"/>
  <c r="K77" i="8"/>
  <c r="L76" i="8"/>
  <c r="L77" i="8"/>
  <c r="M76" i="8"/>
  <c r="M77" i="8"/>
  <c r="E75" i="8"/>
  <c r="K75" i="8"/>
  <c r="M75" i="8"/>
  <c r="N75" i="8" s="1"/>
  <c r="L75" i="8"/>
  <c r="E73" i="8"/>
  <c r="K72" i="8"/>
  <c r="K73" i="8"/>
  <c r="M72" i="8"/>
  <c r="M73" i="8"/>
  <c r="L72" i="8"/>
  <c r="L73" i="8"/>
  <c r="K104" i="15"/>
  <c r="K105" i="15"/>
  <c r="L104" i="15"/>
  <c r="M104" i="15"/>
  <c r="M105" i="15"/>
  <c r="L105" i="15"/>
  <c r="E103" i="15"/>
  <c r="K102" i="15"/>
  <c r="K103" i="15"/>
  <c r="L102" i="15"/>
  <c r="L103" i="15"/>
  <c r="M102" i="15"/>
  <c r="M103" i="15"/>
  <c r="K99" i="15"/>
  <c r="K101" i="15"/>
  <c r="L101" i="15"/>
  <c r="M101" i="15"/>
  <c r="M99" i="15"/>
  <c r="L99" i="15"/>
  <c r="E98" i="15"/>
  <c r="T193" i="15" s="1"/>
  <c r="K97" i="15"/>
  <c r="B193" i="15" s="1"/>
  <c r="K98" i="15"/>
  <c r="L97" i="15"/>
  <c r="L98" i="15"/>
  <c r="M97" i="15"/>
  <c r="M98" i="15"/>
  <c r="K95" i="15"/>
  <c r="K96" i="15"/>
  <c r="L95" i="15"/>
  <c r="L96" i="15"/>
  <c r="M95" i="15"/>
  <c r="M96" i="15"/>
  <c r="E94" i="15"/>
  <c r="U191" i="15" s="1"/>
  <c r="K93" i="15"/>
  <c r="K94" i="15"/>
  <c r="L93" i="15"/>
  <c r="L94" i="15"/>
  <c r="M93" i="15"/>
  <c r="M94" i="15"/>
  <c r="E92" i="15"/>
  <c r="K91" i="15"/>
  <c r="K92" i="15"/>
  <c r="L91" i="15"/>
  <c r="L92" i="15"/>
  <c r="M91" i="15"/>
  <c r="M92" i="15"/>
  <c r="E90" i="15"/>
  <c r="K89" i="15"/>
  <c r="K90" i="15"/>
  <c r="L89" i="15"/>
  <c r="M89" i="15"/>
  <c r="M90" i="15"/>
  <c r="L90" i="15"/>
  <c r="K87" i="15"/>
  <c r="K88" i="15"/>
  <c r="L88" i="15"/>
  <c r="L87" i="15"/>
  <c r="M88" i="15"/>
  <c r="M87" i="15"/>
  <c r="K84" i="15"/>
  <c r="K86" i="15"/>
  <c r="L86" i="15"/>
  <c r="L84" i="15"/>
  <c r="M86" i="15"/>
  <c r="M84" i="15"/>
  <c r="E83" i="15"/>
  <c r="T186" i="15" s="1"/>
  <c r="K82" i="15"/>
  <c r="K83" i="15"/>
  <c r="L83" i="15"/>
  <c r="L82" i="15"/>
  <c r="M83" i="15"/>
  <c r="M82" i="15"/>
  <c r="E81" i="15"/>
  <c r="U185" i="15" s="1"/>
  <c r="K80" i="15"/>
  <c r="K81" i="15"/>
  <c r="L80" i="15"/>
  <c r="L81" i="15"/>
  <c r="M80" i="15"/>
  <c r="M81" i="15"/>
  <c r="K78" i="15"/>
  <c r="K79" i="15"/>
  <c r="L79" i="15"/>
  <c r="M79" i="15"/>
  <c r="M78" i="15"/>
  <c r="L78" i="15"/>
  <c r="C184" i="15" s="1"/>
  <c r="E77" i="15"/>
  <c r="T183" i="15" s="1"/>
  <c r="K76" i="15"/>
  <c r="K77" i="15"/>
  <c r="L76" i="15"/>
  <c r="M76" i="15"/>
  <c r="M77" i="15"/>
  <c r="L77" i="15"/>
  <c r="E75" i="15"/>
  <c r="K75" i="15"/>
  <c r="M75" i="15"/>
  <c r="L75" i="15"/>
  <c r="E73" i="15"/>
  <c r="T181" i="15" s="1"/>
  <c r="K72" i="15"/>
  <c r="K73" i="15"/>
  <c r="M72" i="15"/>
  <c r="M73" i="15"/>
  <c r="L72" i="15"/>
  <c r="L73" i="15"/>
  <c r="K69" i="15"/>
  <c r="K71" i="15"/>
  <c r="M69" i="15"/>
  <c r="M71" i="15"/>
  <c r="L69" i="15"/>
  <c r="L71" i="15"/>
  <c r="M68" i="15"/>
  <c r="L68" i="15"/>
  <c r="K68" i="15"/>
  <c r="M67" i="15"/>
  <c r="L67" i="15"/>
  <c r="K67" i="15"/>
  <c r="M66" i="15"/>
  <c r="L66" i="15"/>
  <c r="K66" i="15"/>
  <c r="M65" i="15"/>
  <c r="L65" i="15"/>
  <c r="K65" i="15"/>
  <c r="K100" i="14"/>
  <c r="K101" i="14"/>
  <c r="B184" i="14" s="1"/>
  <c r="L100" i="14"/>
  <c r="L101" i="14"/>
  <c r="M100" i="14"/>
  <c r="M101" i="14"/>
  <c r="E99" i="14"/>
  <c r="S183" i="14" s="1"/>
  <c r="K98" i="14"/>
  <c r="K99" i="14"/>
  <c r="L98" i="14"/>
  <c r="L99" i="14"/>
  <c r="M98" i="14"/>
  <c r="M99" i="14"/>
  <c r="E97" i="14"/>
  <c r="U182" i="14" s="1"/>
  <c r="K96" i="14"/>
  <c r="K97" i="14"/>
  <c r="L96" i="14"/>
  <c r="L97" i="14"/>
  <c r="C182" i="14" s="1"/>
  <c r="M96" i="14"/>
  <c r="M97" i="14"/>
  <c r="E95" i="14"/>
  <c r="K94" i="14"/>
  <c r="N94" i="14" s="1"/>
  <c r="K95" i="14"/>
  <c r="L94" i="14"/>
  <c r="L95" i="14"/>
  <c r="M94" i="14"/>
  <c r="M95" i="14"/>
  <c r="K92" i="14"/>
  <c r="K93" i="14"/>
  <c r="L92" i="14"/>
  <c r="L93" i="14"/>
  <c r="M92" i="14"/>
  <c r="M93" i="14"/>
  <c r="E91" i="14"/>
  <c r="S179" i="14" s="1"/>
  <c r="K90" i="14"/>
  <c r="K91" i="14"/>
  <c r="L91" i="14"/>
  <c r="L90" i="14"/>
  <c r="C179" i="14" s="1"/>
  <c r="M91" i="14"/>
  <c r="M90" i="14"/>
  <c r="E89" i="14"/>
  <c r="T178" i="14" s="1"/>
  <c r="K88" i="14"/>
  <c r="K89" i="14"/>
  <c r="L88" i="14"/>
  <c r="L89" i="14"/>
  <c r="M88" i="14"/>
  <c r="D178" i="14" s="1"/>
  <c r="M89" i="14"/>
  <c r="E87" i="14"/>
  <c r="T177" i="14" s="1"/>
  <c r="K86" i="14"/>
  <c r="K87" i="14"/>
  <c r="L86" i="14"/>
  <c r="L87" i="14"/>
  <c r="M86" i="14"/>
  <c r="M87" i="14"/>
  <c r="K84" i="14"/>
  <c r="B176" i="14" s="1"/>
  <c r="K85" i="14"/>
  <c r="L84" i="14"/>
  <c r="L85" i="14"/>
  <c r="M84" i="14"/>
  <c r="M85" i="14"/>
  <c r="E83" i="14"/>
  <c r="K82" i="14"/>
  <c r="N82" i="14" s="1"/>
  <c r="K83" i="14"/>
  <c r="L82" i="14"/>
  <c r="L83" i="14"/>
  <c r="M82" i="14"/>
  <c r="M83" i="14"/>
  <c r="E81" i="14"/>
  <c r="K80" i="14"/>
  <c r="K81" i="14"/>
  <c r="N81" i="14" s="1"/>
  <c r="L80" i="14"/>
  <c r="C174" i="14" s="1"/>
  <c r="L81" i="14"/>
  <c r="M80" i="14"/>
  <c r="M81" i="14"/>
  <c r="D174" i="14" s="1"/>
  <c r="E79" i="14"/>
  <c r="U173" i="14" s="1"/>
  <c r="K78" i="14"/>
  <c r="K79" i="14"/>
  <c r="L78" i="14"/>
  <c r="L79" i="14"/>
  <c r="N79" i="14" s="1"/>
  <c r="M78" i="14"/>
  <c r="M79" i="14"/>
  <c r="K76" i="14"/>
  <c r="K77" i="14"/>
  <c r="L76" i="14"/>
  <c r="L77" i="14"/>
  <c r="M76" i="14"/>
  <c r="M77" i="14"/>
  <c r="E75" i="14"/>
  <c r="K74" i="14"/>
  <c r="K75" i="14"/>
  <c r="L75" i="14"/>
  <c r="L74" i="14"/>
  <c r="M75" i="14"/>
  <c r="M74" i="14"/>
  <c r="D171" i="14" s="1"/>
  <c r="E73" i="14"/>
  <c r="U170" i="14" s="1"/>
  <c r="K72" i="14"/>
  <c r="K73" i="14"/>
  <c r="L72" i="14"/>
  <c r="L73" i="14"/>
  <c r="M72" i="14"/>
  <c r="M73" i="14"/>
  <c r="K70" i="14"/>
  <c r="N70" i="14" s="1"/>
  <c r="K71" i="14"/>
  <c r="M70" i="14"/>
  <c r="M71" i="14"/>
  <c r="L70" i="14"/>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196" i="13" s="1"/>
  <c r="K105" i="13"/>
  <c r="K106" i="13"/>
  <c r="L105" i="13"/>
  <c r="L106" i="13"/>
  <c r="M105" i="13"/>
  <c r="M106" i="13"/>
  <c r="E104" i="13"/>
  <c r="U195" i="13" s="1"/>
  <c r="K103" i="13"/>
  <c r="K104" i="13"/>
  <c r="L103" i="13"/>
  <c r="L104" i="13"/>
  <c r="M103" i="13"/>
  <c r="M104" i="13"/>
  <c r="K101" i="13"/>
  <c r="K102" i="13"/>
  <c r="L101" i="13"/>
  <c r="L102" i="13"/>
  <c r="M101" i="13"/>
  <c r="M102" i="13"/>
  <c r="E100" i="13"/>
  <c r="S193" i="13" s="1"/>
  <c r="K99" i="13"/>
  <c r="K100" i="13"/>
  <c r="L100" i="13"/>
  <c r="L99" i="13"/>
  <c r="M100" i="13"/>
  <c r="M99" i="13"/>
  <c r="E98" i="13"/>
  <c r="S192" i="13" s="1"/>
  <c r="K97" i="13"/>
  <c r="K98" i="13"/>
  <c r="L97" i="13"/>
  <c r="L98" i="13"/>
  <c r="M97" i="13"/>
  <c r="M98" i="13"/>
  <c r="E96" i="13"/>
  <c r="T191" i="13" s="1"/>
  <c r="K95" i="13"/>
  <c r="K96" i="13"/>
  <c r="L95" i="13"/>
  <c r="L96" i="13"/>
  <c r="M95" i="13"/>
  <c r="M96" i="13"/>
  <c r="E91" i="13"/>
  <c r="T189" i="13" s="1"/>
  <c r="K90" i="13"/>
  <c r="K91" i="13"/>
  <c r="L91" i="13"/>
  <c r="L90" i="13"/>
  <c r="M91" i="13"/>
  <c r="M90" i="13"/>
  <c r="E89" i="13"/>
  <c r="U188" i="13" s="1"/>
  <c r="K88" i="13"/>
  <c r="K89" i="13"/>
  <c r="L88" i="13"/>
  <c r="L89" i="13"/>
  <c r="M88" i="13"/>
  <c r="M89" i="13"/>
  <c r="E87" i="13"/>
  <c r="U187" i="13" s="1"/>
  <c r="K86" i="13"/>
  <c r="K87" i="13"/>
  <c r="L87" i="13"/>
  <c r="L86" i="13"/>
  <c r="M87" i="13"/>
  <c r="M86" i="13"/>
  <c r="K84" i="13"/>
  <c r="K85" i="13"/>
  <c r="L85" i="13"/>
  <c r="L84" i="13"/>
  <c r="M85" i="13"/>
  <c r="M84" i="13"/>
  <c r="E83" i="13"/>
  <c r="U185" i="13" s="1"/>
  <c r="K82" i="13"/>
  <c r="K83" i="13"/>
  <c r="L83" i="13"/>
  <c r="L82" i="13"/>
  <c r="M83" i="13"/>
  <c r="M82" i="13"/>
  <c r="K79" i="13"/>
  <c r="K81" i="13"/>
  <c r="M79" i="13"/>
  <c r="M81" i="13"/>
  <c r="L79" i="13"/>
  <c r="L81" i="13"/>
  <c r="K77" i="13"/>
  <c r="K78" i="13"/>
  <c r="M77" i="13"/>
  <c r="M78" i="13"/>
  <c r="L77" i="13"/>
  <c r="L78" i="13"/>
  <c r="K73" i="13"/>
  <c r="K74" i="13"/>
  <c r="M73" i="13"/>
  <c r="M74" i="13"/>
  <c r="L73" i="13"/>
  <c r="L74" i="13"/>
  <c r="M72" i="13"/>
  <c r="L72" i="13"/>
  <c r="K72" i="13"/>
  <c r="M71" i="13"/>
  <c r="L71" i="13"/>
  <c r="K71" i="13"/>
  <c r="M64" i="13"/>
  <c r="L64" i="13"/>
  <c r="K64" i="13"/>
  <c r="M63" i="13"/>
  <c r="L63" i="13"/>
  <c r="K63" i="13"/>
  <c r="B177" i="13" s="1"/>
  <c r="H170" i="2"/>
  <c r="L174" i="2"/>
  <c r="L176" i="2"/>
  <c r="J179" i="2"/>
  <c r="L179" i="2"/>
  <c r="J178" i="2"/>
  <c r="L171" i="2"/>
  <c r="L170" i="2"/>
  <c r="J167" i="2"/>
  <c r="L167" i="2"/>
  <c r="J175" i="2"/>
  <c r="J172" i="2"/>
  <c r="J180" i="2"/>
  <c r="H172" i="2"/>
  <c r="L168" i="2"/>
  <c r="H184" i="2"/>
  <c r="W139" i="7"/>
  <c r="E101" i="5"/>
  <c r="T183" i="5" s="1"/>
  <c r="T189" i="1"/>
  <c r="T144" i="1"/>
  <c r="T181" i="1"/>
  <c r="U173" i="1"/>
  <c r="S183" i="1"/>
  <c r="B141" i="7"/>
  <c r="U182" i="7"/>
  <c r="T175" i="7"/>
  <c r="S188" i="22"/>
  <c r="U188" i="22"/>
  <c r="W188" i="22" s="1"/>
  <c r="U189" i="22"/>
  <c r="T189" i="22"/>
  <c r="S189" i="22"/>
  <c r="S195" i="22"/>
  <c r="S155" i="22"/>
  <c r="U167" i="22"/>
  <c r="U155" i="22"/>
  <c r="U195" i="22"/>
  <c r="H147" i="23"/>
  <c r="L155" i="23"/>
  <c r="J155" i="23"/>
  <c r="U188" i="23"/>
  <c r="T188" i="23"/>
  <c r="J189" i="23"/>
  <c r="H156" i="23"/>
  <c r="C183" i="23"/>
  <c r="J164" i="23"/>
  <c r="B179" i="23"/>
  <c r="U181" i="23"/>
  <c r="T181" i="23"/>
  <c r="J172" i="23"/>
  <c r="L144" i="23"/>
  <c r="B147" i="23"/>
  <c r="T177" i="23"/>
  <c r="U177" i="23"/>
  <c r="S177" i="23"/>
  <c r="L188" i="23"/>
  <c r="C171" i="23"/>
  <c r="L176" i="23"/>
  <c r="C140" i="23"/>
  <c r="S188" i="23"/>
  <c r="J145" i="23"/>
  <c r="D146" i="23"/>
  <c r="C150" i="23"/>
  <c r="J179" i="23"/>
  <c r="L160" i="23"/>
  <c r="U172" i="23"/>
  <c r="T172" i="23"/>
  <c r="C175" i="23"/>
  <c r="D150" i="23"/>
  <c r="C162" i="23"/>
  <c r="U170" i="23"/>
  <c r="U176" i="23"/>
  <c r="T176" i="23"/>
  <c r="H139" i="23"/>
  <c r="T161" i="23"/>
  <c r="S172" i="23"/>
  <c r="U148" i="23"/>
  <c r="T148" i="23"/>
  <c r="J139" i="23"/>
  <c r="W153" i="23"/>
  <c r="S167" i="23"/>
  <c r="S179" i="23"/>
  <c r="S183" i="23"/>
  <c r="H188" i="23"/>
  <c r="U168" i="23"/>
  <c r="T168" i="23"/>
  <c r="L177" i="23"/>
  <c r="S148" i="23"/>
  <c r="T174" i="23"/>
  <c r="J140" i="24"/>
  <c r="J148" i="24"/>
  <c r="L148" i="24"/>
  <c r="H168" i="24"/>
  <c r="L168" i="24"/>
  <c r="J141" i="24"/>
  <c r="N19" i="24"/>
  <c r="B147" i="24"/>
  <c r="N68" i="24"/>
  <c r="B161" i="24"/>
  <c r="J138" i="24"/>
  <c r="H138" i="24"/>
  <c r="D136" i="24"/>
  <c r="H165" i="24"/>
  <c r="H174" i="24"/>
  <c r="S143" i="24"/>
  <c r="J174" i="24"/>
  <c r="T143" i="24"/>
  <c r="B149" i="24"/>
  <c r="U182" i="24"/>
  <c r="H164" i="24"/>
  <c r="J166" i="24"/>
  <c r="C138" i="24"/>
  <c r="N24" i="24"/>
  <c r="C158" i="24"/>
  <c r="C176" i="24"/>
  <c r="L179" i="24"/>
  <c r="C186" i="24"/>
  <c r="S151" i="24"/>
  <c r="U174" i="24"/>
  <c r="T174" i="24"/>
  <c r="S174" i="24"/>
  <c r="N32" i="24"/>
  <c r="N80" i="24"/>
  <c r="D176" i="24"/>
  <c r="S166" i="24"/>
  <c r="J153" i="24"/>
  <c r="J157" i="24"/>
  <c r="J161" i="24"/>
  <c r="S167" i="25"/>
  <c r="J151" i="25"/>
  <c r="T167" i="25"/>
  <c r="U164" i="25"/>
  <c r="T164" i="25"/>
  <c r="S164" i="25"/>
  <c r="R41" i="25"/>
  <c r="B187" i="25"/>
  <c r="S181" i="25"/>
  <c r="B181" i="25"/>
  <c r="T154" i="25"/>
  <c r="U182" i="25"/>
  <c r="T182" i="25"/>
  <c r="S182" i="25"/>
  <c r="S175" i="25"/>
  <c r="U158" i="25"/>
  <c r="T158" i="25"/>
  <c r="S158" i="25"/>
  <c r="L159" i="25"/>
  <c r="J159" i="25"/>
  <c r="U166" i="25"/>
  <c r="T166" i="25"/>
  <c r="S166" i="25"/>
  <c r="T171" i="25"/>
  <c r="C138" i="25"/>
  <c r="U140" i="25"/>
  <c r="T140" i="25"/>
  <c r="S140" i="25"/>
  <c r="B142" i="25"/>
  <c r="H153" i="25"/>
  <c r="T172" i="25"/>
  <c r="H184" i="25"/>
  <c r="U152" i="25"/>
  <c r="U186" i="25"/>
  <c r="H185" i="25"/>
  <c r="J185" i="25"/>
  <c r="U137" i="26"/>
  <c r="T137" i="26"/>
  <c r="U133" i="26"/>
  <c r="U141" i="26"/>
  <c r="T141" i="26"/>
  <c r="T151" i="16"/>
  <c r="T148" i="16"/>
  <c r="R60" i="17"/>
  <c r="T172" i="17"/>
  <c r="U178" i="17"/>
  <c r="T178" i="17"/>
  <c r="S178" i="17"/>
  <c r="R25" i="17"/>
  <c r="T144" i="17"/>
  <c r="L172" i="17"/>
  <c r="R31" i="17"/>
  <c r="J152" i="17"/>
  <c r="C161" i="17"/>
  <c r="S144" i="17"/>
  <c r="R23" i="17"/>
  <c r="S143" i="17"/>
  <c r="T143" i="17"/>
  <c r="S147" i="17"/>
  <c r="R35" i="17"/>
  <c r="S179" i="17"/>
  <c r="T167" i="17"/>
  <c r="C139" i="17"/>
  <c r="R21" i="17"/>
  <c r="T161" i="17"/>
  <c r="W161" i="17" s="1"/>
  <c r="T154" i="17"/>
  <c r="R20" i="17"/>
  <c r="R29" i="17"/>
  <c r="J147" i="17" s="1"/>
  <c r="R34" i="17"/>
  <c r="U177" i="17"/>
  <c r="J151" i="17"/>
  <c r="S145" i="17"/>
  <c r="R27" i="17"/>
  <c r="R62" i="17"/>
  <c r="H141" i="18"/>
  <c r="N111" i="18"/>
  <c r="B189" i="18"/>
  <c r="T166" i="18"/>
  <c r="U169" i="18"/>
  <c r="T169" i="18"/>
  <c r="S168" i="18"/>
  <c r="U139" i="18"/>
  <c r="T139" i="18"/>
  <c r="T187" i="18"/>
  <c r="R37" i="19"/>
  <c r="R41" i="19"/>
  <c r="U158" i="19"/>
  <c r="S147" i="19"/>
  <c r="R16" i="19"/>
  <c r="N32" i="19"/>
  <c r="R51" i="19"/>
  <c r="U181" i="19"/>
  <c r="T181" i="19"/>
  <c r="S181" i="19"/>
  <c r="B149" i="19"/>
  <c r="T158" i="19"/>
  <c r="C145" i="19"/>
  <c r="R23" i="19"/>
  <c r="U157" i="19"/>
  <c r="U159" i="19"/>
  <c r="S168" i="19"/>
  <c r="T159" i="19"/>
  <c r="S148" i="19"/>
  <c r="T143" i="19"/>
  <c r="S144" i="19"/>
  <c r="S151" i="19"/>
  <c r="R24" i="19"/>
  <c r="L151" i="19" s="1"/>
  <c r="S157" i="19"/>
  <c r="R36" i="19"/>
  <c r="S159" i="19"/>
  <c r="R40" i="19"/>
  <c r="T144" i="19"/>
  <c r="T157" i="19"/>
  <c r="S143" i="19"/>
  <c r="R8" i="19"/>
  <c r="S158" i="19"/>
  <c r="R38" i="19"/>
  <c r="R42" i="19"/>
  <c r="R59" i="19"/>
  <c r="L168" i="19" s="1"/>
  <c r="T167" i="19"/>
  <c r="B168" i="19"/>
  <c r="T147" i="19"/>
  <c r="R46" i="19"/>
  <c r="R50" i="19"/>
  <c r="S173" i="19"/>
  <c r="R32" i="19"/>
  <c r="B192" i="19"/>
  <c r="D171" i="19"/>
  <c r="S169" i="19"/>
  <c r="S188" i="19"/>
  <c r="T145" i="19"/>
  <c r="T153" i="19"/>
  <c r="T169" i="19"/>
  <c r="H188" i="19"/>
  <c r="S193" i="19"/>
  <c r="T193" i="19"/>
  <c r="U139" i="21"/>
  <c r="T139" i="21"/>
  <c r="S139" i="21"/>
  <c r="H145" i="21"/>
  <c r="H146" i="21"/>
  <c r="L140" i="21"/>
  <c r="L147" i="21"/>
  <c r="L145" i="21"/>
  <c r="H141" i="21"/>
  <c r="L153" i="21"/>
  <c r="T164" i="21"/>
  <c r="H182" i="21"/>
  <c r="T177" i="21"/>
  <c r="U203" i="9"/>
  <c r="U184" i="9"/>
  <c r="U189" i="9"/>
  <c r="T189" i="9"/>
  <c r="S189" i="9"/>
  <c r="U200" i="9"/>
  <c r="U178" i="9"/>
  <c r="T178" i="9"/>
  <c r="U202" i="9"/>
  <c r="T202" i="9"/>
  <c r="S202" i="9"/>
  <c r="R78" i="9"/>
  <c r="H185" i="9" s="1"/>
  <c r="T166" i="9"/>
  <c r="U162" i="9"/>
  <c r="T162" i="9"/>
  <c r="S162" i="9"/>
  <c r="H153" i="11"/>
  <c r="L167" i="11"/>
  <c r="J167" i="11"/>
  <c r="H167" i="11"/>
  <c r="N67" i="11"/>
  <c r="N83" i="11"/>
  <c r="H184" i="11"/>
  <c r="H159" i="11"/>
  <c r="S167" i="11"/>
  <c r="D167" i="11"/>
  <c r="T175" i="11"/>
  <c r="U184" i="11"/>
  <c r="T184" i="11"/>
  <c r="S184" i="11"/>
  <c r="L150" i="11"/>
  <c r="B144" i="11"/>
  <c r="N55" i="11"/>
  <c r="B165" i="11"/>
  <c r="N80" i="11"/>
  <c r="J178" i="11"/>
  <c r="J181" i="11"/>
  <c r="T145" i="11"/>
  <c r="H177" i="11"/>
  <c r="T181" i="11"/>
  <c r="S181" i="11"/>
  <c r="L160" i="11"/>
  <c r="B181" i="11"/>
  <c r="T167" i="11"/>
  <c r="B141" i="11"/>
  <c r="L144" i="11"/>
  <c r="J144" i="11"/>
  <c r="H144" i="11"/>
  <c r="D145" i="11"/>
  <c r="C152" i="11"/>
  <c r="B163" i="11"/>
  <c r="J164" i="11"/>
  <c r="D174" i="11"/>
  <c r="L178" i="11"/>
  <c r="L182" i="11"/>
  <c r="B189" i="11"/>
  <c r="L190" i="11"/>
  <c r="H190" i="11"/>
  <c r="J190" i="11"/>
  <c r="W165" i="11"/>
  <c r="U167" i="11"/>
  <c r="N22" i="11"/>
  <c r="B154" i="11"/>
  <c r="N36" i="11"/>
  <c r="U170" i="11"/>
  <c r="T170" i="11"/>
  <c r="S170" i="11"/>
  <c r="T173" i="11"/>
  <c r="S173" i="11"/>
  <c r="U178" i="11"/>
  <c r="T178" i="11"/>
  <c r="S178" i="11"/>
  <c r="U181" i="11"/>
  <c r="J142" i="11"/>
  <c r="C151" i="11"/>
  <c r="D164" i="11"/>
  <c r="C170" i="11"/>
  <c r="U149" i="11"/>
  <c r="T149" i="11"/>
  <c r="S149" i="11"/>
  <c r="H140" i="11"/>
  <c r="B142" i="11"/>
  <c r="B149" i="11"/>
  <c r="J152" i="11"/>
  <c r="B156" i="11"/>
  <c r="J179" i="11"/>
  <c r="L143" i="11"/>
  <c r="J143" i="11"/>
  <c r="H143" i="11"/>
  <c r="D144" i="11"/>
  <c r="T146" i="11"/>
  <c r="B148" i="11"/>
  <c r="L157" i="11"/>
  <c r="J157" i="11"/>
  <c r="H157" i="11"/>
  <c r="C158" i="11"/>
  <c r="L171" i="11"/>
  <c r="U176" i="11"/>
  <c r="T176" i="11"/>
  <c r="S176" i="11"/>
  <c r="D180" i="11"/>
  <c r="T141" i="11"/>
  <c r="H158" i="11"/>
  <c r="H168" i="11"/>
  <c r="J182" i="11"/>
  <c r="C148" i="11"/>
  <c r="B152" i="11"/>
  <c r="L165" i="11"/>
  <c r="J165" i="11"/>
  <c r="H165" i="11"/>
  <c r="B170" i="11"/>
  <c r="U182" i="11"/>
  <c r="T182" i="11"/>
  <c r="S182" i="11"/>
  <c r="U186" i="11"/>
  <c r="T186" i="11"/>
  <c r="S186" i="11"/>
  <c r="B190" i="11"/>
  <c r="B155" i="11"/>
  <c r="H166" i="11"/>
  <c r="C184" i="11"/>
  <c r="L187" i="11"/>
  <c r="J187" i="11"/>
  <c r="H187" i="11"/>
  <c r="L141" i="11"/>
  <c r="L151" i="11"/>
  <c r="J151" i="11"/>
  <c r="H151" i="11"/>
  <c r="U162" i="11"/>
  <c r="T162" i="11"/>
  <c r="S162" i="11"/>
  <c r="B164" i="11"/>
  <c r="N79" i="11"/>
  <c r="D184" i="11"/>
  <c r="T161" i="11"/>
  <c r="S177" i="11"/>
  <c r="L145" i="11"/>
  <c r="J145" i="11"/>
  <c r="H145" i="11"/>
  <c r="C176" i="11"/>
  <c r="L189" i="11"/>
  <c r="J189" i="11"/>
  <c r="H189" i="11"/>
  <c r="S180" i="11"/>
  <c r="H185" i="11"/>
  <c r="B186" i="11"/>
  <c r="H191" i="11"/>
  <c r="T180" i="11"/>
  <c r="W180" i="11" s="1"/>
  <c r="U168" i="12"/>
  <c r="T168" i="12"/>
  <c r="J168" i="12"/>
  <c r="H179" i="12"/>
  <c r="L168" i="12"/>
  <c r="H172" i="12"/>
  <c r="S179" i="12"/>
  <c r="J179" i="12"/>
  <c r="B183" i="12"/>
  <c r="L147" i="19"/>
  <c r="N190" i="11"/>
  <c r="N62" i="8"/>
  <c r="C167" i="8"/>
  <c r="C158" i="8"/>
  <c r="N8" i="8"/>
  <c r="L147" i="18"/>
  <c r="B185" i="18"/>
  <c r="S181" i="18"/>
  <c r="T181" i="18"/>
  <c r="N113" i="18"/>
  <c r="C190" i="18"/>
  <c r="W140" i="18"/>
  <c r="H161" i="18"/>
  <c r="S180" i="18"/>
  <c r="U180" i="18"/>
  <c r="U171" i="22"/>
  <c r="J171" i="22"/>
  <c r="T153" i="22"/>
  <c r="S183" i="22"/>
  <c r="U191" i="22"/>
  <c r="S185" i="22"/>
  <c r="S192" i="22"/>
  <c r="L176" i="3"/>
  <c r="J178" i="3"/>
  <c r="T169" i="14"/>
  <c r="U169" i="14"/>
  <c r="S169" i="14"/>
  <c r="B143" i="14"/>
  <c r="C171" i="13"/>
  <c r="L205" i="13"/>
  <c r="B151" i="22"/>
  <c r="J181" i="17"/>
  <c r="R15" i="17"/>
  <c r="H140" i="17" s="1"/>
  <c r="H159" i="19"/>
  <c r="J171" i="19"/>
  <c r="L157" i="19"/>
  <c r="H157" i="19"/>
  <c r="H169" i="19"/>
  <c r="S167" i="19"/>
  <c r="R22" i="19"/>
  <c r="R15" i="19"/>
  <c r="J191" i="11"/>
  <c r="C180" i="11"/>
  <c r="C181" i="11"/>
  <c r="B176" i="11"/>
  <c r="N68" i="11"/>
  <c r="D141" i="26"/>
  <c r="T144" i="26"/>
  <c r="S119" i="26"/>
  <c r="L149" i="26"/>
  <c r="U149" i="26"/>
  <c r="T149" i="26"/>
  <c r="S129" i="26"/>
  <c r="T138" i="26"/>
  <c r="D125" i="26"/>
  <c r="S122" i="26"/>
  <c r="J122" i="26"/>
  <c r="S150" i="26"/>
  <c r="B143" i="16"/>
  <c r="U148" i="16"/>
  <c r="U132" i="16"/>
  <c r="T155" i="16"/>
  <c r="T145" i="16"/>
  <c r="L148" i="16"/>
  <c r="T144" i="16"/>
  <c r="S145" i="16"/>
  <c r="U145" i="16"/>
  <c r="U136" i="16"/>
  <c r="T125" i="16"/>
  <c r="J137" i="16"/>
  <c r="T134" i="16"/>
  <c r="S152" i="16"/>
  <c r="S154" i="16"/>
  <c r="S155" i="16"/>
  <c r="U183" i="5"/>
  <c r="U195" i="9"/>
  <c r="U152" i="9"/>
  <c r="H190" i="9"/>
  <c r="H171" i="9"/>
  <c r="S175" i="9"/>
  <c r="T182" i="9"/>
  <c r="T184" i="9"/>
  <c r="T187" i="9"/>
  <c r="U187" i="9"/>
  <c r="S187" i="9"/>
  <c r="B158" i="9"/>
  <c r="T199" i="9"/>
  <c r="U199" i="9"/>
  <c r="H154" i="9"/>
  <c r="S174" i="9"/>
  <c r="U155" i="16"/>
  <c r="W160" i="22"/>
  <c r="T155" i="22"/>
  <c r="T180" i="22"/>
  <c r="U180" i="22"/>
  <c r="S180" i="22"/>
  <c r="L183" i="22"/>
  <c r="J183" i="22"/>
  <c r="S177" i="22"/>
  <c r="T177" i="22"/>
  <c r="C173" i="22"/>
  <c r="U177" i="22"/>
  <c r="S165" i="22"/>
  <c r="S193" i="22"/>
  <c r="H177" i="22"/>
  <c r="N28" i="22"/>
  <c r="L170" i="22"/>
  <c r="W202" i="22"/>
  <c r="B161" i="22"/>
  <c r="L201" i="22"/>
  <c r="J193" i="22"/>
  <c r="J189" i="22"/>
  <c r="J182" i="22"/>
  <c r="T183" i="23"/>
  <c r="W183" i="23" s="1"/>
  <c r="U177" i="14"/>
  <c r="U95" i="28"/>
  <c r="D92" i="28"/>
  <c r="H92" i="37"/>
  <c r="S85" i="34"/>
  <c r="U92" i="34"/>
  <c r="S102" i="37"/>
  <c r="J92" i="37"/>
  <c r="S98" i="38"/>
  <c r="W84" i="37"/>
  <c r="N52" i="29"/>
  <c r="N13" i="29"/>
  <c r="N35" i="29"/>
  <c r="N41" i="29"/>
  <c r="N10" i="29"/>
  <c r="N33" i="29"/>
  <c r="N24" i="29"/>
  <c r="N11" i="29"/>
  <c r="N36" i="29"/>
  <c r="N32" i="29"/>
  <c r="N27" i="29"/>
  <c r="N18" i="29"/>
  <c r="N16" i="29"/>
  <c r="N14" i="29"/>
  <c r="H94" i="37"/>
  <c r="T73" i="30"/>
  <c r="U79" i="30"/>
  <c r="N28" i="31"/>
  <c r="N13" i="31"/>
  <c r="N22" i="31"/>
  <c r="N27" i="31"/>
  <c r="N31" i="31"/>
  <c r="T95" i="34"/>
  <c r="T88" i="34"/>
  <c r="S88" i="34"/>
  <c r="H89" i="34"/>
  <c r="S80" i="34"/>
  <c r="U90" i="34"/>
  <c r="W83" i="34"/>
  <c r="U130" i="35"/>
  <c r="S130" i="35"/>
  <c r="T117" i="35"/>
  <c r="S89" i="38"/>
  <c r="U89" i="38"/>
  <c r="T89" i="38"/>
  <c r="S98" i="37"/>
  <c r="U98" i="37"/>
  <c r="T98" i="37"/>
  <c r="U153" i="16"/>
  <c r="S153" i="16"/>
  <c r="H139" i="16"/>
  <c r="T70" i="30"/>
  <c r="U78" i="30"/>
  <c r="L79" i="30"/>
  <c r="U69" i="30"/>
  <c r="B163" i="19"/>
  <c r="T154" i="19"/>
  <c r="S154" i="19"/>
  <c r="J158" i="13"/>
  <c r="H158" i="13"/>
  <c r="H160" i="13"/>
  <c r="D78" i="31"/>
  <c r="B77" i="31"/>
  <c r="B78" i="31"/>
  <c r="D150" i="12"/>
  <c r="J145" i="12"/>
  <c r="J180" i="12"/>
  <c r="H145" i="12"/>
  <c r="L148" i="12"/>
  <c r="J184" i="12"/>
  <c r="S181" i="12"/>
  <c r="B162" i="5"/>
  <c r="C164" i="5"/>
  <c r="J163" i="5"/>
  <c r="J151" i="5"/>
  <c r="J147" i="5"/>
  <c r="L144" i="5"/>
  <c r="S172" i="5"/>
  <c r="T145" i="5"/>
  <c r="L163" i="5"/>
  <c r="J157" i="5"/>
  <c r="B146" i="5"/>
  <c r="T153" i="5"/>
  <c r="J148" i="5"/>
  <c r="D174" i="5"/>
  <c r="L151" i="5"/>
  <c r="C156" i="5"/>
  <c r="C163" i="5"/>
  <c r="D164" i="5"/>
  <c r="L177" i="5"/>
  <c r="L173" i="5"/>
  <c r="J144" i="5"/>
  <c r="L164" i="5"/>
  <c r="H186" i="5"/>
  <c r="J174" i="5"/>
  <c r="D148" i="5"/>
  <c r="T161" i="5"/>
  <c r="L171" i="5"/>
  <c r="N16" i="5"/>
  <c r="H187" i="5"/>
  <c r="D155" i="5"/>
  <c r="N14" i="5"/>
  <c r="H173" i="5"/>
  <c r="S160" i="5"/>
  <c r="N10" i="5"/>
  <c r="W155" i="5"/>
  <c r="H155" i="5"/>
  <c r="J155" i="5"/>
  <c r="H178" i="5"/>
  <c r="B143" i="5"/>
  <c r="C166" i="5"/>
  <c r="D152" i="5"/>
  <c r="N42" i="5"/>
  <c r="W147" i="5"/>
  <c r="H145" i="5"/>
  <c r="W190" i="5"/>
  <c r="J175" i="5"/>
  <c r="W167" i="5"/>
  <c r="J167" i="5"/>
  <c r="C179" i="5"/>
  <c r="T149" i="5"/>
  <c r="L155" i="5"/>
  <c r="B151" i="5"/>
  <c r="U139" i="5"/>
  <c r="L153" i="5"/>
  <c r="H153" i="5"/>
  <c r="H149" i="5"/>
  <c r="L149" i="5"/>
  <c r="J178" i="5"/>
  <c r="N100" i="5"/>
  <c r="N33" i="5"/>
  <c r="L174" i="5"/>
  <c r="B153" i="5"/>
  <c r="N71" i="5"/>
  <c r="N53" i="5"/>
  <c r="N59" i="5"/>
  <c r="D163" i="5"/>
  <c r="U149" i="5"/>
  <c r="B141" i="5"/>
  <c r="U160" i="5"/>
  <c r="L167" i="5"/>
  <c r="H166" i="5"/>
  <c r="J170" i="5"/>
  <c r="H170" i="5"/>
  <c r="S140" i="5"/>
  <c r="T140" i="5"/>
  <c r="W174" i="5"/>
  <c r="C160" i="5"/>
  <c r="N62" i="5"/>
  <c r="C151" i="5"/>
  <c r="W156" i="5"/>
  <c r="W152" i="5"/>
  <c r="L148" i="5"/>
  <c r="W148" i="5"/>
  <c r="J145" i="5"/>
  <c r="S159" i="5"/>
  <c r="S167" i="5"/>
  <c r="T164" i="5"/>
  <c r="H164" i="5"/>
  <c r="J186" i="5"/>
  <c r="J180" i="5"/>
  <c r="U172" i="5"/>
  <c r="U167" i="5"/>
  <c r="U159" i="5"/>
  <c r="L142" i="5"/>
  <c r="J184" i="5"/>
  <c r="S145" i="5"/>
  <c r="S161" i="5"/>
  <c r="H179" i="5"/>
  <c r="J171" i="5"/>
  <c r="C161" i="5"/>
  <c r="B181" i="5"/>
  <c r="N155" i="5"/>
  <c r="S170" i="3"/>
  <c r="C160" i="3"/>
  <c r="S179" i="3"/>
  <c r="U179" i="3"/>
  <c r="J168" i="3"/>
  <c r="D180" i="3"/>
  <c r="L159" i="3"/>
  <c r="H159" i="3"/>
  <c r="N16" i="3"/>
  <c r="K109" i="3"/>
  <c r="T190" i="3"/>
  <c r="D158" i="3"/>
  <c r="S173" i="3"/>
  <c r="U186" i="15"/>
  <c r="W154" i="15"/>
  <c r="U183" i="15"/>
  <c r="S185" i="15"/>
  <c r="U193" i="15"/>
  <c r="S186" i="15"/>
  <c r="W186" i="15" s="1"/>
  <c r="S181" i="14"/>
  <c r="T181" i="14"/>
  <c r="N9" i="14"/>
  <c r="T171" i="14"/>
  <c r="J171" i="14"/>
  <c r="S171" i="14"/>
  <c r="D169" i="14"/>
  <c r="U179" i="14"/>
  <c r="D164" i="14"/>
  <c r="J176" i="14"/>
  <c r="J142" i="14"/>
  <c r="N16" i="14"/>
  <c r="B140" i="14"/>
  <c r="C181" i="14"/>
  <c r="C156" i="14"/>
  <c r="D139" i="14"/>
  <c r="N28" i="14"/>
  <c r="L141" i="14"/>
  <c r="L140" i="14"/>
  <c r="L149" i="14"/>
  <c r="T175" i="14"/>
  <c r="U175" i="14"/>
  <c r="H153" i="14"/>
  <c r="S175" i="14"/>
  <c r="L172" i="14"/>
  <c r="H180" i="14"/>
  <c r="B174" i="14"/>
  <c r="U174" i="14"/>
  <c r="H176" i="14"/>
  <c r="C176" i="14"/>
  <c r="H192" i="14"/>
  <c r="J185" i="14"/>
  <c r="B163" i="14"/>
  <c r="N78" i="14"/>
  <c r="J186" i="14"/>
  <c r="H151" i="14"/>
  <c r="H184" i="14"/>
  <c r="J188" i="14"/>
  <c r="N85" i="14"/>
  <c r="S177" i="14"/>
  <c r="B177" i="14"/>
  <c r="S178" i="14"/>
  <c r="U178" i="14"/>
  <c r="B186" i="14"/>
  <c r="B155" i="14"/>
  <c r="B147" i="14"/>
  <c r="B145" i="14"/>
  <c r="H147" i="14"/>
  <c r="H140" i="14"/>
  <c r="J166" i="14"/>
  <c r="H155" i="14"/>
  <c r="H148" i="14"/>
  <c r="U171" i="14"/>
  <c r="L148" i="14"/>
  <c r="L144" i="14"/>
  <c r="J193" i="14"/>
  <c r="B192" i="14"/>
  <c r="H193" i="14"/>
  <c r="T193" i="14"/>
  <c r="S193" i="14"/>
  <c r="U193" i="14"/>
  <c r="L204" i="15"/>
  <c r="T151" i="18"/>
  <c r="S151" i="18"/>
  <c r="U151" i="18"/>
  <c r="B174" i="18"/>
  <c r="U176" i="18"/>
  <c r="T176" i="18"/>
  <c r="B180" i="18"/>
  <c r="B150" i="18"/>
  <c r="N69" i="18"/>
  <c r="J182" i="18"/>
  <c r="C189" i="18"/>
  <c r="S176" i="18"/>
  <c r="J169" i="18"/>
  <c r="T182" i="18"/>
  <c r="S174" i="18"/>
  <c r="T165" i="21"/>
  <c r="L157" i="21"/>
  <c r="U181" i="21"/>
  <c r="B151" i="21"/>
  <c r="T181" i="21"/>
  <c r="H140" i="21"/>
  <c r="L182" i="21"/>
  <c r="J182" i="21"/>
  <c r="B165" i="21"/>
  <c r="H152" i="21"/>
  <c r="J175" i="21"/>
  <c r="U134" i="21"/>
  <c r="B168" i="22"/>
  <c r="B189" i="22"/>
  <c r="H187" i="22"/>
  <c r="W155" i="22"/>
  <c r="N56" i="22"/>
  <c r="J187" i="22"/>
  <c r="H195" i="22"/>
  <c r="L195" i="22"/>
  <c r="S159" i="22"/>
  <c r="U159" i="22"/>
  <c r="T183" i="22"/>
  <c r="U183" i="22"/>
  <c r="T192" i="22"/>
  <c r="H201" i="22"/>
  <c r="L197" i="22"/>
  <c r="S171" i="22"/>
  <c r="L151" i="16"/>
  <c r="T140" i="16"/>
  <c r="L156" i="16"/>
  <c r="L139" i="16"/>
  <c r="D145" i="16"/>
  <c r="J156" i="16"/>
  <c r="H148" i="16"/>
  <c r="T132" i="16"/>
  <c r="T126" i="16"/>
  <c r="C154" i="16"/>
  <c r="D135" i="16"/>
  <c r="U126" i="16"/>
  <c r="D127" i="16"/>
  <c r="N17" i="16"/>
  <c r="B139" i="16"/>
  <c r="J148" i="16"/>
  <c r="H147" i="16"/>
  <c r="J158" i="16"/>
  <c r="B124" i="16"/>
  <c r="J131" i="16"/>
  <c r="L143" i="16"/>
  <c r="T147" i="16"/>
  <c r="U147" i="16"/>
  <c r="S147" i="16"/>
  <c r="T123" i="16"/>
  <c r="D126" i="16"/>
  <c r="U144" i="16"/>
  <c r="S144" i="16"/>
  <c r="W153" i="16"/>
  <c r="L138" i="16"/>
  <c r="B142" i="16"/>
  <c r="U138" i="16"/>
  <c r="S138" i="16"/>
  <c r="U127" i="16"/>
  <c r="S127" i="16"/>
  <c r="T127" i="16"/>
  <c r="T130" i="16"/>
  <c r="U130" i="16"/>
  <c r="L144" i="16"/>
  <c r="H144" i="16"/>
  <c r="J144" i="16"/>
  <c r="H152" i="16"/>
  <c r="U152" i="16"/>
  <c r="T152" i="16"/>
  <c r="J152" i="16"/>
  <c r="S130" i="16"/>
  <c r="B141" i="16"/>
  <c r="S149" i="16"/>
  <c r="U151" i="16"/>
  <c r="W151" i="16" s="1"/>
  <c r="J138" i="16"/>
  <c r="H143" i="16"/>
  <c r="U137" i="16"/>
  <c r="S142" i="16"/>
  <c r="B155" i="16"/>
  <c r="C86" i="32"/>
  <c r="N19" i="32"/>
  <c r="H93" i="32"/>
  <c r="J76" i="32"/>
  <c r="N35" i="32"/>
  <c r="H76" i="32"/>
  <c r="N9" i="32"/>
  <c r="L93" i="32"/>
  <c r="L89" i="32"/>
  <c r="J97" i="29"/>
  <c r="H89" i="29"/>
  <c r="J93" i="29"/>
  <c r="L83" i="29"/>
  <c r="H95" i="29"/>
  <c r="T83" i="38"/>
  <c r="U83" i="38"/>
  <c r="S93" i="38"/>
  <c r="S121" i="36"/>
  <c r="U115" i="36"/>
  <c r="S103" i="36"/>
  <c r="N52" i="35"/>
  <c r="H112" i="35"/>
  <c r="T120" i="35"/>
  <c r="H123" i="35"/>
  <c r="J121" i="35"/>
  <c r="T112" i="35"/>
  <c r="S112" i="35"/>
  <c r="U112" i="35"/>
  <c r="N14" i="35"/>
  <c r="S114" i="35"/>
  <c r="B111" i="35"/>
  <c r="U117" i="35"/>
  <c r="B118" i="35"/>
  <c r="J119" i="35"/>
  <c r="T111" i="35"/>
  <c r="C117" i="35"/>
  <c r="N44" i="35"/>
  <c r="N73" i="35"/>
  <c r="B115" i="35"/>
  <c r="L113" i="35"/>
  <c r="L130" i="35"/>
  <c r="B131" i="35"/>
  <c r="N65" i="35"/>
  <c r="C125" i="35"/>
  <c r="C112" i="35"/>
  <c r="N80" i="35"/>
  <c r="L121" i="35"/>
  <c r="N69" i="35"/>
  <c r="W129" i="35"/>
  <c r="N40" i="35"/>
  <c r="N55" i="35"/>
  <c r="N56" i="32"/>
  <c r="W97" i="32"/>
  <c r="L97" i="32"/>
  <c r="N15" i="32"/>
  <c r="B89" i="32"/>
  <c r="H84" i="32"/>
  <c r="C96" i="32"/>
  <c r="J91" i="32"/>
  <c r="N18" i="32"/>
  <c r="B79" i="32"/>
  <c r="B76" i="32"/>
  <c r="L91" i="32"/>
  <c r="N39" i="32"/>
  <c r="N77" i="35"/>
  <c r="D127" i="35"/>
  <c r="N68" i="35"/>
  <c r="N32" i="35"/>
  <c r="N10" i="35"/>
  <c r="N72" i="35"/>
  <c r="B112" i="35"/>
  <c r="N26" i="35"/>
  <c r="D113" i="35"/>
  <c r="L125" i="35"/>
  <c r="H119" i="35"/>
  <c r="U111" i="35"/>
  <c r="H130" i="35"/>
  <c r="U120" i="35"/>
  <c r="H121" i="35"/>
  <c r="L8" i="35"/>
  <c r="C111" i="35" s="1"/>
  <c r="B99" i="29"/>
  <c r="U178" i="10"/>
  <c r="B90" i="29"/>
  <c r="D89" i="29"/>
  <c r="B88" i="29"/>
  <c r="B93" i="29"/>
  <c r="D92" i="29"/>
  <c r="B91" i="29"/>
  <c r="C80" i="29"/>
  <c r="C96" i="29"/>
  <c r="C98" i="29"/>
  <c r="L80" i="29"/>
  <c r="C90" i="29"/>
  <c r="C88" i="29"/>
  <c r="D81" i="29"/>
  <c r="B80" i="29"/>
  <c r="N53" i="29"/>
  <c r="C188" i="8"/>
  <c r="N77" i="8"/>
  <c r="L159" i="1"/>
  <c r="T168" i="1"/>
  <c r="U168" i="1"/>
  <c r="S176" i="1"/>
  <c r="C182" i="1"/>
  <c r="N56" i="3"/>
  <c r="J193" i="3"/>
  <c r="B196" i="3"/>
  <c r="L170" i="3"/>
  <c r="B175" i="3"/>
  <c r="J176" i="3"/>
  <c r="L109" i="3"/>
  <c r="C150" i="3"/>
  <c r="W176" i="3"/>
  <c r="W156" i="3"/>
  <c r="D197" i="3"/>
  <c r="D168" i="3"/>
  <c r="W173" i="3"/>
  <c r="L146" i="3"/>
  <c r="W184" i="3"/>
  <c r="N8" i="3"/>
  <c r="J180" i="3"/>
  <c r="H156" i="3"/>
  <c r="H178" i="3"/>
  <c r="C169" i="3"/>
  <c r="L172" i="3"/>
  <c r="C196" i="3"/>
  <c r="B151" i="3"/>
  <c r="L161" i="3"/>
  <c r="T170" i="3"/>
  <c r="C162" i="3"/>
  <c r="N12" i="3"/>
  <c r="B168" i="3"/>
  <c r="N24" i="3"/>
  <c r="J167" i="3"/>
  <c r="B178" i="3"/>
  <c r="L190" i="3"/>
  <c r="W186" i="3"/>
  <c r="C167" i="3"/>
  <c r="S190" i="3"/>
  <c r="U190" i="3"/>
  <c r="W190" i="3"/>
  <c r="L149" i="3"/>
  <c r="S178" i="3"/>
  <c r="B143" i="3"/>
  <c r="D167" i="3"/>
  <c r="N41" i="3"/>
  <c r="J195" i="3"/>
  <c r="W192" i="3"/>
  <c r="W188" i="3"/>
  <c r="L188" i="3"/>
  <c r="J184" i="3"/>
  <c r="H163" i="3"/>
  <c r="U174" i="3"/>
  <c r="T174" i="3"/>
  <c r="B149" i="3"/>
  <c r="D175" i="3"/>
  <c r="J172" i="3"/>
  <c r="W172" i="3"/>
  <c r="H172" i="3"/>
  <c r="L151" i="3"/>
  <c r="H148" i="3"/>
  <c r="L166" i="3"/>
  <c r="J175" i="3"/>
  <c r="J156" i="3"/>
  <c r="W153" i="3"/>
  <c r="H184" i="3"/>
  <c r="W180" i="3"/>
  <c r="W193" i="3"/>
  <c r="L180" i="3"/>
  <c r="J154" i="3"/>
  <c r="L195" i="3"/>
  <c r="H89" i="28"/>
  <c r="B83" i="28"/>
  <c r="B86" i="31"/>
  <c r="N44" i="31"/>
  <c r="C86" i="31"/>
  <c r="C82" i="31"/>
  <c r="H86" i="31"/>
  <c r="H85" i="31"/>
  <c r="L85" i="31"/>
  <c r="N21" i="31"/>
  <c r="N12" i="31"/>
  <c r="N41" i="31"/>
  <c r="B88" i="31"/>
  <c r="C73" i="31"/>
  <c r="E73" i="31" s="1"/>
  <c r="H76" i="31"/>
  <c r="H87" i="31"/>
  <c r="D94" i="31"/>
  <c r="B87" i="31"/>
  <c r="N39" i="31"/>
  <c r="C81" i="31"/>
  <c r="L80" i="31"/>
  <c r="L76" i="31"/>
  <c r="J94" i="31"/>
  <c r="N38" i="31"/>
  <c r="H90" i="31"/>
  <c r="N35" i="31"/>
  <c r="H91" i="31"/>
  <c r="L83" i="31"/>
  <c r="N43" i="31"/>
  <c r="H74" i="31"/>
  <c r="H94" i="31"/>
  <c r="S180" i="7"/>
  <c r="T180" i="7"/>
  <c r="U179" i="7"/>
  <c r="W168" i="7"/>
  <c r="H168" i="7"/>
  <c r="W186" i="7"/>
  <c r="N71" i="7"/>
  <c r="U167" i="7"/>
  <c r="S174" i="7"/>
  <c r="T174" i="7"/>
  <c r="U174" i="7"/>
  <c r="U180" i="7"/>
  <c r="W180" i="7"/>
  <c r="S167" i="7"/>
  <c r="H180" i="7"/>
  <c r="D165" i="7"/>
  <c r="B173" i="7"/>
  <c r="S168" i="7"/>
  <c r="T168" i="7"/>
  <c r="U168" i="7"/>
  <c r="B158" i="7"/>
  <c r="S139" i="7"/>
  <c r="U139" i="7"/>
  <c r="B137" i="7"/>
  <c r="T184" i="7"/>
  <c r="U184" i="7"/>
  <c r="H178" i="7"/>
  <c r="W163" i="7"/>
  <c r="H97" i="34"/>
  <c r="S77" i="34"/>
  <c r="H95" i="34"/>
  <c r="J95" i="34"/>
  <c r="L86" i="34"/>
  <c r="U88" i="34"/>
  <c r="H86" i="34"/>
  <c r="L97" i="34"/>
  <c r="B85" i="34"/>
  <c r="U200" i="10"/>
  <c r="H133" i="35"/>
  <c r="L95" i="31"/>
  <c r="H95" i="31"/>
  <c r="S101" i="37"/>
  <c r="W101" i="37" s="1"/>
  <c r="H82" i="37"/>
  <c r="T101" i="37"/>
  <c r="S85" i="37"/>
  <c r="S104" i="37"/>
  <c r="T98" i="38"/>
  <c r="W98" i="38" s="1"/>
  <c r="U81" i="38"/>
  <c r="W125" i="36"/>
  <c r="U116" i="36"/>
  <c r="S116" i="36"/>
  <c r="S132" i="35"/>
  <c r="B199" i="15" l="1"/>
  <c r="L196" i="15"/>
  <c r="L192" i="15"/>
  <c r="D168" i="1"/>
  <c r="W143" i="1"/>
  <c r="J168" i="1"/>
  <c r="J183" i="1"/>
  <c r="W173" i="1"/>
  <c r="J194" i="1"/>
  <c r="W157" i="22"/>
  <c r="H156" i="22"/>
  <c r="H149" i="22"/>
  <c r="L193" i="22"/>
  <c r="S181" i="22"/>
  <c r="H182" i="22"/>
  <c r="J156" i="22"/>
  <c r="H193" i="22"/>
  <c r="T193" i="22"/>
  <c r="T175" i="22"/>
  <c r="C180" i="22"/>
  <c r="B194" i="22"/>
  <c r="N118" i="22"/>
  <c r="W170" i="22"/>
  <c r="W178" i="22"/>
  <c r="W200" i="22"/>
  <c r="U181" i="22"/>
  <c r="L174" i="22"/>
  <c r="H189" i="22"/>
  <c r="B149" i="22"/>
  <c r="N95" i="23"/>
  <c r="B183" i="23"/>
  <c r="H167" i="24"/>
  <c r="N76" i="24"/>
  <c r="B171" i="24"/>
  <c r="N86" i="24"/>
  <c r="N88" i="24"/>
  <c r="W160" i="24"/>
  <c r="S171" i="24"/>
  <c r="H184" i="24"/>
  <c r="L141" i="24"/>
  <c r="T166" i="24"/>
  <c r="W166" i="24" s="1"/>
  <c r="S182" i="24"/>
  <c r="W182" i="24" s="1"/>
  <c r="N6" i="24"/>
  <c r="W190" i="24"/>
  <c r="B152" i="25"/>
  <c r="J169" i="25"/>
  <c r="N98" i="25"/>
  <c r="S178" i="25"/>
  <c r="U154" i="25"/>
  <c r="N22" i="25"/>
  <c r="N24" i="25"/>
  <c r="C145" i="25"/>
  <c r="C152" i="25"/>
  <c r="S186" i="25"/>
  <c r="U178" i="25"/>
  <c r="N78" i="25"/>
  <c r="N74" i="25"/>
  <c r="J170" i="25"/>
  <c r="T122" i="26"/>
  <c r="N75" i="26"/>
  <c r="N77" i="26"/>
  <c r="W132" i="26"/>
  <c r="B119" i="26"/>
  <c r="B129" i="26"/>
  <c r="D131" i="26"/>
  <c r="L136" i="26"/>
  <c r="N45" i="26"/>
  <c r="C138" i="26"/>
  <c r="L144" i="26"/>
  <c r="B148" i="26"/>
  <c r="N66" i="26"/>
  <c r="T150" i="26"/>
  <c r="T119" i="26"/>
  <c r="W119" i="26" s="1"/>
  <c r="S145" i="26"/>
  <c r="N27" i="26"/>
  <c r="N47" i="26"/>
  <c r="B142" i="26"/>
  <c r="U138" i="26"/>
  <c r="W138" i="26" s="1"/>
  <c r="S130" i="26"/>
  <c r="T145" i="26"/>
  <c r="J138" i="26"/>
  <c r="L88" i="37"/>
  <c r="B89" i="37"/>
  <c r="D90" i="37"/>
  <c r="B93" i="37"/>
  <c r="B101" i="37"/>
  <c r="B103" i="37"/>
  <c r="U86" i="37"/>
  <c r="U103" i="37"/>
  <c r="L103" i="37"/>
  <c r="J87" i="37"/>
  <c r="L82" i="37"/>
  <c r="J88" i="37"/>
  <c r="N88" i="37" s="1"/>
  <c r="S103" i="37"/>
  <c r="H102" i="37"/>
  <c r="L100" i="37"/>
  <c r="C102" i="37"/>
  <c r="N60" i="37"/>
  <c r="L102" i="37"/>
  <c r="T85" i="37"/>
  <c r="W85" i="37" s="1"/>
  <c r="J100" i="37"/>
  <c r="D102" i="37"/>
  <c r="N21" i="37"/>
  <c r="N39" i="37"/>
  <c r="J98" i="37"/>
  <c r="J86" i="37"/>
  <c r="W91" i="37"/>
  <c r="W96" i="37"/>
  <c r="N18" i="37"/>
  <c r="C84" i="37"/>
  <c r="B83" i="37"/>
  <c r="N36" i="37"/>
  <c r="H95" i="37"/>
  <c r="L91" i="37"/>
  <c r="D105" i="37"/>
  <c r="N62" i="36"/>
  <c r="J123" i="16"/>
  <c r="H123" i="16"/>
  <c r="U123" i="16"/>
  <c r="L147" i="16"/>
  <c r="T146" i="16"/>
  <c r="U146" i="16"/>
  <c r="T136" i="16"/>
  <c r="N84" i="16"/>
  <c r="D123" i="16"/>
  <c r="C146" i="16"/>
  <c r="B123" i="16"/>
  <c r="B150" i="16"/>
  <c r="H155" i="16"/>
  <c r="C136" i="16"/>
  <c r="D136" i="16"/>
  <c r="T154" i="16"/>
  <c r="T141" i="16"/>
  <c r="U141" i="16"/>
  <c r="C141" i="16"/>
  <c r="T150" i="16"/>
  <c r="C123" i="16"/>
  <c r="W129" i="16"/>
  <c r="N19" i="35"/>
  <c r="N28" i="35"/>
  <c r="B117" i="35"/>
  <c r="C119" i="35"/>
  <c r="N39" i="35"/>
  <c r="D119" i="35"/>
  <c r="N33" i="35"/>
  <c r="C123" i="35"/>
  <c r="L119" i="35"/>
  <c r="J117" i="35"/>
  <c r="L114" i="35"/>
  <c r="J131" i="35"/>
  <c r="J130" i="35"/>
  <c r="H128" i="35"/>
  <c r="N74" i="35"/>
  <c r="N66" i="35"/>
  <c r="B128" i="35"/>
  <c r="B125" i="35"/>
  <c r="N71" i="35"/>
  <c r="N67" i="35"/>
  <c r="N63" i="35"/>
  <c r="N54" i="35"/>
  <c r="N50" i="35"/>
  <c r="W119" i="35"/>
  <c r="W128" i="35"/>
  <c r="J129" i="35"/>
  <c r="N29" i="35"/>
  <c r="N43" i="35"/>
  <c r="N35" i="35"/>
  <c r="B120" i="35"/>
  <c r="J122" i="35"/>
  <c r="L112" i="35"/>
  <c r="J125" i="35"/>
  <c r="B126" i="35"/>
  <c r="D128" i="35"/>
  <c r="W127" i="35"/>
  <c r="J124" i="35"/>
  <c r="B116" i="35"/>
  <c r="B129" i="35"/>
  <c r="L128" i="35"/>
  <c r="D122" i="35"/>
  <c r="B114" i="35"/>
  <c r="N57" i="35"/>
  <c r="H114" i="35"/>
  <c r="L131" i="35"/>
  <c r="J114" i="35"/>
  <c r="N23" i="35"/>
  <c r="L126" i="35"/>
  <c r="N20" i="35"/>
  <c r="W123" i="35"/>
  <c r="L127" i="35"/>
  <c r="J128" i="35"/>
  <c r="N128" i="35" s="1"/>
  <c r="N13" i="35"/>
  <c r="N17" i="35"/>
  <c r="J111" i="35"/>
  <c r="C118" i="35"/>
  <c r="N79" i="35"/>
  <c r="N81" i="35"/>
  <c r="W133" i="35"/>
  <c r="N12" i="35"/>
  <c r="B119" i="35"/>
  <c r="W125" i="35"/>
  <c r="H180" i="17"/>
  <c r="J180" i="17"/>
  <c r="B178" i="17"/>
  <c r="D155" i="17"/>
  <c r="S171" i="17"/>
  <c r="L143" i="17"/>
  <c r="T179" i="17"/>
  <c r="N30" i="18"/>
  <c r="W185" i="18"/>
  <c r="H148" i="18"/>
  <c r="N78" i="18"/>
  <c r="L169" i="18"/>
  <c r="N169" i="18" s="1"/>
  <c r="W180" i="18"/>
  <c r="T157" i="18"/>
  <c r="W169" i="18"/>
  <c r="L149" i="18"/>
  <c r="L159" i="18"/>
  <c r="U173" i="18"/>
  <c r="B151" i="18"/>
  <c r="H190" i="18"/>
  <c r="N38" i="18"/>
  <c r="H154" i="18"/>
  <c r="L157" i="18"/>
  <c r="N60" i="18"/>
  <c r="N62" i="18"/>
  <c r="N80" i="18"/>
  <c r="C176" i="18"/>
  <c r="H182" i="18"/>
  <c r="N107" i="18"/>
  <c r="N6" i="18"/>
  <c r="S182" i="18"/>
  <c r="U145" i="18"/>
  <c r="H187" i="18"/>
  <c r="S166" i="18"/>
  <c r="W166" i="18" s="1"/>
  <c r="D172" i="18"/>
  <c r="B173" i="13"/>
  <c r="D170" i="13"/>
  <c r="H202" i="13"/>
  <c r="N50" i="19"/>
  <c r="J147" i="19"/>
  <c r="L177" i="19"/>
  <c r="N93" i="19"/>
  <c r="N98" i="19"/>
  <c r="C189" i="19"/>
  <c r="N112" i="19"/>
  <c r="N11" i="20"/>
  <c r="N15" i="20"/>
  <c r="N46" i="20"/>
  <c r="N103" i="20"/>
  <c r="N59" i="20"/>
  <c r="N24" i="21"/>
  <c r="J149" i="21"/>
  <c r="N64" i="21"/>
  <c r="N96" i="21"/>
  <c r="H151" i="21"/>
  <c r="J151" i="21"/>
  <c r="N151" i="21" s="1"/>
  <c r="T149" i="21"/>
  <c r="C143" i="21"/>
  <c r="U165" i="21"/>
  <c r="U149" i="21"/>
  <c r="N48" i="21"/>
  <c r="N73" i="21"/>
  <c r="N84" i="21"/>
  <c r="N89" i="21"/>
  <c r="N103" i="21"/>
  <c r="N105" i="21"/>
  <c r="W136" i="21"/>
  <c r="D157" i="21"/>
  <c r="N15" i="21"/>
  <c r="N17" i="21"/>
  <c r="N18" i="21"/>
  <c r="N20" i="21"/>
  <c r="N22" i="21"/>
  <c r="N29" i="21"/>
  <c r="N38" i="21"/>
  <c r="N40" i="21"/>
  <c r="N42" i="21"/>
  <c r="N67" i="21"/>
  <c r="L81" i="34"/>
  <c r="L98" i="34"/>
  <c r="N8" i="34"/>
  <c r="N10" i="34"/>
  <c r="N17" i="34"/>
  <c r="N19" i="34"/>
  <c r="D87" i="34"/>
  <c r="C76" i="34"/>
  <c r="S76" i="34"/>
  <c r="T76" i="34"/>
  <c r="D76" i="34"/>
  <c r="H94" i="34"/>
  <c r="U87" i="34"/>
  <c r="B76" i="34"/>
  <c r="E76" i="34" s="1"/>
  <c r="L76" i="34"/>
  <c r="D90" i="34"/>
  <c r="N68" i="9"/>
  <c r="L184" i="9"/>
  <c r="N44" i="9"/>
  <c r="T159" i="9"/>
  <c r="U174" i="9"/>
  <c r="H184" i="9"/>
  <c r="T168" i="9"/>
  <c r="S200" i="9"/>
  <c r="H194" i="9"/>
  <c r="N113" i="11"/>
  <c r="N90" i="11"/>
  <c r="L159" i="11"/>
  <c r="L175" i="11"/>
  <c r="J185" i="11"/>
  <c r="N103" i="11"/>
  <c r="T172" i="12"/>
  <c r="S172" i="12"/>
  <c r="U172" i="12"/>
  <c r="W84" i="32"/>
  <c r="W92" i="32"/>
  <c r="N55" i="32"/>
  <c r="C93" i="32"/>
  <c r="D95" i="32"/>
  <c r="L182" i="14"/>
  <c r="N97" i="14"/>
  <c r="L163" i="14"/>
  <c r="H175" i="14"/>
  <c r="C142" i="14"/>
  <c r="T179" i="14"/>
  <c r="D172" i="14"/>
  <c r="B172" i="14"/>
  <c r="D179" i="14"/>
  <c r="N90" i="14"/>
  <c r="C180" i="14"/>
  <c r="D181" i="14"/>
  <c r="C183" i="14"/>
  <c r="N106" i="14"/>
  <c r="N61" i="14"/>
  <c r="N56" i="14"/>
  <c r="N53" i="14"/>
  <c r="B160" i="14"/>
  <c r="N48" i="14"/>
  <c r="B156" i="14"/>
  <c r="D155" i="14"/>
  <c r="N40" i="14"/>
  <c r="N32" i="14"/>
  <c r="N31" i="14"/>
  <c r="N27" i="14"/>
  <c r="N24" i="14"/>
  <c r="B146" i="14"/>
  <c r="N15" i="14"/>
  <c r="N35" i="14"/>
  <c r="J162" i="14"/>
  <c r="J160" i="14"/>
  <c r="L158" i="14"/>
  <c r="H156" i="14"/>
  <c r="J154" i="14"/>
  <c r="H152" i="14"/>
  <c r="L145" i="14"/>
  <c r="W191" i="14"/>
  <c r="J175" i="14"/>
  <c r="B181" i="14"/>
  <c r="N36" i="14"/>
  <c r="S182" i="14"/>
  <c r="C155" i="14"/>
  <c r="C153" i="14"/>
  <c r="C149" i="14"/>
  <c r="D144" i="14"/>
  <c r="C140" i="14"/>
  <c r="L189" i="14"/>
  <c r="H185" i="14"/>
  <c r="H169" i="14"/>
  <c r="J165" i="14"/>
  <c r="J150" i="14"/>
  <c r="H141" i="14"/>
  <c r="N141" i="14" s="1"/>
  <c r="T182" i="14"/>
  <c r="N100" i="14"/>
  <c r="N71" i="14"/>
  <c r="N95" i="14"/>
  <c r="N96" i="14"/>
  <c r="J182" i="14"/>
  <c r="H178" i="14"/>
  <c r="L174" i="14"/>
  <c r="L170" i="14"/>
  <c r="H142" i="14"/>
  <c r="W157" i="14"/>
  <c r="W145" i="14"/>
  <c r="L156" i="14"/>
  <c r="C152" i="14"/>
  <c r="H172" i="14"/>
  <c r="L168" i="14"/>
  <c r="L142" i="14"/>
  <c r="J192" i="14"/>
  <c r="J174" i="14"/>
  <c r="H190" i="14"/>
  <c r="D173" i="14"/>
  <c r="J156" i="14"/>
  <c r="L188" i="14"/>
  <c r="N188" i="14" s="1"/>
  <c r="C158" i="14"/>
  <c r="J147" i="14"/>
  <c r="H166" i="14"/>
  <c r="N166" i="14" s="1"/>
  <c r="L183" i="14"/>
  <c r="T183" i="14"/>
  <c r="B183" i="14"/>
  <c r="J149" i="14"/>
  <c r="J184" i="14"/>
  <c r="N184" i="14" s="1"/>
  <c r="H145" i="14"/>
  <c r="H162" i="14"/>
  <c r="J145" i="14"/>
  <c r="J168" i="14"/>
  <c r="C150" i="14"/>
  <c r="L178" i="14"/>
  <c r="L186" i="14"/>
  <c r="L190" i="14"/>
  <c r="J152" i="14"/>
  <c r="J180" i="14"/>
  <c r="H183" i="14"/>
  <c r="L151" i="14"/>
  <c r="N151" i="14" s="1"/>
  <c r="J170" i="14"/>
  <c r="B182" i="14"/>
  <c r="L154" i="14"/>
  <c r="N41" i="14"/>
  <c r="N20" i="14"/>
  <c r="D142" i="14"/>
  <c r="W141" i="14"/>
  <c r="W149" i="14"/>
  <c r="W153" i="14"/>
  <c r="W161" i="14"/>
  <c r="W165" i="14"/>
  <c r="E181" i="14"/>
  <c r="L160" i="14"/>
  <c r="T170" i="14"/>
  <c r="H170" i="14"/>
  <c r="J178" i="14"/>
  <c r="H154" i="14"/>
  <c r="B169" i="14"/>
  <c r="D175" i="14"/>
  <c r="N84" i="14"/>
  <c r="W180" i="14"/>
  <c r="B193" i="14"/>
  <c r="W178" i="14"/>
  <c r="B168" i="14"/>
  <c r="N66" i="14"/>
  <c r="B166" i="14"/>
  <c r="D165" i="14"/>
  <c r="N58" i="14"/>
  <c r="D162" i="14"/>
  <c r="N54" i="14"/>
  <c r="D160" i="14"/>
  <c r="N50" i="14"/>
  <c r="N46" i="14"/>
  <c r="B157" i="14"/>
  <c r="N39" i="14"/>
  <c r="B153" i="14"/>
  <c r="N34" i="14"/>
  <c r="W172" i="14"/>
  <c r="W185" i="14"/>
  <c r="W189" i="14"/>
  <c r="W188" i="14"/>
  <c r="W168" i="14"/>
  <c r="W164" i="14"/>
  <c r="W162" i="14"/>
  <c r="W160" i="14"/>
  <c r="W156" i="14"/>
  <c r="W148" i="14"/>
  <c r="W144" i="14"/>
  <c r="U151" i="15"/>
  <c r="S181" i="15"/>
  <c r="S151" i="15"/>
  <c r="C176" i="15"/>
  <c r="D171" i="15"/>
  <c r="B170" i="15"/>
  <c r="W171" i="15"/>
  <c r="W179" i="15"/>
  <c r="D171" i="8"/>
  <c r="D165" i="8"/>
  <c r="D167" i="8"/>
  <c r="B174" i="8"/>
  <c r="B176" i="8"/>
  <c r="B154" i="8"/>
  <c r="L149" i="8"/>
  <c r="N6" i="8"/>
  <c r="W152" i="8"/>
  <c r="W160" i="8"/>
  <c r="W168" i="8"/>
  <c r="N78" i="8"/>
  <c r="C185" i="8"/>
  <c r="C193" i="8"/>
  <c r="N49" i="8"/>
  <c r="C169" i="8"/>
  <c r="C149" i="8"/>
  <c r="C151" i="8"/>
  <c r="N17" i="8"/>
  <c r="C155" i="8"/>
  <c r="N29" i="8"/>
  <c r="N37" i="8"/>
  <c r="N84" i="8"/>
  <c r="C171" i="8"/>
  <c r="N86" i="8"/>
  <c r="C180" i="8"/>
  <c r="N82" i="8"/>
  <c r="C186" i="8"/>
  <c r="N98" i="8"/>
  <c r="C177" i="8"/>
  <c r="B163" i="8"/>
  <c r="C164" i="8"/>
  <c r="N44" i="8"/>
  <c r="N46" i="8"/>
  <c r="N47" i="8"/>
  <c r="N48" i="8"/>
  <c r="N50" i="8"/>
  <c r="N51" i="8"/>
  <c r="N52" i="8"/>
  <c r="B169" i="8"/>
  <c r="N55" i="8"/>
  <c r="N59" i="8"/>
  <c r="N61" i="8"/>
  <c r="N68" i="8"/>
  <c r="N10" i="8"/>
  <c r="N11" i="8"/>
  <c r="B151" i="8"/>
  <c r="C152" i="8"/>
  <c r="N19" i="8"/>
  <c r="N23" i="8"/>
  <c r="D156" i="8"/>
  <c r="B157" i="8"/>
  <c r="N27" i="8"/>
  <c r="D158" i="8"/>
  <c r="N32" i="8"/>
  <c r="N34" i="8"/>
  <c r="N30" i="8"/>
  <c r="N33" i="8"/>
  <c r="N58" i="8"/>
  <c r="N99" i="8"/>
  <c r="W176" i="8"/>
  <c r="W198" i="8"/>
  <c r="C156" i="8"/>
  <c r="L202" i="8"/>
  <c r="D184" i="8"/>
  <c r="N14" i="8"/>
  <c r="N95" i="31"/>
  <c r="L78" i="31"/>
  <c r="W93" i="31"/>
  <c r="L140" i="7"/>
  <c r="B162" i="7"/>
  <c r="C165" i="5"/>
  <c r="D156" i="5"/>
  <c r="N117" i="5"/>
  <c r="D107" i="28"/>
  <c r="N31" i="3"/>
  <c r="L185" i="3"/>
  <c r="L177" i="3"/>
  <c r="H173" i="3"/>
  <c r="N64" i="3"/>
  <c r="C177" i="3"/>
  <c r="D182" i="3"/>
  <c r="N10" i="3"/>
  <c r="W167" i="3"/>
  <c r="C192" i="3"/>
  <c r="D186" i="3"/>
  <c r="N48" i="3"/>
  <c r="U185" i="3"/>
  <c r="J177" i="3"/>
  <c r="W157" i="3"/>
  <c r="H186" i="3"/>
  <c r="T185" i="3"/>
  <c r="S186" i="3"/>
  <c r="L186" i="3"/>
  <c r="U186" i="3"/>
  <c r="B173" i="3"/>
  <c r="D183" i="3"/>
  <c r="C161" i="3"/>
  <c r="L169" i="3"/>
  <c r="J157" i="3"/>
  <c r="L153" i="3"/>
  <c r="D190" i="3"/>
  <c r="C190" i="3"/>
  <c r="L174" i="3"/>
  <c r="S189" i="3"/>
  <c r="W177" i="3"/>
  <c r="S183" i="3"/>
  <c r="J149" i="3"/>
  <c r="C153" i="3"/>
  <c r="N61" i="2"/>
  <c r="D163" i="2"/>
  <c r="N156" i="2"/>
  <c r="N175" i="2"/>
  <c r="N52" i="1"/>
  <c r="L168" i="1"/>
  <c r="J141" i="1"/>
  <c r="D193" i="1"/>
  <c r="S165" i="1"/>
  <c r="D194" i="1"/>
  <c r="D153" i="1"/>
  <c r="C145" i="1"/>
  <c r="W153" i="1"/>
  <c r="W146" i="1"/>
  <c r="H190" i="1"/>
  <c r="H178" i="1"/>
  <c r="T149" i="1"/>
  <c r="U155" i="19"/>
  <c r="T155" i="19"/>
  <c r="J95" i="32"/>
  <c r="H111" i="35"/>
  <c r="D116" i="35"/>
  <c r="L100" i="29"/>
  <c r="U142" i="18"/>
  <c r="C142" i="18"/>
  <c r="S142" i="18"/>
  <c r="D152" i="14"/>
  <c r="C163" i="14"/>
  <c r="N69" i="14"/>
  <c r="U164" i="9"/>
  <c r="C182" i="9"/>
  <c r="U171" i="9"/>
  <c r="D160" i="8"/>
  <c r="H175" i="11"/>
  <c r="E164" i="11"/>
  <c r="N105" i="11"/>
  <c r="L174" i="11"/>
  <c r="N14" i="11"/>
  <c r="J177" i="11"/>
  <c r="U175" i="11"/>
  <c r="J159" i="11"/>
  <c r="H147" i="19"/>
  <c r="R48" i="25"/>
  <c r="N37" i="3"/>
  <c r="S160" i="19"/>
  <c r="U160" i="19"/>
  <c r="T139" i="26"/>
  <c r="U139" i="26"/>
  <c r="U136" i="25"/>
  <c r="S136" i="25"/>
  <c r="L163" i="25"/>
  <c r="J163" i="25"/>
  <c r="S174" i="25"/>
  <c r="U174" i="25"/>
  <c r="H99" i="37"/>
  <c r="W111" i="35"/>
  <c r="J81" i="32"/>
  <c r="D112" i="35"/>
  <c r="W179" i="14"/>
  <c r="N51" i="14"/>
  <c r="U176" i="12"/>
  <c r="S171" i="9"/>
  <c r="U190" i="9"/>
  <c r="L144" i="19"/>
  <c r="N70" i="8"/>
  <c r="T188" i="11"/>
  <c r="S188" i="11"/>
  <c r="J175" i="11"/>
  <c r="B188" i="11"/>
  <c r="W176" i="11"/>
  <c r="C166" i="11"/>
  <c r="U174" i="11"/>
  <c r="B174" i="11"/>
  <c r="H149" i="11"/>
  <c r="N59" i="11"/>
  <c r="L159" i="19"/>
  <c r="T170" i="25"/>
  <c r="C144" i="11"/>
  <c r="N16" i="11"/>
  <c r="U159" i="11"/>
  <c r="T159" i="11"/>
  <c r="T174" i="11"/>
  <c r="H174" i="11"/>
  <c r="N174" i="11" s="1"/>
  <c r="S174" i="11"/>
  <c r="T189" i="19"/>
  <c r="U189" i="19"/>
  <c r="C153" i="25"/>
  <c r="T164" i="7"/>
  <c r="R64" i="7"/>
  <c r="L111" i="35"/>
  <c r="W130" i="16"/>
  <c r="W171" i="22"/>
  <c r="L157" i="12"/>
  <c r="S139" i="26"/>
  <c r="U146" i="26"/>
  <c r="S143" i="26"/>
  <c r="W169" i="14"/>
  <c r="N97" i="11"/>
  <c r="H188" i="11"/>
  <c r="J149" i="11"/>
  <c r="H181" i="11"/>
  <c r="N181" i="11" s="1"/>
  <c r="H176" i="11"/>
  <c r="T203" i="9"/>
  <c r="W203" i="9" s="1"/>
  <c r="C173" i="21"/>
  <c r="T178" i="21"/>
  <c r="T174" i="25"/>
  <c r="U183" i="1"/>
  <c r="T183" i="1"/>
  <c r="B165" i="3"/>
  <c r="C177" i="14"/>
  <c r="N90" i="5"/>
  <c r="N113" i="13"/>
  <c r="N112" i="14"/>
  <c r="D162" i="1"/>
  <c r="W153" i="2"/>
  <c r="H159" i="5"/>
  <c r="L147" i="5"/>
  <c r="L188" i="5"/>
  <c r="L186" i="5"/>
  <c r="N186" i="5" s="1"/>
  <c r="J182" i="5"/>
  <c r="D177" i="8"/>
  <c r="D176" i="8"/>
  <c r="B155" i="8"/>
  <c r="J180" i="15"/>
  <c r="C139" i="26"/>
  <c r="E165" i="11"/>
  <c r="W184" i="11"/>
  <c r="W143" i="24"/>
  <c r="N79" i="15"/>
  <c r="N87" i="8"/>
  <c r="N94" i="8"/>
  <c r="N97" i="8"/>
  <c r="N100" i="8"/>
  <c r="C192" i="8"/>
  <c r="C176" i="1"/>
  <c r="C180" i="1"/>
  <c r="N102" i="14"/>
  <c r="D186" i="14"/>
  <c r="B185" i="5"/>
  <c r="N107" i="14"/>
  <c r="C197" i="8"/>
  <c r="B186" i="7"/>
  <c r="B188" i="5"/>
  <c r="D154" i="2"/>
  <c r="B157" i="2"/>
  <c r="D158" i="2"/>
  <c r="D152" i="2"/>
  <c r="N42" i="3"/>
  <c r="B166" i="3"/>
  <c r="N60" i="3"/>
  <c r="D169" i="3"/>
  <c r="N9" i="3"/>
  <c r="B146" i="3"/>
  <c r="D147" i="3"/>
  <c r="B148" i="3"/>
  <c r="D149" i="3"/>
  <c r="B150" i="3"/>
  <c r="D151" i="3"/>
  <c r="D155" i="3"/>
  <c r="N50" i="3"/>
  <c r="W170" i="1"/>
  <c r="W160" i="2"/>
  <c r="W152" i="2"/>
  <c r="W148" i="2"/>
  <c r="H156" i="5"/>
  <c r="H152" i="5"/>
  <c r="H174" i="5"/>
  <c r="L170" i="5"/>
  <c r="D142" i="7"/>
  <c r="N43" i="7"/>
  <c r="N8" i="7"/>
  <c r="N10" i="7"/>
  <c r="C140" i="7"/>
  <c r="W185" i="7"/>
  <c r="H177" i="7"/>
  <c r="L161" i="7"/>
  <c r="N41" i="8"/>
  <c r="C173" i="8"/>
  <c r="D173" i="8"/>
  <c r="N65" i="8"/>
  <c r="D153" i="8"/>
  <c r="N24" i="8"/>
  <c r="C161" i="8"/>
  <c r="D172" i="15"/>
  <c r="C169" i="15"/>
  <c r="N38" i="15"/>
  <c r="D160" i="15"/>
  <c r="D157" i="15"/>
  <c r="N11" i="15"/>
  <c r="H172" i="15"/>
  <c r="L157" i="15"/>
  <c r="W200" i="9"/>
  <c r="N68" i="7"/>
  <c r="H174" i="7"/>
  <c r="D178" i="5"/>
  <c r="D174" i="3"/>
  <c r="C176" i="3"/>
  <c r="N20" i="1"/>
  <c r="H166" i="3"/>
  <c r="J146" i="3"/>
  <c r="W142" i="5"/>
  <c r="L175" i="5"/>
  <c r="D141" i="7"/>
  <c r="B130" i="35"/>
  <c r="N28" i="32"/>
  <c r="C87" i="32"/>
  <c r="C97" i="32"/>
  <c r="N37" i="35"/>
  <c r="L70" i="30"/>
  <c r="H92" i="31"/>
  <c r="N48" i="12"/>
  <c r="C197" i="9"/>
  <c r="N123" i="9"/>
  <c r="N125" i="9"/>
  <c r="N127" i="9"/>
  <c r="N21" i="19"/>
  <c r="N23" i="19"/>
  <c r="N48" i="19"/>
  <c r="D169" i="19"/>
  <c r="N63" i="19"/>
  <c r="N84" i="19"/>
  <c r="W188" i="18"/>
  <c r="D176" i="17"/>
  <c r="W120" i="26"/>
  <c r="W124" i="26"/>
  <c r="W152" i="26"/>
  <c r="C178" i="25"/>
  <c r="B176" i="23"/>
  <c r="N98" i="23"/>
  <c r="D183" i="23"/>
  <c r="C182" i="22"/>
  <c r="N89" i="22"/>
  <c r="W150" i="22"/>
  <c r="W168" i="22"/>
  <c r="W186" i="22"/>
  <c r="W153" i="8"/>
  <c r="W157" i="8"/>
  <c r="W161" i="8"/>
  <c r="W165" i="8"/>
  <c r="W169" i="8"/>
  <c r="W173" i="8"/>
  <c r="W177" i="8"/>
  <c r="W197" i="8"/>
  <c r="W142" i="14"/>
  <c r="B176" i="13"/>
  <c r="B172" i="13"/>
  <c r="N51" i="13"/>
  <c r="D169" i="13"/>
  <c r="B168" i="13"/>
  <c r="W158" i="13"/>
  <c r="N48" i="35"/>
  <c r="C108" i="36"/>
  <c r="D82" i="29"/>
  <c r="N12" i="29"/>
  <c r="N8" i="29"/>
  <c r="L81" i="31"/>
  <c r="J79" i="31"/>
  <c r="C192" i="18"/>
  <c r="B99" i="32"/>
  <c r="W167" i="20"/>
  <c r="N124" i="8"/>
  <c r="B179" i="13"/>
  <c r="N43" i="28"/>
  <c r="N24" i="31"/>
  <c r="N29" i="31"/>
  <c r="B85" i="31"/>
  <c r="C92" i="31"/>
  <c r="J112" i="35"/>
  <c r="N112" i="35" s="1"/>
  <c r="J116" i="36"/>
  <c r="L112" i="36"/>
  <c r="L175" i="13"/>
  <c r="C177" i="12"/>
  <c r="B179" i="12"/>
  <c r="N82" i="19"/>
  <c r="B157" i="18"/>
  <c r="J130" i="16"/>
  <c r="C134" i="16"/>
  <c r="B136" i="16"/>
  <c r="L142" i="16"/>
  <c r="C145" i="16"/>
  <c r="B146" i="16"/>
  <c r="L182" i="25"/>
  <c r="W180" i="25"/>
  <c r="D172" i="23"/>
  <c r="L189" i="22"/>
  <c r="W152" i="15"/>
  <c r="L164" i="22"/>
  <c r="W115" i="35"/>
  <c r="W202" i="8"/>
  <c r="N83" i="35"/>
  <c r="H98" i="34"/>
  <c r="B149" i="14"/>
  <c r="D148" i="14"/>
  <c r="N22" i="14"/>
  <c r="N17" i="14"/>
  <c r="B142" i="14"/>
  <c r="J140" i="14"/>
  <c r="H157" i="14"/>
  <c r="J153" i="14"/>
  <c r="L146" i="14"/>
  <c r="D92" i="32"/>
  <c r="J93" i="28"/>
  <c r="H79" i="30"/>
  <c r="J72" i="30"/>
  <c r="H88" i="29"/>
  <c r="J84" i="29"/>
  <c r="C152" i="12"/>
  <c r="C171" i="11"/>
  <c r="N75" i="11"/>
  <c r="N86" i="11"/>
  <c r="N93" i="11"/>
  <c r="N95" i="11"/>
  <c r="W164" i="11"/>
  <c r="W187" i="11"/>
  <c r="N9" i="9"/>
  <c r="H203" i="9"/>
  <c r="C174" i="18"/>
  <c r="L182" i="18"/>
  <c r="N16" i="26"/>
  <c r="D129" i="26"/>
  <c r="N53" i="26"/>
  <c r="N54" i="26"/>
  <c r="C142" i="26"/>
  <c r="D143" i="26"/>
  <c r="D148" i="26"/>
  <c r="C149" i="26"/>
  <c r="B150" i="26"/>
  <c r="N20" i="25"/>
  <c r="B145" i="25"/>
  <c r="J146" i="25"/>
  <c r="N39" i="25"/>
  <c r="N40" i="25"/>
  <c r="D164" i="25"/>
  <c r="C167" i="25"/>
  <c r="N71" i="25"/>
  <c r="H170" i="25"/>
  <c r="L174" i="25"/>
  <c r="L178" i="25"/>
  <c r="N99" i="25"/>
  <c r="W159" i="25"/>
  <c r="B171" i="23"/>
  <c r="N14" i="22"/>
  <c r="D157" i="22"/>
  <c r="B162" i="22"/>
  <c r="B164" i="22"/>
  <c r="N46" i="22"/>
  <c r="N53" i="22"/>
  <c r="N55" i="22"/>
  <c r="N71" i="22"/>
  <c r="N77" i="22"/>
  <c r="B182" i="22"/>
  <c r="D184" i="22"/>
  <c r="C190" i="22"/>
  <c r="B195" i="22"/>
  <c r="N110" i="22"/>
  <c r="B200" i="22"/>
  <c r="D201" i="22"/>
  <c r="B202" i="22"/>
  <c r="N124" i="22"/>
  <c r="W162" i="15"/>
  <c r="W178" i="15"/>
  <c r="W184" i="14"/>
  <c r="W192" i="14"/>
  <c r="H156" i="13"/>
  <c r="W159" i="13"/>
  <c r="N101" i="5"/>
  <c r="C114" i="36"/>
  <c r="D136" i="7"/>
  <c r="C87" i="34"/>
  <c r="B92" i="34"/>
  <c r="S90" i="34"/>
  <c r="B96" i="34"/>
  <c r="U96" i="34"/>
  <c r="D85" i="34"/>
  <c r="E85" i="34" s="1"/>
  <c r="S96" i="34"/>
  <c r="C91" i="34"/>
  <c r="N54" i="34"/>
  <c r="J79" i="34"/>
  <c r="J85" i="34"/>
  <c r="H178" i="21"/>
  <c r="L134" i="21"/>
  <c r="N101" i="21"/>
  <c r="N94" i="21"/>
  <c r="S178" i="21"/>
  <c r="T173" i="21"/>
  <c r="N65" i="21"/>
  <c r="L178" i="21"/>
  <c r="S184" i="21"/>
  <c r="B139" i="21"/>
  <c r="C168" i="21"/>
  <c r="L161" i="21"/>
  <c r="U159" i="21"/>
  <c r="N120" i="18"/>
  <c r="W186" i="18"/>
  <c r="N72" i="18"/>
  <c r="D173" i="18"/>
  <c r="B190" i="22"/>
  <c r="L158" i="22"/>
  <c r="N80" i="22"/>
  <c r="H200" i="22"/>
  <c r="J186" i="22"/>
  <c r="L184" i="22"/>
  <c r="L160" i="22"/>
  <c r="H170" i="22"/>
  <c r="L178" i="22"/>
  <c r="H178" i="22"/>
  <c r="N92" i="22"/>
  <c r="N106" i="22"/>
  <c r="N7" i="22"/>
  <c r="J160" i="22"/>
  <c r="N160" i="22" s="1"/>
  <c r="J200" i="22"/>
  <c r="C178" i="22"/>
  <c r="N82" i="22"/>
  <c r="H202" i="22"/>
  <c r="H198" i="22"/>
  <c r="H194" i="22"/>
  <c r="H190" i="22"/>
  <c r="H186" i="22"/>
  <c r="L157" i="22"/>
  <c r="J174" i="22"/>
  <c r="B150" i="22"/>
  <c r="C162" i="22"/>
  <c r="L165" i="22"/>
  <c r="D169" i="22"/>
  <c r="B170" i="22"/>
  <c r="N104" i="22"/>
  <c r="N120" i="22"/>
  <c r="L187" i="22"/>
  <c r="J174" i="23"/>
  <c r="U175" i="23"/>
  <c r="D176" i="23"/>
  <c r="C177" i="23"/>
  <c r="H138" i="23"/>
  <c r="L161" i="23"/>
  <c r="J176" i="23"/>
  <c r="N8" i="23"/>
  <c r="N13" i="23"/>
  <c r="L142" i="23"/>
  <c r="H170" i="23"/>
  <c r="W146" i="23"/>
  <c r="W158" i="23"/>
  <c r="B170" i="23"/>
  <c r="D171" i="23"/>
  <c r="J161" i="23"/>
  <c r="N89" i="23"/>
  <c r="N96" i="23"/>
  <c r="H174" i="23"/>
  <c r="N62" i="23"/>
  <c r="C172" i="23"/>
  <c r="N104" i="23"/>
  <c r="C154" i="23"/>
  <c r="H161" i="23"/>
  <c r="D161" i="23"/>
  <c r="N65" i="23"/>
  <c r="H171" i="23"/>
  <c r="N78" i="23"/>
  <c r="W172" i="24"/>
  <c r="T171" i="24"/>
  <c r="W142" i="24"/>
  <c r="W189" i="24"/>
  <c r="N70" i="24"/>
  <c r="W146" i="24"/>
  <c r="N28" i="24"/>
  <c r="N30" i="24"/>
  <c r="N61" i="24"/>
  <c r="B173" i="24"/>
  <c r="N102" i="24"/>
  <c r="L183" i="24"/>
  <c r="N106" i="24"/>
  <c r="N107" i="24"/>
  <c r="N109" i="24"/>
  <c r="N93" i="24"/>
  <c r="N47" i="24"/>
  <c r="N49" i="24"/>
  <c r="H163" i="24"/>
  <c r="C171" i="24"/>
  <c r="N79" i="24"/>
  <c r="N85" i="24"/>
  <c r="L177" i="24"/>
  <c r="D178" i="24"/>
  <c r="N95" i="24"/>
  <c r="D187" i="24"/>
  <c r="L145" i="25"/>
  <c r="N107" i="25"/>
  <c r="C154" i="25"/>
  <c r="D166" i="25"/>
  <c r="N103" i="25"/>
  <c r="B170" i="25"/>
  <c r="H174" i="25"/>
  <c r="B161" i="25"/>
  <c r="N10" i="25"/>
  <c r="N31" i="25"/>
  <c r="N101" i="25"/>
  <c r="N102" i="25"/>
  <c r="D170" i="25"/>
  <c r="N112" i="25"/>
  <c r="H122" i="26"/>
  <c r="B144" i="26"/>
  <c r="N71" i="26"/>
  <c r="N46" i="26"/>
  <c r="N74" i="26"/>
  <c r="H123" i="26"/>
  <c r="N59" i="26"/>
  <c r="N21" i="26"/>
  <c r="N23" i="26"/>
  <c r="C150" i="26"/>
  <c r="N76" i="26"/>
  <c r="L122" i="26"/>
  <c r="H124" i="26"/>
  <c r="N44" i="26"/>
  <c r="N48" i="26"/>
  <c r="N51" i="26"/>
  <c r="N52" i="26"/>
  <c r="N67" i="26"/>
  <c r="J153" i="26"/>
  <c r="T81" i="38"/>
  <c r="U104" i="37"/>
  <c r="W104" i="37" s="1"/>
  <c r="L87" i="37"/>
  <c r="W90" i="37"/>
  <c r="S94" i="37"/>
  <c r="D84" i="37"/>
  <c r="E82" i="37"/>
  <c r="W82" i="37"/>
  <c r="U94" i="37"/>
  <c r="J91" i="37"/>
  <c r="D104" i="37"/>
  <c r="L94" i="37"/>
  <c r="N10" i="37"/>
  <c r="N33" i="37"/>
  <c r="L86" i="37"/>
  <c r="L95" i="37"/>
  <c r="H91" i="37"/>
  <c r="N16" i="37"/>
  <c r="D87" i="37"/>
  <c r="B90" i="37"/>
  <c r="B94" i="37"/>
  <c r="D95" i="37"/>
  <c r="B102" i="37"/>
  <c r="D103" i="37"/>
  <c r="C104" i="37"/>
  <c r="H86" i="37"/>
  <c r="L116" i="36"/>
  <c r="D107" i="36"/>
  <c r="N22" i="36"/>
  <c r="C103" i="36"/>
  <c r="D116" i="36"/>
  <c r="N49" i="36"/>
  <c r="N10" i="16"/>
  <c r="N14" i="16"/>
  <c r="B127" i="16"/>
  <c r="L127" i="16"/>
  <c r="D130" i="16"/>
  <c r="C130" i="16"/>
  <c r="N25" i="16"/>
  <c r="B132" i="16"/>
  <c r="N30" i="16"/>
  <c r="B134" i="16"/>
  <c r="N36" i="16"/>
  <c r="N39" i="16"/>
  <c r="B138" i="16"/>
  <c r="N43" i="16"/>
  <c r="D141" i="16"/>
  <c r="N48" i="16"/>
  <c r="N50" i="16"/>
  <c r="B144" i="16"/>
  <c r="D147" i="16"/>
  <c r="C148" i="16"/>
  <c r="C151" i="16"/>
  <c r="N67" i="16"/>
  <c r="B152" i="16"/>
  <c r="N69" i="16"/>
  <c r="J153" i="16"/>
  <c r="L154" i="16"/>
  <c r="D154" i="16"/>
  <c r="N74" i="16"/>
  <c r="L123" i="16"/>
  <c r="D132" i="16"/>
  <c r="D144" i="16"/>
  <c r="W148" i="16"/>
  <c r="W161" i="16"/>
  <c r="N76" i="16"/>
  <c r="E154" i="16"/>
  <c r="N72" i="16"/>
  <c r="N59" i="16"/>
  <c r="N28" i="16"/>
  <c r="C142" i="16"/>
  <c r="C155" i="16"/>
  <c r="N80" i="16"/>
  <c r="L153" i="16"/>
  <c r="C131" i="16"/>
  <c r="J127" i="16"/>
  <c r="N21" i="16"/>
  <c r="N52" i="16"/>
  <c r="J135" i="16"/>
  <c r="N139" i="16"/>
  <c r="N38" i="16"/>
  <c r="C138" i="16"/>
  <c r="N44" i="16"/>
  <c r="H127" i="16"/>
  <c r="N127" i="16" s="1"/>
  <c r="C122" i="35"/>
  <c r="D121" i="35"/>
  <c r="S168" i="17"/>
  <c r="N12" i="17"/>
  <c r="N52" i="17"/>
  <c r="H170" i="17"/>
  <c r="N82" i="17"/>
  <c r="N87" i="17"/>
  <c r="N96" i="17"/>
  <c r="N98" i="17"/>
  <c r="H146" i="17"/>
  <c r="H143" i="17"/>
  <c r="H144" i="17"/>
  <c r="N28" i="18"/>
  <c r="B153" i="18"/>
  <c r="D154" i="18"/>
  <c r="N46" i="18"/>
  <c r="N48" i="18"/>
  <c r="N55" i="18"/>
  <c r="N57" i="18"/>
  <c r="B161" i="18"/>
  <c r="N74" i="18"/>
  <c r="N81" i="18"/>
  <c r="N84" i="18"/>
  <c r="D161" i="19"/>
  <c r="N103" i="19"/>
  <c r="N41" i="19"/>
  <c r="N7" i="19"/>
  <c r="H166" i="19"/>
  <c r="N52" i="19"/>
  <c r="J192" i="19"/>
  <c r="N57" i="19"/>
  <c r="N61" i="19"/>
  <c r="J178" i="19"/>
  <c r="D165" i="19"/>
  <c r="T165" i="19"/>
  <c r="D181" i="19"/>
  <c r="W168" i="19"/>
  <c r="W179" i="19"/>
  <c r="L148" i="19"/>
  <c r="C153" i="19"/>
  <c r="B154" i="19"/>
  <c r="N65" i="19"/>
  <c r="N94" i="20"/>
  <c r="D139" i="21"/>
  <c r="N34" i="21"/>
  <c r="N54" i="21"/>
  <c r="N56" i="21"/>
  <c r="N72" i="21"/>
  <c r="C177" i="21"/>
  <c r="N10" i="21"/>
  <c r="N12" i="21"/>
  <c r="J159" i="21"/>
  <c r="H173" i="21"/>
  <c r="L82" i="34"/>
  <c r="H91" i="34"/>
  <c r="J98" i="34"/>
  <c r="D95" i="34"/>
  <c r="H78" i="34"/>
  <c r="N46" i="34"/>
  <c r="J86" i="33"/>
  <c r="N21" i="9"/>
  <c r="N23" i="9"/>
  <c r="N81" i="9"/>
  <c r="D190" i="9"/>
  <c r="B192" i="9"/>
  <c r="S161" i="10"/>
  <c r="N159" i="11"/>
  <c r="N32" i="11"/>
  <c r="D159" i="11"/>
  <c r="J193" i="11"/>
  <c r="N60" i="11"/>
  <c r="N121" i="11"/>
  <c r="N89" i="11"/>
  <c r="N7" i="11"/>
  <c r="B193" i="11"/>
  <c r="N78" i="11"/>
  <c r="D180" i="12"/>
  <c r="B166" i="12"/>
  <c r="N96" i="12"/>
  <c r="N43" i="12"/>
  <c r="N7" i="32"/>
  <c r="W81" i="32"/>
  <c r="C77" i="32"/>
  <c r="H95" i="32"/>
  <c r="H89" i="32"/>
  <c r="J87" i="32"/>
  <c r="C92" i="32"/>
  <c r="N17" i="32"/>
  <c r="L88" i="32"/>
  <c r="H87" i="32"/>
  <c r="N87" i="32" s="1"/>
  <c r="N66" i="13"/>
  <c r="N13" i="13"/>
  <c r="H155" i="13"/>
  <c r="D161" i="13"/>
  <c r="N29" i="13"/>
  <c r="B208" i="13"/>
  <c r="L202" i="13"/>
  <c r="L198" i="13"/>
  <c r="H194" i="13"/>
  <c r="W172" i="13"/>
  <c r="N59" i="13"/>
  <c r="N158" i="13"/>
  <c r="H183" i="13"/>
  <c r="H175" i="13"/>
  <c r="L171" i="13"/>
  <c r="W176" i="13"/>
  <c r="W168" i="13"/>
  <c r="W153" i="13"/>
  <c r="W208" i="13"/>
  <c r="C192" i="14"/>
  <c r="N178" i="14"/>
  <c r="B188" i="14"/>
  <c r="N156" i="14"/>
  <c r="N118" i="14"/>
  <c r="C167" i="14"/>
  <c r="D158" i="14"/>
  <c r="N44" i="14"/>
  <c r="N43" i="14"/>
  <c r="D140" i="14"/>
  <c r="C191" i="14"/>
  <c r="C157" i="14"/>
  <c r="N85" i="15"/>
  <c r="N111" i="15"/>
  <c r="W153" i="15"/>
  <c r="W157" i="15"/>
  <c r="W161" i="15"/>
  <c r="W165" i="15"/>
  <c r="W169" i="15"/>
  <c r="W173" i="15"/>
  <c r="W177" i="15"/>
  <c r="W184" i="15"/>
  <c r="W194" i="15"/>
  <c r="W200" i="15"/>
  <c r="J170" i="15"/>
  <c r="J157" i="15"/>
  <c r="B153" i="15"/>
  <c r="J204" i="15"/>
  <c r="B176" i="15"/>
  <c r="B168" i="15"/>
  <c r="N31" i="15"/>
  <c r="N15" i="15"/>
  <c r="C164" i="15"/>
  <c r="N127" i="8"/>
  <c r="N71" i="8"/>
  <c r="C172" i="8"/>
  <c r="D183" i="8"/>
  <c r="B183" i="8"/>
  <c r="N38" i="8"/>
  <c r="C183" i="8"/>
  <c r="D163" i="8"/>
  <c r="N64" i="8"/>
  <c r="B171" i="8"/>
  <c r="D172" i="8"/>
  <c r="N122" i="8"/>
  <c r="B166" i="7"/>
  <c r="D187" i="7"/>
  <c r="N20" i="7"/>
  <c r="N48" i="29"/>
  <c r="C87" i="29"/>
  <c r="N51" i="29"/>
  <c r="C83" i="29"/>
  <c r="N88" i="5"/>
  <c r="C147" i="5"/>
  <c r="H163" i="5"/>
  <c r="B174" i="5"/>
  <c r="J143" i="5"/>
  <c r="N56" i="5"/>
  <c r="C175" i="5"/>
  <c r="N95" i="5"/>
  <c r="N106" i="5"/>
  <c r="L141" i="5"/>
  <c r="B142" i="5"/>
  <c r="N116" i="3"/>
  <c r="L156" i="3"/>
  <c r="C137" i="2"/>
  <c r="N6" i="2"/>
  <c r="B162" i="2"/>
  <c r="B163" i="2"/>
  <c r="E163" i="2" s="1"/>
  <c r="C142" i="1"/>
  <c r="B176" i="1"/>
  <c r="N147" i="16"/>
  <c r="W145" i="16"/>
  <c r="W139" i="18"/>
  <c r="C169" i="14"/>
  <c r="C170" i="14"/>
  <c r="B171" i="14"/>
  <c r="N76" i="14"/>
  <c r="B180" i="15"/>
  <c r="D184" i="15"/>
  <c r="D186" i="15"/>
  <c r="N73" i="8"/>
  <c r="D180" i="8"/>
  <c r="D182" i="8"/>
  <c r="N81" i="8"/>
  <c r="C189" i="8"/>
  <c r="B191" i="8"/>
  <c r="D170" i="5"/>
  <c r="N74" i="5"/>
  <c r="D172" i="5"/>
  <c r="B173" i="5"/>
  <c r="D175" i="5"/>
  <c r="N99" i="5"/>
  <c r="B172" i="3"/>
  <c r="D177" i="3"/>
  <c r="N79" i="3"/>
  <c r="D184" i="3"/>
  <c r="B173" i="2"/>
  <c r="C179" i="2"/>
  <c r="B174" i="1"/>
  <c r="D189" i="3"/>
  <c r="D185" i="14"/>
  <c r="C191" i="1"/>
  <c r="D194" i="3"/>
  <c r="C188" i="5"/>
  <c r="C195" i="3"/>
  <c r="B190" i="5"/>
  <c r="C190" i="5"/>
  <c r="D164" i="2"/>
  <c r="B155" i="2"/>
  <c r="D156" i="2"/>
  <c r="B159" i="2"/>
  <c r="D160" i="2"/>
  <c r="C143" i="2"/>
  <c r="C147" i="2"/>
  <c r="C151" i="2"/>
  <c r="N44" i="3"/>
  <c r="N15" i="3"/>
  <c r="N15" i="5"/>
  <c r="N18" i="5"/>
  <c r="N20" i="5"/>
  <c r="L178" i="5"/>
  <c r="W170" i="5"/>
  <c r="D161" i="7"/>
  <c r="C142" i="7"/>
  <c r="D169" i="8"/>
  <c r="E169" i="8" s="1"/>
  <c r="N22" i="8"/>
  <c r="N25" i="8"/>
  <c r="H193" i="15"/>
  <c r="H185" i="15"/>
  <c r="L181" i="14"/>
  <c r="J177" i="14"/>
  <c r="J173" i="14"/>
  <c r="D94" i="29"/>
  <c r="B97" i="29"/>
  <c r="D98" i="29"/>
  <c r="N57" i="29"/>
  <c r="N33" i="30"/>
  <c r="B80" i="30"/>
  <c r="N14" i="31"/>
  <c r="D77" i="31"/>
  <c r="D88" i="31"/>
  <c r="B91" i="31"/>
  <c r="D92" i="31"/>
  <c r="C93" i="31"/>
  <c r="C80" i="32"/>
  <c r="B83" i="32"/>
  <c r="C83" i="32"/>
  <c r="B85" i="32"/>
  <c r="D86" i="32"/>
  <c r="B87" i="32"/>
  <c r="D88" i="32"/>
  <c r="B91" i="32"/>
  <c r="N44" i="32"/>
  <c r="B95" i="32"/>
  <c r="D96" i="32"/>
  <c r="B97" i="32"/>
  <c r="N14" i="34"/>
  <c r="D82" i="34"/>
  <c r="N28" i="34"/>
  <c r="C88" i="34"/>
  <c r="B93" i="34"/>
  <c r="D94" i="34"/>
  <c r="B95" i="34"/>
  <c r="N38" i="37"/>
  <c r="C98" i="37"/>
  <c r="H90" i="28"/>
  <c r="N55" i="29"/>
  <c r="J81" i="29"/>
  <c r="H90" i="32"/>
  <c r="H92" i="32"/>
  <c r="H82" i="32"/>
  <c r="L78" i="32"/>
  <c r="H168" i="12"/>
  <c r="N172" i="3"/>
  <c r="W151" i="18"/>
  <c r="W155" i="16"/>
  <c r="W173" i="11"/>
  <c r="N92" i="3"/>
  <c r="N82" i="1"/>
  <c r="D189" i="7"/>
  <c r="N121" i="8"/>
  <c r="H195" i="3"/>
  <c r="L184" i="3"/>
  <c r="N184" i="3" s="1"/>
  <c r="H180" i="3"/>
  <c r="J163" i="3"/>
  <c r="W159" i="3"/>
  <c r="H155" i="7"/>
  <c r="J151" i="7"/>
  <c r="H147" i="7"/>
  <c r="C166" i="8"/>
  <c r="C168" i="8"/>
  <c r="N54" i="8"/>
  <c r="N67" i="8"/>
  <c r="B150" i="8"/>
  <c r="B156" i="8"/>
  <c r="E156" i="8" s="1"/>
  <c r="N46" i="15"/>
  <c r="D159" i="15"/>
  <c r="B158" i="15"/>
  <c r="L175" i="15"/>
  <c r="J172" i="15"/>
  <c r="H164" i="15"/>
  <c r="H157" i="15"/>
  <c r="C168" i="14"/>
  <c r="E168" i="14" s="1"/>
  <c r="N63" i="14"/>
  <c r="C164" i="14"/>
  <c r="N55" i="14"/>
  <c r="N52" i="14"/>
  <c r="N49" i="14"/>
  <c r="B158" i="14"/>
  <c r="J159" i="14"/>
  <c r="N8" i="31"/>
  <c r="N17" i="31"/>
  <c r="N31" i="37"/>
  <c r="D98" i="37"/>
  <c r="N37" i="12"/>
  <c r="D170" i="12"/>
  <c r="H141" i="11"/>
  <c r="L142" i="11"/>
  <c r="N182" i="21"/>
  <c r="D183" i="14"/>
  <c r="B196" i="15"/>
  <c r="D178" i="8"/>
  <c r="C179" i="8"/>
  <c r="B186" i="8"/>
  <c r="D189" i="8"/>
  <c r="N95" i="8"/>
  <c r="C190" i="8"/>
  <c r="B192" i="8"/>
  <c r="C167" i="7"/>
  <c r="D171" i="3"/>
  <c r="N98" i="3"/>
  <c r="B172" i="2"/>
  <c r="D177" i="2"/>
  <c r="C178" i="2"/>
  <c r="N94" i="2"/>
  <c r="B181" i="2"/>
  <c r="N111" i="13"/>
  <c r="B200" i="13"/>
  <c r="C187" i="14"/>
  <c r="D200" i="15"/>
  <c r="N117" i="13"/>
  <c r="N110" i="14"/>
  <c r="N119" i="8"/>
  <c r="N119" i="3"/>
  <c r="D201" i="8"/>
  <c r="D204" i="15"/>
  <c r="C170" i="1"/>
  <c r="C166" i="1"/>
  <c r="B162" i="1"/>
  <c r="B158" i="1"/>
  <c r="N42" i="2"/>
  <c r="B158" i="2"/>
  <c r="N13" i="2"/>
  <c r="N21" i="2"/>
  <c r="N29" i="2"/>
  <c r="N37" i="2"/>
  <c r="C149" i="3"/>
  <c r="H191" i="1"/>
  <c r="W179" i="3"/>
  <c r="N25" i="5"/>
  <c r="W166" i="5"/>
  <c r="L162" i="5"/>
  <c r="J158" i="5"/>
  <c r="W150" i="5"/>
  <c r="L146" i="5"/>
  <c r="L187" i="5"/>
  <c r="B148" i="7"/>
  <c r="N36" i="7"/>
  <c r="D153" i="7"/>
  <c r="N44" i="7"/>
  <c r="L189" i="7"/>
  <c r="L185" i="7"/>
  <c r="L169" i="7"/>
  <c r="W162" i="7"/>
  <c r="H158" i="7"/>
  <c r="J150" i="7"/>
  <c r="J148" i="7"/>
  <c r="J146" i="7"/>
  <c r="W142" i="7"/>
  <c r="J140" i="7"/>
  <c r="B165" i="8"/>
  <c r="D166" i="8"/>
  <c r="B167" i="8"/>
  <c r="E167" i="8" s="1"/>
  <c r="D168" i="8"/>
  <c r="B173" i="8"/>
  <c r="D174" i="8"/>
  <c r="B175" i="8"/>
  <c r="C150" i="8"/>
  <c r="D150" i="8"/>
  <c r="B162" i="8"/>
  <c r="C177" i="15"/>
  <c r="N145" i="14"/>
  <c r="N10" i="28"/>
  <c r="C85" i="28"/>
  <c r="C91" i="28"/>
  <c r="C97" i="28"/>
  <c r="B75" i="31"/>
  <c r="C76" i="31"/>
  <c r="C78" i="31"/>
  <c r="E78" i="31" s="1"/>
  <c r="N18" i="31"/>
  <c r="D79" i="31"/>
  <c r="D87" i="31"/>
  <c r="E87" i="31" s="1"/>
  <c r="D91" i="31"/>
  <c r="B92" i="31"/>
  <c r="D93" i="31"/>
  <c r="C79" i="32"/>
  <c r="C90" i="32"/>
  <c r="B92" i="32"/>
  <c r="N45" i="32"/>
  <c r="B96" i="32"/>
  <c r="C77" i="34"/>
  <c r="C81" i="34"/>
  <c r="D91" i="34"/>
  <c r="C95" i="37"/>
  <c r="B96" i="37"/>
  <c r="D97" i="37"/>
  <c r="D101" i="37"/>
  <c r="N54" i="37"/>
  <c r="C103" i="37"/>
  <c r="E103" i="37" s="1"/>
  <c r="B104" i="37"/>
  <c r="E104" i="37" s="1"/>
  <c r="H105" i="28"/>
  <c r="J91" i="28"/>
  <c r="L72" i="30"/>
  <c r="H82" i="29"/>
  <c r="H91" i="32"/>
  <c r="J85" i="32"/>
  <c r="J97" i="37"/>
  <c r="L93" i="37"/>
  <c r="J89" i="37"/>
  <c r="H84" i="37"/>
  <c r="N76" i="13"/>
  <c r="L200" i="13"/>
  <c r="H176" i="13"/>
  <c r="J172" i="13"/>
  <c r="C163" i="12"/>
  <c r="C164" i="12"/>
  <c r="N8" i="11"/>
  <c r="N154" i="14"/>
  <c r="N143" i="11"/>
  <c r="N92" i="14"/>
  <c r="N93" i="8"/>
  <c r="D169" i="5"/>
  <c r="N94" i="5"/>
  <c r="N84" i="1"/>
  <c r="N107" i="3"/>
  <c r="N34" i="3"/>
  <c r="W140" i="2"/>
  <c r="H169" i="3"/>
  <c r="L150" i="3"/>
  <c r="H146" i="3"/>
  <c r="N58" i="5"/>
  <c r="N61" i="5"/>
  <c r="N9" i="5"/>
  <c r="N35" i="5"/>
  <c r="L157" i="5"/>
  <c r="C165" i="15"/>
  <c r="L203" i="15"/>
  <c r="H180" i="15"/>
  <c r="H171" i="15"/>
  <c r="L167" i="15"/>
  <c r="H163" i="15"/>
  <c r="D167" i="14"/>
  <c r="E167" i="14" s="1"/>
  <c r="N45" i="14"/>
  <c r="B141" i="14"/>
  <c r="H187" i="14"/>
  <c r="L167" i="14"/>
  <c r="H163" i="14"/>
  <c r="N163" i="14" s="1"/>
  <c r="H143" i="14"/>
  <c r="E88" i="31"/>
  <c r="N30" i="32"/>
  <c r="B90" i="34"/>
  <c r="D162" i="12"/>
  <c r="N74" i="12"/>
  <c r="C141" i="11"/>
  <c r="N12" i="11"/>
  <c r="D147" i="11"/>
  <c r="N28" i="11"/>
  <c r="L166" i="11"/>
  <c r="U171" i="11"/>
  <c r="C175" i="11"/>
  <c r="N101" i="11"/>
  <c r="W142" i="11"/>
  <c r="W148" i="11"/>
  <c r="W155" i="11"/>
  <c r="W163" i="11"/>
  <c r="W168" i="11"/>
  <c r="S163" i="10"/>
  <c r="N40" i="9"/>
  <c r="B168" i="9"/>
  <c r="H175" i="9"/>
  <c r="D176" i="9"/>
  <c r="C178" i="9"/>
  <c r="N64" i="9"/>
  <c r="L179" i="9"/>
  <c r="L180" i="9"/>
  <c r="N84" i="9"/>
  <c r="D189" i="9"/>
  <c r="J193" i="9"/>
  <c r="N106" i="9"/>
  <c r="J199" i="9"/>
  <c r="C202" i="9"/>
  <c r="N121" i="9"/>
  <c r="N35" i="21"/>
  <c r="C150" i="21"/>
  <c r="L169" i="21"/>
  <c r="H183" i="21"/>
  <c r="D184" i="21"/>
  <c r="D187" i="21"/>
  <c r="D145" i="19"/>
  <c r="B153" i="19"/>
  <c r="J153" i="19"/>
  <c r="B159" i="19"/>
  <c r="N44" i="19"/>
  <c r="H174" i="19"/>
  <c r="C181" i="19"/>
  <c r="L189" i="19"/>
  <c r="W191" i="19"/>
  <c r="L175" i="18"/>
  <c r="D176" i="18"/>
  <c r="N87" i="18"/>
  <c r="N89" i="18"/>
  <c r="N103" i="18"/>
  <c r="N105" i="18"/>
  <c r="U187" i="18"/>
  <c r="W187" i="18" s="1"/>
  <c r="W161" i="18"/>
  <c r="N14" i="17"/>
  <c r="N37" i="17"/>
  <c r="N62" i="17"/>
  <c r="N66" i="17"/>
  <c r="N68" i="17"/>
  <c r="S125" i="16"/>
  <c r="W125" i="16" s="1"/>
  <c r="H141" i="16"/>
  <c r="N47" i="16"/>
  <c r="C144" i="16"/>
  <c r="B145" i="16"/>
  <c r="J145" i="16"/>
  <c r="D146" i="16"/>
  <c r="C147" i="16"/>
  <c r="C149" i="16"/>
  <c r="H157" i="16"/>
  <c r="W158" i="16"/>
  <c r="C129" i="26"/>
  <c r="T129" i="26"/>
  <c r="W129" i="26" s="1"/>
  <c r="N41" i="26"/>
  <c r="N43" i="26"/>
  <c r="B136" i="26"/>
  <c r="L139" i="26"/>
  <c r="C141" i="26"/>
  <c r="N57" i="26"/>
  <c r="B143" i="26"/>
  <c r="L143" i="26"/>
  <c r="N63" i="26"/>
  <c r="N64" i="26"/>
  <c r="D149" i="26"/>
  <c r="B159" i="11"/>
  <c r="H192" i="11"/>
  <c r="W160" i="11"/>
  <c r="H162" i="9"/>
  <c r="J164" i="9"/>
  <c r="H170" i="9"/>
  <c r="C173" i="9"/>
  <c r="J189" i="9"/>
  <c r="B141" i="21"/>
  <c r="H148" i="21"/>
  <c r="N37" i="21"/>
  <c r="D152" i="21"/>
  <c r="C156" i="21"/>
  <c r="B161" i="21"/>
  <c r="J184" i="21"/>
  <c r="H185" i="21"/>
  <c r="L186" i="21"/>
  <c r="L187" i="21"/>
  <c r="J180" i="19"/>
  <c r="J190" i="19"/>
  <c r="J191" i="19"/>
  <c r="C149" i="18"/>
  <c r="L167" i="18"/>
  <c r="J176" i="18"/>
  <c r="L136" i="16"/>
  <c r="J146" i="16"/>
  <c r="H129" i="26"/>
  <c r="N56" i="26"/>
  <c r="L173" i="11"/>
  <c r="D176" i="11"/>
  <c r="H183" i="11"/>
  <c r="L184" i="11"/>
  <c r="N106" i="11"/>
  <c r="N108" i="11"/>
  <c r="C190" i="11"/>
  <c r="N112" i="11"/>
  <c r="B191" i="11"/>
  <c r="B164" i="9"/>
  <c r="N70" i="9"/>
  <c r="N71" i="9"/>
  <c r="H182" i="9"/>
  <c r="N89" i="9"/>
  <c r="J190" i="9"/>
  <c r="D197" i="9"/>
  <c r="B200" i="9"/>
  <c r="J202" i="9"/>
  <c r="H137" i="21"/>
  <c r="B142" i="21"/>
  <c r="N36" i="21"/>
  <c r="L149" i="21"/>
  <c r="J150" i="21"/>
  <c r="L152" i="21"/>
  <c r="D155" i="21"/>
  <c r="N75" i="21"/>
  <c r="N87" i="21"/>
  <c r="B176" i="21"/>
  <c r="L176" i="21"/>
  <c r="U180" i="21"/>
  <c r="D181" i="21"/>
  <c r="N112" i="21"/>
  <c r="W146" i="21"/>
  <c r="W152" i="21"/>
  <c r="W156" i="21"/>
  <c r="W175" i="21"/>
  <c r="H170" i="19"/>
  <c r="N71" i="19"/>
  <c r="B181" i="19"/>
  <c r="L181" i="19"/>
  <c r="D183" i="19"/>
  <c r="N99" i="19"/>
  <c r="B187" i="19"/>
  <c r="T188" i="19"/>
  <c r="W188" i="19" s="1"/>
  <c r="N106" i="19"/>
  <c r="W183" i="19"/>
  <c r="L139" i="18"/>
  <c r="D142" i="18"/>
  <c r="N15" i="18"/>
  <c r="N16" i="18"/>
  <c r="N20" i="18"/>
  <c r="L145" i="18"/>
  <c r="J156" i="18"/>
  <c r="C159" i="18"/>
  <c r="H168" i="18"/>
  <c r="D169" i="18"/>
  <c r="J173" i="18"/>
  <c r="W164" i="18"/>
  <c r="J137" i="17"/>
  <c r="D139" i="17"/>
  <c r="D143" i="17"/>
  <c r="B147" i="17"/>
  <c r="B151" i="17"/>
  <c r="C159" i="17"/>
  <c r="D172" i="17"/>
  <c r="J176" i="17"/>
  <c r="N16" i="16"/>
  <c r="B129" i="16"/>
  <c r="L132" i="16"/>
  <c r="D134" i="16"/>
  <c r="B137" i="16"/>
  <c r="L137" i="16"/>
  <c r="N137" i="16" s="1"/>
  <c r="D138" i="16"/>
  <c r="C150" i="16"/>
  <c r="N65" i="16"/>
  <c r="D151" i="16"/>
  <c r="B153" i="16"/>
  <c r="D155" i="16"/>
  <c r="W156" i="16"/>
  <c r="W157" i="16"/>
  <c r="J118" i="26"/>
  <c r="D119" i="26"/>
  <c r="D120" i="26"/>
  <c r="C123" i="26"/>
  <c r="H127" i="26"/>
  <c r="H128" i="26"/>
  <c r="J131" i="26"/>
  <c r="N42" i="26"/>
  <c r="B149" i="26"/>
  <c r="C147" i="11"/>
  <c r="L153" i="11"/>
  <c r="L154" i="11"/>
  <c r="L155" i="11"/>
  <c r="J156" i="11"/>
  <c r="N47" i="11"/>
  <c r="N53" i="11"/>
  <c r="L163" i="11"/>
  <c r="L164" i="11"/>
  <c r="D166" i="11"/>
  <c r="C167" i="11"/>
  <c r="E167" i="11" s="1"/>
  <c r="H172" i="11"/>
  <c r="C154" i="9"/>
  <c r="J167" i="9"/>
  <c r="N67" i="9"/>
  <c r="N73" i="9"/>
  <c r="J183" i="9"/>
  <c r="H187" i="9"/>
  <c r="N91" i="9"/>
  <c r="B202" i="9"/>
  <c r="D140" i="21"/>
  <c r="J177" i="21"/>
  <c r="C185" i="21"/>
  <c r="C186" i="21"/>
  <c r="L162" i="19"/>
  <c r="D164" i="19"/>
  <c r="L172" i="19"/>
  <c r="C175" i="19"/>
  <c r="C188" i="19"/>
  <c r="J157" i="18"/>
  <c r="J158" i="18"/>
  <c r="N51" i="18"/>
  <c r="N64" i="18"/>
  <c r="N100" i="18"/>
  <c r="L187" i="18"/>
  <c r="W143" i="18"/>
  <c r="W156" i="18"/>
  <c r="J138" i="17"/>
  <c r="J139" i="17"/>
  <c r="H124" i="16"/>
  <c r="J125" i="16"/>
  <c r="C129" i="16"/>
  <c r="N26" i="16"/>
  <c r="D150" i="16"/>
  <c r="H145" i="26"/>
  <c r="L150" i="26"/>
  <c r="L151" i="26"/>
  <c r="J152" i="26"/>
  <c r="W125" i="26"/>
  <c r="W151" i="26"/>
  <c r="N19" i="25"/>
  <c r="L167" i="25"/>
  <c r="H168" i="25"/>
  <c r="C174" i="25"/>
  <c r="L175" i="25"/>
  <c r="W142" i="25"/>
  <c r="N17" i="24"/>
  <c r="E142" i="24"/>
  <c r="N21" i="24"/>
  <c r="B143" i="24"/>
  <c r="D166" i="24"/>
  <c r="J173" i="24"/>
  <c r="D174" i="24"/>
  <c r="D180" i="24"/>
  <c r="J151" i="23"/>
  <c r="D173" i="23"/>
  <c r="C174" i="23"/>
  <c r="N91" i="23"/>
  <c r="H179" i="23"/>
  <c r="N179" i="23" s="1"/>
  <c r="C188" i="23"/>
  <c r="W149" i="23"/>
  <c r="W160" i="23"/>
  <c r="W189" i="23"/>
  <c r="B163" i="22"/>
  <c r="D168" i="22"/>
  <c r="N64" i="22"/>
  <c r="N88" i="22"/>
  <c r="N93" i="22"/>
  <c r="N95" i="22"/>
  <c r="N97" i="22"/>
  <c r="N100" i="22"/>
  <c r="W203" i="15"/>
  <c r="W175" i="15"/>
  <c r="W159" i="15"/>
  <c r="W186" i="14"/>
  <c r="W176" i="14"/>
  <c r="W154" i="14"/>
  <c r="W146" i="14"/>
  <c r="C175" i="13"/>
  <c r="N114" i="10"/>
  <c r="J197" i="22"/>
  <c r="D117" i="35"/>
  <c r="N34" i="35"/>
  <c r="N38" i="35"/>
  <c r="D123" i="35"/>
  <c r="L122" i="35"/>
  <c r="L120" i="35"/>
  <c r="J118" i="35"/>
  <c r="J115" i="35"/>
  <c r="C81" i="29"/>
  <c r="W83" i="32"/>
  <c r="W91" i="32"/>
  <c r="C143" i="3"/>
  <c r="B151" i="15"/>
  <c r="N7" i="21"/>
  <c r="T148" i="8"/>
  <c r="D193" i="11"/>
  <c r="N78" i="26"/>
  <c r="C105" i="37"/>
  <c r="C157" i="20"/>
  <c r="W129" i="20"/>
  <c r="W155" i="20"/>
  <c r="W203" i="8"/>
  <c r="L206" i="15"/>
  <c r="W100" i="32"/>
  <c r="W194" i="11"/>
  <c r="N102" i="20"/>
  <c r="N62" i="37"/>
  <c r="W190" i="25"/>
  <c r="W118" i="26"/>
  <c r="B168" i="25"/>
  <c r="D178" i="25"/>
  <c r="L143" i="24"/>
  <c r="C152" i="24"/>
  <c r="B158" i="24"/>
  <c r="B166" i="24"/>
  <c r="J180" i="24"/>
  <c r="D181" i="24"/>
  <c r="N103" i="24"/>
  <c r="C184" i="24"/>
  <c r="C148" i="23"/>
  <c r="N31" i="23"/>
  <c r="N33" i="23"/>
  <c r="N35" i="23"/>
  <c r="B152" i="23"/>
  <c r="L152" i="23"/>
  <c r="L153" i="23"/>
  <c r="N66" i="23"/>
  <c r="H181" i="23"/>
  <c r="N99" i="23"/>
  <c r="L184" i="23"/>
  <c r="D186" i="23"/>
  <c r="W155" i="23"/>
  <c r="N26" i="22"/>
  <c r="C177" i="22"/>
  <c r="C191" i="22"/>
  <c r="D192" i="22"/>
  <c r="N123" i="22"/>
  <c r="W180" i="15"/>
  <c r="W174" i="15"/>
  <c r="W166" i="15"/>
  <c r="B175" i="13"/>
  <c r="J179" i="22"/>
  <c r="L171" i="22"/>
  <c r="H164" i="22"/>
  <c r="H161" i="22"/>
  <c r="L154" i="22"/>
  <c r="W164" i="22"/>
  <c r="S86" i="37"/>
  <c r="W86" i="37" s="1"/>
  <c r="N47" i="35"/>
  <c r="N46" i="35"/>
  <c r="C131" i="35"/>
  <c r="W77" i="31"/>
  <c r="W77" i="32"/>
  <c r="L94" i="34"/>
  <c r="N60" i="35"/>
  <c r="W116" i="35"/>
  <c r="D148" i="8"/>
  <c r="C151" i="15"/>
  <c r="H139" i="14"/>
  <c r="N139" i="14" s="1"/>
  <c r="H148" i="8"/>
  <c r="N6" i="23"/>
  <c r="D149" i="22"/>
  <c r="N116" i="7"/>
  <c r="B202" i="8"/>
  <c r="J207" i="13"/>
  <c r="W193" i="11"/>
  <c r="J205" i="9"/>
  <c r="W191" i="23"/>
  <c r="N50" i="31"/>
  <c r="B105" i="37"/>
  <c r="E105" i="37" s="1"/>
  <c r="N82" i="35"/>
  <c r="N33" i="20"/>
  <c r="N47" i="20"/>
  <c r="D148" i="20"/>
  <c r="C149" i="20"/>
  <c r="D157" i="20"/>
  <c r="N80" i="20"/>
  <c r="N82" i="20"/>
  <c r="N91" i="20"/>
  <c r="N93" i="20"/>
  <c r="N95" i="20"/>
  <c r="N97" i="20"/>
  <c r="N99" i="20"/>
  <c r="N62" i="29"/>
  <c r="N128" i="15"/>
  <c r="N56" i="34"/>
  <c r="D197" i="19"/>
  <c r="H190" i="25"/>
  <c r="N73" i="26"/>
  <c r="N8" i="25"/>
  <c r="L141" i="25"/>
  <c r="H142" i="25"/>
  <c r="J143" i="25"/>
  <c r="B146" i="25"/>
  <c r="N42" i="25"/>
  <c r="N50" i="25"/>
  <c r="B164" i="25"/>
  <c r="J178" i="25"/>
  <c r="B182" i="25"/>
  <c r="H148" i="24"/>
  <c r="N148" i="24" s="1"/>
  <c r="D153" i="24"/>
  <c r="B160" i="24"/>
  <c r="H181" i="24"/>
  <c r="W148" i="24"/>
  <c r="N16" i="23"/>
  <c r="N60" i="23"/>
  <c r="N81" i="23"/>
  <c r="H177" i="23"/>
  <c r="H185" i="23"/>
  <c r="D174" i="22"/>
  <c r="C184" i="22"/>
  <c r="D185" i="22"/>
  <c r="C187" i="22"/>
  <c r="N108" i="22"/>
  <c r="N109" i="22"/>
  <c r="N117" i="22"/>
  <c r="W176" i="22"/>
  <c r="W174" i="8"/>
  <c r="W150" i="8"/>
  <c r="L200" i="22"/>
  <c r="N200" i="22" s="1"/>
  <c r="H172" i="22"/>
  <c r="L152" i="22"/>
  <c r="W204" i="9"/>
  <c r="W95" i="37"/>
  <c r="W100" i="37"/>
  <c r="C130" i="35"/>
  <c r="N70" i="35"/>
  <c r="C126" i="35"/>
  <c r="D126" i="35"/>
  <c r="D124" i="35"/>
  <c r="U114" i="35"/>
  <c r="W114" i="35" s="1"/>
  <c r="W131" i="35"/>
  <c r="H81" i="34"/>
  <c r="J85" i="33"/>
  <c r="N36" i="33"/>
  <c r="B92" i="29"/>
  <c r="D87" i="29"/>
  <c r="B86" i="29"/>
  <c r="C84" i="29"/>
  <c r="D83" i="29"/>
  <c r="B82" i="29"/>
  <c r="W83" i="28"/>
  <c r="W85" i="32"/>
  <c r="H116" i="35"/>
  <c r="N7" i="8"/>
  <c r="L149" i="22"/>
  <c r="W135" i="25"/>
  <c r="W149" i="22"/>
  <c r="N115" i="7"/>
  <c r="W190" i="7"/>
  <c r="C207" i="13"/>
  <c r="L193" i="11"/>
  <c r="W201" i="9"/>
  <c r="L190" i="17"/>
  <c r="N85" i="16"/>
  <c r="B102" i="29"/>
  <c r="H132" i="35"/>
  <c r="N37" i="20"/>
  <c r="N42" i="20"/>
  <c r="N73" i="20"/>
  <c r="W127" i="20"/>
  <c r="W137" i="20"/>
  <c r="N58" i="32"/>
  <c r="N117" i="21"/>
  <c r="W204" i="22"/>
  <c r="N85" i="35"/>
  <c r="N87" i="35"/>
  <c r="H154" i="26"/>
  <c r="W127" i="26"/>
  <c r="N18" i="25"/>
  <c r="C148" i="25"/>
  <c r="B150" i="25"/>
  <c r="N66" i="25"/>
  <c r="L186" i="25"/>
  <c r="L187" i="25"/>
  <c r="W168" i="25"/>
  <c r="N13" i="24"/>
  <c r="N34" i="24"/>
  <c r="H153" i="24"/>
  <c r="S165" i="24"/>
  <c r="B167" i="24"/>
  <c r="B168" i="24"/>
  <c r="L170" i="24"/>
  <c r="J172" i="24"/>
  <c r="B176" i="24"/>
  <c r="H178" i="24"/>
  <c r="L184" i="24"/>
  <c r="N184" i="24" s="1"/>
  <c r="H157" i="23"/>
  <c r="C163" i="23"/>
  <c r="H165" i="23"/>
  <c r="L166" i="23"/>
  <c r="J178" i="23"/>
  <c r="C180" i="23"/>
  <c r="B182" i="23"/>
  <c r="N107" i="23"/>
  <c r="B188" i="23"/>
  <c r="N113" i="23"/>
  <c r="W139" i="23"/>
  <c r="W159" i="23"/>
  <c r="W190" i="23"/>
  <c r="C150" i="22"/>
  <c r="E150" i="22" s="1"/>
  <c r="D150" i="22"/>
  <c r="B159" i="22"/>
  <c r="C168" i="22"/>
  <c r="E168" i="22" s="1"/>
  <c r="C170" i="22"/>
  <c r="B196" i="22"/>
  <c r="N113" i="22"/>
  <c r="N116" i="22"/>
  <c r="W182" i="22"/>
  <c r="D171" i="13"/>
  <c r="N20" i="13"/>
  <c r="W92" i="37"/>
  <c r="J123" i="35"/>
  <c r="B80" i="33"/>
  <c r="C84" i="34"/>
  <c r="L93" i="34"/>
  <c r="L151" i="15"/>
  <c r="C139" i="14"/>
  <c r="H138" i="18"/>
  <c r="N178" i="22"/>
  <c r="L202" i="22"/>
  <c r="W195" i="22"/>
  <c r="N10" i="22"/>
  <c r="C153" i="22"/>
  <c r="N17" i="22"/>
  <c r="N22" i="22"/>
  <c r="C157" i="22"/>
  <c r="D158" i="22"/>
  <c r="C159" i="22"/>
  <c r="D160" i="22"/>
  <c r="N40" i="22"/>
  <c r="S163" i="22"/>
  <c r="N50" i="22"/>
  <c r="N57" i="22"/>
  <c r="N67" i="22"/>
  <c r="D187" i="22"/>
  <c r="C197" i="22"/>
  <c r="J195" i="22"/>
  <c r="N187" i="22"/>
  <c r="U165" i="22"/>
  <c r="L161" i="22"/>
  <c r="W192" i="22"/>
  <c r="N38" i="22"/>
  <c r="N72" i="22"/>
  <c r="L194" i="22"/>
  <c r="L190" i="22"/>
  <c r="L198" i="22"/>
  <c r="N74" i="22"/>
  <c r="J165" i="22"/>
  <c r="N48" i="22"/>
  <c r="J201" i="22"/>
  <c r="N201" i="22" s="1"/>
  <c r="H154" i="22"/>
  <c r="N25" i="22"/>
  <c r="N27" i="22"/>
  <c r="N31" i="22"/>
  <c r="D173" i="22"/>
  <c r="B181" i="22"/>
  <c r="N91" i="22"/>
  <c r="N96" i="22"/>
  <c r="N98" i="22"/>
  <c r="W154" i="22"/>
  <c r="W172" i="22"/>
  <c r="L177" i="22"/>
  <c r="S179" i="22"/>
  <c r="N9" i="22"/>
  <c r="N51" i="22"/>
  <c r="N58" i="22"/>
  <c r="B171" i="22"/>
  <c r="B180" i="22"/>
  <c r="C181" i="22"/>
  <c r="C188" i="22"/>
  <c r="D200" i="22"/>
  <c r="D202" i="22"/>
  <c r="L188" i="22"/>
  <c r="D196" i="22"/>
  <c r="J202" i="22"/>
  <c r="L167" i="22"/>
  <c r="C198" i="22"/>
  <c r="H169" i="22"/>
  <c r="J154" i="22"/>
  <c r="N34" i="22"/>
  <c r="U163" i="22"/>
  <c r="N43" i="22"/>
  <c r="B167" i="22"/>
  <c r="C179" i="22"/>
  <c r="B193" i="22"/>
  <c r="B197" i="22"/>
  <c r="W173" i="22"/>
  <c r="U169" i="23"/>
  <c r="C141" i="23"/>
  <c r="N63" i="23"/>
  <c r="B169" i="23"/>
  <c r="D152" i="23"/>
  <c r="N39" i="23"/>
  <c r="N45" i="23"/>
  <c r="L158" i="23"/>
  <c r="L159" i="23"/>
  <c r="N61" i="23"/>
  <c r="D165" i="23"/>
  <c r="C166" i="23"/>
  <c r="B168" i="23"/>
  <c r="B173" i="23"/>
  <c r="J173" i="23"/>
  <c r="N84" i="23"/>
  <c r="J177" i="23"/>
  <c r="N93" i="23"/>
  <c r="E164" i="23"/>
  <c r="H152" i="23"/>
  <c r="D154" i="23"/>
  <c r="B161" i="23"/>
  <c r="N56" i="23"/>
  <c r="L165" i="23"/>
  <c r="H168" i="23"/>
  <c r="L172" i="23"/>
  <c r="N102" i="23"/>
  <c r="N112" i="23"/>
  <c r="N105" i="23"/>
  <c r="B139" i="23"/>
  <c r="D143" i="23"/>
  <c r="C145" i="23"/>
  <c r="C146" i="23"/>
  <c r="B149" i="23"/>
  <c r="H153" i="23"/>
  <c r="N153" i="23" s="1"/>
  <c r="C158" i="23"/>
  <c r="H166" i="23"/>
  <c r="L167" i="23"/>
  <c r="D168" i="23"/>
  <c r="N88" i="23"/>
  <c r="B141" i="23"/>
  <c r="J143" i="23"/>
  <c r="H144" i="23"/>
  <c r="H155" i="23"/>
  <c r="J156" i="23"/>
  <c r="L157" i="23"/>
  <c r="D158" i="23"/>
  <c r="E158" i="23" s="1"/>
  <c r="N73" i="23"/>
  <c r="L173" i="23"/>
  <c r="W138" i="23"/>
  <c r="D139" i="23"/>
  <c r="B142" i="23"/>
  <c r="N19" i="23"/>
  <c r="B144" i="23"/>
  <c r="L145" i="23"/>
  <c r="H146" i="23"/>
  <c r="L147" i="23"/>
  <c r="L148" i="23"/>
  <c r="D182" i="23"/>
  <c r="N108" i="23"/>
  <c r="D188" i="23"/>
  <c r="W166" i="23"/>
  <c r="B151" i="23"/>
  <c r="W188" i="23"/>
  <c r="J138" i="23"/>
  <c r="H140" i="23"/>
  <c r="C143" i="23"/>
  <c r="B146" i="23"/>
  <c r="H149" i="23"/>
  <c r="N50" i="23"/>
  <c r="N57" i="23"/>
  <c r="N85" i="23"/>
  <c r="N87" i="23"/>
  <c r="N90" i="23"/>
  <c r="N94" i="23"/>
  <c r="W181" i="23"/>
  <c r="J182" i="23"/>
  <c r="J187" i="23"/>
  <c r="E192" i="23"/>
  <c r="N8" i="24"/>
  <c r="N10" i="24"/>
  <c r="N14" i="24"/>
  <c r="E141" i="24"/>
  <c r="N31" i="24"/>
  <c r="H159" i="24"/>
  <c r="N62" i="24"/>
  <c r="U170" i="24"/>
  <c r="J189" i="24"/>
  <c r="D155" i="24"/>
  <c r="D143" i="24"/>
  <c r="H179" i="24"/>
  <c r="D171" i="24"/>
  <c r="E171" i="24" s="1"/>
  <c r="C139" i="24"/>
  <c r="C147" i="24"/>
  <c r="C155" i="24"/>
  <c r="C166" i="24"/>
  <c r="J167" i="24"/>
  <c r="H155" i="24"/>
  <c r="H177" i="24"/>
  <c r="C136" i="24"/>
  <c r="C137" i="24"/>
  <c r="C149" i="24"/>
  <c r="C150" i="24"/>
  <c r="B154" i="24"/>
  <c r="D158" i="24"/>
  <c r="N104" i="24"/>
  <c r="J155" i="24"/>
  <c r="J177" i="24"/>
  <c r="L180" i="24"/>
  <c r="L155" i="24"/>
  <c r="N97" i="24"/>
  <c r="U155" i="24"/>
  <c r="S155" i="24"/>
  <c r="W157" i="24"/>
  <c r="W137" i="24"/>
  <c r="W150" i="24"/>
  <c r="W161" i="24"/>
  <c r="U172" i="25"/>
  <c r="L143" i="25"/>
  <c r="D153" i="25"/>
  <c r="E153" i="25" s="1"/>
  <c r="L151" i="25"/>
  <c r="N35" i="25"/>
  <c r="L153" i="25"/>
  <c r="N52" i="25"/>
  <c r="H159" i="25"/>
  <c r="N159" i="25" s="1"/>
  <c r="N81" i="25"/>
  <c r="N95" i="25"/>
  <c r="N100" i="25"/>
  <c r="C186" i="25"/>
  <c r="W150" i="25"/>
  <c r="H187" i="25"/>
  <c r="N104" i="25"/>
  <c r="H136" i="25"/>
  <c r="D137" i="25"/>
  <c r="D139" i="25"/>
  <c r="J167" i="25"/>
  <c r="W141" i="25"/>
  <c r="H179" i="25"/>
  <c r="J186" i="25"/>
  <c r="J168" i="25"/>
  <c r="J161" i="25"/>
  <c r="H186" i="25"/>
  <c r="J179" i="25"/>
  <c r="H162" i="25"/>
  <c r="L168" i="25"/>
  <c r="N13" i="25"/>
  <c r="N15" i="25"/>
  <c r="J176" i="25"/>
  <c r="L179" i="25"/>
  <c r="H180" i="25"/>
  <c r="B186" i="25"/>
  <c r="J187" i="25"/>
  <c r="L188" i="25"/>
  <c r="W138" i="25"/>
  <c r="W189" i="25"/>
  <c r="J180" i="25"/>
  <c r="J175" i="25"/>
  <c r="E184" i="25"/>
  <c r="J164" i="25"/>
  <c r="C172" i="25"/>
  <c r="B173" i="25"/>
  <c r="B175" i="25"/>
  <c r="N89" i="25"/>
  <c r="C190" i="25"/>
  <c r="C140" i="25"/>
  <c r="N25" i="25"/>
  <c r="N34" i="25"/>
  <c r="N36" i="25"/>
  <c r="N55" i="25"/>
  <c r="H166" i="25"/>
  <c r="C170" i="25"/>
  <c r="E170" i="25" s="1"/>
  <c r="L171" i="25"/>
  <c r="D172" i="25"/>
  <c r="C173" i="25"/>
  <c r="J174" i="25"/>
  <c r="D190" i="25"/>
  <c r="H163" i="25"/>
  <c r="H138" i="25"/>
  <c r="D142" i="25"/>
  <c r="D150" i="25"/>
  <c r="D151" i="25"/>
  <c r="D152" i="25"/>
  <c r="N46" i="25"/>
  <c r="C158" i="25"/>
  <c r="N59" i="25"/>
  <c r="D167" i="25"/>
  <c r="N91" i="25"/>
  <c r="J147" i="26"/>
  <c r="N17" i="26"/>
  <c r="B123" i="26"/>
  <c r="J126" i="26"/>
  <c r="C127" i="26"/>
  <c r="N28" i="26"/>
  <c r="C130" i="26"/>
  <c r="N35" i="26"/>
  <c r="N37" i="26"/>
  <c r="H134" i="26"/>
  <c r="D147" i="26"/>
  <c r="N68" i="26"/>
  <c r="N70" i="26"/>
  <c r="L146" i="26"/>
  <c r="N8" i="26"/>
  <c r="N10" i="26"/>
  <c r="L119" i="26"/>
  <c r="J120" i="26"/>
  <c r="D122" i="26"/>
  <c r="L129" i="26"/>
  <c r="H149" i="26"/>
  <c r="J140" i="26"/>
  <c r="H146" i="26"/>
  <c r="C119" i="26"/>
  <c r="N12" i="26"/>
  <c r="B121" i="26"/>
  <c r="N29" i="26"/>
  <c r="H137" i="26"/>
  <c r="D138" i="26"/>
  <c r="B139" i="26"/>
  <c r="D139" i="26"/>
  <c r="N55" i="26"/>
  <c r="U142" i="26"/>
  <c r="N58" i="26"/>
  <c r="N60" i="26"/>
  <c r="J144" i="26"/>
  <c r="N65" i="26"/>
  <c r="C147" i="26"/>
  <c r="N69" i="26"/>
  <c r="S149" i="26"/>
  <c r="W123" i="26"/>
  <c r="T146" i="26"/>
  <c r="W146" i="26" s="1"/>
  <c r="J150" i="26"/>
  <c r="L134" i="26"/>
  <c r="W137" i="26"/>
  <c r="J143" i="26"/>
  <c r="B145" i="26"/>
  <c r="D146" i="26"/>
  <c r="H150" i="26"/>
  <c r="T140" i="26"/>
  <c r="W122" i="26"/>
  <c r="B138" i="26"/>
  <c r="J146" i="26"/>
  <c r="H141" i="26"/>
  <c r="H118" i="26"/>
  <c r="L140" i="26"/>
  <c r="H147" i="26"/>
  <c r="T134" i="26"/>
  <c r="W145" i="26"/>
  <c r="D132" i="26"/>
  <c r="N40" i="26"/>
  <c r="L135" i="26"/>
  <c r="D140" i="26"/>
  <c r="L124" i="26"/>
  <c r="N31" i="26"/>
  <c r="B130" i="26"/>
  <c r="C135" i="26"/>
  <c r="W147" i="26"/>
  <c r="L153" i="26"/>
  <c r="D154" i="26"/>
  <c r="L80" i="38"/>
  <c r="N80" i="38"/>
  <c r="B106" i="37"/>
  <c r="B84" i="37"/>
  <c r="W83" i="37"/>
  <c r="B98" i="37"/>
  <c r="N14" i="37"/>
  <c r="N7" i="37"/>
  <c r="B87" i="37"/>
  <c r="D88" i="37"/>
  <c r="N9" i="37"/>
  <c r="N57" i="37"/>
  <c r="D83" i="37"/>
  <c r="J90" i="37"/>
  <c r="C101" i="37"/>
  <c r="E101" i="37" s="1"/>
  <c r="W93" i="37"/>
  <c r="N26" i="37"/>
  <c r="H98" i="37"/>
  <c r="N17" i="37"/>
  <c r="J83" i="37"/>
  <c r="W105" i="37"/>
  <c r="D110" i="36"/>
  <c r="L109" i="36"/>
  <c r="N71" i="36"/>
  <c r="J114" i="36"/>
  <c r="B149" i="16"/>
  <c r="W152" i="16"/>
  <c r="H130" i="16"/>
  <c r="J129" i="16"/>
  <c r="W126" i="16"/>
  <c r="N27" i="16"/>
  <c r="W154" i="16"/>
  <c r="N18" i="16"/>
  <c r="B128" i="16"/>
  <c r="N62" i="16"/>
  <c r="S150" i="16"/>
  <c r="W150" i="16" s="1"/>
  <c r="D128" i="16"/>
  <c r="D140" i="16"/>
  <c r="U140" i="16"/>
  <c r="H140" i="16"/>
  <c r="B126" i="16"/>
  <c r="L128" i="16"/>
  <c r="B130" i="16"/>
  <c r="E130" i="16" s="1"/>
  <c r="H134" i="16"/>
  <c r="H138" i="16"/>
  <c r="N138" i="16" s="1"/>
  <c r="J143" i="16"/>
  <c r="N143" i="16" s="1"/>
  <c r="N57" i="16"/>
  <c r="W143" i="16"/>
  <c r="N123" i="16"/>
  <c r="W127" i="16"/>
  <c r="L129" i="16"/>
  <c r="L140" i="16"/>
  <c r="L130" i="16"/>
  <c r="U149" i="16"/>
  <c r="T149" i="16"/>
  <c r="D137" i="16"/>
  <c r="J140" i="16"/>
  <c r="H153" i="16"/>
  <c r="H158" i="16"/>
  <c r="D149" i="16"/>
  <c r="T128" i="16"/>
  <c r="B151" i="16"/>
  <c r="U128" i="16"/>
  <c r="L149" i="16"/>
  <c r="L150" i="16"/>
  <c r="N81" i="16"/>
  <c r="W124" i="16"/>
  <c r="H122" i="35"/>
  <c r="N122" i="35" s="1"/>
  <c r="H120" i="35"/>
  <c r="N45" i="35"/>
  <c r="L129" i="35"/>
  <c r="N61" i="35"/>
  <c r="J120" i="35"/>
  <c r="W120" i="35"/>
  <c r="H126" i="35"/>
  <c r="C120" i="35"/>
  <c r="C128" i="35"/>
  <c r="E128" i="35" s="1"/>
  <c r="N25" i="35"/>
  <c r="N24" i="35"/>
  <c r="N58" i="35"/>
  <c r="D133" i="35"/>
  <c r="L132" i="35"/>
  <c r="B124" i="35"/>
  <c r="H124" i="35"/>
  <c r="S124" i="35"/>
  <c r="B122" i="35"/>
  <c r="E122" i="35" s="1"/>
  <c r="J126" i="35"/>
  <c r="H113" i="35"/>
  <c r="N86" i="35"/>
  <c r="L118" i="35"/>
  <c r="N119" i="35"/>
  <c r="H118" i="35"/>
  <c r="N76" i="35"/>
  <c r="E117" i="35"/>
  <c r="J110" i="35"/>
  <c r="C115" i="35"/>
  <c r="J116" i="35"/>
  <c r="W122" i="35"/>
  <c r="D132" i="35"/>
  <c r="U124" i="35"/>
  <c r="L116" i="35"/>
  <c r="H115" i="35"/>
  <c r="E131" i="35"/>
  <c r="N15" i="35"/>
  <c r="D115" i="35"/>
  <c r="H110" i="35"/>
  <c r="W126" i="35"/>
  <c r="H129" i="35"/>
  <c r="T173" i="17"/>
  <c r="U173" i="17"/>
  <c r="S158" i="17"/>
  <c r="W147" i="17"/>
  <c r="J158" i="17"/>
  <c r="H186" i="17"/>
  <c r="U158" i="17"/>
  <c r="H185" i="17"/>
  <c r="W181" i="17"/>
  <c r="C190" i="17"/>
  <c r="N78" i="17"/>
  <c r="D177" i="17"/>
  <c r="N109" i="17"/>
  <c r="N22" i="17"/>
  <c r="N34" i="17"/>
  <c r="N69" i="17"/>
  <c r="B184" i="17"/>
  <c r="W179" i="17"/>
  <c r="W139" i="17"/>
  <c r="D146" i="17"/>
  <c r="D147" i="17"/>
  <c r="D151" i="17"/>
  <c r="B155" i="17"/>
  <c r="B156" i="17"/>
  <c r="L174" i="17"/>
  <c r="N86" i="17"/>
  <c r="T153" i="17"/>
  <c r="J144" i="17"/>
  <c r="L137" i="17"/>
  <c r="B175" i="17"/>
  <c r="C137" i="17"/>
  <c r="N16" i="17"/>
  <c r="T175" i="17"/>
  <c r="H147" i="17"/>
  <c r="H176" i="17"/>
  <c r="N21" i="17"/>
  <c r="L147" i="17"/>
  <c r="J166" i="17"/>
  <c r="W191" i="17"/>
  <c r="B181" i="17"/>
  <c r="D161" i="17"/>
  <c r="J186" i="17"/>
  <c r="J188" i="17"/>
  <c r="H189" i="17"/>
  <c r="N84" i="17"/>
  <c r="N20" i="17"/>
  <c r="C185" i="17"/>
  <c r="C189" i="17"/>
  <c r="B139" i="17"/>
  <c r="B141" i="17"/>
  <c r="D145" i="17"/>
  <c r="D148" i="17"/>
  <c r="D150" i="17"/>
  <c r="H156" i="17"/>
  <c r="C164" i="17"/>
  <c r="W145" i="17"/>
  <c r="T190" i="17"/>
  <c r="E191" i="17"/>
  <c r="D138" i="17"/>
  <c r="C142" i="17"/>
  <c r="D144" i="17"/>
  <c r="N97" i="17"/>
  <c r="H182" i="17"/>
  <c r="L183" i="17"/>
  <c r="W159" i="17"/>
  <c r="W165" i="17"/>
  <c r="N10" i="17"/>
  <c r="L138" i="17"/>
  <c r="D142" i="17"/>
  <c r="N26" i="17"/>
  <c r="N28" i="17"/>
  <c r="N32" i="17"/>
  <c r="N38" i="17"/>
  <c r="L154" i="17"/>
  <c r="N47" i="17"/>
  <c r="N49" i="17"/>
  <c r="B158" i="17"/>
  <c r="H166" i="17"/>
  <c r="N81" i="17"/>
  <c r="H175" i="17"/>
  <c r="B182" i="17"/>
  <c r="D190" i="17"/>
  <c r="J142" i="17"/>
  <c r="L168" i="17"/>
  <c r="N103" i="17"/>
  <c r="N115" i="17"/>
  <c r="B190" i="17"/>
  <c r="J187" i="18"/>
  <c r="D139" i="18"/>
  <c r="N18" i="18"/>
  <c r="H144" i="18"/>
  <c r="N27" i="18"/>
  <c r="B149" i="18"/>
  <c r="L152" i="18"/>
  <c r="B178" i="18"/>
  <c r="J179" i="18"/>
  <c r="N96" i="18"/>
  <c r="J183" i="18"/>
  <c r="W179" i="18"/>
  <c r="N119" i="18"/>
  <c r="W162" i="18"/>
  <c r="N24" i="18"/>
  <c r="N35" i="18"/>
  <c r="N37" i="18"/>
  <c r="T184" i="18"/>
  <c r="J153" i="18"/>
  <c r="N41" i="18"/>
  <c r="H159" i="18"/>
  <c r="N159" i="18" s="1"/>
  <c r="N91" i="18"/>
  <c r="D185" i="18"/>
  <c r="D186" i="18"/>
  <c r="C138" i="18"/>
  <c r="N13" i="18"/>
  <c r="C143" i="18"/>
  <c r="N19" i="18"/>
  <c r="H147" i="18"/>
  <c r="C150" i="18"/>
  <c r="C151" i="18"/>
  <c r="N34" i="18"/>
  <c r="C153" i="18"/>
  <c r="J154" i="18"/>
  <c r="D155" i="18"/>
  <c r="D156" i="18"/>
  <c r="E156" i="18" s="1"/>
  <c r="B179" i="18"/>
  <c r="L184" i="18"/>
  <c r="J185" i="18"/>
  <c r="H186" i="18"/>
  <c r="D138" i="18"/>
  <c r="B139" i="18"/>
  <c r="L140" i="18"/>
  <c r="J141" i="18"/>
  <c r="N25" i="18"/>
  <c r="D149" i="18"/>
  <c r="H155" i="18"/>
  <c r="D170" i="18"/>
  <c r="C179" i="18"/>
  <c r="D181" i="18"/>
  <c r="J188" i="18"/>
  <c r="L190" i="18"/>
  <c r="L180" i="18"/>
  <c r="C139" i="18"/>
  <c r="N10" i="18"/>
  <c r="C147" i="18"/>
  <c r="J148" i="18"/>
  <c r="J151" i="18"/>
  <c r="D152" i="18"/>
  <c r="B155" i="18"/>
  <c r="C180" i="18"/>
  <c r="B181" i="18"/>
  <c r="H181" i="18"/>
  <c r="D182" i="18"/>
  <c r="D183" i="18"/>
  <c r="C185" i="18"/>
  <c r="E185" i="18" s="1"/>
  <c r="B188" i="18"/>
  <c r="B190" i="18"/>
  <c r="N115" i="18"/>
  <c r="W152" i="18"/>
  <c r="N10" i="19"/>
  <c r="S177" i="19"/>
  <c r="C170" i="19"/>
  <c r="N67" i="19"/>
  <c r="H181" i="19"/>
  <c r="N40" i="19"/>
  <c r="T177" i="19"/>
  <c r="D153" i="19"/>
  <c r="N46" i="19"/>
  <c r="B188" i="19"/>
  <c r="D193" i="19"/>
  <c r="N90" i="19"/>
  <c r="J162" i="19"/>
  <c r="C143" i="19"/>
  <c r="J152" i="19"/>
  <c r="D143" i="19"/>
  <c r="D155" i="19"/>
  <c r="H195" i="19"/>
  <c r="J161" i="19"/>
  <c r="L163" i="19"/>
  <c r="N113" i="19"/>
  <c r="N117" i="19"/>
  <c r="N37" i="19"/>
  <c r="H180" i="19"/>
  <c r="N88" i="19"/>
  <c r="H186" i="19"/>
  <c r="N12" i="19"/>
  <c r="N29" i="19"/>
  <c r="C160" i="19"/>
  <c r="C167" i="19"/>
  <c r="D168" i="19"/>
  <c r="B171" i="19"/>
  <c r="H190" i="19"/>
  <c r="W157" i="19"/>
  <c r="N8" i="19"/>
  <c r="C155" i="19"/>
  <c r="N49" i="19"/>
  <c r="J168" i="19"/>
  <c r="J173" i="19"/>
  <c r="D174" i="19"/>
  <c r="N75" i="19"/>
  <c r="D177" i="19"/>
  <c r="W177" i="19"/>
  <c r="D147" i="19"/>
  <c r="H148" i="19"/>
  <c r="N26" i="19"/>
  <c r="H153" i="19"/>
  <c r="N42" i="19"/>
  <c r="C163" i="19"/>
  <c r="C165" i="19"/>
  <c r="N55" i="19"/>
  <c r="L167" i="19"/>
  <c r="B173" i="19"/>
  <c r="C176" i="19"/>
  <c r="N77" i="19"/>
  <c r="N11" i="19"/>
  <c r="D149" i="19"/>
  <c r="L169" i="19"/>
  <c r="C177" i="19"/>
  <c r="N79" i="19"/>
  <c r="D189" i="19"/>
  <c r="W143" i="19"/>
  <c r="W166" i="19"/>
  <c r="N13" i="19"/>
  <c r="L149" i="19"/>
  <c r="B155" i="19"/>
  <c r="D187" i="19"/>
  <c r="D192" i="19"/>
  <c r="J159" i="19"/>
  <c r="N159" i="19" s="1"/>
  <c r="J177" i="19"/>
  <c r="L192" i="19"/>
  <c r="N101" i="19"/>
  <c r="N49" i="20"/>
  <c r="N51" i="20"/>
  <c r="N55" i="20"/>
  <c r="N69" i="20"/>
  <c r="N71" i="20"/>
  <c r="W125" i="20"/>
  <c r="W135" i="20"/>
  <c r="D150" i="20"/>
  <c r="N68" i="20"/>
  <c r="N77" i="20"/>
  <c r="C121" i="20"/>
  <c r="H136" i="20"/>
  <c r="N50" i="20"/>
  <c r="H145" i="20"/>
  <c r="D121" i="20"/>
  <c r="J139" i="20"/>
  <c r="L121" i="20"/>
  <c r="N65" i="20"/>
  <c r="N45" i="20"/>
  <c r="J121" i="20"/>
  <c r="N22" i="20"/>
  <c r="N85" i="20"/>
  <c r="D168" i="20"/>
  <c r="W143" i="20"/>
  <c r="B163" i="21"/>
  <c r="J173" i="21"/>
  <c r="C142" i="21"/>
  <c r="D144" i="21"/>
  <c r="H166" i="21"/>
  <c r="C176" i="21"/>
  <c r="B177" i="21"/>
  <c r="D178" i="21"/>
  <c r="J181" i="21"/>
  <c r="D183" i="21"/>
  <c r="N114" i="21"/>
  <c r="H176" i="21"/>
  <c r="C135" i="21"/>
  <c r="C136" i="21"/>
  <c r="J139" i="21"/>
  <c r="L141" i="21"/>
  <c r="H147" i="21"/>
  <c r="D148" i="21"/>
  <c r="E148" i="21" s="1"/>
  <c r="C149" i="21"/>
  <c r="B150" i="21"/>
  <c r="J167" i="21"/>
  <c r="H168" i="21"/>
  <c r="C169" i="21"/>
  <c r="B170" i="21"/>
  <c r="C172" i="21"/>
  <c r="D174" i="21"/>
  <c r="D175" i="21"/>
  <c r="N51" i="21"/>
  <c r="D135" i="21"/>
  <c r="D136" i="21"/>
  <c r="B140" i="21"/>
  <c r="C165" i="21"/>
  <c r="D169" i="21"/>
  <c r="J171" i="21"/>
  <c r="J185" i="21"/>
  <c r="W163" i="21"/>
  <c r="S172" i="21"/>
  <c r="B160" i="21"/>
  <c r="N60" i="21"/>
  <c r="B164" i="21"/>
  <c r="L164" i="21"/>
  <c r="D165" i="21"/>
  <c r="N80" i="21"/>
  <c r="N82" i="21"/>
  <c r="J172" i="21"/>
  <c r="B172" i="21"/>
  <c r="N108" i="21"/>
  <c r="N26" i="21"/>
  <c r="L150" i="21"/>
  <c r="D159" i="21"/>
  <c r="C162" i="21"/>
  <c r="C163" i="21"/>
  <c r="N68" i="21"/>
  <c r="H165" i="21"/>
  <c r="C171" i="21"/>
  <c r="J178" i="21"/>
  <c r="C187" i="21"/>
  <c r="W167" i="21"/>
  <c r="J148" i="21"/>
  <c r="N140" i="21"/>
  <c r="N41" i="21"/>
  <c r="N70" i="21"/>
  <c r="N86" i="21"/>
  <c r="W137" i="21"/>
  <c r="W158" i="21"/>
  <c r="W182" i="21"/>
  <c r="N115" i="21"/>
  <c r="S164" i="21"/>
  <c r="L172" i="21"/>
  <c r="N19" i="21"/>
  <c r="N32" i="21"/>
  <c r="N49" i="21"/>
  <c r="B179" i="21"/>
  <c r="W141" i="21"/>
  <c r="W162" i="21"/>
  <c r="N18" i="33"/>
  <c r="N26" i="33"/>
  <c r="H84" i="33"/>
  <c r="N10" i="33"/>
  <c r="C87" i="33"/>
  <c r="N47" i="9"/>
  <c r="N58" i="9"/>
  <c r="N60" i="9"/>
  <c r="L195" i="9"/>
  <c r="D203" i="9"/>
  <c r="L181" i="9"/>
  <c r="J188" i="9"/>
  <c r="N29" i="9"/>
  <c r="B170" i="9"/>
  <c r="J176" i="9"/>
  <c r="B180" i="9"/>
  <c r="D152" i="9"/>
  <c r="D156" i="9"/>
  <c r="J157" i="9"/>
  <c r="J158" i="9"/>
  <c r="J159" i="9"/>
  <c r="D160" i="9"/>
  <c r="D162" i="9"/>
  <c r="C163" i="9"/>
  <c r="B176" i="9"/>
  <c r="C180" i="9"/>
  <c r="B152" i="9"/>
  <c r="C155" i="9"/>
  <c r="B157" i="9"/>
  <c r="B189" i="9"/>
  <c r="N11" i="9"/>
  <c r="H153" i="9"/>
  <c r="L154" i="9"/>
  <c r="L188" i="9"/>
  <c r="N13" i="9"/>
  <c r="J203" i="9"/>
  <c r="J194" i="9"/>
  <c r="N110" i="9"/>
  <c r="L200" i="9"/>
  <c r="E176" i="11"/>
  <c r="N114" i="11"/>
  <c r="J183" i="11"/>
  <c r="C146" i="11"/>
  <c r="J141" i="11"/>
  <c r="S146" i="11"/>
  <c r="H179" i="11"/>
  <c r="C159" i="11"/>
  <c r="E159" i="11" s="1"/>
  <c r="H142" i="11"/>
  <c r="H164" i="11"/>
  <c r="N164" i="11" s="1"/>
  <c r="B183" i="11"/>
  <c r="L156" i="11"/>
  <c r="L147" i="11"/>
  <c r="B140" i="11"/>
  <c r="B150" i="11"/>
  <c r="H152" i="11"/>
  <c r="N49" i="11"/>
  <c r="T169" i="11"/>
  <c r="L179" i="11"/>
  <c r="B182" i="11"/>
  <c r="D139" i="11"/>
  <c r="S172" i="11"/>
  <c r="U146" i="11"/>
  <c r="W146" i="11" s="1"/>
  <c r="H173" i="11"/>
  <c r="D169" i="11"/>
  <c r="H154" i="11"/>
  <c r="J184" i="11"/>
  <c r="J153" i="11"/>
  <c r="N19" i="11"/>
  <c r="N23" i="11"/>
  <c r="L176" i="11"/>
  <c r="N176" i="11" s="1"/>
  <c r="W140" i="11"/>
  <c r="W188" i="11"/>
  <c r="T172" i="11"/>
  <c r="E144" i="11"/>
  <c r="J173" i="11"/>
  <c r="H169" i="11"/>
  <c r="J154" i="11"/>
  <c r="N25" i="11"/>
  <c r="W144" i="11"/>
  <c r="W156" i="11"/>
  <c r="U172" i="11"/>
  <c r="C188" i="11"/>
  <c r="N157" i="11"/>
  <c r="W149" i="11"/>
  <c r="J169" i="11"/>
  <c r="E143" i="11"/>
  <c r="B169" i="11"/>
  <c r="H146" i="11"/>
  <c r="U141" i="11"/>
  <c r="W141" i="11" s="1"/>
  <c r="N18" i="11"/>
  <c r="D146" i="11"/>
  <c r="N57" i="11"/>
  <c r="N81" i="11"/>
  <c r="D185" i="11"/>
  <c r="L192" i="11"/>
  <c r="N192" i="11" s="1"/>
  <c r="W150" i="11"/>
  <c r="C172" i="11"/>
  <c r="C189" i="11"/>
  <c r="H155" i="11"/>
  <c r="N24" i="11"/>
  <c r="H163" i="11"/>
  <c r="H170" i="11"/>
  <c r="L169" i="11"/>
  <c r="L146" i="11"/>
  <c r="C160" i="11"/>
  <c r="J155" i="11"/>
  <c r="U179" i="11"/>
  <c r="E142" i="11"/>
  <c r="J163" i="11"/>
  <c r="J170" i="11"/>
  <c r="H156" i="11"/>
  <c r="H147" i="11"/>
  <c r="N13" i="11"/>
  <c r="D160" i="11"/>
  <c r="N52" i="11"/>
  <c r="H180" i="11"/>
  <c r="N92" i="11"/>
  <c r="H186" i="11"/>
  <c r="N116" i="11"/>
  <c r="S169" i="11"/>
  <c r="E184" i="11"/>
  <c r="E148" i="11"/>
  <c r="D152" i="11"/>
  <c r="E152" i="11" s="1"/>
  <c r="N43" i="11"/>
  <c r="N72" i="11"/>
  <c r="D179" i="11"/>
  <c r="S175" i="12"/>
  <c r="B182" i="12"/>
  <c r="C190" i="12"/>
  <c r="N164" i="12"/>
  <c r="B151" i="12"/>
  <c r="T175" i="12"/>
  <c r="U175" i="12"/>
  <c r="B146" i="12"/>
  <c r="N66" i="12"/>
  <c r="D177" i="12"/>
  <c r="N9" i="12"/>
  <c r="N44" i="12"/>
  <c r="N68" i="12"/>
  <c r="B172" i="12"/>
  <c r="N114" i="12"/>
  <c r="W142" i="12"/>
  <c r="W154" i="12"/>
  <c r="W174" i="12"/>
  <c r="N117" i="12"/>
  <c r="J78" i="32"/>
  <c r="N12" i="32"/>
  <c r="D89" i="32"/>
  <c r="T99" i="32"/>
  <c r="H88" i="32"/>
  <c r="D93" i="32"/>
  <c r="D99" i="32"/>
  <c r="S99" i="32"/>
  <c r="J82" i="32"/>
  <c r="N89" i="32"/>
  <c r="C85" i="32"/>
  <c r="C95" i="32"/>
  <c r="J90" i="32"/>
  <c r="L90" i="32"/>
  <c r="H83" i="32"/>
  <c r="W96" i="32"/>
  <c r="C76" i="32"/>
  <c r="E76" i="32" s="1"/>
  <c r="D77" i="32"/>
  <c r="B80" i="32"/>
  <c r="C81" i="32"/>
  <c r="D82" i="32"/>
  <c r="N26" i="32"/>
  <c r="N41" i="32"/>
  <c r="C94" i="32"/>
  <c r="J96" i="32"/>
  <c r="J93" i="32"/>
  <c r="N93" i="32" s="1"/>
  <c r="L82" i="32"/>
  <c r="N14" i="32"/>
  <c r="W94" i="32"/>
  <c r="H85" i="32"/>
  <c r="N91" i="32"/>
  <c r="B77" i="32"/>
  <c r="L92" i="32"/>
  <c r="H196" i="13"/>
  <c r="L182" i="13"/>
  <c r="B156" i="13"/>
  <c r="B157" i="13"/>
  <c r="C155" i="13"/>
  <c r="J187" i="13"/>
  <c r="C179" i="13"/>
  <c r="N74" i="13"/>
  <c r="W175" i="13"/>
  <c r="D206" i="13"/>
  <c r="C173" i="13"/>
  <c r="W154" i="13"/>
  <c r="N14" i="14"/>
  <c r="D159" i="14"/>
  <c r="D176" i="14"/>
  <c r="E176" i="14" s="1"/>
  <c r="L150" i="14"/>
  <c r="N83" i="14"/>
  <c r="E174" i="14"/>
  <c r="C185" i="14"/>
  <c r="L185" i="14"/>
  <c r="C173" i="14"/>
  <c r="J146" i="14"/>
  <c r="N47" i="14"/>
  <c r="E183" i="14"/>
  <c r="H146" i="14"/>
  <c r="N86" i="14"/>
  <c r="S173" i="14"/>
  <c r="B180" i="14"/>
  <c r="N33" i="14"/>
  <c r="D147" i="14"/>
  <c r="E147" i="14" s="1"/>
  <c r="L162" i="14"/>
  <c r="N162" i="14" s="1"/>
  <c r="W150" i="14"/>
  <c r="N140" i="14"/>
  <c r="N60" i="14"/>
  <c r="N176" i="14"/>
  <c r="J189" i="14"/>
  <c r="J157" i="14"/>
  <c r="H173" i="14"/>
  <c r="B165" i="14"/>
  <c r="D182" i="14"/>
  <c r="E182" i="14" s="1"/>
  <c r="D184" i="14"/>
  <c r="B191" i="14"/>
  <c r="C166" i="14"/>
  <c r="D157" i="14"/>
  <c r="E157" i="14" s="1"/>
  <c r="C154" i="14"/>
  <c r="L157" i="14"/>
  <c r="N68" i="14"/>
  <c r="N190" i="14"/>
  <c r="H189" i="14"/>
  <c r="L165" i="14"/>
  <c r="L173" i="14"/>
  <c r="D156" i="14"/>
  <c r="E156" i="14" s="1"/>
  <c r="W171" i="14"/>
  <c r="H150" i="14"/>
  <c r="N150" i="14" s="1"/>
  <c r="D154" i="14"/>
  <c r="C165" i="14"/>
  <c r="D163" i="14"/>
  <c r="E163" i="14" s="1"/>
  <c r="N57" i="14"/>
  <c r="N37" i="14"/>
  <c r="H165" i="14"/>
  <c r="E140" i="14"/>
  <c r="L169" i="14"/>
  <c r="D187" i="14"/>
  <c r="E187" i="14" s="1"/>
  <c r="L139" i="14"/>
  <c r="J143" i="14"/>
  <c r="N143" i="14" s="1"/>
  <c r="T173" i="14"/>
  <c r="J169" i="14"/>
  <c r="L177" i="14"/>
  <c r="C160" i="14"/>
  <c r="E160" i="14" s="1"/>
  <c r="H177" i="14"/>
  <c r="D180" i="14"/>
  <c r="N99" i="14"/>
  <c r="D189" i="14"/>
  <c r="D141" i="14"/>
  <c r="E158" i="14"/>
  <c r="N93" i="14"/>
  <c r="D150" i="14"/>
  <c r="D143" i="14"/>
  <c r="E143" i="14" s="1"/>
  <c r="W159" i="14"/>
  <c r="W143" i="14"/>
  <c r="N42" i="14"/>
  <c r="N172" i="14"/>
  <c r="W182" i="14"/>
  <c r="D170" i="14"/>
  <c r="B173" i="14"/>
  <c r="N80" i="14"/>
  <c r="C175" i="14"/>
  <c r="D177" i="14"/>
  <c r="U183" i="14"/>
  <c r="W183" i="14" s="1"/>
  <c r="C186" i="14"/>
  <c r="E186" i="14" s="1"/>
  <c r="D188" i="14"/>
  <c r="H144" i="14"/>
  <c r="W194" i="14"/>
  <c r="N37" i="34"/>
  <c r="S84" i="34"/>
  <c r="N9" i="34"/>
  <c r="H79" i="34"/>
  <c r="C83" i="34"/>
  <c r="J76" i="34"/>
  <c r="W95" i="34"/>
  <c r="W90" i="34"/>
  <c r="U84" i="34"/>
  <c r="B77" i="34"/>
  <c r="D78" i="34"/>
  <c r="B87" i="34"/>
  <c r="E87" i="34" s="1"/>
  <c r="D88" i="34"/>
  <c r="D96" i="34"/>
  <c r="H76" i="34"/>
  <c r="B84" i="34"/>
  <c r="N11" i="34"/>
  <c r="N34" i="34"/>
  <c r="N53" i="34"/>
  <c r="L85" i="34"/>
  <c r="N85" i="34" s="1"/>
  <c r="J84" i="34"/>
  <c r="D77" i="34"/>
  <c r="L91" i="34"/>
  <c r="J88" i="34"/>
  <c r="H80" i="34"/>
  <c r="N114" i="6"/>
  <c r="N36" i="30"/>
  <c r="S71" i="30"/>
  <c r="N20" i="30"/>
  <c r="C79" i="30"/>
  <c r="U71" i="30"/>
  <c r="L69" i="30"/>
  <c r="C80" i="30"/>
  <c r="T79" i="30"/>
  <c r="D82" i="30"/>
  <c r="N13" i="30"/>
  <c r="D72" i="30"/>
  <c r="N22" i="30"/>
  <c r="B79" i="30"/>
  <c r="D80" i="30"/>
  <c r="D188" i="7"/>
  <c r="J190" i="7"/>
  <c r="H185" i="7"/>
  <c r="H169" i="7"/>
  <c r="J185" i="7"/>
  <c r="J165" i="7"/>
  <c r="B167" i="7"/>
  <c r="H161" i="7"/>
  <c r="L178" i="7"/>
  <c r="B139" i="7"/>
  <c r="J139" i="7"/>
  <c r="B178" i="7"/>
  <c r="W169" i="7"/>
  <c r="D169" i="7"/>
  <c r="D186" i="7"/>
  <c r="C139" i="7"/>
  <c r="D140" i="7"/>
  <c r="J138" i="7"/>
  <c r="C136" i="7"/>
  <c r="W189" i="7"/>
  <c r="L173" i="7"/>
  <c r="J169" i="7"/>
  <c r="J178" i="7"/>
  <c r="N178" i="7" s="1"/>
  <c r="D166" i="7"/>
  <c r="N111" i="7"/>
  <c r="B189" i="7"/>
  <c r="C138" i="7"/>
  <c r="H140" i="7"/>
  <c r="H173" i="7"/>
  <c r="D173" i="7"/>
  <c r="J141" i="7"/>
  <c r="W136" i="7"/>
  <c r="H89" i="31"/>
  <c r="N16" i="31"/>
  <c r="B80" i="31"/>
  <c r="D81" i="31"/>
  <c r="B84" i="31"/>
  <c r="D89" i="31"/>
  <c r="E94" i="31"/>
  <c r="H93" i="31"/>
  <c r="N40" i="31"/>
  <c r="J81" i="31"/>
  <c r="N49" i="31"/>
  <c r="L93" i="31"/>
  <c r="N85" i="31"/>
  <c r="L94" i="31"/>
  <c r="N94" i="31" s="1"/>
  <c r="W91" i="31"/>
  <c r="N47" i="31"/>
  <c r="D74" i="31"/>
  <c r="C77" i="31"/>
  <c r="D84" i="31"/>
  <c r="C90" i="31"/>
  <c r="W79" i="31"/>
  <c r="N45" i="31"/>
  <c r="N32" i="31"/>
  <c r="D82" i="31"/>
  <c r="J76" i="31"/>
  <c r="W75" i="31"/>
  <c r="H78" i="31"/>
  <c r="J89" i="31"/>
  <c r="N23" i="31"/>
  <c r="E204" i="22"/>
  <c r="U95" i="38"/>
  <c r="H89" i="38"/>
  <c r="J85" i="37"/>
  <c r="H90" i="37"/>
  <c r="B99" i="37"/>
  <c r="C99" i="37"/>
  <c r="L83" i="37"/>
  <c r="N11" i="37"/>
  <c r="D85" i="37"/>
  <c r="H85" i="37"/>
  <c r="B85" i="37"/>
  <c r="D100" i="37"/>
  <c r="N56" i="37"/>
  <c r="N32" i="37"/>
  <c r="N40" i="37"/>
  <c r="N82" i="37"/>
  <c r="N20" i="37"/>
  <c r="N30" i="37"/>
  <c r="N35" i="37"/>
  <c r="B88" i="37"/>
  <c r="N37" i="37"/>
  <c r="D94" i="37"/>
  <c r="B95" i="37"/>
  <c r="N58" i="37"/>
  <c r="L89" i="37"/>
  <c r="N48" i="37"/>
  <c r="H104" i="37"/>
  <c r="L97" i="37"/>
  <c r="H89" i="37"/>
  <c r="J84" i="37"/>
  <c r="N59" i="37"/>
  <c r="H97" i="37"/>
  <c r="N23" i="37"/>
  <c r="D86" i="37"/>
  <c r="D89" i="37"/>
  <c r="L84" i="37"/>
  <c r="C88" i="37"/>
  <c r="N24" i="37"/>
  <c r="H103" i="37"/>
  <c r="N55" i="37"/>
  <c r="C87" i="37"/>
  <c r="E87" i="37" s="1"/>
  <c r="C96" i="37"/>
  <c r="N27" i="37"/>
  <c r="B86" i="37"/>
  <c r="D96" i="37"/>
  <c r="N47" i="37"/>
  <c r="N42" i="37"/>
  <c r="J101" i="37"/>
  <c r="W112" i="36"/>
  <c r="N20" i="36"/>
  <c r="N63" i="36"/>
  <c r="B114" i="36"/>
  <c r="E114" i="36" s="1"/>
  <c r="N27" i="36"/>
  <c r="N29" i="36"/>
  <c r="N67" i="36"/>
  <c r="N10" i="36"/>
  <c r="W113" i="36"/>
  <c r="B116" i="36"/>
  <c r="L118" i="36"/>
  <c r="B108" i="36"/>
  <c r="J149" i="16"/>
  <c r="E141" i="16"/>
  <c r="H136" i="16"/>
  <c r="H154" i="16"/>
  <c r="L158" i="16"/>
  <c r="N31" i="16"/>
  <c r="N87" i="16"/>
  <c r="H145" i="16"/>
  <c r="D142" i="16"/>
  <c r="E150" i="16"/>
  <c r="H131" i="16"/>
  <c r="N131" i="16" s="1"/>
  <c r="L157" i="16"/>
  <c r="N157" i="16" s="1"/>
  <c r="B125" i="16"/>
  <c r="N13" i="16"/>
  <c r="N20" i="16"/>
  <c r="E135" i="16"/>
  <c r="N42" i="16"/>
  <c r="N49" i="16"/>
  <c r="H149" i="16"/>
  <c r="J150" i="16"/>
  <c r="N68" i="16"/>
  <c r="N77" i="16"/>
  <c r="N83" i="16"/>
  <c r="N29" i="16"/>
  <c r="J132" i="16"/>
  <c r="N8" i="16"/>
  <c r="C125" i="16"/>
  <c r="L141" i="16"/>
  <c r="N56" i="16"/>
  <c r="N148" i="16"/>
  <c r="L145" i="16"/>
  <c r="B161" i="16"/>
  <c r="J141" i="16"/>
  <c r="L124" i="16"/>
  <c r="H125" i="16"/>
  <c r="J136" i="16"/>
  <c r="J128" i="16"/>
  <c r="N75" i="16"/>
  <c r="N37" i="16"/>
  <c r="N144" i="16"/>
  <c r="B140" i="16"/>
  <c r="N73" i="16"/>
  <c r="N79" i="16"/>
  <c r="L146" i="16"/>
  <c r="N7" i="16"/>
  <c r="L125" i="16"/>
  <c r="C127" i="16"/>
  <c r="N41" i="16"/>
  <c r="N53" i="16"/>
  <c r="N22" i="16"/>
  <c r="N70" i="16"/>
  <c r="C152" i="16"/>
  <c r="E151" i="16"/>
  <c r="H146" i="16"/>
  <c r="C128" i="16"/>
  <c r="N15" i="16"/>
  <c r="L134" i="16"/>
  <c r="N9" i="16"/>
  <c r="N23" i="16"/>
  <c r="J142" i="16"/>
  <c r="N51" i="16"/>
  <c r="J133" i="16"/>
  <c r="N11" i="16"/>
  <c r="D143" i="16"/>
  <c r="E143" i="16" s="1"/>
  <c r="N78" i="16"/>
  <c r="N82" i="16"/>
  <c r="D161" i="16"/>
  <c r="N66" i="16"/>
  <c r="L133" i="16"/>
  <c r="D156" i="16"/>
  <c r="E156" i="16" s="1"/>
  <c r="C158" i="16"/>
  <c r="E158" i="16" s="1"/>
  <c r="N55" i="16"/>
  <c r="E146" i="16"/>
  <c r="N33" i="16"/>
  <c r="H150" i="16"/>
  <c r="J134" i="16"/>
  <c r="C139" i="16"/>
  <c r="J141" i="17"/>
  <c r="C165" i="17"/>
  <c r="D169" i="17"/>
  <c r="B172" i="17"/>
  <c r="C178" i="17"/>
  <c r="B179" i="17"/>
  <c r="D181" i="17"/>
  <c r="L184" i="17"/>
  <c r="J185" i="17"/>
  <c r="L166" i="17"/>
  <c r="J140" i="17"/>
  <c r="H138" i="17"/>
  <c r="L160" i="17"/>
  <c r="N63" i="17"/>
  <c r="C166" i="17"/>
  <c r="N71" i="17"/>
  <c r="L170" i="17"/>
  <c r="D171" i="17"/>
  <c r="B173" i="17"/>
  <c r="J173" i="17"/>
  <c r="J177" i="17"/>
  <c r="L180" i="17"/>
  <c r="N180" i="17" s="1"/>
  <c r="J182" i="17"/>
  <c r="N90" i="17"/>
  <c r="C172" i="17"/>
  <c r="C158" i="17"/>
  <c r="N54" i="17"/>
  <c r="N56" i="17"/>
  <c r="J161" i="17"/>
  <c r="J165" i="17"/>
  <c r="C167" i="17"/>
  <c r="B169" i="17"/>
  <c r="C175" i="17"/>
  <c r="J178" i="17"/>
  <c r="H139" i="17"/>
  <c r="C145" i="17"/>
  <c r="C146" i="17"/>
  <c r="C147" i="17"/>
  <c r="N31" i="17"/>
  <c r="C149" i="17"/>
  <c r="N35" i="17"/>
  <c r="C151" i="17"/>
  <c r="C152" i="17"/>
  <c r="H155" i="17"/>
  <c r="D156" i="17"/>
  <c r="D157" i="17"/>
  <c r="N58" i="17"/>
  <c r="B165" i="17"/>
  <c r="C169" i="17"/>
  <c r="H172" i="17"/>
  <c r="B174" i="17"/>
  <c r="L179" i="17"/>
  <c r="D185" i="17"/>
  <c r="T140" i="17"/>
  <c r="S154" i="17"/>
  <c r="W154" i="17" s="1"/>
  <c r="C138" i="17"/>
  <c r="N15" i="17"/>
  <c r="D149" i="17"/>
  <c r="N93" i="17"/>
  <c r="W184" i="17"/>
  <c r="J143" i="17"/>
  <c r="N143" i="17" s="1"/>
  <c r="L140" i="17"/>
  <c r="S153" i="17"/>
  <c r="W153" i="17" s="1"/>
  <c r="C140" i="17"/>
  <c r="L149" i="17"/>
  <c r="N51" i="17"/>
  <c r="J160" i="17"/>
  <c r="N106" i="17"/>
  <c r="N108" i="17"/>
  <c r="N114" i="17"/>
  <c r="W187" i="17"/>
  <c r="L191" i="17"/>
  <c r="N32" i="34"/>
  <c r="L83" i="34"/>
  <c r="C93" i="34"/>
  <c r="D93" i="34"/>
  <c r="S92" i="34"/>
  <c r="W92" i="34" s="1"/>
  <c r="L90" i="34"/>
  <c r="L87" i="34"/>
  <c r="W78" i="34"/>
  <c r="W94" i="34"/>
  <c r="D81" i="34"/>
  <c r="J81" i="34"/>
  <c r="N95" i="34"/>
  <c r="N47" i="34"/>
  <c r="N50" i="34"/>
  <c r="L88" i="34"/>
  <c r="L80" i="34"/>
  <c r="C80" i="34"/>
  <c r="N18" i="34"/>
  <c r="N52" i="34"/>
  <c r="N27" i="34"/>
  <c r="J83" i="34"/>
  <c r="B78" i="34"/>
  <c r="N15" i="34"/>
  <c r="C96" i="34"/>
  <c r="D97" i="34"/>
  <c r="C78" i="34"/>
  <c r="E78" i="34" s="1"/>
  <c r="H88" i="34"/>
  <c r="J91" i="34"/>
  <c r="N13" i="34"/>
  <c r="D83" i="34"/>
  <c r="E83" i="34" s="1"/>
  <c r="N44" i="34"/>
  <c r="N22" i="34"/>
  <c r="N55" i="34"/>
  <c r="B89" i="34"/>
  <c r="L91" i="33"/>
  <c r="N41" i="33"/>
  <c r="D99" i="33"/>
  <c r="N13" i="33"/>
  <c r="N15" i="33"/>
  <c r="J80" i="33"/>
  <c r="J81" i="33"/>
  <c r="H94" i="33"/>
  <c r="L97" i="33"/>
  <c r="C98" i="33"/>
  <c r="B79" i="33"/>
  <c r="C88" i="33"/>
  <c r="B202" i="10"/>
  <c r="L174" i="10"/>
  <c r="D176" i="10"/>
  <c r="S175" i="10"/>
  <c r="N58" i="10"/>
  <c r="N60" i="10"/>
  <c r="N75" i="10"/>
  <c r="D181" i="15"/>
  <c r="C191" i="15"/>
  <c r="N58" i="15"/>
  <c r="N26" i="15"/>
  <c r="H201" i="15"/>
  <c r="H178" i="15"/>
  <c r="J174" i="15"/>
  <c r="J163" i="15"/>
  <c r="H160" i="15"/>
  <c r="J156" i="15"/>
  <c r="H153" i="15"/>
  <c r="N91" i="15"/>
  <c r="D175" i="15"/>
  <c r="L163" i="15"/>
  <c r="D153" i="15"/>
  <c r="N32" i="15"/>
  <c r="D155" i="15"/>
  <c r="H186" i="15"/>
  <c r="J175" i="15"/>
  <c r="J167" i="15"/>
  <c r="J164" i="15"/>
  <c r="D196" i="15"/>
  <c r="B192" i="15"/>
  <c r="N104" i="15"/>
  <c r="N108" i="15"/>
  <c r="C204" i="15"/>
  <c r="L201" i="15"/>
  <c r="N80" i="15"/>
  <c r="C195" i="15"/>
  <c r="J197" i="15"/>
  <c r="D203" i="15"/>
  <c r="C175" i="15"/>
  <c r="N49" i="15"/>
  <c r="N41" i="15"/>
  <c r="C198" i="15"/>
  <c r="N66" i="15"/>
  <c r="N117" i="15"/>
  <c r="D176" i="15"/>
  <c r="D165" i="15"/>
  <c r="J153" i="15"/>
  <c r="L185" i="15"/>
  <c r="N52" i="15"/>
  <c r="B162" i="15"/>
  <c r="N10" i="15"/>
  <c r="J178" i="15"/>
  <c r="J193" i="15"/>
  <c r="C201" i="15"/>
  <c r="H156" i="15"/>
  <c r="D170" i="15"/>
  <c r="B179" i="15"/>
  <c r="N89" i="15"/>
  <c r="C190" i="15"/>
  <c r="J155" i="15"/>
  <c r="L174" i="15"/>
  <c r="C181" i="15"/>
  <c r="B154" i="15"/>
  <c r="B198" i="15"/>
  <c r="N43" i="15"/>
  <c r="J199" i="15"/>
  <c r="L168" i="15"/>
  <c r="H161" i="15"/>
  <c r="N103" i="15"/>
  <c r="B173" i="15"/>
  <c r="C156" i="15"/>
  <c r="N63" i="15"/>
  <c r="C167" i="15"/>
  <c r="C187" i="15"/>
  <c r="B172" i="7"/>
  <c r="D185" i="7"/>
  <c r="N74" i="7"/>
  <c r="C174" i="7"/>
  <c r="N87" i="7"/>
  <c r="C179" i="7"/>
  <c r="B142" i="7"/>
  <c r="B154" i="7"/>
  <c r="J174" i="7"/>
  <c r="N72" i="7"/>
  <c r="N52" i="7"/>
  <c r="L174" i="7"/>
  <c r="N66" i="7"/>
  <c r="T178" i="7"/>
  <c r="N59" i="7"/>
  <c r="N25" i="7"/>
  <c r="S172" i="7"/>
  <c r="T172" i="7"/>
  <c r="W140" i="7"/>
  <c r="U178" i="7"/>
  <c r="C189" i="7"/>
  <c r="N80" i="7"/>
  <c r="B174" i="7"/>
  <c r="C178" i="7"/>
  <c r="C156" i="7"/>
  <c r="H152" i="7"/>
  <c r="N76" i="7"/>
  <c r="N26" i="7"/>
  <c r="N22" i="7"/>
  <c r="C150" i="7"/>
  <c r="N62" i="7"/>
  <c r="L149" i="7"/>
  <c r="L148" i="7"/>
  <c r="H188" i="7"/>
  <c r="W151" i="7"/>
  <c r="D174" i="7"/>
  <c r="N102" i="7"/>
  <c r="C185" i="7"/>
  <c r="N37" i="7"/>
  <c r="J187" i="7"/>
  <c r="W175" i="7"/>
  <c r="J167" i="7"/>
  <c r="B140" i="7"/>
  <c r="D144" i="7"/>
  <c r="D148" i="7"/>
  <c r="D156" i="7"/>
  <c r="C149" i="7"/>
  <c r="J147" i="7"/>
  <c r="H151" i="7"/>
  <c r="N48" i="7"/>
  <c r="N23" i="7"/>
  <c r="J159" i="7"/>
  <c r="L155" i="7"/>
  <c r="B170" i="7"/>
  <c r="C175" i="7"/>
  <c r="N96" i="7"/>
  <c r="C186" i="7"/>
  <c r="N46" i="7"/>
  <c r="N21" i="7"/>
  <c r="N29" i="7"/>
  <c r="N77" i="7"/>
  <c r="N85" i="7"/>
  <c r="D145" i="7"/>
  <c r="B188" i="7"/>
  <c r="L183" i="7"/>
  <c r="L175" i="7"/>
  <c r="L171" i="7"/>
  <c r="L167" i="7"/>
  <c r="H163" i="7"/>
  <c r="W159" i="7"/>
  <c r="L138" i="7"/>
  <c r="N110" i="7"/>
  <c r="D172" i="7"/>
  <c r="N104" i="7"/>
  <c r="N61" i="7"/>
  <c r="J158" i="7"/>
  <c r="W138" i="7"/>
  <c r="H138" i="7"/>
  <c r="H175" i="7"/>
  <c r="B180" i="7"/>
  <c r="D158" i="7"/>
  <c r="B151" i="7"/>
  <c r="L186" i="7"/>
  <c r="C172" i="7"/>
  <c r="N53" i="7"/>
  <c r="N28" i="7"/>
  <c r="N41" i="7"/>
  <c r="D154" i="7"/>
  <c r="N14" i="7"/>
  <c r="W145" i="7"/>
  <c r="H167" i="7"/>
  <c r="J156" i="7"/>
  <c r="W146" i="7"/>
  <c r="B164" i="7"/>
  <c r="H144" i="7"/>
  <c r="D190" i="7"/>
  <c r="J162" i="7"/>
  <c r="W143" i="7"/>
  <c r="H81" i="29"/>
  <c r="L88" i="29"/>
  <c r="N26" i="29"/>
  <c r="N40" i="29"/>
  <c r="N54" i="29"/>
  <c r="H91" i="29"/>
  <c r="C95" i="29"/>
  <c r="C99" i="29"/>
  <c r="D90" i="29"/>
  <c r="D80" i="29"/>
  <c r="E80" i="29" s="1"/>
  <c r="J82" i="29"/>
  <c r="B103" i="29"/>
  <c r="N58" i="29"/>
  <c r="J89" i="29"/>
  <c r="D136" i="6"/>
  <c r="D75" i="30"/>
  <c r="B78" i="30"/>
  <c r="D70" i="30"/>
  <c r="B73" i="30"/>
  <c r="D74" i="30"/>
  <c r="B77" i="30"/>
  <c r="U73" i="30"/>
  <c r="W73" i="30" s="1"/>
  <c r="N38" i="30"/>
  <c r="N29" i="30"/>
  <c r="C78" i="30"/>
  <c r="H75" i="30"/>
  <c r="L76" i="30"/>
  <c r="C71" i="30"/>
  <c r="T76" i="30"/>
  <c r="U68" i="30"/>
  <c r="C73" i="30"/>
  <c r="C77" i="30"/>
  <c r="S76" i="30"/>
  <c r="B74" i="30"/>
  <c r="C144" i="5"/>
  <c r="B149" i="5"/>
  <c r="D150" i="5"/>
  <c r="J164" i="5"/>
  <c r="L160" i="5"/>
  <c r="W145" i="5"/>
  <c r="H177" i="5"/>
  <c r="N174" i="5"/>
  <c r="B171" i="5"/>
  <c r="N92" i="5"/>
  <c r="N163" i="5"/>
  <c r="J159" i="5"/>
  <c r="L156" i="5"/>
  <c r="L152" i="5"/>
  <c r="N116" i="5"/>
  <c r="N68" i="5"/>
  <c r="N87" i="5"/>
  <c r="N91" i="5"/>
  <c r="B152" i="5"/>
  <c r="E152" i="5" s="1"/>
  <c r="C153" i="5"/>
  <c r="D154" i="5"/>
  <c r="B160" i="5"/>
  <c r="B163" i="5"/>
  <c r="D165" i="5"/>
  <c r="E165" i="5" s="1"/>
  <c r="C146" i="5"/>
  <c r="N30" i="5"/>
  <c r="W151" i="5"/>
  <c r="D153" i="5"/>
  <c r="N47" i="5"/>
  <c r="D161" i="5"/>
  <c r="N12" i="5"/>
  <c r="C141" i="5"/>
  <c r="D146" i="5"/>
  <c r="N28" i="5"/>
  <c r="L184" i="5"/>
  <c r="H180" i="5"/>
  <c r="J176" i="5"/>
  <c r="H171" i="5"/>
  <c r="N171" i="5" s="1"/>
  <c r="B184" i="5"/>
  <c r="N7" i="5"/>
  <c r="D167" i="5"/>
  <c r="D173" i="5"/>
  <c r="B176" i="5"/>
  <c r="C181" i="5"/>
  <c r="C182" i="5"/>
  <c r="B183" i="5"/>
  <c r="D160" i="5"/>
  <c r="H158" i="5"/>
  <c r="J150" i="5"/>
  <c r="L139" i="5"/>
  <c r="J172" i="5"/>
  <c r="J168" i="5"/>
  <c r="B137" i="5"/>
  <c r="N55" i="5"/>
  <c r="N57" i="5"/>
  <c r="N60" i="5"/>
  <c r="H165" i="5"/>
  <c r="L161" i="5"/>
  <c r="J138" i="5"/>
  <c r="J183" i="5"/>
  <c r="L179" i="5"/>
  <c r="N175" i="5"/>
  <c r="H167" i="5"/>
  <c r="N103" i="5"/>
  <c r="N29" i="5"/>
  <c r="C149" i="5"/>
  <c r="N34" i="5"/>
  <c r="J161" i="5"/>
  <c r="W153" i="5"/>
  <c r="W149" i="5"/>
  <c r="H146" i="5"/>
  <c r="H142" i="5"/>
  <c r="J190" i="5"/>
  <c r="D137" i="5"/>
  <c r="N118" i="5"/>
  <c r="N51" i="5"/>
  <c r="C138" i="5"/>
  <c r="B139" i="5"/>
  <c r="D141" i="5"/>
  <c r="C143" i="5"/>
  <c r="N27" i="5"/>
  <c r="W72" i="30"/>
  <c r="N17" i="30"/>
  <c r="W70" i="30"/>
  <c r="J82" i="30"/>
  <c r="W74" i="30"/>
  <c r="H78" i="30"/>
  <c r="D73" i="30"/>
  <c r="N26" i="30"/>
  <c r="L75" i="30"/>
  <c r="D71" i="30"/>
  <c r="J75" i="30"/>
  <c r="N75" i="30" s="1"/>
  <c r="C70" i="30"/>
  <c r="N31" i="30"/>
  <c r="N14" i="30"/>
  <c r="H81" i="30"/>
  <c r="L77" i="30"/>
  <c r="D77" i="30"/>
  <c r="H73" i="30"/>
  <c r="J74" i="30"/>
  <c r="J70" i="30"/>
  <c r="B69" i="30"/>
  <c r="D76" i="30"/>
  <c r="J73" i="30"/>
  <c r="D69" i="30"/>
  <c r="J79" i="30"/>
  <c r="N79" i="30" s="1"/>
  <c r="H76" i="30"/>
  <c r="L78" i="30"/>
  <c r="B104" i="28"/>
  <c r="C92" i="28"/>
  <c r="B91" i="28"/>
  <c r="N30" i="28"/>
  <c r="N47" i="28"/>
  <c r="L105" i="28"/>
  <c r="T102" i="28"/>
  <c r="N11" i="28"/>
  <c r="N19" i="28"/>
  <c r="N36" i="28"/>
  <c r="N49" i="28"/>
  <c r="H106" i="28"/>
  <c r="S102" i="28"/>
  <c r="D83" i="28"/>
  <c r="B90" i="28"/>
  <c r="B98" i="28"/>
  <c r="N18" i="28"/>
  <c r="B84" i="28"/>
  <c r="D97" i="28"/>
  <c r="D105" i="28"/>
  <c r="L97" i="28"/>
  <c r="C96" i="28"/>
  <c r="C104" i="28"/>
  <c r="N56" i="28"/>
  <c r="H100" i="28"/>
  <c r="D88" i="28"/>
  <c r="D178" i="2"/>
  <c r="C180" i="2"/>
  <c r="N54" i="2"/>
  <c r="D144" i="2"/>
  <c r="B147" i="2"/>
  <c r="W189" i="2"/>
  <c r="W185" i="2"/>
  <c r="W181" i="2"/>
  <c r="W177" i="2"/>
  <c r="B161" i="2"/>
  <c r="D138" i="2"/>
  <c r="L136" i="2"/>
  <c r="N70" i="2"/>
  <c r="N72" i="2"/>
  <c r="D180" i="2"/>
  <c r="W149" i="2"/>
  <c r="W145" i="2"/>
  <c r="C148" i="2"/>
  <c r="W176" i="2"/>
  <c r="N152" i="2"/>
  <c r="D171" i="2"/>
  <c r="D181" i="2"/>
  <c r="N17" i="1"/>
  <c r="D161" i="1"/>
  <c r="L177" i="1"/>
  <c r="W185" i="1"/>
  <c r="N49" i="1"/>
  <c r="L155" i="1"/>
  <c r="C178" i="1"/>
  <c r="C167" i="1"/>
  <c r="H179" i="1"/>
  <c r="C165" i="1"/>
  <c r="D144" i="1"/>
  <c r="N117" i="1"/>
  <c r="N92" i="1"/>
  <c r="N90" i="1"/>
  <c r="D191" i="1"/>
  <c r="C144" i="1"/>
  <c r="N58" i="1"/>
  <c r="B144" i="1"/>
  <c r="H159" i="1"/>
  <c r="H141" i="1"/>
  <c r="W92" i="33"/>
  <c r="J78" i="33"/>
  <c r="H85" i="33"/>
  <c r="D87" i="33"/>
  <c r="D90" i="33"/>
  <c r="N38" i="33"/>
  <c r="C92" i="33"/>
  <c r="C93" i="33"/>
  <c r="C95" i="33"/>
  <c r="C97" i="33"/>
  <c r="B86" i="33"/>
  <c r="N9" i="33"/>
  <c r="H92" i="33"/>
  <c r="H96" i="33"/>
  <c r="W89" i="33"/>
  <c r="N52" i="33"/>
  <c r="W93" i="33"/>
  <c r="J79" i="33"/>
  <c r="H80" i="33"/>
  <c r="L81" i="33"/>
  <c r="H82" i="33"/>
  <c r="D92" i="33"/>
  <c r="D93" i="33"/>
  <c r="D94" i="33"/>
  <c r="D95" i="33"/>
  <c r="D96" i="33"/>
  <c r="D97" i="33"/>
  <c r="J82" i="33"/>
  <c r="S185" i="9"/>
  <c r="D180" i="9"/>
  <c r="B156" i="9"/>
  <c r="B185" i="9"/>
  <c r="B198" i="9"/>
  <c r="L173" i="9"/>
  <c r="N76" i="9"/>
  <c r="L199" i="9"/>
  <c r="D194" i="9"/>
  <c r="L159" i="9"/>
  <c r="U172" i="9"/>
  <c r="U181" i="9"/>
  <c r="N27" i="9"/>
  <c r="B163" i="9"/>
  <c r="N34" i="9"/>
  <c r="H165" i="9"/>
  <c r="B181" i="9"/>
  <c r="N72" i="9"/>
  <c r="L191" i="9"/>
  <c r="J170" i="9"/>
  <c r="L176" i="9"/>
  <c r="T190" i="9"/>
  <c r="U156" i="9"/>
  <c r="N10" i="9"/>
  <c r="B154" i="9"/>
  <c r="H156" i="9"/>
  <c r="D159" i="9"/>
  <c r="C161" i="9"/>
  <c r="B165" i="9"/>
  <c r="L185" i="9"/>
  <c r="D186" i="9"/>
  <c r="N94" i="9"/>
  <c r="N119" i="9"/>
  <c r="N122" i="9"/>
  <c r="N126" i="9"/>
  <c r="N128" i="9"/>
  <c r="W153" i="9"/>
  <c r="W205" i="9"/>
  <c r="C206" i="9"/>
  <c r="T198" i="9"/>
  <c r="J165" i="9"/>
  <c r="U194" i="9"/>
  <c r="T183" i="9"/>
  <c r="S181" i="9"/>
  <c r="W181" i="9" s="1"/>
  <c r="D161" i="9"/>
  <c r="L163" i="9"/>
  <c r="D166" i="9"/>
  <c r="L167" i="9"/>
  <c r="L168" i="9"/>
  <c r="D169" i="9"/>
  <c r="D170" i="9"/>
  <c r="B172" i="9"/>
  <c r="H172" i="9"/>
  <c r="J173" i="9"/>
  <c r="D174" i="9"/>
  <c r="N59" i="9"/>
  <c r="D178" i="9"/>
  <c r="H179" i="9"/>
  <c r="D181" i="9"/>
  <c r="J182" i="9"/>
  <c r="N77" i="9"/>
  <c r="W165" i="9"/>
  <c r="D151" i="9"/>
  <c r="N87" i="9"/>
  <c r="U185" i="9"/>
  <c r="L156" i="9"/>
  <c r="L162" i="9"/>
  <c r="C185" i="9"/>
  <c r="J195" i="9"/>
  <c r="N112" i="9"/>
  <c r="W202" i="9"/>
  <c r="L158" i="9"/>
  <c r="D163" i="9"/>
  <c r="C170" i="9"/>
  <c r="B175" i="9"/>
  <c r="D179" i="9"/>
  <c r="C181" i="9"/>
  <c r="B184" i="9"/>
  <c r="C187" i="9"/>
  <c r="J198" i="9"/>
  <c r="T172" i="9"/>
  <c r="J153" i="9"/>
  <c r="N17" i="9"/>
  <c r="N32" i="9"/>
  <c r="L164" i="9"/>
  <c r="L169" i="9"/>
  <c r="D171" i="9"/>
  <c r="B173" i="9"/>
  <c r="N54" i="9"/>
  <c r="L174" i="9"/>
  <c r="B178" i="9"/>
  <c r="E178" i="9" s="1"/>
  <c r="B179" i="9"/>
  <c r="H181" i="9"/>
  <c r="D184" i="9"/>
  <c r="N93" i="9"/>
  <c r="N109" i="9"/>
  <c r="W199" i="9"/>
  <c r="J200" i="9"/>
  <c r="N118" i="9"/>
  <c r="N120" i="9"/>
  <c r="W161" i="9"/>
  <c r="N95" i="9"/>
  <c r="N47" i="22"/>
  <c r="B165" i="22"/>
  <c r="W183" i="22"/>
  <c r="H166" i="22"/>
  <c r="J166" i="22"/>
  <c r="N12" i="22"/>
  <c r="N13" i="22"/>
  <c r="B152" i="22"/>
  <c r="N18" i="22"/>
  <c r="B154" i="22"/>
  <c r="D155" i="22"/>
  <c r="N35" i="22"/>
  <c r="B160" i="22"/>
  <c r="H181" i="22"/>
  <c r="L181" i="22"/>
  <c r="J177" i="22"/>
  <c r="L173" i="22"/>
  <c r="J173" i="22"/>
  <c r="H173" i="22"/>
  <c r="H163" i="22"/>
  <c r="H159" i="22"/>
  <c r="J159" i="22"/>
  <c r="H153" i="22"/>
  <c r="C199" i="22"/>
  <c r="B169" i="22"/>
  <c r="N182" i="22"/>
  <c r="B176" i="22"/>
  <c r="T151" i="22"/>
  <c r="H151" i="22"/>
  <c r="U151" i="22"/>
  <c r="S151" i="22"/>
  <c r="C156" i="22"/>
  <c r="J196" i="22"/>
  <c r="H192" i="22"/>
  <c r="L192" i="22"/>
  <c r="J192" i="22"/>
  <c r="J188" i="22"/>
  <c r="H184" i="22"/>
  <c r="L180" i="22"/>
  <c r="H180" i="22"/>
  <c r="H176" i="22"/>
  <c r="L176" i="22"/>
  <c r="H165" i="22"/>
  <c r="L155" i="22"/>
  <c r="J153" i="22"/>
  <c r="N193" i="22"/>
  <c r="U199" i="22"/>
  <c r="N8" i="22"/>
  <c r="H188" i="22"/>
  <c r="J184" i="22"/>
  <c r="B199" i="22"/>
  <c r="C201" i="22"/>
  <c r="N121" i="22"/>
  <c r="W166" i="22"/>
  <c r="W190" i="22"/>
  <c r="J180" i="22"/>
  <c r="L172" i="22"/>
  <c r="H158" i="22"/>
  <c r="H155" i="22"/>
  <c r="T167" i="22"/>
  <c r="S167" i="22"/>
  <c r="H167" i="22"/>
  <c r="N105" i="22"/>
  <c r="D193" i="22"/>
  <c r="D162" i="22"/>
  <c r="N39" i="22"/>
  <c r="N61" i="22"/>
  <c r="U175" i="22"/>
  <c r="L175" i="22"/>
  <c r="L185" i="22"/>
  <c r="H185" i="22"/>
  <c r="J185" i="22"/>
  <c r="J175" i="22"/>
  <c r="J181" i="22"/>
  <c r="S199" i="22"/>
  <c r="C163" i="22"/>
  <c r="J172" i="22"/>
  <c r="D163" i="22"/>
  <c r="D183" i="22"/>
  <c r="N84" i="22"/>
  <c r="T185" i="22"/>
  <c r="U185" i="22"/>
  <c r="S191" i="22"/>
  <c r="T191" i="22"/>
  <c r="N103" i="22"/>
  <c r="B192" i="22"/>
  <c r="L150" i="22"/>
  <c r="J150" i="22"/>
  <c r="L199" i="22"/>
  <c r="J199" i="22"/>
  <c r="H199" i="22"/>
  <c r="J191" i="22"/>
  <c r="N76" i="22"/>
  <c r="B179" i="22"/>
  <c r="N85" i="22"/>
  <c r="B183" i="22"/>
  <c r="S169" i="22"/>
  <c r="U169" i="22"/>
  <c r="C175" i="22"/>
  <c r="L166" i="22"/>
  <c r="N195" i="22"/>
  <c r="L163" i="22"/>
  <c r="J176" i="22"/>
  <c r="N54" i="22"/>
  <c r="N66" i="22"/>
  <c r="B174" i="22"/>
  <c r="D176" i="22"/>
  <c r="N70" i="22"/>
  <c r="U184" i="22"/>
  <c r="S184" i="22"/>
  <c r="W184" i="22" s="1"/>
  <c r="B198" i="22"/>
  <c r="N115" i="22"/>
  <c r="D199" i="22"/>
  <c r="N122" i="22"/>
  <c r="B201" i="22"/>
  <c r="H175" i="22"/>
  <c r="J167" i="22"/>
  <c r="J151" i="22"/>
  <c r="D156" i="22"/>
  <c r="L159" i="22"/>
  <c r="D164" i="22"/>
  <c r="D165" i="22"/>
  <c r="C167" i="22"/>
  <c r="D170" i="22"/>
  <c r="E170" i="22" s="1"/>
  <c r="W161" i="22"/>
  <c r="J198" i="22"/>
  <c r="J194" i="22"/>
  <c r="N194" i="22" s="1"/>
  <c r="J190" i="22"/>
  <c r="N190" i="22" s="1"/>
  <c r="J161" i="22"/>
  <c r="T165" i="22"/>
  <c r="W165" i="22" s="1"/>
  <c r="L151" i="22"/>
  <c r="H191" i="22"/>
  <c r="N33" i="22"/>
  <c r="D167" i="22"/>
  <c r="N60" i="22"/>
  <c r="C172" i="22"/>
  <c r="D179" i="22"/>
  <c r="C193" i="22"/>
  <c r="C195" i="22"/>
  <c r="N30" i="22"/>
  <c r="W187" i="22"/>
  <c r="B173" i="22"/>
  <c r="E173" i="22" s="1"/>
  <c r="D182" i="22"/>
  <c r="E182" i="22" s="1"/>
  <c r="C186" i="22"/>
  <c r="N90" i="22"/>
  <c r="T159" i="22"/>
  <c r="W159" i="22" s="1"/>
  <c r="D177" i="22"/>
  <c r="C185" i="22"/>
  <c r="D186" i="22"/>
  <c r="D194" i="22"/>
  <c r="B203" i="22"/>
  <c r="N170" i="22"/>
  <c r="B184" i="22"/>
  <c r="C196" i="22"/>
  <c r="C203" i="22"/>
  <c r="N86" i="22"/>
  <c r="N65" i="22"/>
  <c r="C152" i="22"/>
  <c r="N15" i="22"/>
  <c r="C164" i="22"/>
  <c r="E164" i="22" s="1"/>
  <c r="B166" i="22"/>
  <c r="C176" i="22"/>
  <c r="N79" i="22"/>
  <c r="C183" i="22"/>
  <c r="H197" i="22"/>
  <c r="W196" i="22"/>
  <c r="N18" i="23"/>
  <c r="H184" i="23"/>
  <c r="N184" i="23" s="1"/>
  <c r="E186" i="23"/>
  <c r="J184" i="23"/>
  <c r="J144" i="23"/>
  <c r="L181" i="23"/>
  <c r="L171" i="23"/>
  <c r="J165" i="23"/>
  <c r="N53" i="23"/>
  <c r="D169" i="23"/>
  <c r="N55" i="23"/>
  <c r="H142" i="23"/>
  <c r="H162" i="23"/>
  <c r="N24" i="23"/>
  <c r="U141" i="23"/>
  <c r="J147" i="23"/>
  <c r="L175" i="23"/>
  <c r="J185" i="23"/>
  <c r="T182" i="23"/>
  <c r="S175" i="23"/>
  <c r="J190" i="23"/>
  <c r="H178" i="23"/>
  <c r="H159" i="23"/>
  <c r="S144" i="23"/>
  <c r="H148" i="23"/>
  <c r="W177" i="23"/>
  <c r="N77" i="23"/>
  <c r="D170" i="23"/>
  <c r="C144" i="23"/>
  <c r="C165" i="23"/>
  <c r="U171" i="23"/>
  <c r="N79" i="23"/>
  <c r="L185" i="23"/>
  <c r="D142" i="23"/>
  <c r="N21" i="23"/>
  <c r="H151" i="23"/>
  <c r="D179" i="23"/>
  <c r="C189" i="23"/>
  <c r="C190" i="23"/>
  <c r="D180" i="23"/>
  <c r="H158" i="23"/>
  <c r="J163" i="23"/>
  <c r="N28" i="23"/>
  <c r="J171" i="23"/>
  <c r="J158" i="23"/>
  <c r="N158" i="23" s="1"/>
  <c r="L151" i="23"/>
  <c r="B181" i="23"/>
  <c r="J175" i="23"/>
  <c r="N69" i="23"/>
  <c r="E184" i="23"/>
  <c r="J181" i="23"/>
  <c r="C168" i="23"/>
  <c r="L178" i="23"/>
  <c r="J159" i="23"/>
  <c r="J148" i="23"/>
  <c r="B166" i="23"/>
  <c r="J169" i="23"/>
  <c r="C149" i="23"/>
  <c r="C155" i="23"/>
  <c r="D189" i="23"/>
  <c r="B175" i="23"/>
  <c r="T180" i="23"/>
  <c r="N111" i="23"/>
  <c r="T154" i="23"/>
  <c r="J149" i="23"/>
  <c r="J157" i="23"/>
  <c r="J167" i="23"/>
  <c r="H169" i="23"/>
  <c r="U144" i="23"/>
  <c r="J141" i="23"/>
  <c r="T152" i="23"/>
  <c r="H172" i="23"/>
  <c r="L169" i="23"/>
  <c r="B174" i="23"/>
  <c r="B165" i="23"/>
  <c r="N97" i="23"/>
  <c r="H176" i="23"/>
  <c r="N176" i="23" s="1"/>
  <c r="S171" i="23"/>
  <c r="D141" i="23"/>
  <c r="C142" i="23"/>
  <c r="B143" i="23"/>
  <c r="D148" i="23"/>
  <c r="D149" i="23"/>
  <c r="C151" i="23"/>
  <c r="N37" i="23"/>
  <c r="D166" i="23"/>
  <c r="L168" i="23"/>
  <c r="B187" i="23"/>
  <c r="W162" i="23"/>
  <c r="W187" i="23"/>
  <c r="T169" i="23"/>
  <c r="N22" i="23"/>
  <c r="H182" i="23"/>
  <c r="W176" i="23"/>
  <c r="E171" i="23"/>
  <c r="D181" i="23"/>
  <c r="L163" i="23"/>
  <c r="T141" i="23"/>
  <c r="B140" i="23"/>
  <c r="T144" i="23"/>
  <c r="D153" i="23"/>
  <c r="C169" i="23"/>
  <c r="H187" i="23"/>
  <c r="D175" i="23"/>
  <c r="U180" i="23"/>
  <c r="L187" i="23"/>
  <c r="U154" i="23"/>
  <c r="T170" i="23"/>
  <c r="W170" i="23" s="1"/>
  <c r="L149" i="23"/>
  <c r="S161" i="23"/>
  <c r="W161" i="23" s="1"/>
  <c r="L141" i="23"/>
  <c r="B177" i="23"/>
  <c r="U152" i="23"/>
  <c r="N44" i="23"/>
  <c r="J140" i="23"/>
  <c r="H141" i="23"/>
  <c r="N20" i="23"/>
  <c r="B148" i="23"/>
  <c r="D160" i="23"/>
  <c r="C161" i="23"/>
  <c r="D167" i="23"/>
  <c r="N75" i="23"/>
  <c r="N92" i="23"/>
  <c r="W145" i="23"/>
  <c r="W163" i="23"/>
  <c r="J181" i="24"/>
  <c r="H173" i="24"/>
  <c r="J163" i="24"/>
  <c r="N58" i="24"/>
  <c r="L159" i="24"/>
  <c r="N9" i="24"/>
  <c r="B136" i="24"/>
  <c r="N11" i="24"/>
  <c r="B137" i="24"/>
  <c r="H140" i="24"/>
  <c r="L140" i="24"/>
  <c r="N36" i="24"/>
  <c r="B150" i="24"/>
  <c r="L151" i="24"/>
  <c r="H151" i="24"/>
  <c r="J151" i="24"/>
  <c r="L152" i="24"/>
  <c r="H152" i="24"/>
  <c r="J152" i="24"/>
  <c r="B159" i="24"/>
  <c r="L164" i="24"/>
  <c r="J164" i="24"/>
  <c r="L165" i="24"/>
  <c r="J165" i="24"/>
  <c r="D169" i="24"/>
  <c r="B170" i="24"/>
  <c r="J183" i="24"/>
  <c r="U183" i="24"/>
  <c r="S183" i="24"/>
  <c r="C188" i="24"/>
  <c r="N112" i="24"/>
  <c r="S175" i="24"/>
  <c r="J175" i="24"/>
  <c r="W184" i="24"/>
  <c r="W188" i="24"/>
  <c r="H158" i="24"/>
  <c r="L158" i="24"/>
  <c r="D160" i="24"/>
  <c r="N56" i="24"/>
  <c r="C164" i="24"/>
  <c r="N64" i="24"/>
  <c r="N78" i="24"/>
  <c r="E176" i="24"/>
  <c r="U177" i="24"/>
  <c r="S177" i="24"/>
  <c r="C183" i="24"/>
  <c r="D177" i="24"/>
  <c r="T177" i="24"/>
  <c r="J136" i="24"/>
  <c r="H136" i="24"/>
  <c r="L137" i="24"/>
  <c r="J137" i="24"/>
  <c r="L139" i="24"/>
  <c r="H139" i="24"/>
  <c r="J139" i="24"/>
  <c r="L149" i="24"/>
  <c r="J149" i="24"/>
  <c r="H149" i="24"/>
  <c r="L150" i="24"/>
  <c r="H150" i="24"/>
  <c r="N39" i="24"/>
  <c r="T159" i="24"/>
  <c r="U159" i="24"/>
  <c r="C169" i="24"/>
  <c r="J171" i="24"/>
  <c r="H171" i="24"/>
  <c r="L171" i="24"/>
  <c r="B177" i="24"/>
  <c r="B178" i="24"/>
  <c r="S178" i="24"/>
  <c r="N100" i="24"/>
  <c r="B182" i="24"/>
  <c r="J179" i="24"/>
  <c r="N179" i="24" s="1"/>
  <c r="S170" i="24"/>
  <c r="H137" i="24"/>
  <c r="J162" i="24"/>
  <c r="L163" i="24"/>
  <c r="J186" i="24"/>
  <c r="J169" i="24"/>
  <c r="N92" i="24"/>
  <c r="J150" i="24"/>
  <c r="C151" i="24"/>
  <c r="C167" i="24"/>
  <c r="H169" i="24"/>
  <c r="W152" i="24"/>
  <c r="H172" i="24"/>
  <c r="J159" i="24"/>
  <c r="T178" i="24"/>
  <c r="L169" i="24"/>
  <c r="N169" i="24" s="1"/>
  <c r="L147" i="24"/>
  <c r="D148" i="24"/>
  <c r="H166" i="24"/>
  <c r="L157" i="24"/>
  <c r="N157" i="24" s="1"/>
  <c r="C170" i="24"/>
  <c r="L175" i="24"/>
  <c r="D184" i="24"/>
  <c r="H147" i="24"/>
  <c r="B185" i="24"/>
  <c r="E185" i="24" s="1"/>
  <c r="B156" i="24"/>
  <c r="B157" i="24"/>
  <c r="D168" i="24"/>
  <c r="D170" i="24"/>
  <c r="N84" i="24"/>
  <c r="C175" i="24"/>
  <c r="U147" i="24"/>
  <c r="W176" i="24"/>
  <c r="E161" i="24"/>
  <c r="N51" i="24"/>
  <c r="B169" i="24"/>
  <c r="E169" i="24" s="1"/>
  <c r="B174" i="24"/>
  <c r="D149" i="24"/>
  <c r="D182" i="24"/>
  <c r="J147" i="24"/>
  <c r="H183" i="24"/>
  <c r="B165" i="24"/>
  <c r="B179" i="24"/>
  <c r="N35" i="24"/>
  <c r="C156" i="24"/>
  <c r="J168" i="24"/>
  <c r="N168" i="24" s="1"/>
  <c r="N74" i="24"/>
  <c r="L174" i="24"/>
  <c r="N174" i="24" s="1"/>
  <c r="B186" i="24"/>
  <c r="B187" i="24"/>
  <c r="L187" i="24"/>
  <c r="W164" i="24"/>
  <c r="D150" i="24"/>
  <c r="D172" i="24"/>
  <c r="D157" i="24"/>
  <c r="H175" i="24"/>
  <c r="B140" i="24"/>
  <c r="D145" i="24"/>
  <c r="D156" i="24"/>
  <c r="C162" i="24"/>
  <c r="C174" i="24"/>
  <c r="N94" i="24"/>
  <c r="W136" i="24"/>
  <c r="B188" i="25"/>
  <c r="B178" i="25"/>
  <c r="E178" i="25" s="1"/>
  <c r="N92" i="25"/>
  <c r="N93" i="25"/>
  <c r="J181" i="25"/>
  <c r="T181" i="25"/>
  <c r="W181" i="25" s="1"/>
  <c r="H182" i="25"/>
  <c r="J182" i="25"/>
  <c r="W166" i="25"/>
  <c r="L169" i="25"/>
  <c r="C181" i="25"/>
  <c r="H169" i="25"/>
  <c r="B172" i="25"/>
  <c r="E172" i="25" s="1"/>
  <c r="N80" i="25"/>
  <c r="H175" i="25"/>
  <c r="T175" i="25"/>
  <c r="W175" i="25" s="1"/>
  <c r="C175" i="25"/>
  <c r="L177" i="25"/>
  <c r="B139" i="25"/>
  <c r="N14" i="25"/>
  <c r="B140" i="25"/>
  <c r="N16" i="25"/>
  <c r="W176" i="25"/>
  <c r="L173" i="25"/>
  <c r="J173" i="25"/>
  <c r="H173" i="25"/>
  <c r="N163" i="25"/>
  <c r="B167" i="25"/>
  <c r="H156" i="25"/>
  <c r="L156" i="25"/>
  <c r="J156" i="25"/>
  <c r="B179" i="25"/>
  <c r="U145" i="25"/>
  <c r="S145" i="25"/>
  <c r="T145" i="25"/>
  <c r="L146" i="25"/>
  <c r="H146" i="25"/>
  <c r="B154" i="25"/>
  <c r="N44" i="25"/>
  <c r="L161" i="25"/>
  <c r="U161" i="25"/>
  <c r="H161" i="25"/>
  <c r="T161" i="25"/>
  <c r="B169" i="25"/>
  <c r="W156" i="25"/>
  <c r="B137" i="25"/>
  <c r="L137" i="25"/>
  <c r="J137" i="25"/>
  <c r="H137" i="25"/>
  <c r="J139" i="25"/>
  <c r="H139" i="25"/>
  <c r="T146" i="25"/>
  <c r="U146" i="25"/>
  <c r="L147" i="25"/>
  <c r="J147" i="25"/>
  <c r="J148" i="25"/>
  <c r="L148" i="25"/>
  <c r="L149" i="25"/>
  <c r="J149" i="25"/>
  <c r="H149" i="25"/>
  <c r="R47" i="25"/>
  <c r="H155" i="25" s="1"/>
  <c r="L162" i="25"/>
  <c r="J162" i="25"/>
  <c r="C169" i="25"/>
  <c r="L181" i="25"/>
  <c r="H177" i="25"/>
  <c r="T149" i="25"/>
  <c r="E152" i="25"/>
  <c r="N174" i="25"/>
  <c r="J142" i="25"/>
  <c r="H141" i="25"/>
  <c r="U170" i="25"/>
  <c r="D173" i="25"/>
  <c r="L189" i="25"/>
  <c r="J177" i="25"/>
  <c r="S162" i="25"/>
  <c r="S171" i="25"/>
  <c r="W171" i="25" s="1"/>
  <c r="L142" i="25"/>
  <c r="H181" i="25"/>
  <c r="J141" i="25"/>
  <c r="H171" i="25"/>
  <c r="H176" i="25"/>
  <c r="H164" i="25"/>
  <c r="L138" i="25"/>
  <c r="N138" i="25" s="1"/>
  <c r="C149" i="25"/>
  <c r="H172" i="25"/>
  <c r="N86" i="25"/>
  <c r="N109" i="25"/>
  <c r="N113" i="25"/>
  <c r="W163" i="25"/>
  <c r="W185" i="25"/>
  <c r="B174" i="25"/>
  <c r="W137" i="25"/>
  <c r="E138" i="25"/>
  <c r="H183" i="25"/>
  <c r="S149" i="25"/>
  <c r="W149" i="25" s="1"/>
  <c r="T162" i="25"/>
  <c r="J171" i="25"/>
  <c r="H167" i="25"/>
  <c r="J153" i="25"/>
  <c r="J183" i="25"/>
  <c r="B158" i="25"/>
  <c r="J136" i="25"/>
  <c r="B176" i="25"/>
  <c r="E176" i="25" s="1"/>
  <c r="T136" i="25"/>
  <c r="H143" i="25"/>
  <c r="N84" i="25"/>
  <c r="C146" i="25"/>
  <c r="N49" i="25"/>
  <c r="B157" i="25"/>
  <c r="L158" i="25"/>
  <c r="D159" i="25"/>
  <c r="D160" i="25"/>
  <c r="E160" i="25" s="1"/>
  <c r="D161" i="25"/>
  <c r="N63" i="25"/>
  <c r="C164" i="25"/>
  <c r="E164" i="25" s="1"/>
  <c r="B165" i="25"/>
  <c r="N69" i="25"/>
  <c r="D168" i="25"/>
  <c r="J184" i="25"/>
  <c r="W183" i="25"/>
  <c r="B189" i="25"/>
  <c r="C189" i="25"/>
  <c r="W140" i="25"/>
  <c r="B141" i="25"/>
  <c r="B151" i="25"/>
  <c r="E151" i="25" s="1"/>
  <c r="D154" i="25"/>
  <c r="N47" i="25"/>
  <c r="C162" i="25"/>
  <c r="C182" i="25"/>
  <c r="N106" i="25"/>
  <c r="N108" i="25"/>
  <c r="W187" i="25"/>
  <c r="C144" i="26"/>
  <c r="H143" i="26"/>
  <c r="N143" i="26" s="1"/>
  <c r="L142" i="26"/>
  <c r="C128" i="26"/>
  <c r="C134" i="26"/>
  <c r="U136" i="26"/>
  <c r="B122" i="26"/>
  <c r="J119" i="26"/>
  <c r="L148" i="26"/>
  <c r="N50" i="26"/>
  <c r="B126" i="26"/>
  <c r="B131" i="26"/>
  <c r="H138" i="26"/>
  <c r="E127" i="26"/>
  <c r="L130" i="26"/>
  <c r="N38" i="26"/>
  <c r="L152" i="26"/>
  <c r="H148" i="26"/>
  <c r="H151" i="26"/>
  <c r="J142" i="26"/>
  <c r="J149" i="26"/>
  <c r="S136" i="26"/>
  <c r="H136" i="26"/>
  <c r="H120" i="26"/>
  <c r="L137" i="26"/>
  <c r="U148" i="26"/>
  <c r="J139" i="26"/>
  <c r="B125" i="26"/>
  <c r="T126" i="26"/>
  <c r="B135" i="26"/>
  <c r="D126" i="26"/>
  <c r="N26" i="26"/>
  <c r="B128" i="26"/>
  <c r="H130" i="26"/>
  <c r="C132" i="26"/>
  <c r="E132" i="26" s="1"/>
  <c r="N72" i="26"/>
  <c r="C153" i="26"/>
  <c r="W153" i="26"/>
  <c r="J148" i="26"/>
  <c r="N19" i="26"/>
  <c r="L138" i="26"/>
  <c r="N62" i="26"/>
  <c r="H142" i="26"/>
  <c r="B137" i="26"/>
  <c r="C151" i="26"/>
  <c r="E151" i="26" s="1"/>
  <c r="H152" i="26"/>
  <c r="N152" i="26" s="1"/>
  <c r="H126" i="26"/>
  <c r="B141" i="26"/>
  <c r="J129" i="26"/>
  <c r="J145" i="26"/>
  <c r="L131" i="26"/>
  <c r="L126" i="26"/>
  <c r="S126" i="26"/>
  <c r="D130" i="26"/>
  <c r="J137" i="26"/>
  <c r="D121" i="26"/>
  <c r="C146" i="26"/>
  <c r="B147" i="26"/>
  <c r="E147" i="26" s="1"/>
  <c r="N79" i="26"/>
  <c r="D136" i="26"/>
  <c r="N30" i="26"/>
  <c r="T131" i="26"/>
  <c r="W131" i="26" s="1"/>
  <c r="H131" i="26"/>
  <c r="U131" i="26"/>
  <c r="D142" i="26"/>
  <c r="E142" i="26" s="1"/>
  <c r="U130" i="26"/>
  <c r="W130" i="26" s="1"/>
  <c r="T142" i="26"/>
  <c r="W142" i="26" s="1"/>
  <c r="C133" i="26"/>
  <c r="J135" i="26"/>
  <c r="L145" i="26"/>
  <c r="N145" i="26" s="1"/>
  <c r="N36" i="26"/>
  <c r="J121" i="26"/>
  <c r="B140" i="26"/>
  <c r="H119" i="26"/>
  <c r="L121" i="26"/>
  <c r="C122" i="26"/>
  <c r="N18" i="26"/>
  <c r="U135" i="26"/>
  <c r="N49" i="26"/>
  <c r="C148" i="26"/>
  <c r="E148" i="26" s="1"/>
  <c r="C137" i="26"/>
  <c r="D135" i="26"/>
  <c r="C152" i="26"/>
  <c r="E152" i="26" s="1"/>
  <c r="U143" i="26"/>
  <c r="C143" i="26"/>
  <c r="T148" i="26"/>
  <c r="J130" i="26"/>
  <c r="N7" i="26"/>
  <c r="N9" i="26"/>
  <c r="N11" i="26"/>
  <c r="C124" i="26"/>
  <c r="L132" i="26"/>
  <c r="S135" i="26"/>
  <c r="N61" i="26"/>
  <c r="C145" i="26"/>
  <c r="S87" i="38"/>
  <c r="J90" i="38"/>
  <c r="W82" i="38"/>
  <c r="T95" i="38"/>
  <c r="S100" i="38"/>
  <c r="U87" i="38"/>
  <c r="W85" i="38"/>
  <c r="W88" i="38"/>
  <c r="N25" i="38"/>
  <c r="W94" i="38"/>
  <c r="T99" i="38"/>
  <c r="E101" i="38"/>
  <c r="H81" i="38"/>
  <c r="J99" i="38"/>
  <c r="H96" i="38"/>
  <c r="J89" i="38"/>
  <c r="C119" i="36"/>
  <c r="B103" i="36"/>
  <c r="B118" i="36"/>
  <c r="C121" i="36"/>
  <c r="J104" i="36"/>
  <c r="J109" i="36"/>
  <c r="T105" i="36"/>
  <c r="T117" i="36"/>
  <c r="N72" i="36"/>
  <c r="N52" i="36"/>
  <c r="N58" i="36"/>
  <c r="N53" i="36"/>
  <c r="N60" i="36"/>
  <c r="H123" i="36"/>
  <c r="L115" i="36"/>
  <c r="J105" i="36"/>
  <c r="H108" i="36"/>
  <c r="H119" i="36"/>
  <c r="U117" i="36"/>
  <c r="H118" i="36"/>
  <c r="S105" i="36"/>
  <c r="N12" i="36"/>
  <c r="N40" i="36"/>
  <c r="J122" i="36"/>
  <c r="D113" i="36"/>
  <c r="T124" i="36"/>
  <c r="H105" i="36"/>
  <c r="C123" i="36"/>
  <c r="N8" i="36"/>
  <c r="N16" i="36"/>
  <c r="C107" i="36"/>
  <c r="N28" i="36"/>
  <c r="N36" i="36"/>
  <c r="N39" i="36"/>
  <c r="D119" i="36"/>
  <c r="D117" i="36"/>
  <c r="N56" i="36"/>
  <c r="J121" i="36"/>
  <c r="L114" i="36"/>
  <c r="J110" i="36"/>
  <c r="W108" i="36"/>
  <c r="W101" i="36"/>
  <c r="B124" i="36"/>
  <c r="J108" i="36"/>
  <c r="L108" i="36"/>
  <c r="N14" i="36"/>
  <c r="D108" i="36"/>
  <c r="D112" i="36"/>
  <c r="C115" i="36"/>
  <c r="N42" i="36"/>
  <c r="D118" i="36"/>
  <c r="N55" i="36"/>
  <c r="D122" i="36"/>
  <c r="N50" i="36"/>
  <c r="N57" i="36"/>
  <c r="D123" i="36"/>
  <c r="L120" i="36"/>
  <c r="H117" i="36"/>
  <c r="L113" i="36"/>
  <c r="L107" i="36"/>
  <c r="N64" i="36"/>
  <c r="T123" i="36"/>
  <c r="W104" i="36"/>
  <c r="B109" i="36"/>
  <c r="C113" i="36"/>
  <c r="C109" i="36"/>
  <c r="N68" i="36"/>
  <c r="N74" i="36"/>
  <c r="J115" i="36"/>
  <c r="U110" i="36"/>
  <c r="D105" i="36"/>
  <c r="H121" i="36"/>
  <c r="L101" i="36"/>
  <c r="U120" i="36"/>
  <c r="C104" i="36"/>
  <c r="B120" i="36"/>
  <c r="L121" i="36"/>
  <c r="W116" i="36"/>
  <c r="H114" i="36"/>
  <c r="U121" i="36"/>
  <c r="W121" i="36" s="1"/>
  <c r="B123" i="36"/>
  <c r="L123" i="36"/>
  <c r="W114" i="36"/>
  <c r="N25" i="36"/>
  <c r="N45" i="36"/>
  <c r="N65" i="36"/>
  <c r="N69" i="36"/>
  <c r="N73" i="36"/>
  <c r="U111" i="36"/>
  <c r="H106" i="36"/>
  <c r="N61" i="36"/>
  <c r="J118" i="36"/>
  <c r="N118" i="36" s="1"/>
  <c r="D102" i="36"/>
  <c r="B105" i="36"/>
  <c r="B113" i="36"/>
  <c r="N24" i="36"/>
  <c r="N34" i="36"/>
  <c r="C118" i="36"/>
  <c r="N66" i="36"/>
  <c r="N70" i="36"/>
  <c r="N59" i="36"/>
  <c r="E101" i="36"/>
  <c r="C106" i="36"/>
  <c r="N31" i="36"/>
  <c r="B119" i="36"/>
  <c r="C122" i="36"/>
  <c r="H122" i="36"/>
  <c r="H120" i="36"/>
  <c r="L122" i="36"/>
  <c r="U106" i="36"/>
  <c r="N15" i="36"/>
  <c r="D106" i="36"/>
  <c r="N38" i="36"/>
  <c r="L106" i="36"/>
  <c r="L102" i="36"/>
  <c r="J124" i="36"/>
  <c r="S106" i="36"/>
  <c r="C105" i="36"/>
  <c r="N18" i="36"/>
  <c r="S122" i="36"/>
  <c r="J102" i="36"/>
  <c r="J120" i="36"/>
  <c r="S102" i="36"/>
  <c r="L117" i="36"/>
  <c r="N37" i="36"/>
  <c r="H102" i="36"/>
  <c r="C102" i="36"/>
  <c r="B110" i="36"/>
  <c r="H111" i="36"/>
  <c r="B107" i="36"/>
  <c r="J117" i="36"/>
  <c r="U124" i="36"/>
  <c r="L110" i="36"/>
  <c r="J123" i="36"/>
  <c r="T120" i="36"/>
  <c r="D103" i="36"/>
  <c r="L111" i="36"/>
  <c r="U103" i="36"/>
  <c r="W103" i="36" s="1"/>
  <c r="H109" i="36"/>
  <c r="C110" i="36"/>
  <c r="J111" i="36"/>
  <c r="B117" i="36"/>
  <c r="J107" i="36"/>
  <c r="N47" i="36"/>
  <c r="U122" i="36"/>
  <c r="B121" i="36"/>
  <c r="H116" i="36"/>
  <c r="H112" i="36"/>
  <c r="N32" i="36"/>
  <c r="S109" i="36"/>
  <c r="N17" i="36"/>
  <c r="N7" i="36"/>
  <c r="B115" i="36"/>
  <c r="N30" i="36"/>
  <c r="J112" i="36"/>
  <c r="N44" i="36"/>
  <c r="B112" i="36"/>
  <c r="L103" i="36"/>
  <c r="S123" i="36"/>
  <c r="T109" i="36"/>
  <c r="H115" i="36"/>
  <c r="J106" i="36"/>
  <c r="C116" i="36"/>
  <c r="T102" i="36"/>
  <c r="H124" i="36"/>
  <c r="H107" i="36"/>
  <c r="D115" i="36"/>
  <c r="W118" i="36"/>
  <c r="B111" i="36"/>
  <c r="H113" i="36"/>
  <c r="L124" i="36"/>
  <c r="N48" i="36"/>
  <c r="C124" i="36"/>
  <c r="S115" i="36"/>
  <c r="W115" i="36" s="1"/>
  <c r="J101" i="36"/>
  <c r="N43" i="36"/>
  <c r="H110" i="36"/>
  <c r="L105" i="36"/>
  <c r="U167" i="17"/>
  <c r="H161" i="17"/>
  <c r="N33" i="17"/>
  <c r="N29" i="17"/>
  <c r="W137" i="17"/>
  <c r="B146" i="17"/>
  <c r="B177" i="17"/>
  <c r="J184" i="17"/>
  <c r="D189" i="17"/>
  <c r="T171" i="17"/>
  <c r="S170" i="17"/>
  <c r="B149" i="17"/>
  <c r="L144" i="17"/>
  <c r="N144" i="17" s="1"/>
  <c r="J155" i="17"/>
  <c r="L148" i="17"/>
  <c r="N8" i="17"/>
  <c r="H173" i="17"/>
  <c r="L167" i="17"/>
  <c r="D137" i="17"/>
  <c r="L155" i="17"/>
  <c r="C157" i="17"/>
  <c r="N60" i="17"/>
  <c r="D164" i="17"/>
  <c r="L173" i="17"/>
  <c r="N91" i="17"/>
  <c r="C180" i="17"/>
  <c r="D186" i="17"/>
  <c r="W155" i="17"/>
  <c r="H191" i="17"/>
  <c r="B185" i="17"/>
  <c r="W169" i="17"/>
  <c r="B166" i="17"/>
  <c r="N99" i="17"/>
  <c r="S174" i="17"/>
  <c r="H137" i="17"/>
  <c r="N137" i="17" s="1"/>
  <c r="H178" i="17"/>
  <c r="H184" i="17"/>
  <c r="L188" i="17"/>
  <c r="H154" i="17"/>
  <c r="N25" i="17"/>
  <c r="H168" i="17"/>
  <c r="T149" i="17"/>
  <c r="B145" i="17"/>
  <c r="B159" i="17"/>
  <c r="S146" i="17"/>
  <c r="S148" i="17"/>
  <c r="H183" i="17"/>
  <c r="B140" i="17"/>
  <c r="D152" i="17"/>
  <c r="N42" i="17"/>
  <c r="B154" i="17"/>
  <c r="L161" i="17"/>
  <c r="D165" i="17"/>
  <c r="J169" i="17"/>
  <c r="C171" i="17"/>
  <c r="D180" i="17"/>
  <c r="C181" i="17"/>
  <c r="L187" i="17"/>
  <c r="L189" i="17"/>
  <c r="L175" i="17"/>
  <c r="H167" i="17"/>
  <c r="N92" i="17"/>
  <c r="J167" i="17"/>
  <c r="T174" i="17"/>
  <c r="W174" i="17" s="1"/>
  <c r="S177" i="17"/>
  <c r="W177" i="17" s="1"/>
  <c r="J154" i="17"/>
  <c r="J168" i="17"/>
  <c r="J150" i="17"/>
  <c r="H160" i="17"/>
  <c r="S149" i="17"/>
  <c r="J183" i="17"/>
  <c r="D141" i="17"/>
  <c r="C154" i="17"/>
  <c r="C155" i="17"/>
  <c r="H157" i="17"/>
  <c r="D158" i="17"/>
  <c r="D159" i="17"/>
  <c r="B161" i="17"/>
  <c r="N61" i="17"/>
  <c r="N65" i="17"/>
  <c r="D167" i="17"/>
  <c r="N74" i="17"/>
  <c r="N76" i="17"/>
  <c r="D179" i="17"/>
  <c r="N102" i="17"/>
  <c r="N107" i="17"/>
  <c r="W151" i="17"/>
  <c r="W183" i="17"/>
  <c r="W188" i="17"/>
  <c r="N27" i="17"/>
  <c r="N17" i="17"/>
  <c r="N80" i="17"/>
  <c r="J175" i="17"/>
  <c r="B180" i="17"/>
  <c r="J189" i="17"/>
  <c r="T148" i="17"/>
  <c r="C170" i="17"/>
  <c r="L165" i="17"/>
  <c r="T170" i="17"/>
  <c r="B167" i="17"/>
  <c r="J174" i="17"/>
  <c r="W143" i="17"/>
  <c r="S175" i="17"/>
  <c r="U146" i="17"/>
  <c r="L139" i="17"/>
  <c r="H141" i="17"/>
  <c r="N50" i="17"/>
  <c r="D168" i="17"/>
  <c r="L171" i="17"/>
  <c r="N83" i="17"/>
  <c r="C187" i="17"/>
  <c r="W141" i="17"/>
  <c r="B136" i="17"/>
  <c r="S190" i="17"/>
  <c r="N45" i="18"/>
  <c r="J181" i="18"/>
  <c r="L158" i="18"/>
  <c r="N44" i="18"/>
  <c r="B162" i="18"/>
  <c r="H177" i="18"/>
  <c r="S177" i="18"/>
  <c r="T177" i="18"/>
  <c r="L178" i="18"/>
  <c r="J178" i="18"/>
  <c r="J175" i="18"/>
  <c r="D141" i="18"/>
  <c r="N79" i="18"/>
  <c r="N68" i="18"/>
  <c r="C170" i="18"/>
  <c r="J170" i="18"/>
  <c r="H170" i="18"/>
  <c r="L170" i="18"/>
  <c r="T170" i="18"/>
  <c r="L171" i="18"/>
  <c r="J171" i="18"/>
  <c r="H171" i="18"/>
  <c r="J172" i="18"/>
  <c r="H172" i="18"/>
  <c r="L172" i="18"/>
  <c r="N77" i="18"/>
  <c r="T178" i="18"/>
  <c r="N99" i="18"/>
  <c r="N101" i="18"/>
  <c r="C184" i="18"/>
  <c r="J189" i="18"/>
  <c r="H189" i="18"/>
  <c r="J174" i="18"/>
  <c r="H183" i="18"/>
  <c r="J167" i="18"/>
  <c r="H145" i="18"/>
  <c r="D145" i="18"/>
  <c r="S145" i="18"/>
  <c r="J145" i="18"/>
  <c r="H146" i="18"/>
  <c r="J146" i="18"/>
  <c r="L146" i="18"/>
  <c r="S153" i="18"/>
  <c r="U153" i="18"/>
  <c r="T153" i="18"/>
  <c r="W190" i="18"/>
  <c r="C183" i="18"/>
  <c r="D177" i="18"/>
  <c r="B177" i="18"/>
  <c r="U177" i="18"/>
  <c r="E189" i="18"/>
  <c r="J139" i="18"/>
  <c r="H139" i="18"/>
  <c r="B145" i="18"/>
  <c r="N23" i="18"/>
  <c r="D151" i="18"/>
  <c r="E151" i="18" s="1"/>
  <c r="U154" i="18"/>
  <c r="B154" i="18"/>
  <c r="W155" i="18"/>
  <c r="W159" i="18"/>
  <c r="N50" i="18"/>
  <c r="B159" i="18"/>
  <c r="S160" i="18"/>
  <c r="U160" i="18"/>
  <c r="T160" i="18"/>
  <c r="N70" i="18"/>
  <c r="C169" i="18"/>
  <c r="N65" i="18"/>
  <c r="B160" i="18"/>
  <c r="H163" i="18"/>
  <c r="L163" i="18"/>
  <c r="N59" i="18"/>
  <c r="D164" i="18"/>
  <c r="B168" i="18"/>
  <c r="N67" i="18"/>
  <c r="T172" i="18"/>
  <c r="U172" i="18"/>
  <c r="C172" i="18"/>
  <c r="T175" i="18"/>
  <c r="S175" i="18"/>
  <c r="U175" i="18"/>
  <c r="N7" i="18"/>
  <c r="B138" i="18"/>
  <c r="H167" i="18"/>
  <c r="L153" i="18"/>
  <c r="H153" i="18"/>
  <c r="C160" i="18"/>
  <c r="T163" i="18"/>
  <c r="S163" i="18"/>
  <c r="U163" i="18"/>
  <c r="H164" i="18"/>
  <c r="J164" i="18"/>
  <c r="L165" i="18"/>
  <c r="J165" i="18"/>
  <c r="H165" i="18"/>
  <c r="J166" i="18"/>
  <c r="H166" i="18"/>
  <c r="L166" i="18"/>
  <c r="C175" i="18"/>
  <c r="U183" i="18"/>
  <c r="L183" i="18"/>
  <c r="W182" i="18"/>
  <c r="B172" i="18"/>
  <c r="J168" i="18"/>
  <c r="J160" i="18"/>
  <c r="N12" i="18"/>
  <c r="B141" i="18"/>
  <c r="B142" i="18"/>
  <c r="N14" i="18"/>
  <c r="H142" i="18"/>
  <c r="L142" i="18"/>
  <c r="J150" i="18"/>
  <c r="H150" i="18"/>
  <c r="L156" i="18"/>
  <c r="N108" i="18"/>
  <c r="N110" i="18"/>
  <c r="N112" i="18"/>
  <c r="W150" i="18"/>
  <c r="T183" i="18"/>
  <c r="N82" i="18"/>
  <c r="W142" i="18"/>
  <c r="N26" i="18"/>
  <c r="N39" i="18"/>
  <c r="H158" i="18"/>
  <c r="N83" i="18"/>
  <c r="L188" i="18"/>
  <c r="W141" i="18"/>
  <c r="W189" i="18"/>
  <c r="N109" i="18"/>
  <c r="L174" i="18"/>
  <c r="T168" i="18"/>
  <c r="W168" i="18" s="1"/>
  <c r="C141" i="18"/>
  <c r="H152" i="18"/>
  <c r="B158" i="18"/>
  <c r="D171" i="18"/>
  <c r="N95" i="18"/>
  <c r="C186" i="18"/>
  <c r="D168" i="18"/>
  <c r="B182" i="18"/>
  <c r="D153" i="18"/>
  <c r="B191" i="18"/>
  <c r="J144" i="18"/>
  <c r="U157" i="18"/>
  <c r="W157" i="18" s="1"/>
  <c r="S173" i="18"/>
  <c r="W173" i="18" s="1"/>
  <c r="H156" i="18"/>
  <c r="C144" i="18"/>
  <c r="D147" i="18"/>
  <c r="B152" i="18"/>
  <c r="C155" i="18"/>
  <c r="L160" i="18"/>
  <c r="D162" i="18"/>
  <c r="C163" i="18"/>
  <c r="C164" i="18"/>
  <c r="E164" i="18" s="1"/>
  <c r="C165" i="18"/>
  <c r="B173" i="18"/>
  <c r="D175" i="18"/>
  <c r="N86" i="18"/>
  <c r="J177" i="18"/>
  <c r="C182" i="18"/>
  <c r="N98" i="18"/>
  <c r="D187" i="18"/>
  <c r="C188" i="18"/>
  <c r="W138" i="18"/>
  <c r="N118" i="18"/>
  <c r="D166" i="18"/>
  <c r="B169" i="18"/>
  <c r="H188" i="18"/>
  <c r="H140" i="18"/>
  <c r="D143" i="18"/>
  <c r="E143" i="18" s="1"/>
  <c r="C145" i="18"/>
  <c r="N22" i="18"/>
  <c r="B147" i="18"/>
  <c r="N31" i="18"/>
  <c r="D158" i="18"/>
  <c r="D159" i="18"/>
  <c r="N53" i="18"/>
  <c r="L161" i="18"/>
  <c r="C173" i="18"/>
  <c r="H175" i="18"/>
  <c r="J186" i="18"/>
  <c r="D188" i="18"/>
  <c r="W165" i="18"/>
  <c r="L192" i="18"/>
  <c r="D146" i="19"/>
  <c r="N14" i="19"/>
  <c r="C149" i="19"/>
  <c r="N20" i="19"/>
  <c r="C151" i="19"/>
  <c r="N24" i="19"/>
  <c r="L154" i="19"/>
  <c r="H154" i="19"/>
  <c r="C191" i="19"/>
  <c r="N109" i="19"/>
  <c r="J154" i="19"/>
  <c r="W145" i="19"/>
  <c r="L153" i="19"/>
  <c r="N153" i="19" s="1"/>
  <c r="N83" i="19"/>
  <c r="B180" i="19"/>
  <c r="J184" i="19"/>
  <c r="H184" i="19"/>
  <c r="T184" i="19"/>
  <c r="S184" i="19"/>
  <c r="U184" i="19"/>
  <c r="W184" i="19" s="1"/>
  <c r="L185" i="19"/>
  <c r="H185" i="19"/>
  <c r="B189" i="19"/>
  <c r="N104" i="19"/>
  <c r="H145" i="19"/>
  <c r="N16" i="19"/>
  <c r="D158" i="19"/>
  <c r="H187" i="19"/>
  <c r="J187" i="19"/>
  <c r="J188" i="19"/>
  <c r="E145" i="19"/>
  <c r="L145" i="19"/>
  <c r="J186" i="19"/>
  <c r="N28" i="19"/>
  <c r="N100" i="19"/>
  <c r="H178" i="19"/>
  <c r="L178" i="19"/>
  <c r="J179" i="19"/>
  <c r="L179" i="19"/>
  <c r="H179" i="19"/>
  <c r="J148" i="19"/>
  <c r="U156" i="19"/>
  <c r="H156" i="19"/>
  <c r="J156" i="19"/>
  <c r="J165" i="19"/>
  <c r="H165" i="19"/>
  <c r="L165" i="19"/>
  <c r="B170" i="19"/>
  <c r="N64" i="19"/>
  <c r="B175" i="19"/>
  <c r="N73" i="19"/>
  <c r="J175" i="19"/>
  <c r="L175" i="19"/>
  <c r="L184" i="19"/>
  <c r="B161" i="19"/>
  <c r="N45" i="19"/>
  <c r="U164" i="19"/>
  <c r="T164" i="19"/>
  <c r="N62" i="19"/>
  <c r="C169" i="19"/>
  <c r="C172" i="19"/>
  <c r="J172" i="19"/>
  <c r="U172" i="19"/>
  <c r="B172" i="19"/>
  <c r="T172" i="19"/>
  <c r="J176" i="19"/>
  <c r="H176" i="19"/>
  <c r="W167" i="19"/>
  <c r="J167" i="19"/>
  <c r="N85" i="19"/>
  <c r="B177" i="19"/>
  <c r="E177" i="19" s="1"/>
  <c r="U173" i="19"/>
  <c r="W173" i="19" s="1"/>
  <c r="W158" i="19"/>
  <c r="J150" i="19"/>
  <c r="N25" i="19"/>
  <c r="W153" i="19"/>
  <c r="N30" i="19"/>
  <c r="N35" i="19"/>
  <c r="N59" i="19"/>
  <c r="N108" i="19"/>
  <c r="B160" i="19"/>
  <c r="J149" i="19"/>
  <c r="H167" i="19"/>
  <c r="J166" i="19"/>
  <c r="N166" i="19" s="1"/>
  <c r="H191" i="19"/>
  <c r="S165" i="19"/>
  <c r="W165" i="19" s="1"/>
  <c r="J170" i="19"/>
  <c r="H168" i="19"/>
  <c r="S150" i="19"/>
  <c r="B166" i="19"/>
  <c r="N147" i="19"/>
  <c r="C161" i="19"/>
  <c r="D166" i="19"/>
  <c r="C173" i="19"/>
  <c r="B174" i="19"/>
  <c r="B183" i="19"/>
  <c r="D190" i="19"/>
  <c r="N114" i="19"/>
  <c r="N116" i="19"/>
  <c r="N118" i="19"/>
  <c r="T148" i="19"/>
  <c r="W148" i="19" s="1"/>
  <c r="W154" i="19"/>
  <c r="H149" i="19"/>
  <c r="N149" i="19" s="1"/>
  <c r="J169" i="19"/>
  <c r="N169" i="19" s="1"/>
  <c r="H162" i="19"/>
  <c r="S174" i="19"/>
  <c r="J174" i="19"/>
  <c r="S189" i="19"/>
  <c r="H158" i="19"/>
  <c r="S149" i="19"/>
  <c r="J157" i="19"/>
  <c r="N157" i="19" s="1"/>
  <c r="B146" i="19"/>
  <c r="C148" i="19"/>
  <c r="D152" i="19"/>
  <c r="S155" i="19"/>
  <c r="W155" i="19" s="1"/>
  <c r="C162" i="19"/>
  <c r="D163" i="19"/>
  <c r="N54" i="19"/>
  <c r="N56" i="19"/>
  <c r="D170" i="19"/>
  <c r="L173" i="19"/>
  <c r="N76" i="19"/>
  <c r="D194" i="19"/>
  <c r="W171" i="19"/>
  <c r="W194" i="19"/>
  <c r="N122" i="19"/>
  <c r="L160" i="19"/>
  <c r="H150" i="19"/>
  <c r="C144" i="19"/>
  <c r="B148" i="19"/>
  <c r="D148" i="19"/>
  <c r="B162" i="19"/>
  <c r="D167" i="19"/>
  <c r="C171" i="19"/>
  <c r="E171" i="19" s="1"/>
  <c r="D173" i="19"/>
  <c r="D178" i="19"/>
  <c r="D182" i="19"/>
  <c r="C195" i="19"/>
  <c r="W152" i="19"/>
  <c r="H160" i="19"/>
  <c r="L174" i="19"/>
  <c r="U149" i="19"/>
  <c r="D162" i="19"/>
  <c r="E162" i="19" s="1"/>
  <c r="L170" i="19"/>
  <c r="L171" i="19"/>
  <c r="H172" i="19"/>
  <c r="N69" i="19"/>
  <c r="C187" i="19"/>
  <c r="N105" i="19"/>
  <c r="B190" i="19"/>
  <c r="H194" i="19"/>
  <c r="N39" i="20"/>
  <c r="N56" i="20"/>
  <c r="N70" i="20"/>
  <c r="N72" i="20"/>
  <c r="N79" i="20"/>
  <c r="W123" i="20"/>
  <c r="W164" i="20"/>
  <c r="D136" i="20"/>
  <c r="D125" i="20"/>
  <c r="C127" i="20"/>
  <c r="C129" i="20"/>
  <c r="N28" i="20"/>
  <c r="B133" i="20"/>
  <c r="B141" i="20"/>
  <c r="N58" i="20"/>
  <c r="N74" i="20"/>
  <c r="W130" i="20"/>
  <c r="T158" i="20"/>
  <c r="C154" i="20"/>
  <c r="D154" i="20"/>
  <c r="D141" i="20"/>
  <c r="B127" i="20"/>
  <c r="B130" i="20"/>
  <c r="B131" i="20"/>
  <c r="H132" i="20"/>
  <c r="L142" i="20"/>
  <c r="D128" i="20"/>
  <c r="N34" i="20"/>
  <c r="C148" i="20"/>
  <c r="B149" i="20"/>
  <c r="N83" i="20"/>
  <c r="L161" i="20"/>
  <c r="D162" i="20"/>
  <c r="D163" i="20"/>
  <c r="C164" i="20"/>
  <c r="C166" i="20"/>
  <c r="C167" i="20"/>
  <c r="C168" i="20"/>
  <c r="H121" i="20"/>
  <c r="U158" i="20"/>
  <c r="B153" i="21"/>
  <c r="N45" i="21"/>
  <c r="T154" i="21"/>
  <c r="H154" i="21"/>
  <c r="C154" i="21"/>
  <c r="B154" i="21"/>
  <c r="J154" i="21"/>
  <c r="L154" i="21"/>
  <c r="J156" i="21"/>
  <c r="H156" i="21"/>
  <c r="L156" i="21"/>
  <c r="C189" i="21"/>
  <c r="L142" i="21"/>
  <c r="U142" i="21"/>
  <c r="J142" i="21"/>
  <c r="S142" i="21"/>
  <c r="T142" i="21"/>
  <c r="H143" i="21"/>
  <c r="L143" i="21"/>
  <c r="J144" i="21"/>
  <c r="H144" i="21"/>
  <c r="L144" i="21"/>
  <c r="C145" i="21"/>
  <c r="N28" i="21"/>
  <c r="H180" i="21"/>
  <c r="L180" i="21"/>
  <c r="J180" i="21"/>
  <c r="C181" i="21"/>
  <c r="N100" i="21"/>
  <c r="N104" i="21"/>
  <c r="B183" i="21"/>
  <c r="E183" i="21" s="1"/>
  <c r="L135" i="21"/>
  <c r="H135" i="21"/>
  <c r="H136" i="21"/>
  <c r="J136" i="21"/>
  <c r="L136" i="21"/>
  <c r="J137" i="21"/>
  <c r="L137" i="21"/>
  <c r="H138" i="21"/>
  <c r="L138" i="21"/>
  <c r="C175" i="21"/>
  <c r="N88" i="21"/>
  <c r="S166" i="21"/>
  <c r="U166" i="21"/>
  <c r="L166" i="21"/>
  <c r="L163" i="21"/>
  <c r="J163" i="21"/>
  <c r="H163" i="21"/>
  <c r="B166" i="21"/>
  <c r="D154" i="21"/>
  <c r="B162" i="21"/>
  <c r="N62" i="21"/>
  <c r="C166" i="21"/>
  <c r="N107" i="21"/>
  <c r="L170" i="21"/>
  <c r="N91" i="21"/>
  <c r="H181" i="21"/>
  <c r="J169" i="21"/>
  <c r="L181" i="21"/>
  <c r="J158" i="21"/>
  <c r="J157" i="21"/>
  <c r="N157" i="21" s="1"/>
  <c r="J164" i="21"/>
  <c r="H158" i="21"/>
  <c r="C138" i="21"/>
  <c r="D142" i="21"/>
  <c r="D153" i="21"/>
  <c r="C155" i="21"/>
  <c r="C180" i="21"/>
  <c r="W147" i="21"/>
  <c r="W187" i="21"/>
  <c r="L173" i="21"/>
  <c r="H159" i="21"/>
  <c r="J165" i="21"/>
  <c r="H184" i="21"/>
  <c r="C144" i="21"/>
  <c r="B155" i="21"/>
  <c r="W164" i="21"/>
  <c r="T159" i="21"/>
  <c r="W159" i="21" s="1"/>
  <c r="J147" i="21"/>
  <c r="H139" i="21"/>
  <c r="D137" i="21"/>
  <c r="B145" i="21"/>
  <c r="N39" i="21"/>
  <c r="J152" i="21"/>
  <c r="D156" i="21"/>
  <c r="E156" i="21" s="1"/>
  <c r="N52" i="21"/>
  <c r="N69" i="21"/>
  <c r="N79" i="21"/>
  <c r="N83" i="21"/>
  <c r="W140" i="21"/>
  <c r="W155" i="21"/>
  <c r="L184" i="21"/>
  <c r="N85" i="21"/>
  <c r="L171" i="21"/>
  <c r="L139" i="21"/>
  <c r="N47" i="21"/>
  <c r="D166" i="21"/>
  <c r="B173" i="21"/>
  <c r="D189" i="21"/>
  <c r="U169" i="21"/>
  <c r="J146" i="21"/>
  <c r="N146" i="21" s="1"/>
  <c r="J166" i="21"/>
  <c r="N14" i="21"/>
  <c r="S169" i="21"/>
  <c r="L165" i="21"/>
  <c r="J170" i="21"/>
  <c r="C140" i="21"/>
  <c r="H142" i="21"/>
  <c r="D149" i="21"/>
  <c r="N57" i="21"/>
  <c r="N59" i="21"/>
  <c r="H167" i="21"/>
  <c r="B175" i="21"/>
  <c r="E175" i="21" s="1"/>
  <c r="U176" i="21"/>
  <c r="W138" i="21"/>
  <c r="W150" i="21"/>
  <c r="W160" i="21"/>
  <c r="C134" i="21"/>
  <c r="N116" i="21"/>
  <c r="N78" i="21"/>
  <c r="B136" i="21"/>
  <c r="E136" i="21" s="1"/>
  <c r="N23" i="21"/>
  <c r="H177" i="21"/>
  <c r="T144" i="21"/>
  <c r="N106" i="21"/>
  <c r="T172" i="21"/>
  <c r="S144" i="21"/>
  <c r="C141" i="21"/>
  <c r="E141" i="21" s="1"/>
  <c r="B143" i="21"/>
  <c r="B144" i="21"/>
  <c r="D151" i="21"/>
  <c r="H171" i="21"/>
  <c r="H172" i="21"/>
  <c r="D185" i="21"/>
  <c r="D186" i="21"/>
  <c r="E186" i="21" s="1"/>
  <c r="W143" i="21"/>
  <c r="D134" i="21"/>
  <c r="N34" i="33"/>
  <c r="W85" i="33"/>
  <c r="H79" i="33"/>
  <c r="N40" i="33"/>
  <c r="J84" i="33"/>
  <c r="W78" i="33"/>
  <c r="W86" i="33"/>
  <c r="W97" i="33"/>
  <c r="L78" i="33"/>
  <c r="N37" i="33"/>
  <c r="N39" i="33"/>
  <c r="N16" i="33"/>
  <c r="N21" i="33"/>
  <c r="N57" i="33"/>
  <c r="N24" i="33"/>
  <c r="W81" i="33"/>
  <c r="H86" i="33"/>
  <c r="B83" i="33"/>
  <c r="N27" i="33"/>
  <c r="N19" i="33"/>
  <c r="N20" i="33"/>
  <c r="W83" i="33"/>
  <c r="B171" i="9"/>
  <c r="N48" i="9"/>
  <c r="J171" i="9"/>
  <c r="L171" i="9"/>
  <c r="C174" i="9"/>
  <c r="N55" i="9"/>
  <c r="S176" i="9"/>
  <c r="U176" i="9"/>
  <c r="T176" i="9"/>
  <c r="R60" i="9"/>
  <c r="H177" i="9" s="1"/>
  <c r="S177" i="9"/>
  <c r="W177" i="9" s="1"/>
  <c r="S178" i="9"/>
  <c r="W178" i="9" s="1"/>
  <c r="R62" i="9"/>
  <c r="H178" i="9" s="1"/>
  <c r="J160" i="9"/>
  <c r="H160" i="9"/>
  <c r="L160" i="9"/>
  <c r="N173" i="9"/>
  <c r="H152" i="9"/>
  <c r="J152" i="9"/>
  <c r="D155" i="9"/>
  <c r="U155" i="9"/>
  <c r="T155" i="9"/>
  <c r="S155" i="9"/>
  <c r="L155" i="9"/>
  <c r="D157" i="9"/>
  <c r="N19" i="9"/>
  <c r="B162" i="9"/>
  <c r="C164" i="9"/>
  <c r="U197" i="9"/>
  <c r="S197" i="9"/>
  <c r="T197" i="9"/>
  <c r="L198" i="9"/>
  <c r="H198" i="9"/>
  <c r="C200" i="9"/>
  <c r="N113" i="9"/>
  <c r="N115" i="9"/>
  <c r="B201" i="9"/>
  <c r="E201" i="9" s="1"/>
  <c r="J163" i="9"/>
  <c r="H163" i="9"/>
  <c r="B155" i="9"/>
  <c r="N90" i="9"/>
  <c r="C190" i="9"/>
  <c r="N92" i="9"/>
  <c r="C191" i="9"/>
  <c r="D182" i="9"/>
  <c r="H166" i="9"/>
  <c r="J172" i="9"/>
  <c r="B190" i="9"/>
  <c r="H188" i="9"/>
  <c r="N188" i="9" s="1"/>
  <c r="L203" i="9"/>
  <c r="L157" i="9"/>
  <c r="S156" i="9"/>
  <c r="B161" i="9"/>
  <c r="E161" i="9" s="1"/>
  <c r="J191" i="9"/>
  <c r="D154" i="9"/>
  <c r="H158" i="9"/>
  <c r="L166" i="9"/>
  <c r="C171" i="9"/>
  <c r="J180" i="9"/>
  <c r="N180" i="9" s="1"/>
  <c r="H206" i="9"/>
  <c r="B159" i="9"/>
  <c r="L172" i="9"/>
  <c r="J162" i="9"/>
  <c r="B194" i="9"/>
  <c r="H193" i="9"/>
  <c r="H164" i="9"/>
  <c r="T156" i="9"/>
  <c r="B182" i="9"/>
  <c r="N79" i="9"/>
  <c r="J174" i="9"/>
  <c r="J154" i="9"/>
  <c r="N154" i="9" s="1"/>
  <c r="N35" i="9"/>
  <c r="C167" i="9"/>
  <c r="N42" i="9"/>
  <c r="N53" i="9"/>
  <c r="H176" i="9"/>
  <c r="W190" i="9"/>
  <c r="N12" i="9"/>
  <c r="W163" i="9"/>
  <c r="H199" i="9"/>
  <c r="U166" i="9"/>
  <c r="N57" i="9"/>
  <c r="W171" i="9"/>
  <c r="J175" i="9"/>
  <c r="H202" i="9"/>
  <c r="J179" i="9"/>
  <c r="S191" i="9"/>
  <c r="J185" i="9"/>
  <c r="C179" i="9"/>
  <c r="E179" i="9" s="1"/>
  <c r="H191" i="9"/>
  <c r="N50" i="9"/>
  <c r="L175" i="9"/>
  <c r="S152" i="9"/>
  <c r="W152" i="9" s="1"/>
  <c r="J187" i="9"/>
  <c r="T170" i="9"/>
  <c r="H157" i="9"/>
  <c r="S164" i="9"/>
  <c r="W164" i="9" s="1"/>
  <c r="W189" i="9"/>
  <c r="S182" i="9"/>
  <c r="W182" i="9" s="1"/>
  <c r="S193" i="9"/>
  <c r="C153" i="9"/>
  <c r="N18" i="9"/>
  <c r="C158" i="9"/>
  <c r="N36" i="9"/>
  <c r="D167" i="9"/>
  <c r="D173" i="9"/>
  <c r="C175" i="9"/>
  <c r="D192" i="9"/>
  <c r="D199" i="9"/>
  <c r="W157" i="9"/>
  <c r="B151" i="9"/>
  <c r="D205" i="9"/>
  <c r="U198" i="9"/>
  <c r="B197" i="9"/>
  <c r="N96" i="9"/>
  <c r="C159" i="9"/>
  <c r="D172" i="9"/>
  <c r="T191" i="9"/>
  <c r="U159" i="9"/>
  <c r="W159" i="9" s="1"/>
  <c r="B191" i="9"/>
  <c r="B153" i="9"/>
  <c r="B174" i="9"/>
  <c r="T194" i="9"/>
  <c r="W194" i="9" s="1"/>
  <c r="W185" i="9"/>
  <c r="U170" i="9"/>
  <c r="N31" i="9"/>
  <c r="C176" i="9"/>
  <c r="E176" i="9" s="1"/>
  <c r="N74" i="9"/>
  <c r="N88" i="9"/>
  <c r="C172" i="10"/>
  <c r="U195" i="10"/>
  <c r="H160" i="10"/>
  <c r="B176" i="10"/>
  <c r="N77" i="10"/>
  <c r="L199" i="10"/>
  <c r="B203" i="10"/>
  <c r="N110" i="10"/>
  <c r="J208" i="10"/>
  <c r="S177" i="10"/>
  <c r="T178" i="10"/>
  <c r="W178" i="10" s="1"/>
  <c r="N16" i="10"/>
  <c r="L171" i="10"/>
  <c r="B177" i="10"/>
  <c r="N21" i="10"/>
  <c r="B171" i="10"/>
  <c r="H172" i="10"/>
  <c r="W206" i="10"/>
  <c r="N83" i="10"/>
  <c r="N85" i="10"/>
  <c r="N117" i="10"/>
  <c r="S205" i="10"/>
  <c r="N26" i="10"/>
  <c r="H205" i="10"/>
  <c r="T196" i="10"/>
  <c r="T191" i="10"/>
  <c r="B163" i="10"/>
  <c r="C165" i="10"/>
  <c r="U162" i="10"/>
  <c r="U179" i="10"/>
  <c r="U171" i="10"/>
  <c r="C164" i="10"/>
  <c r="B166" i="10"/>
  <c r="C170" i="10"/>
  <c r="D177" i="10"/>
  <c r="N53" i="10"/>
  <c r="C183" i="10"/>
  <c r="B195" i="10"/>
  <c r="C198" i="10"/>
  <c r="N116" i="10"/>
  <c r="N118" i="10"/>
  <c r="N122" i="10"/>
  <c r="W166" i="10"/>
  <c r="C158" i="10"/>
  <c r="T179" i="10"/>
  <c r="S159" i="10"/>
  <c r="S167" i="10"/>
  <c r="N36" i="10"/>
  <c r="L176" i="10"/>
  <c r="J177" i="10"/>
  <c r="D184" i="10"/>
  <c r="C190" i="10"/>
  <c r="J193" i="10"/>
  <c r="C200" i="10"/>
  <c r="L204" i="10"/>
  <c r="T167" i="10"/>
  <c r="S162" i="10"/>
  <c r="J171" i="10"/>
  <c r="C174" i="10"/>
  <c r="T161" i="10"/>
  <c r="W161" i="10" s="1"/>
  <c r="H165" i="10"/>
  <c r="H196" i="10"/>
  <c r="B200" i="10"/>
  <c r="W174" i="10"/>
  <c r="T186" i="10"/>
  <c r="L175" i="10"/>
  <c r="B180" i="10"/>
  <c r="T207" i="10"/>
  <c r="C163" i="10"/>
  <c r="N27" i="10"/>
  <c r="L177" i="10"/>
  <c r="T201" i="10"/>
  <c r="U175" i="10"/>
  <c r="L201" i="10"/>
  <c r="N106" i="10"/>
  <c r="C204" i="10"/>
  <c r="B205" i="10"/>
  <c r="W164" i="10"/>
  <c r="S158" i="10"/>
  <c r="C195" i="10"/>
  <c r="U186" i="10"/>
  <c r="S201" i="10"/>
  <c r="N98" i="10"/>
  <c r="L198" i="10"/>
  <c r="L205" i="10"/>
  <c r="H206" i="10"/>
  <c r="H197" i="10"/>
  <c r="J202" i="10"/>
  <c r="D208" i="10"/>
  <c r="U181" i="10"/>
  <c r="N8" i="10"/>
  <c r="L161" i="10"/>
  <c r="N17" i="10"/>
  <c r="N33" i="10"/>
  <c r="C177" i="10"/>
  <c r="H180" i="10"/>
  <c r="C185" i="10"/>
  <c r="L186" i="10"/>
  <c r="N78" i="10"/>
  <c r="N89" i="10"/>
  <c r="N100" i="10"/>
  <c r="J200" i="10"/>
  <c r="D201" i="10"/>
  <c r="N111" i="10"/>
  <c r="N115" i="10"/>
  <c r="N70" i="10"/>
  <c r="N79" i="10"/>
  <c r="N103" i="10"/>
  <c r="C210" i="10"/>
  <c r="U202" i="10"/>
  <c r="H171" i="10"/>
  <c r="U210" i="10"/>
  <c r="T171" i="10"/>
  <c r="W171" i="10" s="1"/>
  <c r="U199" i="10"/>
  <c r="L162" i="10"/>
  <c r="H164" i="10"/>
  <c r="L165" i="10"/>
  <c r="N30" i="10"/>
  <c r="J170" i="10"/>
  <c r="D171" i="10"/>
  <c r="N43" i="10"/>
  <c r="B175" i="10"/>
  <c r="H176" i="10"/>
  <c r="N56" i="10"/>
  <c r="L181" i="10"/>
  <c r="N73" i="10"/>
  <c r="C205" i="10"/>
  <c r="N125" i="10"/>
  <c r="W176" i="10"/>
  <c r="J174" i="10"/>
  <c r="B159" i="10"/>
  <c r="J197" i="10"/>
  <c r="N12" i="10"/>
  <c r="C168" i="10"/>
  <c r="C202" i="10"/>
  <c r="H174" i="10"/>
  <c r="N128" i="10"/>
  <c r="T168" i="10"/>
  <c r="L185" i="10"/>
  <c r="S168" i="10"/>
  <c r="H194" i="10"/>
  <c r="H193" i="10"/>
  <c r="L168" i="10"/>
  <c r="H186" i="10"/>
  <c r="U163" i="10"/>
  <c r="W163" i="10" s="1"/>
  <c r="C160" i="10"/>
  <c r="C161" i="10"/>
  <c r="C189" i="10"/>
  <c r="D190" i="10"/>
  <c r="D191" i="10"/>
  <c r="D192" i="10"/>
  <c r="C193" i="10"/>
  <c r="N90" i="10"/>
  <c r="N101" i="10"/>
  <c r="U190" i="10"/>
  <c r="J194" i="10"/>
  <c r="S202" i="10"/>
  <c r="H177" i="10"/>
  <c r="B167" i="10"/>
  <c r="S203" i="10"/>
  <c r="T181" i="10"/>
  <c r="T159" i="10"/>
  <c r="T203" i="10"/>
  <c r="S211" i="10"/>
  <c r="H200" i="10"/>
  <c r="D160" i="10"/>
  <c r="D161" i="10"/>
  <c r="N22" i="10"/>
  <c r="N48" i="10"/>
  <c r="N50" i="10"/>
  <c r="N52" i="10"/>
  <c r="D178" i="10"/>
  <c r="N57" i="10"/>
  <c r="N59" i="10"/>
  <c r="L184" i="10"/>
  <c r="D186" i="10"/>
  <c r="N74" i="10"/>
  <c r="B187" i="10"/>
  <c r="N81" i="10"/>
  <c r="L191" i="10"/>
  <c r="D193" i="10"/>
  <c r="C194" i="10"/>
  <c r="L196" i="10"/>
  <c r="D197" i="10"/>
  <c r="H202" i="10"/>
  <c r="B207" i="10"/>
  <c r="N120" i="10"/>
  <c r="H170" i="10"/>
  <c r="S190" i="10"/>
  <c r="T193" i="10"/>
  <c r="S193" i="10"/>
  <c r="L202" i="10"/>
  <c r="N202" i="10" s="1"/>
  <c r="U189" i="10"/>
  <c r="S195" i="10"/>
  <c r="U196" i="10"/>
  <c r="L160" i="10"/>
  <c r="C166" i="10"/>
  <c r="J168" i="10"/>
  <c r="N42" i="10"/>
  <c r="N64" i="10"/>
  <c r="N66" i="10"/>
  <c r="N68" i="10"/>
  <c r="J198" i="10"/>
  <c r="D200" i="10"/>
  <c r="C201" i="10"/>
  <c r="C206" i="10"/>
  <c r="C209" i="10"/>
  <c r="N135" i="10"/>
  <c r="H168" i="10"/>
  <c r="W172" i="10"/>
  <c r="T211" i="10"/>
  <c r="T210" i="10"/>
  <c r="H181" i="10"/>
  <c r="T202" i="10"/>
  <c r="U204" i="10"/>
  <c r="U185" i="10"/>
  <c r="N10" i="10"/>
  <c r="S189" i="10"/>
  <c r="B201" i="10"/>
  <c r="N109" i="10"/>
  <c r="D210" i="10"/>
  <c r="T177" i="10"/>
  <c r="J186" i="10"/>
  <c r="H161" i="10"/>
  <c r="J163" i="10"/>
  <c r="J164" i="10"/>
  <c r="D165" i="10"/>
  <c r="B189" i="10"/>
  <c r="D189" i="10"/>
  <c r="C191" i="10"/>
  <c r="C192" i="10"/>
  <c r="L193" i="10"/>
  <c r="N91" i="10"/>
  <c r="D195" i="10"/>
  <c r="H199" i="10"/>
  <c r="N108" i="10"/>
  <c r="B204" i="10"/>
  <c r="N127" i="10"/>
  <c r="B211" i="10"/>
  <c r="J205" i="10"/>
  <c r="N136" i="10"/>
  <c r="N82" i="10"/>
  <c r="J173" i="10"/>
  <c r="L173" i="10"/>
  <c r="N46" i="10"/>
  <c r="D175" i="10"/>
  <c r="T182" i="10"/>
  <c r="U182" i="10"/>
  <c r="S182" i="10"/>
  <c r="L182" i="10"/>
  <c r="J182" i="10"/>
  <c r="N39" i="10"/>
  <c r="B172" i="10"/>
  <c r="B178" i="10"/>
  <c r="N54" i="10"/>
  <c r="N24" i="10"/>
  <c r="D166" i="10"/>
  <c r="C173" i="10"/>
  <c r="N65" i="10"/>
  <c r="J184" i="10"/>
  <c r="C208" i="10"/>
  <c r="N19" i="10"/>
  <c r="J165" i="10"/>
  <c r="T165" i="10"/>
  <c r="S165" i="10"/>
  <c r="U165" i="10"/>
  <c r="L167" i="10"/>
  <c r="H167" i="10"/>
  <c r="N34" i="10"/>
  <c r="B170" i="10"/>
  <c r="C179" i="10"/>
  <c r="C186" i="10"/>
  <c r="L206" i="10"/>
  <c r="J206" i="10"/>
  <c r="H208" i="10"/>
  <c r="H209" i="10"/>
  <c r="J209" i="10"/>
  <c r="L209" i="10"/>
  <c r="N126" i="10"/>
  <c r="N130" i="10"/>
  <c r="D205" i="10"/>
  <c r="J159" i="10"/>
  <c r="L159" i="10"/>
  <c r="S187" i="10"/>
  <c r="J187" i="10"/>
  <c r="H187" i="10"/>
  <c r="U187" i="10"/>
  <c r="L187" i="10"/>
  <c r="H188" i="10"/>
  <c r="L188" i="10"/>
  <c r="J188" i="10"/>
  <c r="H189" i="10"/>
  <c r="J189" i="10"/>
  <c r="J195" i="10"/>
  <c r="L195" i="10"/>
  <c r="H195" i="10"/>
  <c r="D174" i="10"/>
  <c r="N44" i="10"/>
  <c r="H178" i="10"/>
  <c r="J178" i="10"/>
  <c r="L178" i="10"/>
  <c r="N63" i="10"/>
  <c r="B181" i="10"/>
  <c r="H183" i="10"/>
  <c r="J183" i="10"/>
  <c r="H190" i="10"/>
  <c r="J190" i="10"/>
  <c r="L190" i="10"/>
  <c r="H192" i="10"/>
  <c r="L192" i="10"/>
  <c r="B196" i="10"/>
  <c r="N94" i="10"/>
  <c r="W213" i="10"/>
  <c r="N37" i="10"/>
  <c r="C171" i="10"/>
  <c r="B173" i="10"/>
  <c r="N41" i="10"/>
  <c r="S173" i="10"/>
  <c r="T173" i="10"/>
  <c r="J175" i="10"/>
  <c r="H175" i="10"/>
  <c r="H179" i="10"/>
  <c r="L179" i="10"/>
  <c r="U188" i="10"/>
  <c r="T188" i="10"/>
  <c r="N7" i="10"/>
  <c r="B158" i="10"/>
  <c r="B213" i="10"/>
  <c r="N134" i="10"/>
  <c r="H184" i="10"/>
  <c r="D180" i="10"/>
  <c r="J185" i="10"/>
  <c r="U173" i="10"/>
  <c r="N32" i="10"/>
  <c r="B169" i="10"/>
  <c r="B174" i="10"/>
  <c r="N45" i="10"/>
  <c r="U180" i="10"/>
  <c r="S180" i="10"/>
  <c r="B198" i="10"/>
  <c r="L213" i="10"/>
  <c r="T208" i="10"/>
  <c r="D182" i="10"/>
  <c r="J192" i="10"/>
  <c r="T187" i="10"/>
  <c r="N72" i="10"/>
  <c r="B194" i="10"/>
  <c r="L183" i="10"/>
  <c r="N18" i="10"/>
  <c r="N23" i="10"/>
  <c r="B165" i="10"/>
  <c r="H173" i="10"/>
  <c r="B188" i="10"/>
  <c r="N102" i="10"/>
  <c r="N119" i="10"/>
  <c r="N123" i="10"/>
  <c r="B209" i="10"/>
  <c r="S209" i="10"/>
  <c r="T209" i="10"/>
  <c r="D209" i="10"/>
  <c r="B160" i="10"/>
  <c r="N11" i="10"/>
  <c r="N13" i="10"/>
  <c r="B161" i="10"/>
  <c r="H162" i="10"/>
  <c r="J162" i="10"/>
  <c r="C167" i="10"/>
  <c r="B168" i="10"/>
  <c r="J169" i="10"/>
  <c r="J179" i="10"/>
  <c r="N95" i="10"/>
  <c r="T197" i="10"/>
  <c r="L197" i="10"/>
  <c r="S197" i="10"/>
  <c r="J203" i="10"/>
  <c r="L203" i="10"/>
  <c r="U208" i="10"/>
  <c r="L180" i="10"/>
  <c r="B190" i="10"/>
  <c r="C188" i="10"/>
  <c r="L158" i="10"/>
  <c r="T185" i="10"/>
  <c r="D185" i="10"/>
  <c r="S185" i="10"/>
  <c r="L208" i="10"/>
  <c r="C180" i="10"/>
  <c r="H185" i="10"/>
  <c r="H191" i="10"/>
  <c r="U158" i="10"/>
  <c r="L170" i="10"/>
  <c r="N88" i="10"/>
  <c r="B193" i="10"/>
  <c r="N97" i="10"/>
  <c r="B197" i="10"/>
  <c r="U198" i="10"/>
  <c r="T198" i="10"/>
  <c r="D207" i="10"/>
  <c r="C159" i="10"/>
  <c r="N47" i="10"/>
  <c r="N67" i="10"/>
  <c r="L200" i="10"/>
  <c r="J201" i="10"/>
  <c r="J158" i="10"/>
  <c r="C175" i="10"/>
  <c r="J196" i="10"/>
  <c r="L164" i="10"/>
  <c r="B184" i="10"/>
  <c r="D170" i="10"/>
  <c r="N71" i="10"/>
  <c r="C187" i="10"/>
  <c r="L189" i="10"/>
  <c r="D198" i="10"/>
  <c r="N129" i="10"/>
  <c r="T205" i="10"/>
  <c r="N6" i="10"/>
  <c r="W212" i="10"/>
  <c r="D162" i="10"/>
  <c r="L166" i="10"/>
  <c r="J167" i="10"/>
  <c r="D168" i="10"/>
  <c r="C169" i="10"/>
  <c r="D181" i="10"/>
  <c r="B185" i="10"/>
  <c r="C197" i="10"/>
  <c r="H198" i="10"/>
  <c r="B206" i="10"/>
  <c r="S200" i="10"/>
  <c r="S191" i="10"/>
  <c r="J161" i="10"/>
  <c r="J180" i="10"/>
  <c r="J191" i="10"/>
  <c r="N105" i="10"/>
  <c r="N113" i="10"/>
  <c r="H203" i="10"/>
  <c r="D158" i="10"/>
  <c r="D164" i="10"/>
  <c r="H169" i="10"/>
  <c r="H158" i="10"/>
  <c r="T192" i="10"/>
  <c r="U192" i="10"/>
  <c r="L172" i="10"/>
  <c r="H207" i="10"/>
  <c r="B192" i="10"/>
  <c r="H201" i="10"/>
  <c r="T200" i="10"/>
  <c r="J172" i="10"/>
  <c r="C178" i="10"/>
  <c r="N61" i="10"/>
  <c r="D183" i="10"/>
  <c r="N84" i="10"/>
  <c r="N86" i="10"/>
  <c r="C196" i="10"/>
  <c r="B210" i="10"/>
  <c r="N133" i="10"/>
  <c r="N91" i="12"/>
  <c r="B189" i="12"/>
  <c r="N170" i="12"/>
  <c r="U189" i="12"/>
  <c r="N118" i="12"/>
  <c r="H188" i="12"/>
  <c r="J166" i="12"/>
  <c r="N50" i="12"/>
  <c r="L166" i="12"/>
  <c r="N16" i="12"/>
  <c r="N18" i="12"/>
  <c r="N20" i="12"/>
  <c r="N22" i="12"/>
  <c r="L145" i="12"/>
  <c r="N145" i="12" s="1"/>
  <c r="J173" i="12"/>
  <c r="L179" i="12"/>
  <c r="N179" i="12" s="1"/>
  <c r="H166" i="12"/>
  <c r="N30" i="12"/>
  <c r="N39" i="12"/>
  <c r="N78" i="12"/>
  <c r="U177" i="12"/>
  <c r="D178" i="12"/>
  <c r="N94" i="12"/>
  <c r="C186" i="12"/>
  <c r="N109" i="12"/>
  <c r="W140" i="12"/>
  <c r="N143" i="12"/>
  <c r="N151" i="12"/>
  <c r="N159" i="12"/>
  <c r="W160" i="12"/>
  <c r="H189" i="12"/>
  <c r="N6" i="12"/>
  <c r="T145" i="12"/>
  <c r="L173" i="12"/>
  <c r="S166" i="12"/>
  <c r="N11" i="12"/>
  <c r="N36" i="12"/>
  <c r="N49" i="12"/>
  <c r="B159" i="12"/>
  <c r="B160" i="12"/>
  <c r="D164" i="12"/>
  <c r="C166" i="12"/>
  <c r="D184" i="12"/>
  <c r="W183" i="12"/>
  <c r="J189" i="12"/>
  <c r="N84" i="12"/>
  <c r="S156" i="12"/>
  <c r="C139" i="12"/>
  <c r="C140" i="12"/>
  <c r="N17" i="12"/>
  <c r="B144" i="12"/>
  <c r="B155" i="12"/>
  <c r="N55" i="12"/>
  <c r="L189" i="12"/>
  <c r="H157" i="12"/>
  <c r="B147" i="12"/>
  <c r="N34" i="12"/>
  <c r="C154" i="12"/>
  <c r="D190" i="12"/>
  <c r="N147" i="12"/>
  <c r="H162" i="15"/>
  <c r="W199" i="15"/>
  <c r="W192" i="15"/>
  <c r="W176" i="15"/>
  <c r="W172" i="15"/>
  <c r="W168" i="15"/>
  <c r="W164" i="15"/>
  <c r="W160" i="15"/>
  <c r="N33" i="15"/>
  <c r="B163" i="15"/>
  <c r="N17" i="15"/>
  <c r="C194" i="15"/>
  <c r="B183" i="15"/>
  <c r="N88" i="15"/>
  <c r="H189" i="15"/>
  <c r="U189" i="15"/>
  <c r="J189" i="15"/>
  <c r="L189" i="15"/>
  <c r="T189" i="15"/>
  <c r="C193" i="15"/>
  <c r="D197" i="15"/>
  <c r="N115" i="15"/>
  <c r="D201" i="15"/>
  <c r="U202" i="15"/>
  <c r="B202" i="15"/>
  <c r="N64" i="15"/>
  <c r="N45" i="15"/>
  <c r="C168" i="15"/>
  <c r="N40" i="15"/>
  <c r="L199" i="15"/>
  <c r="W156" i="15"/>
  <c r="B189" i="15"/>
  <c r="H199" i="15"/>
  <c r="N75" i="15"/>
  <c r="B188" i="15"/>
  <c r="N106" i="15"/>
  <c r="N110" i="15"/>
  <c r="N19" i="15"/>
  <c r="D202" i="15"/>
  <c r="C173" i="15"/>
  <c r="B171" i="15"/>
  <c r="D195" i="15"/>
  <c r="J177" i="15"/>
  <c r="L177" i="15"/>
  <c r="N14" i="15"/>
  <c r="D154" i="15"/>
  <c r="H200" i="15"/>
  <c r="J200" i="15"/>
  <c r="L200" i="15"/>
  <c r="H177" i="15"/>
  <c r="S189" i="15"/>
  <c r="B194" i="15"/>
  <c r="C186" i="15"/>
  <c r="B156" i="15"/>
  <c r="C180" i="15"/>
  <c r="J186" i="15"/>
  <c r="L154" i="15"/>
  <c r="S193" i="15"/>
  <c r="W193" i="15" s="1"/>
  <c r="D183" i="15"/>
  <c r="C196" i="15"/>
  <c r="D198" i="15"/>
  <c r="B175" i="15"/>
  <c r="E175" i="15" s="1"/>
  <c r="D173" i="15"/>
  <c r="B172" i="15"/>
  <c r="C170" i="15"/>
  <c r="D169" i="15"/>
  <c r="N36" i="15"/>
  <c r="C162" i="15"/>
  <c r="C153" i="15"/>
  <c r="H167" i="15"/>
  <c r="N167" i="15" s="1"/>
  <c r="L153" i="15"/>
  <c r="W158" i="15"/>
  <c r="W201" i="15"/>
  <c r="S183" i="15"/>
  <c r="W183" i="15" s="1"/>
  <c r="N92" i="15"/>
  <c r="N93" i="15"/>
  <c r="D193" i="15"/>
  <c r="N99" i="15"/>
  <c r="N102" i="15"/>
  <c r="N62" i="15"/>
  <c r="N59" i="15"/>
  <c r="B174" i="15"/>
  <c r="J166" i="15"/>
  <c r="J160" i="15"/>
  <c r="N96" i="15"/>
  <c r="N98" i="15"/>
  <c r="N53" i="15"/>
  <c r="L176" i="15"/>
  <c r="L158" i="15"/>
  <c r="J154" i="15"/>
  <c r="B182" i="15"/>
  <c r="N81" i="15"/>
  <c r="N86" i="15"/>
  <c r="C189" i="15"/>
  <c r="C161" i="15"/>
  <c r="N24" i="15"/>
  <c r="N21" i="15"/>
  <c r="D156" i="15"/>
  <c r="N16" i="15"/>
  <c r="L190" i="15"/>
  <c r="L172" i="15"/>
  <c r="N172" i="15" s="1"/>
  <c r="J161" i="15"/>
  <c r="N118" i="15"/>
  <c r="N39" i="15"/>
  <c r="N29" i="15"/>
  <c r="C160" i="15"/>
  <c r="N18" i="15"/>
  <c r="B155" i="15"/>
  <c r="N13" i="15"/>
  <c r="B152" i="15"/>
  <c r="L178" i="15"/>
  <c r="D179" i="15"/>
  <c r="N76" i="15"/>
  <c r="B184" i="15"/>
  <c r="E184" i="15" s="1"/>
  <c r="D187" i="15"/>
  <c r="N87" i="15"/>
  <c r="N90" i="15"/>
  <c r="D177" i="15"/>
  <c r="D161" i="15"/>
  <c r="B160" i="15"/>
  <c r="D158" i="15"/>
  <c r="B157" i="15"/>
  <c r="C155" i="15"/>
  <c r="C154" i="15"/>
  <c r="N9" i="15"/>
  <c r="J196" i="15"/>
  <c r="J188" i="15"/>
  <c r="L180" i="15"/>
  <c r="L170" i="15"/>
  <c r="L159" i="15"/>
  <c r="L155" i="15"/>
  <c r="B181" i="12"/>
  <c r="B188" i="12"/>
  <c r="H148" i="12"/>
  <c r="N15" i="12"/>
  <c r="N19" i="12"/>
  <c r="N56" i="12"/>
  <c r="N72" i="12"/>
  <c r="N97" i="12"/>
  <c r="N99" i="12"/>
  <c r="N144" i="12"/>
  <c r="S184" i="12"/>
  <c r="N27" i="12"/>
  <c r="N51" i="12"/>
  <c r="N25" i="12"/>
  <c r="C150" i="12"/>
  <c r="C151" i="12"/>
  <c r="B153" i="12"/>
  <c r="C172" i="12"/>
  <c r="N81" i="12"/>
  <c r="B175" i="12"/>
  <c r="N88" i="12"/>
  <c r="C179" i="12"/>
  <c r="B180" i="12"/>
  <c r="B185" i="12"/>
  <c r="B186" i="12"/>
  <c r="W153" i="12"/>
  <c r="D138" i="12"/>
  <c r="D154" i="12"/>
  <c r="B170" i="12"/>
  <c r="N107" i="12"/>
  <c r="W190" i="12"/>
  <c r="J157" i="12"/>
  <c r="U156" i="12"/>
  <c r="B177" i="12"/>
  <c r="E177" i="12" s="1"/>
  <c r="U141" i="12"/>
  <c r="T177" i="12"/>
  <c r="H175" i="12"/>
  <c r="D147" i="12"/>
  <c r="C148" i="12"/>
  <c r="N33" i="12"/>
  <c r="C156" i="12"/>
  <c r="B171" i="12"/>
  <c r="L172" i="12"/>
  <c r="N172" i="12" s="1"/>
  <c r="N87" i="12"/>
  <c r="B178" i="12"/>
  <c r="N98" i="12"/>
  <c r="N154" i="12"/>
  <c r="N162" i="12"/>
  <c r="W164" i="12"/>
  <c r="S148" i="12"/>
  <c r="T156" i="12"/>
  <c r="S141" i="12"/>
  <c r="S157" i="12"/>
  <c r="J175" i="12"/>
  <c r="N175" i="12" s="1"/>
  <c r="D141" i="12"/>
  <c r="C149" i="12"/>
  <c r="N41" i="12"/>
  <c r="W143" i="12"/>
  <c r="W150" i="12"/>
  <c r="W189" i="12"/>
  <c r="D146" i="12"/>
  <c r="D153" i="12"/>
  <c r="B156" i="12"/>
  <c r="C188" i="12"/>
  <c r="B190" i="12"/>
  <c r="N116" i="12"/>
  <c r="U148" i="12"/>
  <c r="L156" i="12"/>
  <c r="L141" i="12"/>
  <c r="C146" i="12"/>
  <c r="N26" i="12"/>
  <c r="N28" i="12"/>
  <c r="D157" i="12"/>
  <c r="N104" i="12"/>
  <c r="W138" i="12"/>
  <c r="N160" i="12"/>
  <c r="D176" i="12"/>
  <c r="T176" i="12"/>
  <c r="J176" i="12"/>
  <c r="L176" i="12"/>
  <c r="S176" i="12"/>
  <c r="T161" i="12"/>
  <c r="U161" i="12"/>
  <c r="S161" i="12"/>
  <c r="J161" i="12"/>
  <c r="H161" i="12"/>
  <c r="J169" i="12"/>
  <c r="L169" i="12"/>
  <c r="T169" i="12"/>
  <c r="S169" i="12"/>
  <c r="U169" i="12"/>
  <c r="N90" i="12"/>
  <c r="B173" i="12"/>
  <c r="H149" i="12"/>
  <c r="U149" i="12"/>
  <c r="D149" i="12"/>
  <c r="L149" i="12"/>
  <c r="J149" i="12"/>
  <c r="S149" i="12"/>
  <c r="N57" i="12"/>
  <c r="B162" i="12"/>
  <c r="B169" i="12"/>
  <c r="U171" i="12"/>
  <c r="J171" i="12"/>
  <c r="H171" i="12"/>
  <c r="T171" i="12"/>
  <c r="C171" i="12"/>
  <c r="D171" i="12"/>
  <c r="L171" i="12"/>
  <c r="S171" i="12"/>
  <c r="C176" i="12"/>
  <c r="D179" i="12"/>
  <c r="C180" i="12"/>
  <c r="N31" i="12"/>
  <c r="B149" i="12"/>
  <c r="S152" i="12"/>
  <c r="H152" i="12"/>
  <c r="T152" i="12"/>
  <c r="C161" i="12"/>
  <c r="W144" i="12"/>
  <c r="D139" i="12"/>
  <c r="N10" i="12"/>
  <c r="S187" i="12"/>
  <c r="U187" i="12"/>
  <c r="J187" i="12"/>
  <c r="H187" i="12"/>
  <c r="D189" i="12"/>
  <c r="N111" i="12"/>
  <c r="L161" i="12"/>
  <c r="U181" i="12"/>
  <c r="H181" i="12"/>
  <c r="T181" i="12"/>
  <c r="L181" i="12"/>
  <c r="N106" i="12"/>
  <c r="C187" i="12"/>
  <c r="B187" i="12"/>
  <c r="N112" i="12"/>
  <c r="L177" i="12"/>
  <c r="H182" i="12"/>
  <c r="N14" i="12"/>
  <c r="N40" i="12"/>
  <c r="N47" i="12"/>
  <c r="C158" i="12"/>
  <c r="D159" i="12"/>
  <c r="N60" i="12"/>
  <c r="N62" i="12"/>
  <c r="N79" i="12"/>
  <c r="B174" i="12"/>
  <c r="N100" i="12"/>
  <c r="N155" i="12"/>
  <c r="N163" i="12"/>
  <c r="N113" i="12"/>
  <c r="U180" i="12"/>
  <c r="H177" i="12"/>
  <c r="N177" i="12" s="1"/>
  <c r="C141" i="12"/>
  <c r="D148" i="12"/>
  <c r="D151" i="12"/>
  <c r="C153" i="12"/>
  <c r="N64" i="12"/>
  <c r="D172" i="12"/>
  <c r="N138" i="12"/>
  <c r="W159" i="12"/>
  <c r="N93" i="12"/>
  <c r="N142" i="12"/>
  <c r="S188" i="12"/>
  <c r="T188" i="12"/>
  <c r="W168" i="12"/>
  <c r="N71" i="12"/>
  <c r="N108" i="12"/>
  <c r="N92" i="12"/>
  <c r="W172" i="12"/>
  <c r="L182" i="12"/>
  <c r="N24" i="12"/>
  <c r="D169" i="12"/>
  <c r="N75" i="12"/>
  <c r="C175" i="12"/>
  <c r="W163" i="12"/>
  <c r="C137" i="12"/>
  <c r="B145" i="12"/>
  <c r="S145" i="12"/>
  <c r="W145" i="12" s="1"/>
  <c r="S180" i="12"/>
  <c r="S177" i="12"/>
  <c r="D182" i="12"/>
  <c r="T182" i="12"/>
  <c r="T166" i="12"/>
  <c r="W166" i="12" s="1"/>
  <c r="C142" i="12"/>
  <c r="C147" i="12"/>
  <c r="D168" i="12"/>
  <c r="D174" i="12"/>
  <c r="D175" i="12"/>
  <c r="U179" i="12"/>
  <c r="W179" i="12" s="1"/>
  <c r="D183" i="12"/>
  <c r="N139" i="12"/>
  <c r="W192" i="12"/>
  <c r="B148" i="12"/>
  <c r="E148" i="12" s="1"/>
  <c r="T180" i="12"/>
  <c r="B184" i="12"/>
  <c r="C145" i="12"/>
  <c r="B152" i="12"/>
  <c r="C159" i="12"/>
  <c r="B167" i="12"/>
  <c r="C169" i="12"/>
  <c r="N86" i="12"/>
  <c r="N150" i="12"/>
  <c r="W170" i="12"/>
  <c r="N190" i="12"/>
  <c r="D191" i="12"/>
  <c r="N192" i="12"/>
  <c r="L180" i="13"/>
  <c r="J179" i="13"/>
  <c r="B191" i="13"/>
  <c r="D194" i="13"/>
  <c r="N75" i="13"/>
  <c r="L169" i="13"/>
  <c r="J159" i="13"/>
  <c r="N15" i="13"/>
  <c r="H172" i="13"/>
  <c r="T193" i="13"/>
  <c r="N68" i="13"/>
  <c r="H174" i="13"/>
  <c r="S185" i="13"/>
  <c r="L203" i="13"/>
  <c r="J199" i="13"/>
  <c r="L195" i="13"/>
  <c r="L173" i="13"/>
  <c r="W190" i="13"/>
  <c r="W206" i="13"/>
  <c r="H159" i="13"/>
  <c r="N129" i="13"/>
  <c r="H208" i="13"/>
  <c r="S191" i="13"/>
  <c r="D200" i="13"/>
  <c r="B202" i="13"/>
  <c r="B180" i="13"/>
  <c r="J201" i="13"/>
  <c r="L193" i="13"/>
  <c r="L183" i="13"/>
  <c r="L172" i="13"/>
  <c r="W181" i="13"/>
  <c r="N62" i="13"/>
  <c r="N104" i="13"/>
  <c r="C197" i="13"/>
  <c r="L206" i="13"/>
  <c r="J168" i="13"/>
  <c r="U193" i="13"/>
  <c r="J169" i="13"/>
  <c r="B182" i="13"/>
  <c r="N85" i="13"/>
  <c r="B199" i="13"/>
  <c r="N121" i="13"/>
  <c r="N80" i="13"/>
  <c r="H193" i="13"/>
  <c r="N112" i="13"/>
  <c r="D202" i="13"/>
  <c r="B205" i="13"/>
  <c r="C160" i="13"/>
  <c r="U191" i="13"/>
  <c r="N105" i="13"/>
  <c r="N93" i="13"/>
  <c r="H198" i="13"/>
  <c r="H180" i="13"/>
  <c r="J174" i="13"/>
  <c r="D177" i="13"/>
  <c r="C198" i="13"/>
  <c r="D188" i="13"/>
  <c r="L187" i="13"/>
  <c r="H177" i="13"/>
  <c r="J173" i="13"/>
  <c r="H170" i="13"/>
  <c r="N28" i="13"/>
  <c r="D197" i="13"/>
  <c r="W170" i="13"/>
  <c r="N50" i="13"/>
  <c r="B159" i="13"/>
  <c r="L197" i="13"/>
  <c r="H190" i="13"/>
  <c r="L186" i="13"/>
  <c r="L176" i="13"/>
  <c r="N60" i="13"/>
  <c r="C168" i="13"/>
  <c r="D154" i="13"/>
  <c r="S187" i="13"/>
  <c r="J206" i="13"/>
  <c r="N123" i="13"/>
  <c r="L179" i="13"/>
  <c r="D178" i="13"/>
  <c r="J193" i="13"/>
  <c r="N193" i="13" s="1"/>
  <c r="D195" i="13"/>
  <c r="N108" i="13"/>
  <c r="H171" i="13"/>
  <c r="B160" i="13"/>
  <c r="C157" i="13"/>
  <c r="J170" i="13"/>
  <c r="J176" i="13"/>
  <c r="D182" i="13"/>
  <c r="B203" i="13"/>
  <c r="J171" i="13"/>
  <c r="B174" i="13"/>
  <c r="C188" i="13"/>
  <c r="W194" i="13"/>
  <c r="N47" i="13"/>
  <c r="L170" i="13"/>
  <c r="L190" i="13"/>
  <c r="N45" i="13"/>
  <c r="L168" i="13"/>
  <c r="J196" i="13"/>
  <c r="H192" i="13"/>
  <c r="H184" i="13"/>
  <c r="H182" i="13"/>
  <c r="L174" i="13"/>
  <c r="B158" i="13"/>
  <c r="N12" i="13"/>
  <c r="J186" i="13"/>
  <c r="T188" i="13"/>
  <c r="N94" i="13"/>
  <c r="N92" i="13"/>
  <c r="C200" i="13"/>
  <c r="H201" i="13"/>
  <c r="D203" i="13"/>
  <c r="H203" i="13"/>
  <c r="L199" i="13"/>
  <c r="J191" i="13"/>
  <c r="J188" i="13"/>
  <c r="H181" i="13"/>
  <c r="N125" i="13"/>
  <c r="C161" i="13"/>
  <c r="T201" i="13"/>
  <c r="J175" i="13"/>
  <c r="N175" i="13" s="1"/>
  <c r="J184" i="13"/>
  <c r="H189" i="13"/>
  <c r="H178" i="13"/>
  <c r="N21" i="13"/>
  <c r="N16" i="13"/>
  <c r="D156" i="13"/>
  <c r="J203" i="13"/>
  <c r="S201" i="13"/>
  <c r="J197" i="13"/>
  <c r="L184" i="13"/>
  <c r="L178" i="13"/>
  <c r="L201" i="13"/>
  <c r="C182" i="13"/>
  <c r="N77" i="13"/>
  <c r="D184" i="13"/>
  <c r="N82" i="13"/>
  <c r="D187" i="13"/>
  <c r="N98" i="13"/>
  <c r="N100" i="13"/>
  <c r="C180" i="13"/>
  <c r="N52" i="13"/>
  <c r="N26" i="13"/>
  <c r="D159" i="13"/>
  <c r="J208" i="13"/>
  <c r="S189" i="13"/>
  <c r="N11" i="13"/>
  <c r="B187" i="13"/>
  <c r="J189" i="13"/>
  <c r="D190" i="13"/>
  <c r="U189" i="13"/>
  <c r="N55" i="13"/>
  <c r="N63" i="13"/>
  <c r="N96" i="13"/>
  <c r="N67" i="13"/>
  <c r="C158" i="13"/>
  <c r="L188" i="13"/>
  <c r="L156" i="13"/>
  <c r="H188" i="13"/>
  <c r="H186" i="13"/>
  <c r="L189" i="13"/>
  <c r="B190" i="13"/>
  <c r="U201" i="13"/>
  <c r="T195" i="13"/>
  <c r="N73" i="13"/>
  <c r="N122" i="13"/>
  <c r="D205" i="13"/>
  <c r="J202" i="13"/>
  <c r="N202" i="13" s="1"/>
  <c r="J194" i="13"/>
  <c r="J180" i="13"/>
  <c r="D174" i="13"/>
  <c r="W155" i="13"/>
  <c r="J192" i="13"/>
  <c r="D172" i="13"/>
  <c r="H199" i="13"/>
  <c r="J181" i="13"/>
  <c r="L181" i="13"/>
  <c r="J178" i="13"/>
  <c r="L191" i="13"/>
  <c r="J190" i="13"/>
  <c r="D181" i="13"/>
  <c r="W177" i="13"/>
  <c r="W184" i="13"/>
  <c r="W203" i="13"/>
  <c r="W202" i="13"/>
  <c r="C176" i="13"/>
  <c r="C159" i="13"/>
  <c r="N17" i="13"/>
  <c r="D153" i="13"/>
  <c r="T187" i="13"/>
  <c r="C181" i="13"/>
  <c r="C189" i="13"/>
  <c r="H200" i="13"/>
  <c r="L194" i="13"/>
  <c r="S188" i="13"/>
  <c r="W188" i="13" s="1"/>
  <c r="H173" i="13"/>
  <c r="C177" i="13"/>
  <c r="C186" i="13"/>
  <c r="B189" i="13"/>
  <c r="D193" i="13"/>
  <c r="B201" i="13"/>
  <c r="C203" i="13"/>
  <c r="J200" i="13"/>
  <c r="J182" i="13"/>
  <c r="W178" i="13"/>
  <c r="W186" i="13"/>
  <c r="W205" i="13"/>
  <c r="D173" i="13"/>
  <c r="L166" i="15"/>
  <c r="N109" i="15"/>
  <c r="H151" i="15"/>
  <c r="N50" i="15"/>
  <c r="H170" i="15"/>
  <c r="N170" i="15" s="1"/>
  <c r="N61" i="15"/>
  <c r="N48" i="15"/>
  <c r="C197" i="15"/>
  <c r="B159" i="15"/>
  <c r="H206" i="15"/>
  <c r="U181" i="15"/>
  <c r="H192" i="15"/>
  <c r="H154" i="15"/>
  <c r="J151" i="15"/>
  <c r="N56" i="15"/>
  <c r="J192" i="15"/>
  <c r="D162" i="15"/>
  <c r="L186" i="15"/>
  <c r="N107" i="15"/>
  <c r="N68" i="15"/>
  <c r="L197" i="15"/>
  <c r="D166" i="15"/>
  <c r="N30" i="15"/>
  <c r="N27" i="15"/>
  <c r="L152" i="15"/>
  <c r="J206" i="15"/>
  <c r="H166" i="15"/>
  <c r="N113" i="15"/>
  <c r="W170" i="15"/>
  <c r="H204" i="15"/>
  <c r="L160" i="15"/>
  <c r="L184" i="15"/>
  <c r="N57" i="15"/>
  <c r="N69" i="15"/>
  <c r="J203" i="15"/>
  <c r="H174" i="15"/>
  <c r="B185" i="15"/>
  <c r="N12" i="15"/>
  <c r="N105" i="15"/>
  <c r="N28" i="15"/>
  <c r="N6" i="15"/>
  <c r="N82" i="15"/>
  <c r="N94" i="15"/>
  <c r="N97" i="15"/>
  <c r="N101" i="15"/>
  <c r="S197" i="15"/>
  <c r="N70" i="15"/>
  <c r="B177" i="15"/>
  <c r="D174" i="15"/>
  <c r="N55" i="15"/>
  <c r="C172" i="15"/>
  <c r="N42" i="15"/>
  <c r="J173" i="15"/>
  <c r="W163" i="15"/>
  <c r="W155" i="15"/>
  <c r="H196" i="15"/>
  <c r="L161" i="15"/>
  <c r="N20" i="15"/>
  <c r="H203" i="15"/>
  <c r="S202" i="15"/>
  <c r="H184" i="15"/>
  <c r="J181" i="15"/>
  <c r="D185" i="15"/>
  <c r="U197" i="15"/>
  <c r="B178" i="15"/>
  <c r="N72" i="15"/>
  <c r="B200" i="15"/>
  <c r="C158" i="15"/>
  <c r="J201" i="15"/>
  <c r="N201" i="15" s="1"/>
  <c r="N204" i="15"/>
  <c r="C202" i="15"/>
  <c r="H175" i="15"/>
  <c r="N175" i="15" s="1"/>
  <c r="H188" i="15"/>
  <c r="N188" i="15" s="1"/>
  <c r="L181" i="15"/>
  <c r="J185" i="15"/>
  <c r="H181" i="15"/>
  <c r="C185" i="15"/>
  <c r="N83" i="15"/>
  <c r="N84" i="15"/>
  <c r="C200" i="15"/>
  <c r="E200" i="15" s="1"/>
  <c r="N34" i="15"/>
  <c r="H168" i="15"/>
  <c r="N119" i="15"/>
  <c r="D194" i="15"/>
  <c r="T185" i="15"/>
  <c r="W185" i="15" s="1"/>
  <c r="H197" i="15"/>
  <c r="B186" i="15"/>
  <c r="N121" i="15"/>
  <c r="J168" i="15"/>
  <c r="T197" i="15"/>
  <c r="D188" i="15"/>
  <c r="B197" i="15"/>
  <c r="N114" i="15"/>
  <c r="D164" i="15"/>
  <c r="C163" i="15"/>
  <c r="L156" i="15"/>
  <c r="D206" i="15"/>
  <c r="C180" i="7"/>
  <c r="H170" i="7"/>
  <c r="C170" i="7"/>
  <c r="T170" i="7"/>
  <c r="S176" i="7"/>
  <c r="T176" i="7"/>
  <c r="U176" i="7"/>
  <c r="B181" i="7"/>
  <c r="B182" i="7"/>
  <c r="S182" i="7"/>
  <c r="N106" i="7"/>
  <c r="N65" i="7"/>
  <c r="B165" i="7"/>
  <c r="B161" i="7"/>
  <c r="N58" i="7"/>
  <c r="N33" i="7"/>
  <c r="B149" i="7"/>
  <c r="W183" i="7"/>
  <c r="H179" i="7"/>
  <c r="H171" i="7"/>
  <c r="N117" i="7"/>
  <c r="B191" i="7"/>
  <c r="H141" i="7"/>
  <c r="N75" i="7"/>
  <c r="B183" i="7"/>
  <c r="T182" i="7"/>
  <c r="N70" i="7"/>
  <c r="B169" i="7"/>
  <c r="N81" i="7"/>
  <c r="L137" i="7"/>
  <c r="L182" i="7"/>
  <c r="W170" i="7"/>
  <c r="U171" i="7"/>
  <c r="D184" i="7"/>
  <c r="B168" i="7"/>
  <c r="D170" i="7"/>
  <c r="N83" i="7"/>
  <c r="N93" i="7"/>
  <c r="C137" i="7"/>
  <c r="L136" i="7"/>
  <c r="J136" i="7"/>
  <c r="H187" i="7"/>
  <c r="N113" i="7"/>
  <c r="S170" i="7"/>
  <c r="J164" i="7"/>
  <c r="H160" i="7"/>
  <c r="L160" i="7"/>
  <c r="W160" i="7"/>
  <c r="J160" i="7"/>
  <c r="L156" i="7"/>
  <c r="B157" i="7"/>
  <c r="N50" i="7"/>
  <c r="B160" i="7"/>
  <c r="N55" i="7"/>
  <c r="N35" i="7"/>
  <c r="B150" i="7"/>
  <c r="W171" i="7"/>
  <c r="S171" i="7"/>
  <c r="U170" i="7"/>
  <c r="N92" i="7"/>
  <c r="W153" i="7"/>
  <c r="H153" i="7"/>
  <c r="H183" i="7"/>
  <c r="B171" i="7"/>
  <c r="N19" i="7"/>
  <c r="L170" i="7"/>
  <c r="W141" i="7"/>
  <c r="N97" i="7"/>
  <c r="N73" i="7"/>
  <c r="B163" i="7"/>
  <c r="N109" i="7"/>
  <c r="C187" i="7"/>
  <c r="B156" i="7"/>
  <c r="N47" i="7"/>
  <c r="N49" i="7"/>
  <c r="D157" i="7"/>
  <c r="C158" i="7"/>
  <c r="N27" i="7"/>
  <c r="B146" i="7"/>
  <c r="N32" i="7"/>
  <c r="C151" i="7"/>
  <c r="N45" i="7"/>
  <c r="N13" i="7"/>
  <c r="J180" i="7"/>
  <c r="L180" i="7"/>
  <c r="L176" i="7"/>
  <c r="H176" i="7"/>
  <c r="H172" i="7"/>
  <c r="L172" i="7"/>
  <c r="J172" i="7"/>
  <c r="L168" i="7"/>
  <c r="J168" i="7"/>
  <c r="H165" i="7"/>
  <c r="L165" i="7"/>
  <c r="L152" i="7"/>
  <c r="W166" i="7"/>
  <c r="S138" i="7"/>
  <c r="J183" i="7"/>
  <c r="J144" i="7"/>
  <c r="N79" i="7"/>
  <c r="W167" i="7"/>
  <c r="L162" i="7"/>
  <c r="W179" i="7"/>
  <c r="J170" i="7"/>
  <c r="W182" i="7"/>
  <c r="U175" i="7"/>
  <c r="J182" i="7"/>
  <c r="C177" i="7"/>
  <c r="D182" i="7"/>
  <c r="B184" i="7"/>
  <c r="D162" i="7"/>
  <c r="B145" i="7"/>
  <c r="D146" i="7"/>
  <c r="C153" i="7"/>
  <c r="D137" i="7"/>
  <c r="W155" i="7"/>
  <c r="L151" i="7"/>
  <c r="B136" i="7"/>
  <c r="C191" i="7"/>
  <c r="H190" i="7"/>
  <c r="D176" i="7"/>
  <c r="D163" i="7"/>
  <c r="L141" i="7"/>
  <c r="W178" i="7"/>
  <c r="J179" i="7"/>
  <c r="C162" i="7"/>
  <c r="J166" i="7"/>
  <c r="H166" i="7"/>
  <c r="J155" i="7"/>
  <c r="W144" i="7"/>
  <c r="H162" i="7"/>
  <c r="J171" i="7"/>
  <c r="D175" i="7"/>
  <c r="W152" i="7"/>
  <c r="D168" i="7"/>
  <c r="N78" i="7"/>
  <c r="C155" i="7"/>
  <c r="B159" i="7"/>
  <c r="D150" i="7"/>
  <c r="B152" i="7"/>
  <c r="H189" i="7"/>
  <c r="N118" i="7"/>
  <c r="D177" i="7"/>
  <c r="C182" i="7"/>
  <c r="W137" i="7"/>
  <c r="W191" i="7"/>
  <c r="L144" i="7"/>
  <c r="L190" i="7"/>
  <c r="N82" i="7"/>
  <c r="C184" i="7"/>
  <c r="H186" i="7"/>
  <c r="J191" i="7"/>
  <c r="J186" i="7"/>
  <c r="N63" i="7"/>
  <c r="C165" i="7"/>
  <c r="E165" i="7" s="1"/>
  <c r="C169" i="7"/>
  <c r="B177" i="7"/>
  <c r="C181" i="7"/>
  <c r="N112" i="7"/>
  <c r="C163" i="7"/>
  <c r="D155" i="7"/>
  <c r="C157" i="7"/>
  <c r="C159" i="7"/>
  <c r="C147" i="7"/>
  <c r="J177" i="7"/>
  <c r="J161" i="7"/>
  <c r="W157" i="7"/>
  <c r="E77" i="30"/>
  <c r="S68" i="30"/>
  <c r="N8" i="30"/>
  <c r="B75" i="30"/>
  <c r="B68" i="30"/>
  <c r="J68" i="30"/>
  <c r="H70" i="30"/>
  <c r="C68" i="30"/>
  <c r="C72" i="30"/>
  <c r="L73" i="30"/>
  <c r="D68" i="30"/>
  <c r="C82" i="30"/>
  <c r="J76" i="30"/>
  <c r="B76" i="30"/>
  <c r="N30" i="30"/>
  <c r="C81" i="30"/>
  <c r="N7" i="30"/>
  <c r="H68" i="30"/>
  <c r="N12" i="30"/>
  <c r="L68" i="30"/>
  <c r="B72" i="30"/>
  <c r="S69" i="30"/>
  <c r="W69" i="30" s="1"/>
  <c r="E160" i="5"/>
  <c r="W180" i="5"/>
  <c r="D183" i="5"/>
  <c r="B191" i="5"/>
  <c r="S153" i="5"/>
  <c r="L150" i="5"/>
  <c r="U180" i="5"/>
  <c r="C184" i="5"/>
  <c r="E184" i="5" s="1"/>
  <c r="B148" i="5"/>
  <c r="S139" i="5"/>
  <c r="N63" i="5"/>
  <c r="L138" i="5"/>
  <c r="H172" i="5"/>
  <c r="L159" i="5"/>
  <c r="W143" i="5"/>
  <c r="J187" i="5"/>
  <c r="N187" i="5" s="1"/>
  <c r="H161" i="5"/>
  <c r="N161" i="5" s="1"/>
  <c r="W188" i="5"/>
  <c r="B189" i="5"/>
  <c r="N45" i="5"/>
  <c r="C158" i="5"/>
  <c r="J153" i="5"/>
  <c r="W178" i="5"/>
  <c r="W175" i="5"/>
  <c r="T191" i="5"/>
  <c r="N119" i="5"/>
  <c r="S169" i="5"/>
  <c r="W139" i="5"/>
  <c r="B150" i="5"/>
  <c r="L166" i="5"/>
  <c r="J162" i="5"/>
  <c r="T139" i="5"/>
  <c r="N46" i="5"/>
  <c r="B161" i="5"/>
  <c r="C178" i="5"/>
  <c r="N23" i="5"/>
  <c r="N164" i="5"/>
  <c r="J166" i="5"/>
  <c r="N166" i="5" s="1"/>
  <c r="W162" i="5"/>
  <c r="N105" i="5"/>
  <c r="N39" i="5"/>
  <c r="H150" i="5"/>
  <c r="N150" i="5" s="1"/>
  <c r="B180" i="5"/>
  <c r="W184" i="5"/>
  <c r="H184" i="5"/>
  <c r="T173" i="5"/>
  <c r="J156" i="5"/>
  <c r="N156" i="5" s="1"/>
  <c r="B164" i="5"/>
  <c r="E164" i="5" s="1"/>
  <c r="J160" i="5"/>
  <c r="B147" i="5"/>
  <c r="C180" i="5"/>
  <c r="H143" i="5"/>
  <c r="N37" i="5"/>
  <c r="J179" i="5"/>
  <c r="L158" i="5"/>
  <c r="W159" i="5"/>
  <c r="W186" i="5"/>
  <c r="H157" i="5"/>
  <c r="N157" i="5" s="1"/>
  <c r="T169" i="5"/>
  <c r="N86" i="5"/>
  <c r="N81" i="5"/>
  <c r="N85" i="5"/>
  <c r="N38" i="5"/>
  <c r="B159" i="5"/>
  <c r="D143" i="5"/>
  <c r="E143" i="5" s="1"/>
  <c r="N22" i="5"/>
  <c r="J152" i="5"/>
  <c r="N152" i="5" s="1"/>
  <c r="H148" i="5"/>
  <c r="W181" i="5"/>
  <c r="U181" i="5"/>
  <c r="H154" i="5"/>
  <c r="L181" i="5"/>
  <c r="L154" i="5"/>
  <c r="T168" i="5"/>
  <c r="H139" i="5"/>
  <c r="C169" i="5"/>
  <c r="N178" i="5"/>
  <c r="H169" i="5"/>
  <c r="H162" i="5"/>
  <c r="J181" i="5"/>
  <c r="L191" i="5"/>
  <c r="J154" i="5"/>
  <c r="W160" i="5"/>
  <c r="J139" i="5"/>
  <c r="T181" i="5"/>
  <c r="J142" i="5"/>
  <c r="H182" i="5"/>
  <c r="W182" i="5"/>
  <c r="N114" i="5"/>
  <c r="H183" i="5"/>
  <c r="W158" i="5"/>
  <c r="J141" i="5"/>
  <c r="T184" i="5"/>
  <c r="W154" i="5"/>
  <c r="B170" i="5"/>
  <c r="C173" i="5"/>
  <c r="E173" i="5" s="1"/>
  <c r="N82" i="5"/>
  <c r="B182" i="5"/>
  <c r="B186" i="5"/>
  <c r="N108" i="5"/>
  <c r="B156" i="5"/>
  <c r="E156" i="5" s="1"/>
  <c r="D157" i="5"/>
  <c r="N8" i="5"/>
  <c r="C139" i="5"/>
  <c r="D140" i="5"/>
  <c r="B144" i="5"/>
  <c r="D145" i="5"/>
  <c r="C150" i="5"/>
  <c r="W138" i="5"/>
  <c r="W163" i="5"/>
  <c r="W191" i="5"/>
  <c r="J191" i="5"/>
  <c r="H160" i="5"/>
  <c r="L182" i="5"/>
  <c r="J173" i="5"/>
  <c r="W146" i="5"/>
  <c r="B179" i="5"/>
  <c r="S184" i="5"/>
  <c r="U173" i="5"/>
  <c r="W169" i="5"/>
  <c r="N110" i="5"/>
  <c r="S183" i="5"/>
  <c r="U169" i="5"/>
  <c r="N107" i="5"/>
  <c r="C187" i="5"/>
  <c r="B138" i="5"/>
  <c r="E138" i="5" s="1"/>
  <c r="D142" i="5"/>
  <c r="N31" i="5"/>
  <c r="W137" i="5"/>
  <c r="W88" i="28"/>
  <c r="C94" i="28"/>
  <c r="B88" i="28"/>
  <c r="W92" i="28"/>
  <c r="N62" i="28"/>
  <c r="D87" i="28"/>
  <c r="N27" i="28"/>
  <c r="N35" i="28"/>
  <c r="H91" i="28"/>
  <c r="H104" i="28"/>
  <c r="D84" i="28"/>
  <c r="H102" i="28"/>
  <c r="W84" i="28"/>
  <c r="W96" i="28"/>
  <c r="B175" i="2"/>
  <c r="D179" i="2"/>
  <c r="C181" i="2"/>
  <c r="N10" i="2"/>
  <c r="W147" i="2"/>
  <c r="W139" i="2"/>
  <c r="N58" i="2"/>
  <c r="N186" i="2"/>
  <c r="W163" i="2"/>
  <c r="W143" i="2"/>
  <c r="N161" i="2"/>
  <c r="C165" i="2"/>
  <c r="N93" i="2"/>
  <c r="D187" i="2"/>
  <c r="N187" i="2"/>
  <c r="C189" i="2"/>
  <c r="C161" i="2"/>
  <c r="W162" i="2"/>
  <c r="W158" i="2"/>
  <c r="W154" i="2"/>
  <c r="W150" i="2"/>
  <c r="N138" i="2"/>
  <c r="N177" i="2"/>
  <c r="S136" i="2"/>
  <c r="D185" i="2"/>
  <c r="B191" i="2"/>
  <c r="D136" i="2"/>
  <c r="B169" i="2"/>
  <c r="D173" i="2"/>
  <c r="C176" i="2"/>
  <c r="B178" i="2"/>
  <c r="D189" i="2"/>
  <c r="B164" i="2"/>
  <c r="B156" i="2"/>
  <c r="D142" i="2"/>
  <c r="D146" i="2"/>
  <c r="B190" i="2"/>
  <c r="N174" i="2"/>
  <c r="B165" i="2"/>
  <c r="B138" i="2"/>
  <c r="B142" i="2"/>
  <c r="N26" i="2"/>
  <c r="B150" i="2"/>
  <c r="D151" i="2"/>
  <c r="N39" i="2"/>
  <c r="W159" i="2"/>
  <c r="W155" i="2"/>
  <c r="W151" i="2"/>
  <c r="W188" i="2"/>
  <c r="W184" i="2"/>
  <c r="W172" i="2"/>
  <c r="W168" i="2"/>
  <c r="N141" i="2"/>
  <c r="N7" i="2"/>
  <c r="N188" i="2"/>
  <c r="N183" i="2"/>
  <c r="N60" i="2"/>
  <c r="H136" i="2"/>
  <c r="D188" i="2"/>
  <c r="N53" i="2"/>
  <c r="N16" i="2"/>
  <c r="U136" i="2"/>
  <c r="N69" i="2"/>
  <c r="N79" i="2"/>
  <c r="C184" i="2"/>
  <c r="B185" i="2"/>
  <c r="B144" i="2"/>
  <c r="W161" i="2"/>
  <c r="D184" i="2"/>
  <c r="C185" i="2"/>
  <c r="D161" i="2"/>
  <c r="N142" i="2"/>
  <c r="N112" i="2"/>
  <c r="N17" i="2"/>
  <c r="B136" i="2"/>
  <c r="N189" i="2"/>
  <c r="N15" i="2"/>
  <c r="N137" i="2"/>
  <c r="C168" i="2"/>
  <c r="C169" i="2"/>
  <c r="B170" i="2"/>
  <c r="D175" i="2"/>
  <c r="D176" i="2"/>
  <c r="N89" i="2"/>
  <c r="B179" i="2"/>
  <c r="N180" i="2"/>
  <c r="C162" i="2"/>
  <c r="D141" i="2"/>
  <c r="B146" i="2"/>
  <c r="N179" i="2"/>
  <c r="D165" i="2"/>
  <c r="W191" i="2"/>
  <c r="N178" i="2"/>
  <c r="N176" i="2"/>
  <c r="B166" i="2"/>
  <c r="D172" i="2"/>
  <c r="N85" i="2"/>
  <c r="N102" i="2"/>
  <c r="N105" i="2"/>
  <c r="N107" i="2"/>
  <c r="W187" i="2"/>
  <c r="W179" i="2"/>
  <c r="W175" i="2"/>
  <c r="N140" i="2"/>
  <c r="N173" i="2"/>
  <c r="C136" i="2"/>
  <c r="W190" i="2"/>
  <c r="N191" i="2"/>
  <c r="N34" i="2"/>
  <c r="C166" i="2"/>
  <c r="N86" i="2"/>
  <c r="C153" i="2"/>
  <c r="N45" i="2"/>
  <c r="N90" i="2"/>
  <c r="N64" i="2"/>
  <c r="N78" i="2"/>
  <c r="N48" i="2"/>
  <c r="C158" i="2"/>
  <c r="B160" i="2"/>
  <c r="N9" i="2"/>
  <c r="N11" i="2"/>
  <c r="C142" i="2"/>
  <c r="N24" i="2"/>
  <c r="C146" i="2"/>
  <c r="N38" i="2"/>
  <c r="W186" i="2"/>
  <c r="W174" i="2"/>
  <c r="W170" i="2"/>
  <c r="C190" i="2"/>
  <c r="C186" i="2"/>
  <c r="N62" i="2"/>
  <c r="N41" i="2"/>
  <c r="C160" i="2"/>
  <c r="B139" i="2"/>
  <c r="D140" i="2"/>
  <c r="B141" i="2"/>
  <c r="C144" i="2"/>
  <c r="N25" i="2"/>
  <c r="C152" i="2"/>
  <c r="B137" i="2"/>
  <c r="S190" i="2"/>
  <c r="N28" i="2"/>
  <c r="B168" i="2"/>
  <c r="N92" i="2"/>
  <c r="N44" i="2"/>
  <c r="N67" i="2"/>
  <c r="D168" i="2"/>
  <c r="C170" i="2"/>
  <c r="B187" i="2"/>
  <c r="C154" i="2"/>
  <c r="W144" i="2"/>
  <c r="N147" i="2"/>
  <c r="N162" i="2"/>
  <c r="N153" i="2"/>
  <c r="N169" i="2"/>
  <c r="N181" i="2"/>
  <c r="N96" i="2"/>
  <c r="C177" i="2"/>
  <c r="W165" i="2"/>
  <c r="N167" i="2"/>
  <c r="N182" i="2"/>
  <c r="N108" i="2"/>
  <c r="N12" i="2"/>
  <c r="W178" i="2"/>
  <c r="T190" i="2"/>
  <c r="C173" i="2"/>
  <c r="N87" i="2"/>
  <c r="N113" i="2"/>
  <c r="N63" i="2"/>
  <c r="N52" i="2"/>
  <c r="W164" i="2"/>
  <c r="N163" i="2"/>
  <c r="H190" i="2"/>
  <c r="B153" i="2"/>
  <c r="C187" i="2"/>
  <c r="W173" i="2"/>
  <c r="J136" i="2"/>
  <c r="N19" i="2"/>
  <c r="N83" i="2"/>
  <c r="N100" i="2"/>
  <c r="D139" i="2"/>
  <c r="C141" i="2"/>
  <c r="D150" i="2"/>
  <c r="N148" i="2"/>
  <c r="N159" i="2"/>
  <c r="C174" i="2"/>
  <c r="C172" i="2"/>
  <c r="N84" i="2"/>
  <c r="D186" i="2"/>
  <c r="W169" i="2"/>
  <c r="J190" i="2"/>
  <c r="N97" i="2"/>
  <c r="C159" i="2"/>
  <c r="C167" i="2"/>
  <c r="E167" i="2" s="1"/>
  <c r="N172" i="2"/>
  <c r="D174" i="2"/>
  <c r="B154" i="2"/>
  <c r="D159" i="2"/>
  <c r="D137" i="2"/>
  <c r="B140" i="2"/>
  <c r="C145" i="2"/>
  <c r="D147" i="2"/>
  <c r="W166" i="2"/>
  <c r="N139" i="2"/>
  <c r="N185" i="2"/>
  <c r="C196" i="1"/>
  <c r="D183" i="1"/>
  <c r="C184" i="1"/>
  <c r="D186" i="1"/>
  <c r="H144" i="1"/>
  <c r="W166" i="1"/>
  <c r="U144" i="1"/>
  <c r="S145" i="1"/>
  <c r="N44" i="1"/>
  <c r="C153" i="1"/>
  <c r="N23" i="1"/>
  <c r="B145" i="1"/>
  <c r="N11" i="1"/>
  <c r="N38" i="1"/>
  <c r="N120" i="1"/>
  <c r="S161" i="1"/>
  <c r="W172" i="1"/>
  <c r="U171" i="1"/>
  <c r="D173" i="1"/>
  <c r="D187" i="1"/>
  <c r="H143" i="1"/>
  <c r="H146" i="1"/>
  <c r="U149" i="1"/>
  <c r="U165" i="1"/>
  <c r="T145" i="1"/>
  <c r="S172" i="1"/>
  <c r="B166" i="1"/>
  <c r="N46" i="1"/>
  <c r="N55" i="1"/>
  <c r="L161" i="1"/>
  <c r="H157" i="1"/>
  <c r="H183" i="1"/>
  <c r="T155" i="1"/>
  <c r="N93" i="1"/>
  <c r="N69" i="1"/>
  <c r="C156" i="1"/>
  <c r="N13" i="1"/>
  <c r="B143" i="1"/>
  <c r="H96" i="34"/>
  <c r="J96" i="34"/>
  <c r="L96" i="34"/>
  <c r="J162" i="17"/>
  <c r="H162" i="17"/>
  <c r="N32" i="25"/>
  <c r="B148" i="25"/>
  <c r="B162" i="25"/>
  <c r="N60" i="25"/>
  <c r="N92" i="37"/>
  <c r="U168" i="21"/>
  <c r="S168" i="21"/>
  <c r="T168" i="21"/>
  <c r="W147" i="16"/>
  <c r="W165" i="21"/>
  <c r="B176" i="18"/>
  <c r="E176" i="18" s="1"/>
  <c r="B166" i="25"/>
  <c r="J144" i="24"/>
  <c r="H144" i="24"/>
  <c r="E112" i="35"/>
  <c r="W123" i="16"/>
  <c r="D179" i="21"/>
  <c r="B148" i="18"/>
  <c r="L127" i="26"/>
  <c r="N48" i="24"/>
  <c r="B175" i="5"/>
  <c r="N84" i="5"/>
  <c r="C205" i="13"/>
  <c r="N124" i="13"/>
  <c r="C172" i="13"/>
  <c r="N53" i="13"/>
  <c r="J103" i="36"/>
  <c r="N31" i="10"/>
  <c r="N20" i="10"/>
  <c r="N15" i="10"/>
  <c r="T194" i="10"/>
  <c r="N130" i="35"/>
  <c r="W140" i="16"/>
  <c r="N99" i="22"/>
  <c r="B137" i="21"/>
  <c r="J160" i="21"/>
  <c r="H161" i="21"/>
  <c r="N161" i="21" s="1"/>
  <c r="W176" i="18"/>
  <c r="W193" i="14"/>
  <c r="N152" i="14"/>
  <c r="N170" i="14"/>
  <c r="N186" i="14"/>
  <c r="N180" i="14"/>
  <c r="N109" i="14"/>
  <c r="W71" i="30"/>
  <c r="W177" i="22"/>
  <c r="W136" i="16"/>
  <c r="J127" i="26"/>
  <c r="N154" i="11"/>
  <c r="E161" i="17"/>
  <c r="N56" i="25"/>
  <c r="U157" i="25"/>
  <c r="C188" i="7"/>
  <c r="U182" i="15"/>
  <c r="S182" i="15"/>
  <c r="D182" i="15"/>
  <c r="T182" i="15"/>
  <c r="J182" i="15"/>
  <c r="H182" i="15"/>
  <c r="C182" i="15"/>
  <c r="L182" i="15"/>
  <c r="N95" i="15"/>
  <c r="D192" i="15"/>
  <c r="T195" i="15"/>
  <c r="U195" i="15"/>
  <c r="S195" i="15"/>
  <c r="N78" i="5"/>
  <c r="C172" i="5"/>
  <c r="D185" i="5"/>
  <c r="D144" i="5"/>
  <c r="N21" i="5"/>
  <c r="D147" i="5"/>
  <c r="H190" i="5"/>
  <c r="L190" i="5"/>
  <c r="C152" i="7"/>
  <c r="N39" i="7"/>
  <c r="N42" i="7"/>
  <c r="B153" i="7"/>
  <c r="J173" i="7"/>
  <c r="N173" i="7" s="1"/>
  <c r="W173" i="7"/>
  <c r="B164" i="15"/>
  <c r="E164" i="15" s="1"/>
  <c r="N35" i="15"/>
  <c r="J164" i="14"/>
  <c r="L164" i="14"/>
  <c r="H164" i="14"/>
  <c r="N11" i="30"/>
  <c r="B70" i="30"/>
  <c r="U150" i="19"/>
  <c r="T150" i="19"/>
  <c r="C150" i="19"/>
  <c r="J164" i="17"/>
  <c r="H164" i="17"/>
  <c r="N30" i="25"/>
  <c r="B147" i="25"/>
  <c r="N50" i="24"/>
  <c r="C157" i="24"/>
  <c r="H165" i="25"/>
  <c r="H185" i="13"/>
  <c r="J185" i="13"/>
  <c r="D185" i="13"/>
  <c r="T185" i="13"/>
  <c r="W177" i="5"/>
  <c r="U177" i="5"/>
  <c r="J177" i="5"/>
  <c r="N177" i="5" s="1"/>
  <c r="T177" i="5"/>
  <c r="S177" i="5"/>
  <c r="J104" i="37"/>
  <c r="L104" i="37"/>
  <c r="C196" i="9"/>
  <c r="D196" i="9"/>
  <c r="J196" i="9"/>
  <c r="H196" i="9"/>
  <c r="U196" i="9"/>
  <c r="L196" i="9"/>
  <c r="L156" i="17"/>
  <c r="J156" i="17"/>
  <c r="L158" i="17"/>
  <c r="H158" i="17"/>
  <c r="N57" i="17"/>
  <c r="B160" i="17"/>
  <c r="L144" i="25"/>
  <c r="D144" i="25"/>
  <c r="C144" i="25"/>
  <c r="U144" i="25"/>
  <c r="T144" i="25"/>
  <c r="S144" i="25"/>
  <c r="B174" i="21"/>
  <c r="U179" i="21"/>
  <c r="B196" i="9"/>
  <c r="L185" i="13"/>
  <c r="L164" i="17"/>
  <c r="J158" i="25"/>
  <c r="T176" i="5"/>
  <c r="S176" i="5"/>
  <c r="H176" i="5"/>
  <c r="D176" i="5"/>
  <c r="W176" i="5"/>
  <c r="D204" i="13"/>
  <c r="L80" i="30"/>
  <c r="H80" i="30"/>
  <c r="N101" i="9"/>
  <c r="B195" i="9"/>
  <c r="B153" i="17"/>
  <c r="N41" i="17"/>
  <c r="J133" i="26"/>
  <c r="L133" i="26"/>
  <c r="J143" i="24"/>
  <c r="H143" i="24"/>
  <c r="H156" i="24"/>
  <c r="L156" i="24"/>
  <c r="J156" i="24"/>
  <c r="W112" i="35"/>
  <c r="T158" i="12"/>
  <c r="N107" i="7"/>
  <c r="D177" i="5"/>
  <c r="T185" i="5"/>
  <c r="S185" i="5"/>
  <c r="C204" i="13"/>
  <c r="N54" i="11"/>
  <c r="B162" i="11"/>
  <c r="E162" i="11" s="1"/>
  <c r="D178" i="11"/>
  <c r="N85" i="11"/>
  <c r="N30" i="9"/>
  <c r="C162" i="9"/>
  <c r="H162" i="21"/>
  <c r="L162" i="21"/>
  <c r="H103" i="36"/>
  <c r="N29" i="10"/>
  <c r="B183" i="10"/>
  <c r="N66" i="2"/>
  <c r="N81" i="2"/>
  <c r="E119" i="35"/>
  <c r="N121" i="35"/>
  <c r="B159" i="16"/>
  <c r="W144" i="16"/>
  <c r="E134" i="16"/>
  <c r="N90" i="21"/>
  <c r="L160" i="21"/>
  <c r="B168" i="21"/>
  <c r="C179" i="21"/>
  <c r="L179" i="21"/>
  <c r="N76" i="21"/>
  <c r="U148" i="18"/>
  <c r="J184" i="18"/>
  <c r="D148" i="18"/>
  <c r="N147" i="14"/>
  <c r="C186" i="5"/>
  <c r="N86" i="13"/>
  <c r="N119" i="22"/>
  <c r="W149" i="26"/>
  <c r="W139" i="21"/>
  <c r="B162" i="17"/>
  <c r="N141" i="24"/>
  <c r="B175" i="14"/>
  <c r="E175" i="14" s="1"/>
  <c r="N77" i="15"/>
  <c r="C183" i="15"/>
  <c r="B187" i="15"/>
  <c r="D191" i="15"/>
  <c r="B122" i="6"/>
  <c r="U168" i="5"/>
  <c r="W168" i="5"/>
  <c r="L168" i="5"/>
  <c r="S168" i="5"/>
  <c r="H168" i="5"/>
  <c r="D171" i="5"/>
  <c r="N79" i="5"/>
  <c r="B176" i="2"/>
  <c r="N106" i="3"/>
  <c r="H154" i="3"/>
  <c r="W154" i="3"/>
  <c r="N48" i="5"/>
  <c r="B157" i="5"/>
  <c r="T147" i="5"/>
  <c r="S147" i="5"/>
  <c r="U147" i="5"/>
  <c r="D159" i="7"/>
  <c r="N54" i="7"/>
  <c r="C161" i="7"/>
  <c r="N57" i="7"/>
  <c r="D149" i="7"/>
  <c r="N34" i="7"/>
  <c r="E172" i="15"/>
  <c r="B169" i="15"/>
  <c r="N47" i="15"/>
  <c r="N44" i="15"/>
  <c r="D168" i="15"/>
  <c r="B165" i="15"/>
  <c r="N37" i="15"/>
  <c r="H169" i="15"/>
  <c r="L169" i="15"/>
  <c r="J169" i="15"/>
  <c r="L165" i="15"/>
  <c r="H165" i="15"/>
  <c r="J165" i="15"/>
  <c r="L162" i="15"/>
  <c r="J162" i="15"/>
  <c r="H158" i="15"/>
  <c r="J158" i="15"/>
  <c r="L187" i="14"/>
  <c r="N187" i="14" s="1"/>
  <c r="J183" i="14"/>
  <c r="N183" i="14" s="1"/>
  <c r="J179" i="14"/>
  <c r="H179" i="14"/>
  <c r="L171" i="14"/>
  <c r="H171" i="14"/>
  <c r="J167" i="14"/>
  <c r="H160" i="14"/>
  <c r="N160" i="14" s="1"/>
  <c r="N11" i="31"/>
  <c r="C75" i="31"/>
  <c r="U163" i="17"/>
  <c r="S163" i="17"/>
  <c r="B163" i="17"/>
  <c r="H163" i="17"/>
  <c r="J188" i="24"/>
  <c r="H188" i="24"/>
  <c r="H158" i="25"/>
  <c r="H204" i="13"/>
  <c r="J204" i="13"/>
  <c r="T204" i="13"/>
  <c r="S204" i="13"/>
  <c r="B140" i="12"/>
  <c r="N12" i="12"/>
  <c r="L158" i="12"/>
  <c r="J158" i="12"/>
  <c r="H158" i="12"/>
  <c r="U158" i="12"/>
  <c r="B158" i="12"/>
  <c r="D158" i="12"/>
  <c r="D161" i="12"/>
  <c r="N54" i="12"/>
  <c r="L197" i="9"/>
  <c r="H197" i="9"/>
  <c r="C182" i="19"/>
  <c r="N87" i="19"/>
  <c r="D178" i="18"/>
  <c r="U178" i="18"/>
  <c r="S178" i="18"/>
  <c r="H178" i="18"/>
  <c r="N178" i="18" s="1"/>
  <c r="L157" i="17"/>
  <c r="J157" i="17"/>
  <c r="H132" i="26"/>
  <c r="J132" i="26"/>
  <c r="J145" i="25"/>
  <c r="H145" i="25"/>
  <c r="L185" i="24"/>
  <c r="J185" i="24"/>
  <c r="M8" i="35"/>
  <c r="D111" i="35" s="1"/>
  <c r="E111" i="35" s="1"/>
  <c r="N95" i="32"/>
  <c r="W146" i="16"/>
  <c r="D168" i="21"/>
  <c r="N175" i="14"/>
  <c r="B185" i="13"/>
  <c r="D186" i="13"/>
  <c r="N84" i="13"/>
  <c r="C174" i="5"/>
  <c r="E174" i="5" s="1"/>
  <c r="N83" i="5"/>
  <c r="N42" i="34"/>
  <c r="C92" i="34"/>
  <c r="D164" i="9"/>
  <c r="N33" i="9"/>
  <c r="B186" i="9"/>
  <c r="N80" i="9"/>
  <c r="B152" i="17"/>
  <c r="N39" i="17"/>
  <c r="C131" i="26"/>
  <c r="E131" i="26" s="1"/>
  <c r="N34" i="26"/>
  <c r="C140" i="24"/>
  <c r="N16" i="24"/>
  <c r="C143" i="24"/>
  <c r="E143" i="24" s="1"/>
  <c r="N22" i="24"/>
  <c r="H146" i="24"/>
  <c r="J146" i="24"/>
  <c r="N105" i="24"/>
  <c r="B184" i="24"/>
  <c r="S148" i="18"/>
  <c r="W175" i="14"/>
  <c r="N190" i="5"/>
  <c r="L150" i="19"/>
  <c r="H152" i="19"/>
  <c r="J180" i="11"/>
  <c r="L180" i="11"/>
  <c r="J161" i="9"/>
  <c r="L161" i="9"/>
  <c r="H161" i="9"/>
  <c r="H193" i="19"/>
  <c r="L193" i="19"/>
  <c r="J193" i="19"/>
  <c r="D157" i="23"/>
  <c r="N47" i="23"/>
  <c r="N14" i="13"/>
  <c r="C156" i="13"/>
  <c r="J190" i="25"/>
  <c r="L190" i="25"/>
  <c r="B199" i="10"/>
  <c r="J166" i="10"/>
  <c r="C199" i="10"/>
  <c r="S199" i="10"/>
  <c r="S194" i="10"/>
  <c r="W117" i="35"/>
  <c r="E157" i="16"/>
  <c r="E136" i="16"/>
  <c r="D181" i="22"/>
  <c r="C170" i="21"/>
  <c r="J179" i="21"/>
  <c r="N92" i="21"/>
  <c r="L177" i="18"/>
  <c r="H160" i="18"/>
  <c r="N160" i="18" s="1"/>
  <c r="L148" i="18"/>
  <c r="L176" i="18"/>
  <c r="N115" i="14"/>
  <c r="U185" i="5"/>
  <c r="H74" i="30"/>
  <c r="N185" i="9"/>
  <c r="S196" i="9"/>
  <c r="L128" i="26"/>
  <c r="L163" i="17"/>
  <c r="N101" i="8"/>
  <c r="B180" i="11"/>
  <c r="E180" i="11" s="1"/>
  <c r="J162" i="21"/>
  <c r="N72" i="19"/>
  <c r="J149" i="17"/>
  <c r="H149" i="17"/>
  <c r="C163" i="17"/>
  <c r="L150" i="17"/>
  <c r="H150" i="17"/>
  <c r="T162" i="17"/>
  <c r="J145" i="17"/>
  <c r="H145" i="17"/>
  <c r="L145" i="17"/>
  <c r="J152" i="25"/>
  <c r="L152" i="25"/>
  <c r="H152" i="25"/>
  <c r="H187" i="24"/>
  <c r="N74" i="14"/>
  <c r="C171" i="14"/>
  <c r="E171" i="14" s="1"/>
  <c r="N80" i="2"/>
  <c r="N115" i="13"/>
  <c r="N124" i="15"/>
  <c r="B204" i="15"/>
  <c r="S168" i="1"/>
  <c r="H168" i="1"/>
  <c r="N168" i="1" s="1"/>
  <c r="B168" i="1"/>
  <c r="N51" i="2"/>
  <c r="C149" i="2"/>
  <c r="N32" i="2"/>
  <c r="C158" i="3"/>
  <c r="N36" i="3"/>
  <c r="W189" i="5"/>
  <c r="J189" i="5"/>
  <c r="L189" i="5"/>
  <c r="H189" i="5"/>
  <c r="W185" i="5"/>
  <c r="H185" i="5"/>
  <c r="J185" i="5"/>
  <c r="N30" i="7"/>
  <c r="B147" i="7"/>
  <c r="N11" i="7"/>
  <c r="B138" i="7"/>
  <c r="E140" i="7"/>
  <c r="J176" i="7"/>
  <c r="W176" i="7"/>
  <c r="B172" i="8"/>
  <c r="N60" i="8"/>
  <c r="N28" i="8"/>
  <c r="B158" i="8"/>
  <c r="D159" i="8"/>
  <c r="N31" i="8"/>
  <c r="N60" i="15"/>
  <c r="N8" i="15"/>
  <c r="C152" i="15"/>
  <c r="L202" i="15"/>
  <c r="H202" i="15"/>
  <c r="H198" i="15"/>
  <c r="J198" i="15"/>
  <c r="C148" i="14"/>
  <c r="N26" i="14"/>
  <c r="D146" i="14"/>
  <c r="E146" i="14" s="1"/>
  <c r="N23" i="14"/>
  <c r="C144" i="14"/>
  <c r="E144" i="14" s="1"/>
  <c r="N18" i="14"/>
  <c r="C141" i="14"/>
  <c r="E141" i="14" s="1"/>
  <c r="N10" i="14"/>
  <c r="N145" i="2"/>
  <c r="N64" i="13"/>
  <c r="C178" i="13"/>
  <c r="H167" i="12"/>
  <c r="T167" i="12"/>
  <c r="L167" i="12"/>
  <c r="J167" i="12"/>
  <c r="D167" i="12"/>
  <c r="C157" i="25"/>
  <c r="H157" i="25"/>
  <c r="T157" i="25"/>
  <c r="L157" i="25"/>
  <c r="J157" i="25"/>
  <c r="S157" i="25"/>
  <c r="U165" i="25"/>
  <c r="T165" i="25"/>
  <c r="S165" i="25"/>
  <c r="D165" i="25"/>
  <c r="L165" i="25"/>
  <c r="H169" i="17"/>
  <c r="D157" i="25"/>
  <c r="C166" i="7"/>
  <c r="E166" i="7" s="1"/>
  <c r="L120" i="15"/>
  <c r="C203" i="15" s="1"/>
  <c r="B203" i="15"/>
  <c r="N102" i="9"/>
  <c r="C195" i="9"/>
  <c r="N8" i="21"/>
  <c r="B135" i="21"/>
  <c r="T174" i="21"/>
  <c r="U174" i="21"/>
  <c r="L174" i="21"/>
  <c r="J174" i="21"/>
  <c r="D146" i="25"/>
  <c r="N28" i="25"/>
  <c r="N56" i="2"/>
  <c r="J176" i="21"/>
  <c r="N90" i="18"/>
  <c r="N149" i="14"/>
  <c r="D154" i="19"/>
  <c r="E154" i="19" s="1"/>
  <c r="W180" i="22"/>
  <c r="L152" i="19"/>
  <c r="L169" i="17"/>
  <c r="J165" i="25"/>
  <c r="N118" i="13"/>
  <c r="C202" i="13"/>
  <c r="H186" i="9"/>
  <c r="J186" i="9"/>
  <c r="L153" i="17"/>
  <c r="H153" i="17"/>
  <c r="J153" i="17"/>
  <c r="L145" i="24"/>
  <c r="J145" i="24"/>
  <c r="H145" i="24"/>
  <c r="N109" i="2"/>
  <c r="N8" i="18"/>
  <c r="N122" i="15"/>
  <c r="E180" i="22"/>
  <c r="B144" i="25"/>
  <c r="N170" i="2"/>
  <c r="N78" i="13"/>
  <c r="N25" i="9"/>
  <c r="C160" i="9"/>
  <c r="N47" i="18"/>
  <c r="C158" i="18"/>
  <c r="H183" i="23"/>
  <c r="L183" i="23"/>
  <c r="J183" i="23"/>
  <c r="N183" i="23" s="1"/>
  <c r="D175" i="13"/>
  <c r="N58" i="13"/>
  <c r="J213" i="10"/>
  <c r="H213" i="10"/>
  <c r="J125" i="36"/>
  <c r="L125" i="36"/>
  <c r="H125" i="36"/>
  <c r="H166" i="10"/>
  <c r="N62" i="10"/>
  <c r="J199" i="10"/>
  <c r="D167" i="7"/>
  <c r="N156" i="3"/>
  <c r="W138" i="16"/>
  <c r="N188" i="22"/>
  <c r="S179" i="21"/>
  <c r="H179" i="21"/>
  <c r="N71" i="21"/>
  <c r="L168" i="21"/>
  <c r="T148" i="18"/>
  <c r="N185" i="14"/>
  <c r="E142" i="14"/>
  <c r="L185" i="5"/>
  <c r="N61" i="13"/>
  <c r="T196" i="9"/>
  <c r="W184" i="9"/>
  <c r="L186" i="9"/>
  <c r="B133" i="26"/>
  <c r="N149" i="26"/>
  <c r="S158" i="12"/>
  <c r="W158" i="12" s="1"/>
  <c r="N189" i="11"/>
  <c r="N187" i="11"/>
  <c r="T179" i="21"/>
  <c r="T163" i="17"/>
  <c r="D163" i="17"/>
  <c r="J187" i="24"/>
  <c r="N110" i="24"/>
  <c r="H189" i="23"/>
  <c r="N189" i="23" s="1"/>
  <c r="D166" i="2"/>
  <c r="C193" i="13"/>
  <c r="S197" i="13"/>
  <c r="T197" i="13"/>
  <c r="U197" i="13"/>
  <c r="H197" i="13"/>
  <c r="N73" i="14"/>
  <c r="N75" i="14"/>
  <c r="N77" i="14"/>
  <c r="T174" i="14"/>
  <c r="S174" i="14"/>
  <c r="H174" i="14"/>
  <c r="N174" i="14" s="1"/>
  <c r="N89" i="14"/>
  <c r="U181" i="14"/>
  <c r="W181" i="14" s="1"/>
  <c r="H181" i="14"/>
  <c r="J181" i="14"/>
  <c r="N181" i="14" s="1"/>
  <c r="N76" i="2"/>
  <c r="B171" i="2"/>
  <c r="D191" i="14"/>
  <c r="N114" i="14"/>
  <c r="D192" i="14"/>
  <c r="B151" i="1"/>
  <c r="N24" i="1"/>
  <c r="D153" i="2"/>
  <c r="N40" i="2"/>
  <c r="N14" i="2"/>
  <c r="N30" i="2"/>
  <c r="B148" i="2"/>
  <c r="W171" i="2"/>
  <c r="W167" i="2"/>
  <c r="H194" i="3"/>
  <c r="H147" i="5"/>
  <c r="N147" i="5" s="1"/>
  <c r="W144" i="5"/>
  <c r="H144" i="5"/>
  <c r="N144" i="5" s="1"/>
  <c r="H140" i="5"/>
  <c r="L140" i="5"/>
  <c r="W140" i="5"/>
  <c r="J140" i="5"/>
  <c r="N189" i="18"/>
  <c r="W151" i="15"/>
  <c r="N159" i="3"/>
  <c r="E150" i="5"/>
  <c r="N167" i="5"/>
  <c r="N147" i="26"/>
  <c r="E138" i="26"/>
  <c r="W162" i="11"/>
  <c r="H151" i="19"/>
  <c r="J151" i="19"/>
  <c r="W181" i="19"/>
  <c r="N155" i="23"/>
  <c r="N171" i="2"/>
  <c r="N89" i="13"/>
  <c r="C191" i="13"/>
  <c r="N95" i="13"/>
  <c r="D198" i="13"/>
  <c r="C178" i="14"/>
  <c r="N91" i="14"/>
  <c r="D181" i="8"/>
  <c r="C182" i="8"/>
  <c r="N83" i="8"/>
  <c r="N85" i="8"/>
  <c r="N89" i="8"/>
  <c r="C173" i="7"/>
  <c r="N91" i="7"/>
  <c r="C178" i="3"/>
  <c r="N85" i="3"/>
  <c r="B181" i="3"/>
  <c r="N93" i="3"/>
  <c r="N97" i="3"/>
  <c r="B187" i="3"/>
  <c r="B185" i="14"/>
  <c r="E185" i="14" s="1"/>
  <c r="N103" i="14"/>
  <c r="N114" i="13"/>
  <c r="N22" i="2"/>
  <c r="L188" i="12"/>
  <c r="J188" i="12"/>
  <c r="N41" i="11"/>
  <c r="C156" i="11"/>
  <c r="N41" i="9"/>
  <c r="B167" i="9"/>
  <c r="S168" i="9"/>
  <c r="W168" i="9" s="1"/>
  <c r="C168" i="9"/>
  <c r="J169" i="9"/>
  <c r="H169" i="9"/>
  <c r="E152" i="14"/>
  <c r="N165" i="14"/>
  <c r="N170" i="5"/>
  <c r="N173" i="5"/>
  <c r="E155" i="9"/>
  <c r="W174" i="9"/>
  <c r="N177" i="11"/>
  <c r="N156" i="11"/>
  <c r="W151" i="19"/>
  <c r="H142" i="17"/>
  <c r="L142" i="17"/>
  <c r="W149" i="17"/>
  <c r="W178" i="17"/>
  <c r="B188" i="13"/>
  <c r="N88" i="13"/>
  <c r="J195" i="13"/>
  <c r="H195" i="13"/>
  <c r="S195" i="13"/>
  <c r="C171" i="7"/>
  <c r="B172" i="5"/>
  <c r="N81" i="3"/>
  <c r="N82" i="3"/>
  <c r="N95" i="3"/>
  <c r="C194" i="8"/>
  <c r="B192" i="1"/>
  <c r="N114" i="3"/>
  <c r="C189" i="5"/>
  <c r="N20" i="2"/>
  <c r="B143" i="2"/>
  <c r="B151" i="2"/>
  <c r="N36" i="2"/>
  <c r="N37" i="11"/>
  <c r="D154" i="11"/>
  <c r="N69" i="11"/>
  <c r="D170" i="11"/>
  <c r="E170" i="11" s="1"/>
  <c r="J171" i="11"/>
  <c r="H171" i="11"/>
  <c r="N84" i="11"/>
  <c r="B177" i="11"/>
  <c r="H178" i="11"/>
  <c r="N178" i="11" s="1"/>
  <c r="B178" i="11"/>
  <c r="S204" i="10"/>
  <c r="J204" i="10"/>
  <c r="N20" i="9"/>
  <c r="C157" i="9"/>
  <c r="E155" i="14"/>
  <c r="N153" i="5"/>
  <c r="N179" i="5"/>
  <c r="W156" i="12"/>
  <c r="W76" i="30"/>
  <c r="W150" i="26"/>
  <c r="N167" i="11"/>
  <c r="L155" i="19"/>
  <c r="W189" i="19"/>
  <c r="J160" i="19"/>
  <c r="L162" i="17"/>
  <c r="C181" i="8"/>
  <c r="W174" i="7"/>
  <c r="N94" i="7"/>
  <c r="N77" i="5"/>
  <c r="T172" i="5"/>
  <c r="W172" i="5"/>
  <c r="B177" i="5"/>
  <c r="N77" i="3"/>
  <c r="N82" i="2"/>
  <c r="B174" i="2"/>
  <c r="N88" i="2"/>
  <c r="N120" i="13"/>
  <c r="B90" i="31"/>
  <c r="N42" i="31"/>
  <c r="B141" i="12"/>
  <c r="E161" i="5"/>
  <c r="N153" i="16"/>
  <c r="N129" i="26"/>
  <c r="N145" i="11"/>
  <c r="W182" i="11"/>
  <c r="W178" i="11"/>
  <c r="N192" i="19"/>
  <c r="H148" i="17"/>
  <c r="J148" i="17"/>
  <c r="N138" i="24"/>
  <c r="N81" i="13"/>
  <c r="E169" i="14"/>
  <c r="N98" i="14"/>
  <c r="B195" i="15"/>
  <c r="B178" i="8"/>
  <c r="W179" i="1"/>
  <c r="N113" i="3"/>
  <c r="N111" i="5"/>
  <c r="D188" i="5"/>
  <c r="E188" i="5" s="1"/>
  <c r="U167" i="1"/>
  <c r="S167" i="1"/>
  <c r="T151" i="1"/>
  <c r="S151" i="1"/>
  <c r="U151" i="1"/>
  <c r="N48" i="1"/>
  <c r="N18" i="2"/>
  <c r="E171" i="8"/>
  <c r="B178" i="13"/>
  <c r="N65" i="13"/>
  <c r="B87" i="28"/>
  <c r="N16" i="28"/>
  <c r="N26" i="31"/>
  <c r="L91" i="29"/>
  <c r="H83" i="29"/>
  <c r="N23" i="12"/>
  <c r="N21" i="11"/>
  <c r="B146" i="11"/>
  <c r="E146" i="11" s="1"/>
  <c r="N138" i="17"/>
  <c r="W181" i="18"/>
  <c r="N149" i="11"/>
  <c r="E187" i="19"/>
  <c r="W171" i="17"/>
  <c r="W144" i="17"/>
  <c r="W141" i="26"/>
  <c r="W164" i="25"/>
  <c r="W167" i="25"/>
  <c r="W174" i="24"/>
  <c r="B179" i="14"/>
  <c r="E179" i="14" s="1"/>
  <c r="D189" i="15"/>
  <c r="C192" i="15"/>
  <c r="N79" i="8"/>
  <c r="B185" i="8"/>
  <c r="D180" i="7"/>
  <c r="D179" i="5"/>
  <c r="E179" i="5" s="1"/>
  <c r="D180" i="5"/>
  <c r="E180" i="5" s="1"/>
  <c r="N96" i="5"/>
  <c r="N70" i="3"/>
  <c r="N73" i="3"/>
  <c r="C175" i="3"/>
  <c r="E175" i="3" s="1"/>
  <c r="T177" i="3"/>
  <c r="N88" i="3"/>
  <c r="N101" i="1"/>
  <c r="N105" i="1"/>
  <c r="N184" i="2"/>
  <c r="N105" i="7"/>
  <c r="C194" i="3"/>
  <c r="C199" i="8"/>
  <c r="D189" i="5"/>
  <c r="N119" i="13"/>
  <c r="B161" i="1"/>
  <c r="C157" i="2"/>
  <c r="B156" i="3"/>
  <c r="D157" i="3"/>
  <c r="N51" i="3"/>
  <c r="J149" i="1"/>
  <c r="L198" i="15"/>
  <c r="N149" i="2"/>
  <c r="S183" i="9"/>
  <c r="W183" i="9" s="1"/>
  <c r="L189" i="9"/>
  <c r="N189" i="9" s="1"/>
  <c r="N98" i="9"/>
  <c r="B193" i="9"/>
  <c r="C153" i="21"/>
  <c r="N44" i="21"/>
  <c r="N40" i="16"/>
  <c r="E156" i="11"/>
  <c r="W167" i="11"/>
  <c r="W162" i="9"/>
  <c r="N147" i="17"/>
  <c r="N185" i="25"/>
  <c r="N167" i="25"/>
  <c r="W154" i="25"/>
  <c r="N147" i="23"/>
  <c r="N110" i="13"/>
  <c r="C190" i="13"/>
  <c r="B178" i="14"/>
  <c r="D178" i="15"/>
  <c r="N72" i="8"/>
  <c r="D185" i="8"/>
  <c r="D187" i="8"/>
  <c r="D188" i="8"/>
  <c r="C191" i="8"/>
  <c r="D171" i="7"/>
  <c r="W172" i="7"/>
  <c r="N89" i="7"/>
  <c r="N98" i="7"/>
  <c r="D170" i="3"/>
  <c r="N76" i="3"/>
  <c r="D179" i="3"/>
  <c r="N73" i="2"/>
  <c r="C171" i="2"/>
  <c r="N95" i="2"/>
  <c r="N100" i="7"/>
  <c r="D199" i="13"/>
  <c r="N103" i="1"/>
  <c r="N100" i="1"/>
  <c r="B183" i="2"/>
  <c r="C199" i="15"/>
  <c r="D201" i="13"/>
  <c r="D190" i="1"/>
  <c r="D142" i="1"/>
  <c r="B145" i="2"/>
  <c r="N43" i="8"/>
  <c r="J152" i="15"/>
  <c r="N26" i="28"/>
  <c r="N34" i="28"/>
  <c r="N20" i="32"/>
  <c r="J119" i="36"/>
  <c r="L119" i="36"/>
  <c r="N98" i="21"/>
  <c r="B180" i="21"/>
  <c r="B150" i="19"/>
  <c r="C171" i="18"/>
  <c r="N73" i="18"/>
  <c r="B212" i="10"/>
  <c r="N131" i="10"/>
  <c r="N39" i="30"/>
  <c r="J103" i="29"/>
  <c r="H103" i="29"/>
  <c r="L103" i="29"/>
  <c r="N141" i="11"/>
  <c r="W174" i="11"/>
  <c r="W181" i="11"/>
  <c r="N147" i="11"/>
  <c r="W169" i="19"/>
  <c r="J163" i="17"/>
  <c r="W167" i="17"/>
  <c r="W172" i="25"/>
  <c r="E188" i="25"/>
  <c r="W148" i="23"/>
  <c r="W189" i="22"/>
  <c r="C185" i="13"/>
  <c r="N91" i="13"/>
  <c r="N106" i="13"/>
  <c r="D179" i="8"/>
  <c r="N76" i="8"/>
  <c r="C168" i="7"/>
  <c r="C176" i="7"/>
  <c r="N95" i="7"/>
  <c r="N67" i="5"/>
  <c r="N72" i="5"/>
  <c r="N80" i="5"/>
  <c r="C176" i="5"/>
  <c r="C177" i="5"/>
  <c r="B171" i="3"/>
  <c r="N65" i="2"/>
  <c r="N77" i="2"/>
  <c r="N97" i="1"/>
  <c r="C199" i="13"/>
  <c r="C201" i="13"/>
  <c r="B185" i="7"/>
  <c r="B193" i="3"/>
  <c r="D187" i="5"/>
  <c r="B201" i="15"/>
  <c r="N116" i="15"/>
  <c r="N55" i="2"/>
  <c r="B149" i="2"/>
  <c r="C164" i="3"/>
  <c r="C168" i="3"/>
  <c r="C146" i="3"/>
  <c r="H144" i="3"/>
  <c r="N29" i="28"/>
  <c r="N21" i="34"/>
  <c r="B94" i="34"/>
  <c r="N48" i="34"/>
  <c r="N9" i="36"/>
  <c r="C186" i="11"/>
  <c r="N33" i="19"/>
  <c r="C132" i="16"/>
  <c r="S132" i="16"/>
  <c r="W132" i="16" s="1"/>
  <c r="N165" i="11"/>
  <c r="N144" i="11"/>
  <c r="W175" i="11"/>
  <c r="W159" i="19"/>
  <c r="W147" i="19"/>
  <c r="N151" i="25"/>
  <c r="E158" i="24"/>
  <c r="N140" i="24"/>
  <c r="N72" i="13"/>
  <c r="C184" i="13"/>
  <c r="D191" i="13"/>
  <c r="B198" i="13"/>
  <c r="N101" i="14"/>
  <c r="N78" i="15"/>
  <c r="C188" i="15"/>
  <c r="B179" i="8"/>
  <c r="E179" i="8" s="1"/>
  <c r="N67" i="7"/>
  <c r="N84" i="7"/>
  <c r="N90" i="7"/>
  <c r="B170" i="3"/>
  <c r="C171" i="3"/>
  <c r="E171" i="3" s="1"/>
  <c r="D172" i="3"/>
  <c r="D187" i="3"/>
  <c r="C188" i="3"/>
  <c r="N71" i="2"/>
  <c r="C175" i="2"/>
  <c r="N91" i="2"/>
  <c r="D182" i="1"/>
  <c r="C183" i="1"/>
  <c r="D194" i="8"/>
  <c r="B190" i="3"/>
  <c r="B187" i="7"/>
  <c r="E187" i="7" s="1"/>
  <c r="N113" i="14"/>
  <c r="B204" i="13"/>
  <c r="N112" i="5"/>
  <c r="N118" i="3"/>
  <c r="C155" i="1"/>
  <c r="B153" i="1"/>
  <c r="N19" i="1"/>
  <c r="C146" i="1"/>
  <c r="C138" i="2"/>
  <c r="D145" i="2"/>
  <c r="N27" i="2"/>
  <c r="D164" i="3"/>
  <c r="N50" i="5"/>
  <c r="B158" i="5"/>
  <c r="W179" i="5"/>
  <c r="L158" i="7"/>
  <c r="W158" i="7"/>
  <c r="B167" i="15"/>
  <c r="N19" i="30"/>
  <c r="N28" i="30"/>
  <c r="S95" i="28"/>
  <c r="T95" i="28"/>
  <c r="N39" i="11"/>
  <c r="S157" i="11"/>
  <c r="B157" i="11"/>
  <c r="T183" i="11"/>
  <c r="U183" i="11"/>
  <c r="N14" i="9"/>
  <c r="N46" i="9"/>
  <c r="W161" i="21"/>
  <c r="N53" i="17"/>
  <c r="N55" i="17"/>
  <c r="S172" i="17"/>
  <c r="J172" i="17"/>
  <c r="N172" i="17" s="1"/>
  <c r="U172" i="17"/>
  <c r="C174" i="17"/>
  <c r="B142" i="1"/>
  <c r="D155" i="2"/>
  <c r="N50" i="2"/>
  <c r="D159" i="3"/>
  <c r="D161" i="3"/>
  <c r="E161" i="3" s="1"/>
  <c r="C163" i="3"/>
  <c r="D152" i="3"/>
  <c r="C154" i="3"/>
  <c r="E154" i="3" s="1"/>
  <c r="L156" i="1"/>
  <c r="L152" i="1"/>
  <c r="J145" i="1"/>
  <c r="W157" i="2"/>
  <c r="W138" i="2"/>
  <c r="H190" i="3"/>
  <c r="W161" i="5"/>
  <c r="L143" i="5"/>
  <c r="J188" i="7"/>
  <c r="J184" i="7"/>
  <c r="L150" i="7"/>
  <c r="B152" i="8"/>
  <c r="N54" i="15"/>
  <c r="H159" i="15"/>
  <c r="N159" i="15" s="1"/>
  <c r="H155" i="15"/>
  <c r="N69" i="13"/>
  <c r="N24" i="28"/>
  <c r="B95" i="28"/>
  <c r="N15" i="31"/>
  <c r="N34" i="31"/>
  <c r="N35" i="34"/>
  <c r="N11" i="36"/>
  <c r="N28" i="37"/>
  <c r="N50" i="37"/>
  <c r="J101" i="28"/>
  <c r="J80" i="30"/>
  <c r="C101" i="29"/>
  <c r="N41" i="36"/>
  <c r="J205" i="13"/>
  <c r="H205" i="13"/>
  <c r="N65" i="12"/>
  <c r="N70" i="12"/>
  <c r="N73" i="12"/>
  <c r="N76" i="12"/>
  <c r="W162" i="12"/>
  <c r="W186" i="12"/>
  <c r="B153" i="11"/>
  <c r="N34" i="11"/>
  <c r="C178" i="11"/>
  <c r="N94" i="11"/>
  <c r="N93" i="10"/>
  <c r="N96" i="10"/>
  <c r="D198" i="9"/>
  <c r="N50" i="21"/>
  <c r="C157" i="18"/>
  <c r="N49" i="18"/>
  <c r="D160" i="18"/>
  <c r="N54" i="18"/>
  <c r="L152" i="16"/>
  <c r="N152" i="16" s="1"/>
  <c r="W185" i="24"/>
  <c r="S126" i="20"/>
  <c r="U126" i="20"/>
  <c r="T126" i="20"/>
  <c r="N116" i="2"/>
  <c r="B203" i="8"/>
  <c r="B197" i="19"/>
  <c r="N121" i="19"/>
  <c r="N61" i="37"/>
  <c r="D106" i="37"/>
  <c r="N114" i="7"/>
  <c r="N36" i="1"/>
  <c r="N15" i="1"/>
  <c r="C155" i="2"/>
  <c r="D143" i="2"/>
  <c r="J188" i="1"/>
  <c r="W184" i="1"/>
  <c r="H176" i="1"/>
  <c r="W156" i="2"/>
  <c r="W141" i="2"/>
  <c r="E146" i="5"/>
  <c r="D139" i="7"/>
  <c r="N16" i="7"/>
  <c r="B170" i="8"/>
  <c r="E172" i="8"/>
  <c r="C157" i="8"/>
  <c r="B159" i="8"/>
  <c r="N51" i="15"/>
  <c r="J194" i="15"/>
  <c r="N35" i="30"/>
  <c r="C83" i="31"/>
  <c r="N11" i="32"/>
  <c r="B88" i="32"/>
  <c r="N19" i="37"/>
  <c r="N19" i="38"/>
  <c r="J97" i="28"/>
  <c r="J89" i="28"/>
  <c r="N89" i="28" s="1"/>
  <c r="H80" i="32"/>
  <c r="J80" i="34"/>
  <c r="N80" i="34" s="1"/>
  <c r="N29" i="12"/>
  <c r="N58" i="12"/>
  <c r="W151" i="12"/>
  <c r="N71" i="11"/>
  <c r="B171" i="11"/>
  <c r="T177" i="11"/>
  <c r="U177" i="11"/>
  <c r="N91" i="11"/>
  <c r="S185" i="11"/>
  <c r="U185" i="11"/>
  <c r="D186" i="11"/>
  <c r="N107" i="9"/>
  <c r="C168" i="19"/>
  <c r="E168" i="19" s="1"/>
  <c r="N94" i="19"/>
  <c r="N96" i="19"/>
  <c r="N75" i="18"/>
  <c r="T174" i="18"/>
  <c r="W174" i="18" s="1"/>
  <c r="D174" i="18"/>
  <c r="E174" i="18" s="1"/>
  <c r="H176" i="18"/>
  <c r="N13" i="17"/>
  <c r="N46" i="17"/>
  <c r="N79" i="17"/>
  <c r="N24" i="16"/>
  <c r="N35" i="16"/>
  <c r="N20" i="24"/>
  <c r="N43" i="24"/>
  <c r="W138" i="24"/>
  <c r="W153" i="24"/>
  <c r="D190" i="14"/>
  <c r="D200" i="8"/>
  <c r="B189" i="2"/>
  <c r="N116" i="14"/>
  <c r="N127" i="13"/>
  <c r="N43" i="2"/>
  <c r="N46" i="2"/>
  <c r="D157" i="2"/>
  <c r="N8" i="2"/>
  <c r="D148" i="2"/>
  <c r="B144" i="3"/>
  <c r="N11" i="3"/>
  <c r="C147" i="3"/>
  <c r="N35" i="3"/>
  <c r="H150" i="1"/>
  <c r="W137" i="2"/>
  <c r="L158" i="3"/>
  <c r="N44" i="5"/>
  <c r="N54" i="5"/>
  <c r="H141" i="5"/>
  <c r="W141" i="5"/>
  <c r="W171" i="5"/>
  <c r="D164" i="7"/>
  <c r="N18" i="7"/>
  <c r="B143" i="7"/>
  <c r="D170" i="8"/>
  <c r="D155" i="8"/>
  <c r="C171" i="15"/>
  <c r="E171" i="15" s="1"/>
  <c r="B151" i="14"/>
  <c r="B148" i="14"/>
  <c r="D102" i="28"/>
  <c r="B105" i="28"/>
  <c r="B71" i="30"/>
  <c r="E71" i="30" s="1"/>
  <c r="C76" i="30"/>
  <c r="N33" i="31"/>
  <c r="N48" i="31"/>
  <c r="N29" i="32"/>
  <c r="N49" i="32"/>
  <c r="C79" i="34"/>
  <c r="B80" i="34"/>
  <c r="C91" i="37"/>
  <c r="N49" i="37"/>
  <c r="B100" i="37"/>
  <c r="N51" i="37"/>
  <c r="H84" i="29"/>
  <c r="J90" i="31"/>
  <c r="L86" i="31"/>
  <c r="C98" i="32"/>
  <c r="H96" i="32"/>
  <c r="N96" i="32" s="1"/>
  <c r="L96" i="32"/>
  <c r="L98" i="37"/>
  <c r="N21" i="12"/>
  <c r="D156" i="12"/>
  <c r="N66" i="11"/>
  <c r="C168" i="11"/>
  <c r="L183" i="9"/>
  <c r="H183" i="9"/>
  <c r="L193" i="9"/>
  <c r="N93" i="21"/>
  <c r="N74" i="19"/>
  <c r="J181" i="19"/>
  <c r="N181" i="19" s="1"/>
  <c r="N92" i="19"/>
  <c r="N106" i="18"/>
  <c r="N19" i="16"/>
  <c r="H178" i="25"/>
  <c r="W188" i="25"/>
  <c r="H153" i="1"/>
  <c r="L164" i="3"/>
  <c r="W151" i="3"/>
  <c r="H147" i="3"/>
  <c r="N52" i="5"/>
  <c r="N24" i="7"/>
  <c r="W147" i="7"/>
  <c r="N56" i="8"/>
  <c r="L153" i="14"/>
  <c r="N153" i="14" s="1"/>
  <c r="N154" i="2"/>
  <c r="N56" i="29"/>
  <c r="N22" i="32"/>
  <c r="B106" i="36"/>
  <c r="C85" i="37"/>
  <c r="L177" i="13"/>
  <c r="J177" i="13"/>
  <c r="N35" i="11"/>
  <c r="N102" i="11"/>
  <c r="U193" i="9"/>
  <c r="C193" i="9"/>
  <c r="N27" i="21"/>
  <c r="D176" i="21"/>
  <c r="N95" i="21"/>
  <c r="D180" i="21"/>
  <c r="N60" i="19"/>
  <c r="D172" i="19"/>
  <c r="E172" i="19" s="1"/>
  <c r="B184" i="19"/>
  <c r="N91" i="19"/>
  <c r="W170" i="19"/>
  <c r="B134" i="26"/>
  <c r="U134" i="26"/>
  <c r="W134" i="26" s="1"/>
  <c r="C168" i="25"/>
  <c r="E168" i="25" s="1"/>
  <c r="N72" i="25"/>
  <c r="D166" i="5"/>
  <c r="N40" i="5"/>
  <c r="C145" i="5"/>
  <c r="N26" i="5"/>
  <c r="C160" i="7"/>
  <c r="C146" i="7"/>
  <c r="D151" i="7"/>
  <c r="B155" i="7"/>
  <c r="N12" i="7"/>
  <c r="D157" i="8"/>
  <c r="C159" i="8"/>
  <c r="D162" i="8"/>
  <c r="C160" i="8"/>
  <c r="B166" i="15"/>
  <c r="J171" i="15"/>
  <c r="N171" i="15" s="1"/>
  <c r="L164" i="15"/>
  <c r="D161" i="14"/>
  <c r="D151" i="14"/>
  <c r="H167" i="14"/>
  <c r="N167" i="14" s="1"/>
  <c r="N160" i="2"/>
  <c r="D85" i="28"/>
  <c r="B86" i="28"/>
  <c r="N21" i="28"/>
  <c r="D91" i="28"/>
  <c r="E91" i="28" s="1"/>
  <c r="N41" i="28"/>
  <c r="N51" i="28"/>
  <c r="D104" i="28"/>
  <c r="E104" i="28" s="1"/>
  <c r="N42" i="29"/>
  <c r="C97" i="29"/>
  <c r="N50" i="29"/>
  <c r="D99" i="29"/>
  <c r="N9" i="30"/>
  <c r="N18" i="30"/>
  <c r="D79" i="30"/>
  <c r="E79" i="30" s="1"/>
  <c r="D80" i="31"/>
  <c r="E80" i="31" s="1"/>
  <c r="N36" i="31"/>
  <c r="C78" i="32"/>
  <c r="B81" i="32"/>
  <c r="D84" i="32"/>
  <c r="N32" i="32"/>
  <c r="B90" i="32"/>
  <c r="C91" i="32"/>
  <c r="D94" i="32"/>
  <c r="B86" i="34"/>
  <c r="N40" i="34"/>
  <c r="C95" i="34"/>
  <c r="C114" i="35"/>
  <c r="N18" i="35"/>
  <c r="D111" i="36"/>
  <c r="C89" i="37"/>
  <c r="E89" i="37" s="1"/>
  <c r="N43" i="37"/>
  <c r="N52" i="37"/>
  <c r="N38" i="38"/>
  <c r="D95" i="38"/>
  <c r="B103" i="28"/>
  <c r="N24" i="30"/>
  <c r="L96" i="28"/>
  <c r="H92" i="28"/>
  <c r="J85" i="28"/>
  <c r="D101" i="29"/>
  <c r="H86" i="29"/>
  <c r="B76" i="31"/>
  <c r="D98" i="32"/>
  <c r="J113" i="36"/>
  <c r="J103" i="37"/>
  <c r="H100" i="37"/>
  <c r="N100" i="37" s="1"/>
  <c r="H169" i="13"/>
  <c r="B157" i="12"/>
  <c r="N67" i="12"/>
  <c r="D173" i="12"/>
  <c r="N9" i="11"/>
  <c r="N30" i="11"/>
  <c r="D172" i="11"/>
  <c r="C174" i="11"/>
  <c r="E174" i="11" s="1"/>
  <c r="C179" i="11"/>
  <c r="C182" i="11"/>
  <c r="N117" i="11"/>
  <c r="N24" i="9"/>
  <c r="N38" i="9"/>
  <c r="C166" i="9"/>
  <c r="N45" i="9"/>
  <c r="L170" i="9"/>
  <c r="N170" i="9" s="1"/>
  <c r="L190" i="9"/>
  <c r="N190" i="9" s="1"/>
  <c r="N103" i="9"/>
  <c r="N43" i="21"/>
  <c r="N109" i="21"/>
  <c r="N111" i="21"/>
  <c r="N113" i="21"/>
  <c r="W186" i="21"/>
  <c r="N51" i="19"/>
  <c r="N89" i="19"/>
  <c r="C184" i="19"/>
  <c r="B191" i="19"/>
  <c r="E191" i="19" s="1"/>
  <c r="D150" i="18"/>
  <c r="E150" i="18" s="1"/>
  <c r="L181" i="18"/>
  <c r="N181" i="18" s="1"/>
  <c r="N114" i="18"/>
  <c r="B144" i="17"/>
  <c r="N24" i="17"/>
  <c r="C126" i="16"/>
  <c r="C137" i="16"/>
  <c r="N108" i="24"/>
  <c r="U107" i="36"/>
  <c r="S107" i="36"/>
  <c r="L189" i="3"/>
  <c r="H185" i="3"/>
  <c r="L182" i="3"/>
  <c r="L178" i="3"/>
  <c r="W174" i="3"/>
  <c r="N43" i="5"/>
  <c r="D159" i="5"/>
  <c r="C162" i="5"/>
  <c r="N64" i="5"/>
  <c r="D139" i="5"/>
  <c r="C142" i="5"/>
  <c r="J146" i="5"/>
  <c r="N146" i="5" s="1"/>
  <c r="D160" i="7"/>
  <c r="D143" i="7"/>
  <c r="L163" i="7"/>
  <c r="H159" i="7"/>
  <c r="H145" i="7"/>
  <c r="C165" i="8"/>
  <c r="E165" i="8" s="1"/>
  <c r="N57" i="8"/>
  <c r="C174" i="8"/>
  <c r="E174" i="8" s="1"/>
  <c r="C175" i="8"/>
  <c r="D161" i="8"/>
  <c r="N22" i="15"/>
  <c r="C161" i="14"/>
  <c r="C151" i="14"/>
  <c r="H182" i="14"/>
  <c r="N182" i="14" s="1"/>
  <c r="N146" i="2"/>
  <c r="N157" i="2"/>
  <c r="N155" i="2"/>
  <c r="N151" i="2"/>
  <c r="N143" i="2"/>
  <c r="D179" i="13"/>
  <c r="N12" i="28"/>
  <c r="N25" i="28"/>
  <c r="D99" i="28"/>
  <c r="C100" i="28"/>
  <c r="N54" i="28"/>
  <c r="B96" i="29"/>
  <c r="D97" i="29"/>
  <c r="N10" i="30"/>
  <c r="N27" i="30"/>
  <c r="C74" i="31"/>
  <c r="D76" i="31"/>
  <c r="N19" i="31"/>
  <c r="B83" i="31"/>
  <c r="C85" i="31"/>
  <c r="N8" i="32"/>
  <c r="N10" i="32"/>
  <c r="D78" i="32"/>
  <c r="D79" i="34"/>
  <c r="N31" i="34"/>
  <c r="B113" i="35"/>
  <c r="D114" i="35"/>
  <c r="B102" i="36"/>
  <c r="N54" i="36"/>
  <c r="N12" i="37"/>
  <c r="B92" i="37"/>
  <c r="D93" i="37"/>
  <c r="C94" i="37"/>
  <c r="E94" i="37" s="1"/>
  <c r="N20" i="38"/>
  <c r="N31" i="38"/>
  <c r="C94" i="38"/>
  <c r="D78" i="30"/>
  <c r="E78" i="30" s="1"/>
  <c r="J101" i="29"/>
  <c r="H78" i="32"/>
  <c r="N78" i="32" s="1"/>
  <c r="N43" i="34"/>
  <c r="H96" i="37"/>
  <c r="D140" i="12"/>
  <c r="C157" i="12"/>
  <c r="C170" i="12"/>
  <c r="N82" i="12"/>
  <c r="J150" i="11"/>
  <c r="H150" i="11"/>
  <c r="C162" i="10"/>
  <c r="C184" i="10"/>
  <c r="N69" i="10"/>
  <c r="J156" i="9"/>
  <c r="N156" i="9" s="1"/>
  <c r="H174" i="9"/>
  <c r="N174" i="9" s="1"/>
  <c r="B183" i="9"/>
  <c r="D193" i="9"/>
  <c r="D138" i="21"/>
  <c r="C167" i="21"/>
  <c r="D177" i="21"/>
  <c r="U178" i="19"/>
  <c r="T178" i="19"/>
  <c r="S178" i="19"/>
  <c r="W178" i="19" s="1"/>
  <c r="H189" i="19"/>
  <c r="J189" i="19"/>
  <c r="C193" i="19"/>
  <c r="H149" i="18"/>
  <c r="C166" i="18"/>
  <c r="B183" i="18"/>
  <c r="B186" i="18"/>
  <c r="N116" i="18"/>
  <c r="W167" i="18"/>
  <c r="N113" i="17"/>
  <c r="S174" i="23"/>
  <c r="U174" i="23"/>
  <c r="J155" i="13"/>
  <c r="L155" i="13"/>
  <c r="W159" i="1"/>
  <c r="J189" i="3"/>
  <c r="W166" i="3"/>
  <c r="N66" i="5"/>
  <c r="D158" i="5"/>
  <c r="C159" i="5"/>
  <c r="D162" i="5"/>
  <c r="N19" i="5"/>
  <c r="N64" i="7"/>
  <c r="N51" i="7"/>
  <c r="N56" i="7"/>
  <c r="B144" i="7"/>
  <c r="C145" i="7"/>
  <c r="N38" i="7"/>
  <c r="J189" i="7"/>
  <c r="N40" i="8"/>
  <c r="B149" i="8"/>
  <c r="B153" i="8"/>
  <c r="N36" i="8"/>
  <c r="C174" i="15"/>
  <c r="D167" i="15"/>
  <c r="B164" i="14"/>
  <c r="E164" i="14" s="1"/>
  <c r="B161" i="14"/>
  <c r="N30" i="14"/>
  <c r="J155" i="14"/>
  <c r="D180" i="13"/>
  <c r="C95" i="28"/>
  <c r="N38" i="28"/>
  <c r="N42" i="28"/>
  <c r="B102" i="28"/>
  <c r="N38" i="29"/>
  <c r="N16" i="30"/>
  <c r="N34" i="30"/>
  <c r="N20" i="31"/>
  <c r="D85" i="31"/>
  <c r="N24" i="32"/>
  <c r="D87" i="32"/>
  <c r="N33" i="32"/>
  <c r="D90" i="32"/>
  <c r="B94" i="32"/>
  <c r="B81" i="34"/>
  <c r="B82" i="34"/>
  <c r="D86" i="34"/>
  <c r="N45" i="34"/>
  <c r="C113" i="35"/>
  <c r="D104" i="36"/>
  <c r="C92" i="37"/>
  <c r="B89" i="38"/>
  <c r="D103" i="28"/>
  <c r="J95" i="28"/>
  <c r="L91" i="28"/>
  <c r="J84" i="28"/>
  <c r="J78" i="30"/>
  <c r="H72" i="30"/>
  <c r="N72" i="30" s="1"/>
  <c r="L89" i="29"/>
  <c r="N89" i="29" s="1"/>
  <c r="L92" i="31"/>
  <c r="N92" i="31" s="1"/>
  <c r="J92" i="32"/>
  <c r="J88" i="32"/>
  <c r="N88" i="32" s="1"/>
  <c r="L99" i="37"/>
  <c r="N75" i="5"/>
  <c r="J148" i="12"/>
  <c r="N148" i="12" s="1"/>
  <c r="U173" i="12"/>
  <c r="N80" i="12"/>
  <c r="C174" i="12"/>
  <c r="N85" i="12"/>
  <c r="N153" i="12"/>
  <c r="D168" i="11"/>
  <c r="L188" i="11"/>
  <c r="J188" i="11"/>
  <c r="W147" i="11"/>
  <c r="N99" i="10"/>
  <c r="H204" i="10"/>
  <c r="S207" i="10"/>
  <c r="N28" i="9"/>
  <c r="U186" i="9"/>
  <c r="N83" i="9"/>
  <c r="N85" i="9"/>
  <c r="C189" i="9"/>
  <c r="E189" i="9" s="1"/>
  <c r="L202" i="9"/>
  <c r="C203" i="9"/>
  <c r="W160" i="9"/>
  <c r="W169" i="9"/>
  <c r="B149" i="21"/>
  <c r="D164" i="21"/>
  <c r="D167" i="21"/>
  <c r="D173" i="21"/>
  <c r="W151" i="21"/>
  <c r="W183" i="21"/>
  <c r="N68" i="19"/>
  <c r="L183" i="19"/>
  <c r="C186" i="19"/>
  <c r="N9" i="18"/>
  <c r="N11" i="18"/>
  <c r="B140" i="18"/>
  <c r="L143" i="18"/>
  <c r="H143" i="18"/>
  <c r="N40" i="18"/>
  <c r="D180" i="18"/>
  <c r="J134" i="26"/>
  <c r="N134" i="26" s="1"/>
  <c r="W140" i="23"/>
  <c r="N94" i="22"/>
  <c r="L154" i="13"/>
  <c r="J154" i="13"/>
  <c r="J156" i="13"/>
  <c r="H162" i="1"/>
  <c r="W183" i="2"/>
  <c r="W195" i="3"/>
  <c r="H188" i="3"/>
  <c r="N17" i="5"/>
  <c r="C148" i="5"/>
  <c r="L145" i="5"/>
  <c r="N145" i="5" s="1"/>
  <c r="W187" i="5"/>
  <c r="L176" i="5"/>
  <c r="C144" i="7"/>
  <c r="D152" i="7"/>
  <c r="C154" i="7"/>
  <c r="J152" i="7"/>
  <c r="C163" i="8"/>
  <c r="E163" i="8" s="1"/>
  <c r="B168" i="8"/>
  <c r="E168" i="8" s="1"/>
  <c r="C170" i="8"/>
  <c r="D151" i="8"/>
  <c r="E151" i="8" s="1"/>
  <c r="C153" i="8"/>
  <c r="B161" i="8"/>
  <c r="C157" i="15"/>
  <c r="C162" i="14"/>
  <c r="B159" i="14"/>
  <c r="E159" i="14" s="1"/>
  <c r="N29" i="14"/>
  <c r="H158" i="14"/>
  <c r="N158" i="14" s="1"/>
  <c r="N166" i="2"/>
  <c r="N165" i="2"/>
  <c r="N158" i="2"/>
  <c r="N150" i="2"/>
  <c r="C88" i="28"/>
  <c r="C93" i="28"/>
  <c r="N31" i="28"/>
  <c r="D95" i="28"/>
  <c r="B101" i="28"/>
  <c r="C102" i="28"/>
  <c r="N52" i="28"/>
  <c r="B95" i="29"/>
  <c r="N25" i="30"/>
  <c r="N9" i="31"/>
  <c r="C79" i="31"/>
  <c r="E79" i="31" s="1"/>
  <c r="B82" i="31"/>
  <c r="E82" i="31" s="1"/>
  <c r="C89" i="31"/>
  <c r="D80" i="32"/>
  <c r="E80" i="32" s="1"/>
  <c r="N36" i="32"/>
  <c r="N38" i="32"/>
  <c r="N42" i="32"/>
  <c r="N12" i="34"/>
  <c r="C82" i="34"/>
  <c r="N29" i="34"/>
  <c r="N38" i="34"/>
  <c r="N41" i="34"/>
  <c r="D121" i="36"/>
  <c r="N13" i="37"/>
  <c r="B91" i="37"/>
  <c r="C97" i="37"/>
  <c r="N46" i="37"/>
  <c r="C100" i="37"/>
  <c r="C69" i="30"/>
  <c r="L101" i="29"/>
  <c r="H101" i="29"/>
  <c r="H96" i="29"/>
  <c r="L81" i="29"/>
  <c r="N81" i="29" s="1"/>
  <c r="J94" i="32"/>
  <c r="H81" i="32"/>
  <c r="N81" i="32" s="1"/>
  <c r="N45" i="37"/>
  <c r="J102" i="37"/>
  <c r="N102" i="37" s="1"/>
  <c r="N13" i="12"/>
  <c r="W146" i="12"/>
  <c r="N11" i="11"/>
  <c r="B147" i="11"/>
  <c r="E147" i="11" s="1"/>
  <c r="D157" i="11"/>
  <c r="J168" i="11"/>
  <c r="L168" i="11"/>
  <c r="N74" i="11"/>
  <c r="C185" i="11"/>
  <c r="N110" i="11"/>
  <c r="W151" i="11"/>
  <c r="W166" i="11"/>
  <c r="N55" i="10"/>
  <c r="N107" i="10"/>
  <c r="L152" i="9"/>
  <c r="J155" i="9"/>
  <c r="N49" i="9"/>
  <c r="D183" i="9"/>
  <c r="N78" i="9"/>
  <c r="N53" i="21"/>
  <c r="S177" i="21"/>
  <c r="U177" i="21"/>
  <c r="N9" i="19"/>
  <c r="L156" i="19"/>
  <c r="D157" i="19"/>
  <c r="N43" i="19"/>
  <c r="D175" i="19"/>
  <c r="E175" i="19" s="1"/>
  <c r="W175" i="19"/>
  <c r="W195" i="19"/>
  <c r="H157" i="18"/>
  <c r="N157" i="18" s="1"/>
  <c r="N56" i="18"/>
  <c r="C168" i="18"/>
  <c r="E168" i="18" s="1"/>
  <c r="N92" i="18"/>
  <c r="L176" i="17"/>
  <c r="N39" i="26"/>
  <c r="N12" i="25"/>
  <c r="L172" i="25"/>
  <c r="N87" i="25"/>
  <c r="N49" i="23"/>
  <c r="N78" i="22"/>
  <c r="J95" i="37"/>
  <c r="H206" i="13"/>
  <c r="N206" i="13" s="1"/>
  <c r="B143" i="12"/>
  <c r="B154" i="12"/>
  <c r="C155" i="12"/>
  <c r="H156" i="12"/>
  <c r="D166" i="12"/>
  <c r="N69" i="12"/>
  <c r="C173" i="12"/>
  <c r="C178" i="12"/>
  <c r="C189" i="12"/>
  <c r="N146" i="12"/>
  <c r="N183" i="12"/>
  <c r="W185" i="12"/>
  <c r="D141" i="11"/>
  <c r="N15" i="11"/>
  <c r="N20" i="11"/>
  <c r="D163" i="11"/>
  <c r="E163" i="11" s="1"/>
  <c r="D171" i="11"/>
  <c r="N73" i="11"/>
  <c r="D175" i="11"/>
  <c r="E175" i="11" s="1"/>
  <c r="C177" i="11"/>
  <c r="N88" i="11"/>
  <c r="N100" i="11"/>
  <c r="W190" i="11"/>
  <c r="N28" i="10"/>
  <c r="N38" i="10"/>
  <c r="D173" i="10"/>
  <c r="C176" i="10"/>
  <c r="N51" i="10"/>
  <c r="B182" i="10"/>
  <c r="D206" i="10"/>
  <c r="C207" i="10"/>
  <c r="B208" i="10"/>
  <c r="N8" i="9"/>
  <c r="B160" i="9"/>
  <c r="N37" i="9"/>
  <c r="J166" i="9"/>
  <c r="C172" i="9"/>
  <c r="E172" i="9" s="1"/>
  <c r="N66" i="9"/>
  <c r="L182" i="9"/>
  <c r="C183" i="9"/>
  <c r="N104" i="9"/>
  <c r="H200" i="9"/>
  <c r="D200" i="9"/>
  <c r="W180" i="9"/>
  <c r="J135" i="21"/>
  <c r="N135" i="21" s="1"/>
  <c r="J141" i="21"/>
  <c r="D143" i="21"/>
  <c r="C157" i="21"/>
  <c r="B158" i="21"/>
  <c r="B159" i="21"/>
  <c r="C161" i="21"/>
  <c r="E161" i="21" s="1"/>
  <c r="C164" i="21"/>
  <c r="T166" i="21"/>
  <c r="W166" i="21" s="1"/>
  <c r="N77" i="21"/>
  <c r="U173" i="21"/>
  <c r="W173" i="21" s="1"/>
  <c r="C174" i="21"/>
  <c r="N97" i="21"/>
  <c r="N110" i="21"/>
  <c r="C146" i="19"/>
  <c r="N17" i="19"/>
  <c r="B151" i="19"/>
  <c r="B152" i="19"/>
  <c r="B156" i="19"/>
  <c r="B169" i="19"/>
  <c r="C174" i="19"/>
  <c r="E174" i="19" s="1"/>
  <c r="H175" i="19"/>
  <c r="C180" i="19"/>
  <c r="J185" i="19"/>
  <c r="C192" i="19"/>
  <c r="E192" i="19" s="1"/>
  <c r="J140" i="18"/>
  <c r="N140" i="18" s="1"/>
  <c r="L141" i="18"/>
  <c r="D146" i="18"/>
  <c r="L150" i="18"/>
  <c r="N42" i="18"/>
  <c r="D157" i="18"/>
  <c r="C162" i="18"/>
  <c r="L168" i="18"/>
  <c r="L179" i="18"/>
  <c r="H180" i="18"/>
  <c r="U142" i="17"/>
  <c r="S142" i="17"/>
  <c r="N36" i="17"/>
  <c r="B150" i="17"/>
  <c r="D174" i="17"/>
  <c r="N101" i="17"/>
  <c r="U142" i="16"/>
  <c r="T142" i="16"/>
  <c r="J155" i="16"/>
  <c r="N9" i="25"/>
  <c r="C142" i="25"/>
  <c r="N33" i="25"/>
  <c r="N51" i="25"/>
  <c r="N67" i="25"/>
  <c r="N76" i="25"/>
  <c r="D174" i="25"/>
  <c r="B149" i="25"/>
  <c r="S153" i="25"/>
  <c r="W153" i="25" s="1"/>
  <c r="C148" i="24"/>
  <c r="E148" i="24" s="1"/>
  <c r="N38" i="24"/>
  <c r="U179" i="24"/>
  <c r="C179" i="24"/>
  <c r="N69" i="22"/>
  <c r="C143" i="12"/>
  <c r="C144" i="12"/>
  <c r="D160" i="12"/>
  <c r="C162" i="12"/>
  <c r="B163" i="12"/>
  <c r="B164" i="12"/>
  <c r="E164" i="12" s="1"/>
  <c r="C167" i="12"/>
  <c r="N95" i="12"/>
  <c r="W147" i="12"/>
  <c r="C150" i="11"/>
  <c r="E150" i="11" s="1"/>
  <c r="L152" i="11"/>
  <c r="C154" i="11"/>
  <c r="E154" i="11" s="1"/>
  <c r="C155" i="11"/>
  <c r="L158" i="11"/>
  <c r="N48" i="11"/>
  <c r="B173" i="11"/>
  <c r="N96" i="11"/>
  <c r="B187" i="11"/>
  <c r="L191" i="11"/>
  <c r="N191" i="11" s="1"/>
  <c r="D192" i="11"/>
  <c r="E192" i="11" s="1"/>
  <c r="J160" i="10"/>
  <c r="L169" i="10"/>
  <c r="D172" i="10"/>
  <c r="J181" i="10"/>
  <c r="B186" i="10"/>
  <c r="D194" i="10"/>
  <c r="C203" i="10"/>
  <c r="C152" i="9"/>
  <c r="H159" i="9"/>
  <c r="N159" i="9" s="1"/>
  <c r="B169" i="9"/>
  <c r="D177" i="9"/>
  <c r="N65" i="9"/>
  <c r="D187" i="9"/>
  <c r="N86" i="9"/>
  <c r="N97" i="9"/>
  <c r="N100" i="9"/>
  <c r="N11" i="21"/>
  <c r="C139" i="21"/>
  <c r="N21" i="21"/>
  <c r="J143" i="21"/>
  <c r="N33" i="21"/>
  <c r="C159" i="21"/>
  <c r="H174" i="21"/>
  <c r="H186" i="21"/>
  <c r="N186" i="21" s="1"/>
  <c r="J187" i="21"/>
  <c r="C147" i="19"/>
  <c r="E147" i="19" s="1"/>
  <c r="D150" i="19"/>
  <c r="C152" i="19"/>
  <c r="C156" i="19"/>
  <c r="C158" i="19"/>
  <c r="C159" i="19"/>
  <c r="N47" i="19"/>
  <c r="J163" i="19"/>
  <c r="N163" i="19" s="1"/>
  <c r="B178" i="19"/>
  <c r="N80" i="19"/>
  <c r="D180" i="19"/>
  <c r="H183" i="19"/>
  <c r="C194" i="19"/>
  <c r="W161" i="19"/>
  <c r="C148" i="18"/>
  <c r="L151" i="18"/>
  <c r="N151" i="18" s="1"/>
  <c r="C152" i="18"/>
  <c r="L154" i="18"/>
  <c r="N154" i="18" s="1"/>
  <c r="D161" i="18"/>
  <c r="E161" i="18" s="1"/>
  <c r="J163" i="18"/>
  <c r="N94" i="18"/>
  <c r="B184" i="18"/>
  <c r="L185" i="18"/>
  <c r="N185" i="18" s="1"/>
  <c r="B187" i="18"/>
  <c r="D190" i="18"/>
  <c r="N30" i="17"/>
  <c r="H125" i="26"/>
  <c r="L125" i="26"/>
  <c r="U144" i="26"/>
  <c r="W144" i="26" s="1"/>
  <c r="H144" i="26"/>
  <c r="N144" i="26" s="1"/>
  <c r="D141" i="25"/>
  <c r="D169" i="25"/>
  <c r="B171" i="25"/>
  <c r="B153" i="24"/>
  <c r="T167" i="24"/>
  <c r="U167" i="24"/>
  <c r="N78" i="35"/>
  <c r="D93" i="29"/>
  <c r="H105" i="37"/>
  <c r="L105" i="37"/>
  <c r="J94" i="37"/>
  <c r="J198" i="13"/>
  <c r="B138" i="12"/>
  <c r="T141" i="12"/>
  <c r="D142" i="12"/>
  <c r="D143" i="12"/>
  <c r="D144" i="12"/>
  <c r="D145" i="12"/>
  <c r="N35" i="12"/>
  <c r="T157" i="12"/>
  <c r="B168" i="12"/>
  <c r="C181" i="12"/>
  <c r="N31" i="11"/>
  <c r="N33" i="11"/>
  <c r="D155" i="11"/>
  <c r="N40" i="11"/>
  <c r="N45" i="11"/>
  <c r="H160" i="11"/>
  <c r="N160" i="11" s="1"/>
  <c r="N62" i="11"/>
  <c r="N70" i="11"/>
  <c r="D181" i="11"/>
  <c r="E181" i="11" s="1"/>
  <c r="D182" i="11"/>
  <c r="C183" i="11"/>
  <c r="L183" i="11"/>
  <c r="N183" i="11" s="1"/>
  <c r="C187" i="11"/>
  <c r="N111" i="11"/>
  <c r="B162" i="10"/>
  <c r="B164" i="10"/>
  <c r="N35" i="10"/>
  <c r="D179" i="10"/>
  <c r="D188" i="10"/>
  <c r="N87" i="10"/>
  <c r="D199" i="10"/>
  <c r="D153" i="9"/>
  <c r="D158" i="9"/>
  <c r="D168" i="9"/>
  <c r="C169" i="9"/>
  <c r="N63" i="9"/>
  <c r="C186" i="9"/>
  <c r="D191" i="9"/>
  <c r="C199" i="9"/>
  <c r="D202" i="9"/>
  <c r="B204" i="9"/>
  <c r="N25" i="21"/>
  <c r="J145" i="21"/>
  <c r="N145" i="21" s="1"/>
  <c r="H149" i="21"/>
  <c r="N149" i="21" s="1"/>
  <c r="C151" i="21"/>
  <c r="B152" i="21"/>
  <c r="D158" i="21"/>
  <c r="N58" i="21"/>
  <c r="H164" i="21"/>
  <c r="L167" i="21"/>
  <c r="J168" i="21"/>
  <c r="C184" i="21"/>
  <c r="E184" i="21" s="1"/>
  <c r="B187" i="21"/>
  <c r="W135" i="21"/>
  <c r="W145" i="21"/>
  <c r="W157" i="21"/>
  <c r="B143" i="19"/>
  <c r="B144" i="19"/>
  <c r="D151" i="19"/>
  <c r="N31" i="19"/>
  <c r="D159" i="19"/>
  <c r="C178" i="19"/>
  <c r="L180" i="19"/>
  <c r="N180" i="19" s="1"/>
  <c r="B182" i="19"/>
  <c r="B186" i="19"/>
  <c r="N107" i="19"/>
  <c r="L191" i="19"/>
  <c r="N191" i="19" s="1"/>
  <c r="C140" i="18"/>
  <c r="N21" i="18"/>
  <c r="B146" i="18"/>
  <c r="J147" i="18"/>
  <c r="N33" i="18"/>
  <c r="N43" i="18"/>
  <c r="D163" i="18"/>
  <c r="B165" i="18"/>
  <c r="L173" i="18"/>
  <c r="N93" i="18"/>
  <c r="N97" i="18"/>
  <c r="N102" i="18"/>
  <c r="C187" i="18"/>
  <c r="D191" i="18"/>
  <c r="W144" i="18"/>
  <c r="S184" i="18"/>
  <c r="W184" i="18" s="1"/>
  <c r="D170" i="17"/>
  <c r="C182" i="17"/>
  <c r="U182" i="17"/>
  <c r="T182" i="17"/>
  <c r="L182" i="17"/>
  <c r="C188" i="17"/>
  <c r="W164" i="17"/>
  <c r="W133" i="16"/>
  <c r="L141" i="26"/>
  <c r="J151" i="26"/>
  <c r="N151" i="26" s="1"/>
  <c r="N62" i="25"/>
  <c r="D180" i="25"/>
  <c r="N25" i="24"/>
  <c r="N29" i="24"/>
  <c r="D151" i="24"/>
  <c r="N53" i="24"/>
  <c r="N60" i="24"/>
  <c r="D163" i="24"/>
  <c r="N71" i="24"/>
  <c r="N9" i="23"/>
  <c r="N11" i="23"/>
  <c r="L186" i="23"/>
  <c r="H186" i="23"/>
  <c r="L168" i="22"/>
  <c r="J168" i="22"/>
  <c r="H168" i="22"/>
  <c r="W79" i="34"/>
  <c r="T87" i="34"/>
  <c r="B196" i="19"/>
  <c r="N119" i="19"/>
  <c r="D163" i="12"/>
  <c r="N63" i="12"/>
  <c r="C168" i="12"/>
  <c r="N77" i="12"/>
  <c r="B176" i="12"/>
  <c r="D181" i="12"/>
  <c r="C183" i="12"/>
  <c r="N101" i="12"/>
  <c r="W139" i="12"/>
  <c r="W178" i="12"/>
  <c r="N186" i="12"/>
  <c r="C140" i="11"/>
  <c r="E140" i="11" s="1"/>
  <c r="D153" i="11"/>
  <c r="N50" i="11"/>
  <c r="N64" i="11"/>
  <c r="C169" i="11"/>
  <c r="E169" i="11" s="1"/>
  <c r="N82" i="11"/>
  <c r="N87" i="11"/>
  <c r="H182" i="11"/>
  <c r="N182" i="11" s="1"/>
  <c r="D183" i="11"/>
  <c r="B185" i="11"/>
  <c r="L185" i="11"/>
  <c r="N185" i="11" s="1"/>
  <c r="N109" i="11"/>
  <c r="W143" i="11"/>
  <c r="W154" i="11"/>
  <c r="W189" i="11"/>
  <c r="N9" i="10"/>
  <c r="N25" i="10"/>
  <c r="J176" i="10"/>
  <c r="D196" i="10"/>
  <c r="N104" i="10"/>
  <c r="J210" i="10"/>
  <c r="C156" i="9"/>
  <c r="N39" i="9"/>
  <c r="H167" i="9"/>
  <c r="N52" i="9"/>
  <c r="N62" i="9"/>
  <c r="N69" i="9"/>
  <c r="N105" i="9"/>
  <c r="W167" i="9"/>
  <c r="J138" i="21"/>
  <c r="D150" i="21"/>
  <c r="C152" i="21"/>
  <c r="L159" i="21"/>
  <c r="C160" i="21"/>
  <c r="E160" i="21" s="1"/>
  <c r="B167" i="21"/>
  <c r="B169" i="21"/>
  <c r="D172" i="21"/>
  <c r="W171" i="21"/>
  <c r="C157" i="19"/>
  <c r="N39" i="19"/>
  <c r="D160" i="19"/>
  <c r="E160" i="19" s="1"/>
  <c r="N53" i="19"/>
  <c r="N58" i="19"/>
  <c r="H173" i="19"/>
  <c r="H177" i="19"/>
  <c r="N177" i="19" s="1"/>
  <c r="L188" i="19"/>
  <c r="L190" i="19"/>
  <c r="N190" i="19" s="1"/>
  <c r="S146" i="19"/>
  <c r="W162" i="19"/>
  <c r="D140" i="18"/>
  <c r="D144" i="18"/>
  <c r="N61" i="18"/>
  <c r="B166" i="18"/>
  <c r="N71" i="18"/>
  <c r="B171" i="18"/>
  <c r="N76" i="18"/>
  <c r="H174" i="18"/>
  <c r="N174" i="18" s="1"/>
  <c r="B175" i="18"/>
  <c r="N85" i="18"/>
  <c r="C177" i="18"/>
  <c r="E177" i="18" s="1"/>
  <c r="H184" i="18"/>
  <c r="H191" i="18"/>
  <c r="L191" i="18"/>
  <c r="W158" i="18"/>
  <c r="N11" i="17"/>
  <c r="N64" i="17"/>
  <c r="D134" i="26"/>
  <c r="D137" i="26"/>
  <c r="E137" i="26" s="1"/>
  <c r="N23" i="25"/>
  <c r="J144" i="25"/>
  <c r="D145" i="25"/>
  <c r="E145" i="25" s="1"/>
  <c r="W147" i="25"/>
  <c r="D152" i="24"/>
  <c r="N57" i="24"/>
  <c r="D165" i="24"/>
  <c r="E165" i="24" s="1"/>
  <c r="N73" i="24"/>
  <c r="N68" i="23"/>
  <c r="B178" i="23"/>
  <c r="C181" i="23"/>
  <c r="D153" i="22"/>
  <c r="W160" i="13"/>
  <c r="H131" i="35"/>
  <c r="N131" i="35" s="1"/>
  <c r="C127" i="35"/>
  <c r="W191" i="18"/>
  <c r="S140" i="17"/>
  <c r="W140" i="17" s="1"/>
  <c r="B142" i="17"/>
  <c r="C150" i="17"/>
  <c r="N44" i="17"/>
  <c r="J159" i="17"/>
  <c r="N73" i="17"/>
  <c r="J170" i="17"/>
  <c r="D178" i="17"/>
  <c r="E178" i="17" s="1"/>
  <c r="N94" i="17"/>
  <c r="D187" i="17"/>
  <c r="B189" i="17"/>
  <c r="B131" i="16"/>
  <c r="H135" i="16"/>
  <c r="N135" i="16" s="1"/>
  <c r="B148" i="16"/>
  <c r="J151" i="16"/>
  <c r="N151" i="16" s="1"/>
  <c r="N25" i="26"/>
  <c r="H139" i="26"/>
  <c r="N139" i="26" s="1"/>
  <c r="D144" i="26"/>
  <c r="D140" i="25"/>
  <c r="E140" i="25" s="1"/>
  <c r="N37" i="25"/>
  <c r="N41" i="25"/>
  <c r="D163" i="25"/>
  <c r="N64" i="25"/>
  <c r="N70" i="25"/>
  <c r="N73" i="25"/>
  <c r="D175" i="25"/>
  <c r="C179" i="25"/>
  <c r="D185" i="25"/>
  <c r="E185" i="25" s="1"/>
  <c r="L136" i="24"/>
  <c r="N15" i="24"/>
  <c r="B145" i="24"/>
  <c r="B146" i="24"/>
  <c r="N37" i="24"/>
  <c r="C153" i="24"/>
  <c r="N46" i="24"/>
  <c r="N59" i="24"/>
  <c r="S173" i="24"/>
  <c r="U173" i="24"/>
  <c r="B183" i="24"/>
  <c r="N38" i="23"/>
  <c r="N42" i="23"/>
  <c r="N46" i="23"/>
  <c r="B156" i="23"/>
  <c r="N58" i="23"/>
  <c r="L164" i="23"/>
  <c r="N164" i="23" s="1"/>
  <c r="N72" i="23"/>
  <c r="J188" i="23"/>
  <c r="N188" i="23" s="1"/>
  <c r="C151" i="22"/>
  <c r="C158" i="22"/>
  <c r="N32" i="22"/>
  <c r="C160" i="22"/>
  <c r="N37" i="22"/>
  <c r="N68" i="22"/>
  <c r="N81" i="22"/>
  <c r="B186" i="22"/>
  <c r="D153" i="17"/>
  <c r="N48" i="17"/>
  <c r="N59" i="17"/>
  <c r="D166" i="17"/>
  <c r="D175" i="17"/>
  <c r="B176" i="17"/>
  <c r="L178" i="17"/>
  <c r="C183" i="17"/>
  <c r="E183" i="17" s="1"/>
  <c r="B186" i="17"/>
  <c r="N34" i="16"/>
  <c r="H142" i="16"/>
  <c r="H156" i="16"/>
  <c r="N156" i="16" s="1"/>
  <c r="W135" i="16"/>
  <c r="N15" i="26"/>
  <c r="D123" i="26"/>
  <c r="C136" i="26"/>
  <c r="E136" i="26" s="1"/>
  <c r="N11" i="25"/>
  <c r="L140" i="25"/>
  <c r="B143" i="25"/>
  <c r="D148" i="25"/>
  <c r="C156" i="25"/>
  <c r="L160" i="25"/>
  <c r="L170" i="25"/>
  <c r="N170" i="25" s="1"/>
  <c r="L176" i="25"/>
  <c r="L184" i="25"/>
  <c r="N184" i="25" s="1"/>
  <c r="W148" i="25"/>
  <c r="D144" i="24"/>
  <c r="E144" i="24" s="1"/>
  <c r="C154" i="24"/>
  <c r="C172" i="24"/>
  <c r="D175" i="24"/>
  <c r="C139" i="23"/>
  <c r="S142" i="23"/>
  <c r="U142" i="23"/>
  <c r="H143" i="23"/>
  <c r="L143" i="23"/>
  <c r="D190" i="23"/>
  <c r="H179" i="22"/>
  <c r="D195" i="22"/>
  <c r="W171" i="13"/>
  <c r="N120" i="19"/>
  <c r="B128" i="20"/>
  <c r="N20" i="20"/>
  <c r="W147" i="18"/>
  <c r="L152" i="17"/>
  <c r="N152" i="17" s="1"/>
  <c r="N45" i="17"/>
  <c r="C160" i="17"/>
  <c r="N77" i="17"/>
  <c r="D182" i="17"/>
  <c r="H187" i="17"/>
  <c r="W185" i="17"/>
  <c r="C124" i="16"/>
  <c r="D131" i="16"/>
  <c r="C140" i="16"/>
  <c r="N46" i="16"/>
  <c r="D148" i="16"/>
  <c r="N61" i="16"/>
  <c r="N71" i="16"/>
  <c r="W139" i="16"/>
  <c r="W159" i="16"/>
  <c r="B118" i="26"/>
  <c r="L120" i="26"/>
  <c r="J123" i="26"/>
  <c r="N123" i="26" s="1"/>
  <c r="H140" i="25"/>
  <c r="C143" i="25"/>
  <c r="N29" i="25"/>
  <c r="H148" i="25"/>
  <c r="D149" i="25"/>
  <c r="N45" i="25"/>
  <c r="D156" i="25"/>
  <c r="B159" i="25"/>
  <c r="N58" i="25"/>
  <c r="L166" i="25"/>
  <c r="N85" i="25"/>
  <c r="N90" i="25"/>
  <c r="N105" i="25"/>
  <c r="D186" i="25"/>
  <c r="N110" i="25"/>
  <c r="W151" i="25"/>
  <c r="W184" i="25"/>
  <c r="B138" i="24"/>
  <c r="E138" i="24" s="1"/>
  <c r="D146" i="24"/>
  <c r="D147" i="24"/>
  <c r="N52" i="24"/>
  <c r="C160" i="24"/>
  <c r="B162" i="24"/>
  <c r="N72" i="24"/>
  <c r="C168" i="24"/>
  <c r="H182" i="24"/>
  <c r="L182" i="24"/>
  <c r="J182" i="24"/>
  <c r="D183" i="24"/>
  <c r="N17" i="23"/>
  <c r="U153" i="22"/>
  <c r="S153" i="22"/>
  <c r="N45" i="22"/>
  <c r="N59" i="22"/>
  <c r="D175" i="22"/>
  <c r="W197" i="22"/>
  <c r="N100" i="15"/>
  <c r="W147" i="14"/>
  <c r="W155" i="14"/>
  <c r="W163" i="14"/>
  <c r="W190" i="14"/>
  <c r="S84" i="38"/>
  <c r="U84" i="38"/>
  <c r="J94" i="34"/>
  <c r="N94" i="34" s="1"/>
  <c r="D126" i="20"/>
  <c r="D140" i="17"/>
  <c r="C143" i="17"/>
  <c r="C148" i="17"/>
  <c r="N40" i="17"/>
  <c r="D160" i="17"/>
  <c r="N67" i="17"/>
  <c r="N85" i="17"/>
  <c r="N88" i="17"/>
  <c r="N104" i="17"/>
  <c r="W157" i="17"/>
  <c r="D124" i="16"/>
  <c r="D125" i="16"/>
  <c r="E125" i="16" s="1"/>
  <c r="N12" i="16"/>
  <c r="H128" i="16"/>
  <c r="N128" i="16" s="1"/>
  <c r="H132" i="16"/>
  <c r="B133" i="16"/>
  <c r="E133" i="16" s="1"/>
  <c r="D139" i="16"/>
  <c r="D153" i="16"/>
  <c r="E153" i="16" s="1"/>
  <c r="C159" i="16"/>
  <c r="B120" i="26"/>
  <c r="C125" i="26"/>
  <c r="N24" i="26"/>
  <c r="J136" i="26"/>
  <c r="N136" i="26" s="1"/>
  <c r="H140" i="26"/>
  <c r="N140" i="26" s="1"/>
  <c r="B146" i="26"/>
  <c r="N17" i="25"/>
  <c r="D143" i="25"/>
  <c r="N26" i="25"/>
  <c r="N38" i="25"/>
  <c r="S152" i="25"/>
  <c r="W152" i="25" s="1"/>
  <c r="C159" i="25"/>
  <c r="E159" i="25" s="1"/>
  <c r="D162" i="25"/>
  <c r="N65" i="25"/>
  <c r="N75" i="25"/>
  <c r="N77" i="25"/>
  <c r="C177" i="25"/>
  <c r="D181" i="25"/>
  <c r="D182" i="25"/>
  <c r="U179" i="25"/>
  <c r="D137" i="24"/>
  <c r="E137" i="24" s="1"/>
  <c r="N23" i="24"/>
  <c r="L144" i="24"/>
  <c r="L146" i="24"/>
  <c r="L153" i="24"/>
  <c r="N153" i="24" s="1"/>
  <c r="J158" i="24"/>
  <c r="B163" i="24"/>
  <c r="N77" i="24"/>
  <c r="N83" i="24"/>
  <c r="W168" i="24"/>
  <c r="T173" i="24"/>
  <c r="J168" i="23"/>
  <c r="N71" i="23"/>
  <c r="D177" i="23"/>
  <c r="S182" i="23"/>
  <c r="U182" i="23"/>
  <c r="L182" i="23"/>
  <c r="N101" i="23"/>
  <c r="N103" i="23"/>
  <c r="W186" i="23"/>
  <c r="N16" i="22"/>
  <c r="N42" i="22"/>
  <c r="N52" i="22"/>
  <c r="N112" i="22"/>
  <c r="W167" i="8"/>
  <c r="W198" i="15"/>
  <c r="H157" i="13"/>
  <c r="L157" i="13"/>
  <c r="J152" i="22"/>
  <c r="H152" i="22"/>
  <c r="W156" i="22"/>
  <c r="N11" i="33"/>
  <c r="N33" i="33"/>
  <c r="N9" i="20"/>
  <c r="H125" i="20"/>
  <c r="L125" i="20"/>
  <c r="N24" i="20"/>
  <c r="C130" i="20"/>
  <c r="D188" i="24"/>
  <c r="S169" i="24"/>
  <c r="W180" i="24"/>
  <c r="L139" i="23"/>
  <c r="N139" i="23" s="1"/>
  <c r="H145" i="23"/>
  <c r="N30" i="23"/>
  <c r="B153" i="23"/>
  <c r="B167" i="23"/>
  <c r="J170" i="23"/>
  <c r="D185" i="23"/>
  <c r="J186" i="23"/>
  <c r="J155" i="22"/>
  <c r="N155" i="22" s="1"/>
  <c r="B177" i="22"/>
  <c r="E177" i="22" s="1"/>
  <c r="N22" i="13"/>
  <c r="N19" i="13"/>
  <c r="W156" i="13"/>
  <c r="L186" i="22"/>
  <c r="J164" i="22"/>
  <c r="H157" i="22"/>
  <c r="N157" i="22" s="1"/>
  <c r="H150" i="22"/>
  <c r="L95" i="38"/>
  <c r="H88" i="38"/>
  <c r="L84" i="38"/>
  <c r="W97" i="37"/>
  <c r="J113" i="35"/>
  <c r="N113" i="35" s="1"/>
  <c r="D129" i="35"/>
  <c r="C93" i="29"/>
  <c r="N31" i="29"/>
  <c r="N9" i="29"/>
  <c r="C94" i="29"/>
  <c r="C100" i="29"/>
  <c r="W205" i="15"/>
  <c r="N119" i="14"/>
  <c r="L188" i="21"/>
  <c r="T203" i="22"/>
  <c r="U203" i="22"/>
  <c r="S203" i="22"/>
  <c r="L203" i="22"/>
  <c r="W94" i="31"/>
  <c r="N54" i="32"/>
  <c r="U160" i="20"/>
  <c r="T160" i="20"/>
  <c r="W160" i="20" s="1"/>
  <c r="E190" i="24"/>
  <c r="W106" i="37"/>
  <c r="N63" i="24"/>
  <c r="N65" i="24"/>
  <c r="N99" i="24"/>
  <c r="L188" i="24"/>
  <c r="W154" i="24"/>
  <c r="U175" i="24"/>
  <c r="C138" i="23"/>
  <c r="N12" i="23"/>
  <c r="N25" i="23"/>
  <c r="B150" i="23"/>
  <c r="E150" i="23" s="1"/>
  <c r="N34" i="23"/>
  <c r="C153" i="23"/>
  <c r="N41" i="23"/>
  <c r="B155" i="23"/>
  <c r="C157" i="23"/>
  <c r="B162" i="23"/>
  <c r="E162" i="23" s="1"/>
  <c r="D174" i="23"/>
  <c r="N83" i="23"/>
  <c r="L180" i="23"/>
  <c r="N110" i="23"/>
  <c r="H190" i="23"/>
  <c r="W150" i="23"/>
  <c r="D151" i="22"/>
  <c r="C154" i="22"/>
  <c r="B155" i="22"/>
  <c r="C166" i="22"/>
  <c r="B175" i="22"/>
  <c r="N73" i="22"/>
  <c r="D191" i="22"/>
  <c r="N107" i="22"/>
  <c r="W198" i="22"/>
  <c r="N102" i="8"/>
  <c r="W154" i="8"/>
  <c r="W162" i="8"/>
  <c r="W170" i="8"/>
  <c r="W181" i="8"/>
  <c r="W166" i="14"/>
  <c r="C170" i="13"/>
  <c r="N44" i="13"/>
  <c r="N112" i="10"/>
  <c r="N24" i="13"/>
  <c r="W160" i="10"/>
  <c r="N44" i="22"/>
  <c r="W87" i="37"/>
  <c r="H125" i="35"/>
  <c r="N125" i="35" s="1"/>
  <c r="N62" i="35"/>
  <c r="N37" i="29"/>
  <c r="N28" i="29"/>
  <c r="N19" i="29"/>
  <c r="L79" i="31"/>
  <c r="N79" i="31" s="1"/>
  <c r="W86" i="31"/>
  <c r="S146" i="20"/>
  <c r="U146" i="20"/>
  <c r="T146" i="20"/>
  <c r="D156" i="20"/>
  <c r="N76" i="20"/>
  <c r="C136" i="20"/>
  <c r="N98" i="34"/>
  <c r="N204" i="22"/>
  <c r="C163" i="24"/>
  <c r="N75" i="24"/>
  <c r="D173" i="24"/>
  <c r="N87" i="24"/>
  <c r="N89" i="24"/>
  <c r="J178" i="24"/>
  <c r="D179" i="24"/>
  <c r="N101" i="24"/>
  <c r="W144" i="24"/>
  <c r="W156" i="24"/>
  <c r="D138" i="23"/>
  <c r="N10" i="23"/>
  <c r="N29" i="23"/>
  <c r="N59" i="23"/>
  <c r="L174" i="23"/>
  <c r="N174" i="23" s="1"/>
  <c r="C178" i="23"/>
  <c r="C187" i="23"/>
  <c r="N114" i="23"/>
  <c r="W184" i="23"/>
  <c r="D154" i="22"/>
  <c r="N20" i="22"/>
  <c r="B158" i="22"/>
  <c r="C161" i="22"/>
  <c r="D166" i="22"/>
  <c r="D178" i="22"/>
  <c r="E178" i="22" s="1"/>
  <c r="N83" i="22"/>
  <c r="B187" i="22"/>
  <c r="B188" i="22"/>
  <c r="E188" i="22" s="1"/>
  <c r="C189" i="22"/>
  <c r="C194" i="22"/>
  <c r="C202" i="22"/>
  <c r="W185" i="8"/>
  <c r="W200" i="8"/>
  <c r="D155" i="13"/>
  <c r="N49" i="35"/>
  <c r="L115" i="35"/>
  <c r="S77" i="30"/>
  <c r="T77" i="30"/>
  <c r="H83" i="34"/>
  <c r="L124" i="35"/>
  <c r="N124" i="35" s="1"/>
  <c r="H83" i="31"/>
  <c r="J83" i="31"/>
  <c r="W87" i="31"/>
  <c r="N44" i="37"/>
  <c r="N6" i="14"/>
  <c r="B139" i="14"/>
  <c r="E139" i="14" s="1"/>
  <c r="N115" i="25"/>
  <c r="D189" i="25"/>
  <c r="E189" i="25" s="1"/>
  <c r="H191" i="23"/>
  <c r="L191" i="23"/>
  <c r="J191" i="23"/>
  <c r="H99" i="32"/>
  <c r="L99" i="32"/>
  <c r="H165" i="20"/>
  <c r="L165" i="20"/>
  <c r="H194" i="14"/>
  <c r="L194" i="14"/>
  <c r="H99" i="33"/>
  <c r="W99" i="33"/>
  <c r="N192" i="23"/>
  <c r="C213" i="10"/>
  <c r="N67" i="24"/>
  <c r="L166" i="24"/>
  <c r="N166" i="24" s="1"/>
  <c r="D167" i="24"/>
  <c r="E167" i="24" s="1"/>
  <c r="J170" i="24"/>
  <c r="L172" i="24"/>
  <c r="L173" i="24"/>
  <c r="N173" i="24" s="1"/>
  <c r="L178" i="24"/>
  <c r="N98" i="24"/>
  <c r="D186" i="24"/>
  <c r="E186" i="24" s="1"/>
  <c r="N111" i="24"/>
  <c r="W186" i="24"/>
  <c r="L138" i="23"/>
  <c r="N138" i="23" s="1"/>
  <c r="D140" i="23"/>
  <c r="D145" i="23"/>
  <c r="E145" i="23" s="1"/>
  <c r="D147" i="23"/>
  <c r="D151" i="23"/>
  <c r="C152" i="23"/>
  <c r="L154" i="23"/>
  <c r="D159" i="23"/>
  <c r="N54" i="23"/>
  <c r="L170" i="23"/>
  <c r="N80" i="23"/>
  <c r="N100" i="23"/>
  <c r="W147" i="23"/>
  <c r="W164" i="23"/>
  <c r="B157" i="22"/>
  <c r="E157" i="22" s="1"/>
  <c r="D161" i="22"/>
  <c r="N41" i="22"/>
  <c r="D172" i="22"/>
  <c r="D189" i="22"/>
  <c r="D190" i="22"/>
  <c r="E190" i="22" s="1"/>
  <c r="N101" i="22"/>
  <c r="W152" i="22"/>
  <c r="W162" i="22"/>
  <c r="W194" i="22"/>
  <c r="N46" i="13"/>
  <c r="B169" i="13"/>
  <c r="N23" i="13"/>
  <c r="N102" i="5"/>
  <c r="J169" i="22"/>
  <c r="C121" i="35"/>
  <c r="D120" i="35"/>
  <c r="E120" i="35" s="1"/>
  <c r="B123" i="35"/>
  <c r="E123" i="35" s="1"/>
  <c r="W94" i="28"/>
  <c r="L79" i="33"/>
  <c r="N6" i="11"/>
  <c r="N7" i="23"/>
  <c r="C126" i="20"/>
  <c r="N27" i="20"/>
  <c r="N48" i="20"/>
  <c r="H157" i="20"/>
  <c r="D160" i="20"/>
  <c r="N125" i="8"/>
  <c r="D197" i="22"/>
  <c r="W156" i="8"/>
  <c r="W164" i="8"/>
  <c r="W172" i="8"/>
  <c r="W189" i="8"/>
  <c r="W201" i="8"/>
  <c r="W149" i="8"/>
  <c r="W187" i="15"/>
  <c r="W158" i="14"/>
  <c r="W180" i="13"/>
  <c r="D176" i="13"/>
  <c r="N48" i="13"/>
  <c r="L191" i="22"/>
  <c r="N191" i="22" s="1"/>
  <c r="L153" i="22"/>
  <c r="N24" i="22"/>
  <c r="N111" i="22"/>
  <c r="W158" i="22"/>
  <c r="T93" i="38"/>
  <c r="W93" i="38" s="1"/>
  <c r="W96" i="38"/>
  <c r="N15" i="37"/>
  <c r="S111" i="36"/>
  <c r="W111" i="36" s="1"/>
  <c r="N41" i="35"/>
  <c r="H127" i="35"/>
  <c r="N127" i="35" s="1"/>
  <c r="W82" i="34"/>
  <c r="N8" i="33"/>
  <c r="B81" i="33"/>
  <c r="B82" i="33"/>
  <c r="H83" i="33"/>
  <c r="N28" i="33"/>
  <c r="N29" i="33"/>
  <c r="C91" i="33"/>
  <c r="B93" i="33"/>
  <c r="B94" i="33"/>
  <c r="N47" i="33"/>
  <c r="N49" i="33"/>
  <c r="J97" i="33"/>
  <c r="N97" i="33" s="1"/>
  <c r="N7" i="12"/>
  <c r="L139" i="11"/>
  <c r="J139" i="11"/>
  <c r="H139" i="11"/>
  <c r="N139" i="11" s="1"/>
  <c r="U81" i="30"/>
  <c r="T81" i="30"/>
  <c r="C143" i="20"/>
  <c r="J142" i="20"/>
  <c r="C99" i="33"/>
  <c r="W151" i="14"/>
  <c r="W198" i="13"/>
  <c r="C154" i="13"/>
  <c r="D160" i="13"/>
  <c r="D158" i="13"/>
  <c r="N18" i="13"/>
  <c r="H161" i="13"/>
  <c r="L161" i="13"/>
  <c r="N97" i="19"/>
  <c r="W90" i="38"/>
  <c r="N27" i="35"/>
  <c r="J90" i="28"/>
  <c r="W87" i="28"/>
  <c r="W86" i="34"/>
  <c r="D79" i="33"/>
  <c r="C80" i="33"/>
  <c r="C81" i="33"/>
  <c r="C82" i="33"/>
  <c r="L88" i="33"/>
  <c r="L89" i="33"/>
  <c r="H90" i="33"/>
  <c r="D91" i="33"/>
  <c r="C94" i="33"/>
  <c r="N21" i="29"/>
  <c r="W88" i="29"/>
  <c r="W96" i="29"/>
  <c r="W74" i="31"/>
  <c r="S139" i="11"/>
  <c r="T139" i="11"/>
  <c r="H135" i="25"/>
  <c r="T190" i="7"/>
  <c r="B188" i="21"/>
  <c r="L189" i="24"/>
  <c r="H189" i="24"/>
  <c r="N37" i="30"/>
  <c r="B81" i="30"/>
  <c r="L81" i="30"/>
  <c r="U132" i="35"/>
  <c r="W132" i="35" s="1"/>
  <c r="S106" i="28"/>
  <c r="U106" i="28"/>
  <c r="L208" i="13"/>
  <c r="B194" i="11"/>
  <c r="D193" i="18"/>
  <c r="N121" i="18"/>
  <c r="J191" i="17"/>
  <c r="C200" i="22"/>
  <c r="W192" i="8"/>
  <c r="W204" i="15"/>
  <c r="W167" i="14"/>
  <c r="W174" i="13"/>
  <c r="W199" i="13"/>
  <c r="W173" i="13"/>
  <c r="C174" i="13"/>
  <c r="N54" i="13"/>
  <c r="C169" i="13"/>
  <c r="N25" i="13"/>
  <c r="H154" i="13"/>
  <c r="W157" i="13"/>
  <c r="W192" i="9"/>
  <c r="H183" i="22"/>
  <c r="N31" i="35"/>
  <c r="N7" i="28"/>
  <c r="B127" i="35"/>
  <c r="N53" i="35"/>
  <c r="W113" i="35"/>
  <c r="L7" i="35"/>
  <c r="H84" i="34"/>
  <c r="N84" i="34" s="1"/>
  <c r="W89" i="34"/>
  <c r="W91" i="34"/>
  <c r="D80" i="33"/>
  <c r="D81" i="33"/>
  <c r="D82" i="33"/>
  <c r="N30" i="33"/>
  <c r="N32" i="33"/>
  <c r="B90" i="33"/>
  <c r="J75" i="31"/>
  <c r="H75" i="31"/>
  <c r="W90" i="31"/>
  <c r="W92" i="31"/>
  <c r="J78" i="31"/>
  <c r="N78" i="31" s="1"/>
  <c r="N7" i="7"/>
  <c r="L148" i="8"/>
  <c r="N6" i="9"/>
  <c r="C142" i="19"/>
  <c r="H137" i="23"/>
  <c r="W143" i="3"/>
  <c r="L137" i="23"/>
  <c r="U190" i="2"/>
  <c r="C190" i="7"/>
  <c r="U190" i="7"/>
  <c r="H202" i="8"/>
  <c r="J202" i="8"/>
  <c r="W97" i="34"/>
  <c r="N67" i="20"/>
  <c r="U152" i="20"/>
  <c r="S152" i="20"/>
  <c r="N40" i="30"/>
  <c r="W206" i="15"/>
  <c r="W169" i="20"/>
  <c r="D198" i="22"/>
  <c r="W201" i="22"/>
  <c r="W151" i="8"/>
  <c r="W159" i="8"/>
  <c r="W175" i="8"/>
  <c r="W193" i="8"/>
  <c r="W200" i="13"/>
  <c r="N57" i="13"/>
  <c r="D168" i="13"/>
  <c r="N9" i="13"/>
  <c r="N27" i="13"/>
  <c r="B161" i="13"/>
  <c r="W184" i="10"/>
  <c r="L196" i="22"/>
  <c r="W88" i="37"/>
  <c r="W100" i="28"/>
  <c r="W85" i="28"/>
  <c r="N64" i="35"/>
  <c r="W121" i="35"/>
  <c r="W75" i="30"/>
  <c r="L80" i="33"/>
  <c r="H81" i="33"/>
  <c r="C89" i="33"/>
  <c r="H93" i="33"/>
  <c r="N51" i="33"/>
  <c r="L87" i="29"/>
  <c r="C92" i="29"/>
  <c r="E92" i="29" s="1"/>
  <c r="B89" i="29"/>
  <c r="E89" i="29" s="1"/>
  <c r="D88" i="29"/>
  <c r="E88" i="29" s="1"/>
  <c r="N23" i="29"/>
  <c r="C86" i="29"/>
  <c r="N15" i="29"/>
  <c r="C82" i="29"/>
  <c r="E82" i="29" s="1"/>
  <c r="E79" i="29"/>
  <c r="J92" i="29"/>
  <c r="J94" i="29"/>
  <c r="W98" i="29"/>
  <c r="W83" i="31"/>
  <c r="W79" i="32"/>
  <c r="N25" i="37"/>
  <c r="N7" i="25"/>
  <c r="C195" i="1"/>
  <c r="C191" i="5"/>
  <c r="U191" i="12"/>
  <c r="S191" i="12"/>
  <c r="D196" i="19"/>
  <c r="H153" i="26"/>
  <c r="S81" i="30"/>
  <c r="B97" i="34"/>
  <c r="N31" i="20"/>
  <c r="C162" i="20"/>
  <c r="B154" i="20"/>
  <c r="E154" i="20" s="1"/>
  <c r="C191" i="2"/>
  <c r="N127" i="15"/>
  <c r="H81" i="31"/>
  <c r="N81" i="31" s="1"/>
  <c r="W80" i="31"/>
  <c r="W78" i="31"/>
  <c r="W80" i="32"/>
  <c r="W87" i="32"/>
  <c r="W95" i="32"/>
  <c r="C86" i="33"/>
  <c r="D86" i="33"/>
  <c r="W91" i="33"/>
  <c r="W161" i="13"/>
  <c r="N7" i="1"/>
  <c r="N7" i="15"/>
  <c r="N6" i="13"/>
  <c r="J151" i="9"/>
  <c r="D136" i="17"/>
  <c r="J195" i="1"/>
  <c r="B190" i="7"/>
  <c r="N125" i="15"/>
  <c r="L193" i="14"/>
  <c r="N193" i="14" s="1"/>
  <c r="C191" i="12"/>
  <c r="H188" i="21"/>
  <c r="N117" i="18"/>
  <c r="D203" i="22"/>
  <c r="N59" i="29"/>
  <c r="C97" i="34"/>
  <c r="N60" i="29"/>
  <c r="B100" i="38"/>
  <c r="N61" i="28"/>
  <c r="C122" i="20"/>
  <c r="H123" i="20"/>
  <c r="D124" i="20"/>
  <c r="N17" i="20"/>
  <c r="N19" i="20"/>
  <c r="D130" i="20"/>
  <c r="D139" i="20"/>
  <c r="C140" i="20"/>
  <c r="C145" i="20"/>
  <c r="B151" i="20"/>
  <c r="C152" i="20"/>
  <c r="L155" i="20"/>
  <c r="B160" i="20"/>
  <c r="T148" i="20"/>
  <c r="N122" i="3"/>
  <c r="N124" i="3"/>
  <c r="N119" i="7"/>
  <c r="N52" i="31"/>
  <c r="C203" i="8"/>
  <c r="C208" i="13"/>
  <c r="D206" i="9"/>
  <c r="W98" i="34"/>
  <c r="W94" i="33"/>
  <c r="B169" i="20"/>
  <c r="C154" i="26"/>
  <c r="N113" i="6"/>
  <c r="W73" i="31"/>
  <c r="W88" i="32"/>
  <c r="N23" i="34"/>
  <c r="W118" i="35"/>
  <c r="H136" i="7"/>
  <c r="N136" i="7" s="1"/>
  <c r="D151" i="15"/>
  <c r="E151" i="15" s="1"/>
  <c r="C153" i="13"/>
  <c r="L138" i="18"/>
  <c r="D135" i="24"/>
  <c r="D202" i="8"/>
  <c r="D205" i="15"/>
  <c r="B191" i="12"/>
  <c r="D188" i="21"/>
  <c r="D153" i="26"/>
  <c r="J100" i="38"/>
  <c r="S98" i="32"/>
  <c r="D122" i="20"/>
  <c r="C123" i="20"/>
  <c r="B124" i="20"/>
  <c r="L129" i="20"/>
  <c r="D132" i="20"/>
  <c r="D133" i="20"/>
  <c r="C134" i="20"/>
  <c r="L139" i="20"/>
  <c r="D140" i="20"/>
  <c r="C141" i="20"/>
  <c r="D144" i="20"/>
  <c r="D145" i="20"/>
  <c r="C151" i="20"/>
  <c r="D152" i="20"/>
  <c r="B155" i="20"/>
  <c r="D164" i="20"/>
  <c r="U148" i="20"/>
  <c r="D198" i="3"/>
  <c r="D191" i="7"/>
  <c r="N120" i="14"/>
  <c r="B194" i="14"/>
  <c r="D208" i="13"/>
  <c r="C192" i="12"/>
  <c r="D194" i="11"/>
  <c r="L206" i="9"/>
  <c r="D213" i="10"/>
  <c r="B133" i="35"/>
  <c r="B125" i="36"/>
  <c r="W76" i="31"/>
  <c r="W82" i="31"/>
  <c r="W88" i="31"/>
  <c r="W87" i="33"/>
  <c r="N30" i="35"/>
  <c r="B139" i="11"/>
  <c r="L135" i="25"/>
  <c r="C137" i="23"/>
  <c r="J149" i="22"/>
  <c r="N149" i="22" s="1"/>
  <c r="B153" i="13"/>
  <c r="B106" i="28"/>
  <c r="N60" i="28"/>
  <c r="H191" i="5"/>
  <c r="S207" i="13"/>
  <c r="D192" i="18"/>
  <c r="B189" i="24"/>
  <c r="D81" i="30"/>
  <c r="J81" i="30"/>
  <c r="J98" i="33"/>
  <c r="T98" i="32"/>
  <c r="J132" i="35"/>
  <c r="D123" i="20"/>
  <c r="N12" i="20"/>
  <c r="N14" i="20"/>
  <c r="N21" i="20"/>
  <c r="N23" i="20"/>
  <c r="N25" i="20"/>
  <c r="B135" i="20"/>
  <c r="B142" i="20"/>
  <c r="N61" i="20"/>
  <c r="D151" i="20"/>
  <c r="B152" i="20"/>
  <c r="N88" i="20"/>
  <c r="W141" i="20"/>
  <c r="W165" i="20"/>
  <c r="B192" i="5"/>
  <c r="B82" i="30"/>
  <c r="D95" i="31"/>
  <c r="C194" i="14"/>
  <c r="N131" i="13"/>
  <c r="D192" i="12"/>
  <c r="N133" i="9"/>
  <c r="C133" i="35"/>
  <c r="D125" i="36"/>
  <c r="N110" i="6"/>
  <c r="W84" i="31"/>
  <c r="W93" i="32"/>
  <c r="C83" i="33"/>
  <c r="B84" i="33"/>
  <c r="N22" i="33"/>
  <c r="W88" i="33"/>
  <c r="C148" i="8"/>
  <c r="C139" i="11"/>
  <c r="S148" i="8"/>
  <c r="W148" i="8" s="1"/>
  <c r="N7" i="17"/>
  <c r="N7" i="24"/>
  <c r="S135" i="24"/>
  <c r="N115" i="2"/>
  <c r="N59" i="28"/>
  <c r="D191" i="5"/>
  <c r="D207" i="13"/>
  <c r="T207" i="13"/>
  <c r="N118" i="11"/>
  <c r="C196" i="19"/>
  <c r="E196" i="19" s="1"/>
  <c r="N114" i="25"/>
  <c r="C189" i="24"/>
  <c r="H203" i="22"/>
  <c r="N53" i="33"/>
  <c r="D124" i="36"/>
  <c r="B121" i="20"/>
  <c r="B126" i="20"/>
  <c r="B132" i="20"/>
  <c r="N32" i="20"/>
  <c r="N36" i="20"/>
  <c r="N43" i="20"/>
  <c r="N53" i="20"/>
  <c r="B157" i="20"/>
  <c r="C163" i="20"/>
  <c r="B166" i="20"/>
  <c r="B167" i="20"/>
  <c r="W133" i="20"/>
  <c r="W162" i="20"/>
  <c r="D191" i="2"/>
  <c r="C192" i="5"/>
  <c r="C95" i="31"/>
  <c r="W95" i="31"/>
  <c r="D194" i="14"/>
  <c r="C125" i="36"/>
  <c r="L106" i="37"/>
  <c r="N17" i="28"/>
  <c r="N22" i="28"/>
  <c r="W99" i="28"/>
  <c r="C107" i="28"/>
  <c r="N44" i="28"/>
  <c r="H101" i="28"/>
  <c r="H98" i="28"/>
  <c r="C106" i="28"/>
  <c r="W93" i="28"/>
  <c r="N63" i="28"/>
  <c r="L93" i="28"/>
  <c r="H85" i="28"/>
  <c r="D93" i="28"/>
  <c r="J100" i="28"/>
  <c r="L95" i="28"/>
  <c r="L100" i="28"/>
  <c r="N8" i="28"/>
  <c r="B99" i="28"/>
  <c r="B100" i="28"/>
  <c r="D101" i="28"/>
  <c r="J105" i="28"/>
  <c r="N105" i="28" s="1"/>
  <c r="H99" i="28"/>
  <c r="W90" i="28"/>
  <c r="W103" i="28"/>
  <c r="W97" i="28"/>
  <c r="N20" i="28"/>
  <c r="D98" i="28"/>
  <c r="L98" i="28"/>
  <c r="N9" i="28"/>
  <c r="W102" i="28"/>
  <c r="T98" i="28"/>
  <c r="B92" i="28"/>
  <c r="E92" i="28" s="1"/>
  <c r="B85" i="28"/>
  <c r="E85" i="28" s="1"/>
  <c r="N15" i="28"/>
  <c r="N33" i="28"/>
  <c r="S98" i="28"/>
  <c r="D90" i="28"/>
  <c r="H97" i="28"/>
  <c r="H95" i="28"/>
  <c r="C84" i="28"/>
  <c r="N13" i="28"/>
  <c r="C87" i="28"/>
  <c r="C89" i="28"/>
  <c r="N28" i="28"/>
  <c r="N48" i="28"/>
  <c r="C103" i="28"/>
  <c r="L102" i="28"/>
  <c r="B97" i="28"/>
  <c r="J103" i="28"/>
  <c r="H93" i="28"/>
  <c r="N32" i="28"/>
  <c r="L104" i="28"/>
  <c r="N45" i="28"/>
  <c r="N14" i="28"/>
  <c r="C86" i="28"/>
  <c r="E86" i="28" s="1"/>
  <c r="D89" i="28"/>
  <c r="N23" i="28"/>
  <c r="D94" i="28"/>
  <c r="D96" i="28"/>
  <c r="C99" i="28"/>
  <c r="D100" i="28"/>
  <c r="C101" i="28"/>
  <c r="C98" i="28"/>
  <c r="J104" i="28"/>
  <c r="J102" i="28"/>
  <c r="J98" i="28"/>
  <c r="W89" i="28"/>
  <c r="N58" i="28"/>
  <c r="B107" i="28"/>
  <c r="N9" i="38"/>
  <c r="N55" i="38"/>
  <c r="N35" i="38"/>
  <c r="H86" i="38"/>
  <c r="B86" i="38"/>
  <c r="C93" i="38"/>
  <c r="D83" i="38"/>
  <c r="N27" i="38"/>
  <c r="N46" i="38"/>
  <c r="H95" i="38"/>
  <c r="H93" i="38"/>
  <c r="L82" i="38"/>
  <c r="H99" i="38"/>
  <c r="H92" i="38"/>
  <c r="C81" i="38"/>
  <c r="C85" i="38"/>
  <c r="N39" i="38"/>
  <c r="C96" i="38"/>
  <c r="B88" i="38"/>
  <c r="B95" i="38"/>
  <c r="B99" i="38"/>
  <c r="D100" i="38"/>
  <c r="B97" i="38"/>
  <c r="J87" i="38"/>
  <c r="N46" i="33"/>
  <c r="W79" i="33"/>
  <c r="N55" i="33"/>
  <c r="J83" i="33"/>
  <c r="N50" i="33"/>
  <c r="N12" i="33"/>
  <c r="L98" i="33"/>
  <c r="N48" i="33"/>
  <c r="N45" i="33"/>
  <c r="L99" i="33"/>
  <c r="H98" i="33"/>
  <c r="D89" i="33"/>
  <c r="C90" i="33"/>
  <c r="W82" i="33"/>
  <c r="W90" i="33"/>
  <c r="N7" i="33"/>
  <c r="L83" i="33"/>
  <c r="L86" i="33"/>
  <c r="N14" i="33"/>
  <c r="B88" i="33"/>
  <c r="B95" i="33"/>
  <c r="B97" i="33"/>
  <c r="E97" i="33" s="1"/>
  <c r="D83" i="33"/>
  <c r="N25" i="33"/>
  <c r="W84" i="33"/>
  <c r="W98" i="33"/>
  <c r="N54" i="33"/>
  <c r="N56" i="33"/>
  <c r="L82" i="33"/>
  <c r="J91" i="33"/>
  <c r="N91" i="33" s="1"/>
  <c r="N42" i="33"/>
  <c r="N44" i="33"/>
  <c r="C96" i="33"/>
  <c r="L84" i="33"/>
  <c r="C84" i="33"/>
  <c r="D85" i="33"/>
  <c r="J99" i="33"/>
  <c r="N129" i="15"/>
  <c r="N123" i="15"/>
  <c r="N47" i="29"/>
  <c r="E90" i="29"/>
  <c r="H99" i="29"/>
  <c r="J95" i="29"/>
  <c r="L79" i="29"/>
  <c r="N25" i="29"/>
  <c r="N39" i="29"/>
  <c r="J91" i="29"/>
  <c r="H85" i="29"/>
  <c r="N29" i="29"/>
  <c r="N17" i="29"/>
  <c r="H94" i="29"/>
  <c r="L84" i="29"/>
  <c r="B87" i="29"/>
  <c r="E87" i="29" s="1"/>
  <c r="D84" i="29"/>
  <c r="B83" i="29"/>
  <c r="E83" i="29" s="1"/>
  <c r="W93" i="29"/>
  <c r="N61" i="29"/>
  <c r="N34" i="29"/>
  <c r="L85" i="29"/>
  <c r="N44" i="29"/>
  <c r="L82" i="29"/>
  <c r="N82" i="29" s="1"/>
  <c r="H92" i="29"/>
  <c r="N20" i="29"/>
  <c r="N30" i="29"/>
  <c r="W86" i="29"/>
  <c r="W94" i="29"/>
  <c r="T102" i="29"/>
  <c r="U102" i="29"/>
  <c r="L94" i="29"/>
  <c r="B101" i="29"/>
  <c r="L95" i="29"/>
  <c r="L98" i="29"/>
  <c r="N22" i="29"/>
  <c r="L93" i="29"/>
  <c r="J83" i="29"/>
  <c r="H80" i="29"/>
  <c r="N80" i="29" s="1"/>
  <c r="W80" i="29"/>
  <c r="H79" i="29"/>
  <c r="B100" i="29"/>
  <c r="N45" i="29"/>
  <c r="J88" i="29"/>
  <c r="N88" i="29" s="1"/>
  <c r="N49" i="29"/>
  <c r="C85" i="29"/>
  <c r="L99" i="29"/>
  <c r="J85" i="29"/>
  <c r="B94" i="29"/>
  <c r="B98" i="29"/>
  <c r="E98" i="29" s="1"/>
  <c r="D100" i="29"/>
  <c r="C91" i="29"/>
  <c r="E91" i="29" s="1"/>
  <c r="W81" i="29"/>
  <c r="D102" i="29"/>
  <c r="J98" i="29"/>
  <c r="L96" i="29"/>
  <c r="J96" i="29"/>
  <c r="N43" i="29"/>
  <c r="N7" i="29"/>
  <c r="N46" i="29"/>
  <c r="J100" i="29"/>
  <c r="N100" i="29" s="1"/>
  <c r="D86" i="29"/>
  <c r="B85" i="29"/>
  <c r="W82" i="29"/>
  <c r="W89" i="29"/>
  <c r="W97" i="29"/>
  <c r="W99" i="29"/>
  <c r="W95" i="29"/>
  <c r="W91" i="29"/>
  <c r="W87" i="29"/>
  <c r="W83" i="29"/>
  <c r="C102" i="29"/>
  <c r="C172" i="3"/>
  <c r="J194" i="3"/>
  <c r="L194" i="3"/>
  <c r="J191" i="3"/>
  <c r="W191" i="3"/>
  <c r="L187" i="3"/>
  <c r="H187" i="3"/>
  <c r="J187" i="3"/>
  <c r="L168" i="3"/>
  <c r="H168" i="3"/>
  <c r="W158" i="3"/>
  <c r="J158" i="3"/>
  <c r="H143" i="3"/>
  <c r="L143" i="3"/>
  <c r="J143" i="3"/>
  <c r="C174" i="3"/>
  <c r="W168" i="3"/>
  <c r="C189" i="3"/>
  <c r="H151" i="3"/>
  <c r="N151" i="3" s="1"/>
  <c r="N63" i="3"/>
  <c r="B169" i="3"/>
  <c r="N25" i="3"/>
  <c r="B152" i="3"/>
  <c r="W164" i="3"/>
  <c r="N90" i="3"/>
  <c r="C183" i="3"/>
  <c r="C185" i="3"/>
  <c r="N94" i="3"/>
  <c r="B177" i="3"/>
  <c r="E177" i="3" s="1"/>
  <c r="N78" i="3"/>
  <c r="B186" i="3"/>
  <c r="N103" i="3"/>
  <c r="H145" i="3"/>
  <c r="L145" i="3"/>
  <c r="J145" i="3"/>
  <c r="D143" i="3"/>
  <c r="E143" i="3" s="1"/>
  <c r="N7" i="3"/>
  <c r="N121" i="3"/>
  <c r="B197" i="3"/>
  <c r="E197" i="3" s="1"/>
  <c r="E168" i="3"/>
  <c r="E158" i="3"/>
  <c r="N65" i="3"/>
  <c r="C170" i="3"/>
  <c r="N80" i="3"/>
  <c r="B185" i="3"/>
  <c r="W165" i="3"/>
  <c r="H165" i="3"/>
  <c r="J165" i="3"/>
  <c r="L165" i="3"/>
  <c r="L162" i="3"/>
  <c r="J162" i="3"/>
  <c r="W162" i="3"/>
  <c r="H162" i="3"/>
  <c r="L155" i="3"/>
  <c r="H155" i="3"/>
  <c r="W155" i="3"/>
  <c r="J155" i="3"/>
  <c r="L152" i="3"/>
  <c r="H152" i="3"/>
  <c r="J152" i="3"/>
  <c r="J148" i="3"/>
  <c r="L148" i="3"/>
  <c r="W148" i="3"/>
  <c r="J198" i="3"/>
  <c r="N99" i="3"/>
  <c r="N72" i="3"/>
  <c r="S194" i="3"/>
  <c r="T194" i="3"/>
  <c r="U194" i="3"/>
  <c r="B164" i="3"/>
  <c r="N49" i="3"/>
  <c r="D165" i="3"/>
  <c r="C166" i="3"/>
  <c r="N57" i="3"/>
  <c r="B155" i="3"/>
  <c r="E155" i="3" s="1"/>
  <c r="N30" i="3"/>
  <c r="W187" i="3"/>
  <c r="W145" i="3"/>
  <c r="N149" i="3"/>
  <c r="W194" i="3"/>
  <c r="E169" i="3"/>
  <c r="E150" i="3"/>
  <c r="B163" i="3"/>
  <c r="N47" i="3"/>
  <c r="N55" i="3"/>
  <c r="B167" i="3"/>
  <c r="E167" i="3" s="1"/>
  <c r="N58" i="3"/>
  <c r="W181" i="3"/>
  <c r="N101" i="3"/>
  <c r="N111" i="3"/>
  <c r="N75" i="3"/>
  <c r="J144" i="3"/>
  <c r="W183" i="3"/>
  <c r="L183" i="3"/>
  <c r="J179" i="3"/>
  <c r="L179" i="3"/>
  <c r="L175" i="3"/>
  <c r="H175" i="3"/>
  <c r="W175" i="3"/>
  <c r="J171" i="3"/>
  <c r="L171" i="3"/>
  <c r="J164" i="3"/>
  <c r="J161" i="3"/>
  <c r="W161" i="3"/>
  <c r="H161" i="3"/>
  <c r="W147" i="3"/>
  <c r="L147" i="3"/>
  <c r="J147" i="3"/>
  <c r="J197" i="3"/>
  <c r="N123" i="3"/>
  <c r="U178" i="3"/>
  <c r="H171" i="3"/>
  <c r="T183" i="3"/>
  <c r="J183" i="3"/>
  <c r="E190" i="3"/>
  <c r="C173" i="3"/>
  <c r="H177" i="3"/>
  <c r="N177" i="3" s="1"/>
  <c r="C179" i="3"/>
  <c r="D195" i="3"/>
  <c r="D196" i="3"/>
  <c r="E196" i="3" s="1"/>
  <c r="N40" i="3"/>
  <c r="N45" i="3"/>
  <c r="N18" i="3"/>
  <c r="N28" i="3"/>
  <c r="J190" i="3"/>
  <c r="J186" i="3"/>
  <c r="N186" i="3" s="1"/>
  <c r="L167" i="3"/>
  <c r="N167" i="3" s="1"/>
  <c r="H157" i="3"/>
  <c r="N157" i="3" s="1"/>
  <c r="L154" i="3"/>
  <c r="N104" i="3"/>
  <c r="N71" i="3"/>
  <c r="N89" i="3"/>
  <c r="D192" i="3"/>
  <c r="J196" i="3"/>
  <c r="H196" i="3"/>
  <c r="W196" i="3"/>
  <c r="H193" i="3"/>
  <c r="L193" i="3"/>
  <c r="N178" i="3"/>
  <c r="W170" i="3"/>
  <c r="H170" i="3"/>
  <c r="H160" i="3"/>
  <c r="L160" i="3"/>
  <c r="J150" i="3"/>
  <c r="H150" i="3"/>
  <c r="W150" i="3"/>
  <c r="W160" i="3"/>
  <c r="J174" i="3"/>
  <c r="D178" i="3"/>
  <c r="E178" i="3" s="1"/>
  <c r="W178" i="3"/>
  <c r="H183" i="3"/>
  <c r="H179" i="3"/>
  <c r="W144" i="3"/>
  <c r="L144" i="3"/>
  <c r="D185" i="3"/>
  <c r="N91" i="3"/>
  <c r="B183" i="3"/>
  <c r="N102" i="3"/>
  <c r="D193" i="3"/>
  <c r="N115" i="3"/>
  <c r="D162" i="3"/>
  <c r="D146" i="3"/>
  <c r="N13" i="3"/>
  <c r="N26" i="3"/>
  <c r="W189" i="3"/>
  <c r="H189" i="3"/>
  <c r="U177" i="3"/>
  <c r="U175" i="3"/>
  <c r="N33" i="3"/>
  <c r="T175" i="3"/>
  <c r="N146" i="3"/>
  <c r="B159" i="3"/>
  <c r="D176" i="3"/>
  <c r="T182" i="3"/>
  <c r="U182" i="3"/>
  <c r="C186" i="3"/>
  <c r="E186" i="3" s="1"/>
  <c r="B188" i="3"/>
  <c r="E188" i="3" s="1"/>
  <c r="N100" i="3"/>
  <c r="B189" i="3"/>
  <c r="U189" i="3"/>
  <c r="N108" i="3"/>
  <c r="B192" i="3"/>
  <c r="C193" i="3"/>
  <c r="N117" i="3"/>
  <c r="N46" i="3"/>
  <c r="N62" i="3"/>
  <c r="D144" i="3"/>
  <c r="N14" i="3"/>
  <c r="B147" i="3"/>
  <c r="N66" i="3"/>
  <c r="N38" i="3"/>
  <c r="B160" i="3"/>
  <c r="C152" i="3"/>
  <c r="H192" i="3"/>
  <c r="W146" i="3"/>
  <c r="W163" i="3"/>
  <c r="N67" i="3"/>
  <c r="N74" i="3"/>
  <c r="N110" i="3"/>
  <c r="B195" i="3"/>
  <c r="N53" i="3"/>
  <c r="D145" i="3"/>
  <c r="E145" i="3" s="1"/>
  <c r="C148" i="3"/>
  <c r="E148" i="3" s="1"/>
  <c r="J188" i="3"/>
  <c r="H153" i="3"/>
  <c r="N153" i="3" s="1"/>
  <c r="W149" i="3"/>
  <c r="C198" i="3"/>
  <c r="L163" i="3"/>
  <c r="N163" i="3" s="1"/>
  <c r="L192" i="3"/>
  <c r="N68" i="3"/>
  <c r="N84" i="3"/>
  <c r="C187" i="3"/>
  <c r="E187" i="3" s="1"/>
  <c r="N39" i="3"/>
  <c r="D160" i="3"/>
  <c r="C151" i="3"/>
  <c r="E151" i="3" s="1"/>
  <c r="N32" i="3"/>
  <c r="H176" i="3"/>
  <c r="N176" i="3" s="1"/>
  <c r="N6" i="3"/>
  <c r="L198" i="3"/>
  <c r="H198" i="3"/>
  <c r="N14" i="1"/>
  <c r="N43" i="1"/>
  <c r="U155" i="1"/>
  <c r="J159" i="1"/>
  <c r="N159" i="1" s="1"/>
  <c r="N83" i="1"/>
  <c r="N94" i="1"/>
  <c r="D189" i="1"/>
  <c r="B190" i="1"/>
  <c r="N61" i="1"/>
  <c r="N59" i="1"/>
  <c r="N57" i="1"/>
  <c r="C163" i="1"/>
  <c r="C159" i="1"/>
  <c r="C157" i="1"/>
  <c r="N37" i="1"/>
  <c r="N35" i="1"/>
  <c r="N32" i="1"/>
  <c r="B152" i="1"/>
  <c r="B146" i="1"/>
  <c r="W149" i="1"/>
  <c r="W171" i="1"/>
  <c r="J167" i="1"/>
  <c r="L163" i="1"/>
  <c r="W160" i="1"/>
  <c r="W194" i="1"/>
  <c r="T193" i="1"/>
  <c r="W195" i="1"/>
  <c r="U179" i="1"/>
  <c r="N102" i="1"/>
  <c r="N99" i="1"/>
  <c r="C150" i="1"/>
  <c r="H193" i="1"/>
  <c r="W150" i="1"/>
  <c r="H156" i="1"/>
  <c r="N80" i="1"/>
  <c r="B181" i="1"/>
  <c r="N66" i="1"/>
  <c r="N60" i="1"/>
  <c r="N56" i="1"/>
  <c r="D155" i="1"/>
  <c r="N34" i="1"/>
  <c r="D151" i="1"/>
  <c r="N25" i="1"/>
  <c r="N16" i="1"/>
  <c r="D143" i="1"/>
  <c r="W155" i="1"/>
  <c r="W148" i="1"/>
  <c r="W144" i="1"/>
  <c r="W189" i="1"/>
  <c r="J173" i="1"/>
  <c r="D196" i="1"/>
  <c r="U161" i="1"/>
  <c r="N12" i="1"/>
  <c r="C149" i="1"/>
  <c r="S173" i="1"/>
  <c r="N98" i="1"/>
  <c r="C161" i="1"/>
  <c r="D160" i="1"/>
  <c r="B159" i="1"/>
  <c r="C151" i="1"/>
  <c r="N22" i="1"/>
  <c r="C143" i="1"/>
  <c r="N8" i="1"/>
  <c r="H154" i="1"/>
  <c r="J150" i="1"/>
  <c r="H165" i="1"/>
  <c r="W158" i="1"/>
  <c r="L188" i="1"/>
  <c r="W180" i="1"/>
  <c r="W176" i="1"/>
  <c r="C141" i="1"/>
  <c r="D141" i="1"/>
  <c r="B189" i="1"/>
  <c r="D171" i="1"/>
  <c r="W169" i="1"/>
  <c r="L184" i="1"/>
  <c r="H169" i="1"/>
  <c r="C174" i="1"/>
  <c r="B175" i="1"/>
  <c r="N85" i="1"/>
  <c r="N96" i="1"/>
  <c r="C188" i="1"/>
  <c r="N108" i="1"/>
  <c r="N110" i="1"/>
  <c r="D192" i="1"/>
  <c r="B193" i="1"/>
  <c r="C194" i="1"/>
  <c r="N65" i="1"/>
  <c r="D165" i="1"/>
  <c r="L141" i="1"/>
  <c r="L189" i="1"/>
  <c r="B149" i="1"/>
  <c r="B155" i="1"/>
  <c r="T195" i="1"/>
  <c r="C172" i="1"/>
  <c r="D180" i="1"/>
  <c r="N95" i="1"/>
  <c r="D181" i="1"/>
  <c r="N70" i="1"/>
  <c r="D159" i="1"/>
  <c r="D149" i="1"/>
  <c r="C148" i="1"/>
  <c r="W168" i="1"/>
  <c r="J179" i="1"/>
  <c r="W175" i="1"/>
  <c r="U193" i="1"/>
  <c r="B141" i="1"/>
  <c r="N122" i="1"/>
  <c r="D163" i="1"/>
  <c r="U163" i="1"/>
  <c r="S163" i="1"/>
  <c r="U156" i="1"/>
  <c r="S156" i="1"/>
  <c r="H151" i="1"/>
  <c r="J151" i="1"/>
  <c r="L151" i="1"/>
  <c r="W165" i="1"/>
  <c r="W163" i="1"/>
  <c r="T175" i="1"/>
  <c r="N75" i="1"/>
  <c r="B169" i="1"/>
  <c r="N91" i="1"/>
  <c r="U181" i="1"/>
  <c r="S181" i="1"/>
  <c r="U169" i="1"/>
  <c r="S169" i="1"/>
  <c r="T169" i="1"/>
  <c r="B170" i="1"/>
  <c r="N67" i="1"/>
  <c r="W156" i="1"/>
  <c r="W151" i="1"/>
  <c r="B182" i="1"/>
  <c r="L171" i="1"/>
  <c r="J155" i="1"/>
  <c r="L165" i="1"/>
  <c r="N79" i="1"/>
  <c r="L172" i="1"/>
  <c r="T172" i="1"/>
  <c r="C192" i="1"/>
  <c r="T152" i="1"/>
  <c r="U152" i="1"/>
  <c r="N40" i="1"/>
  <c r="N26" i="1"/>
  <c r="J152" i="1"/>
  <c r="W152" i="1"/>
  <c r="H152" i="1"/>
  <c r="L149" i="1"/>
  <c r="H163" i="1"/>
  <c r="J190" i="1"/>
  <c r="W190" i="1"/>
  <c r="L190" i="1"/>
  <c r="W182" i="1"/>
  <c r="L182" i="1"/>
  <c r="W178" i="1"/>
  <c r="L178" i="1"/>
  <c r="H174" i="1"/>
  <c r="J174" i="1"/>
  <c r="W174" i="1"/>
  <c r="J178" i="1"/>
  <c r="L179" i="1"/>
  <c r="H180" i="1"/>
  <c r="J148" i="1"/>
  <c r="H149" i="1"/>
  <c r="L146" i="1"/>
  <c r="N54" i="1"/>
  <c r="T167" i="1"/>
  <c r="J165" i="1"/>
  <c r="U184" i="1"/>
  <c r="T184" i="1"/>
  <c r="D188" i="1"/>
  <c r="T143" i="1"/>
  <c r="U143" i="1"/>
  <c r="L145" i="1"/>
  <c r="W145" i="1"/>
  <c r="J166" i="1"/>
  <c r="L166" i="1"/>
  <c r="B179" i="1"/>
  <c r="L173" i="1"/>
  <c r="L148" i="1"/>
  <c r="H155" i="1"/>
  <c r="E143" i="1"/>
  <c r="U175" i="1"/>
  <c r="U164" i="1"/>
  <c r="T164" i="1"/>
  <c r="N68" i="1"/>
  <c r="B163" i="1"/>
  <c r="N39" i="1"/>
  <c r="H148" i="1"/>
  <c r="L158" i="1"/>
  <c r="J158" i="1"/>
  <c r="H158" i="1"/>
  <c r="N30" i="1"/>
  <c r="N114" i="1"/>
  <c r="N10" i="1"/>
  <c r="N45" i="1"/>
  <c r="C186" i="1"/>
  <c r="C164" i="1"/>
  <c r="N50" i="1"/>
  <c r="D156" i="1"/>
  <c r="N28" i="1"/>
  <c r="N18" i="1"/>
  <c r="J154" i="1"/>
  <c r="J143" i="1"/>
  <c r="L143" i="1"/>
  <c r="L169" i="1"/>
  <c r="J169" i="1"/>
  <c r="J157" i="1"/>
  <c r="L157" i="1"/>
  <c r="W192" i="1"/>
  <c r="L180" i="1"/>
  <c r="J146" i="1"/>
  <c r="H181" i="1"/>
  <c r="W157" i="1"/>
  <c r="N107" i="1"/>
  <c r="L192" i="1"/>
  <c r="N89" i="1"/>
  <c r="N53" i="1"/>
  <c r="S164" i="1"/>
  <c r="D175" i="1"/>
  <c r="C181" i="1"/>
  <c r="S179" i="1"/>
  <c r="T179" i="1"/>
  <c r="B191" i="1"/>
  <c r="E191" i="1" s="1"/>
  <c r="N109" i="1"/>
  <c r="N115" i="1"/>
  <c r="N116" i="1"/>
  <c r="B194" i="1"/>
  <c r="D166" i="1"/>
  <c r="B164" i="1"/>
  <c r="B160" i="1"/>
  <c r="N33" i="1"/>
  <c r="N27" i="1"/>
  <c r="J161" i="1"/>
  <c r="L187" i="1"/>
  <c r="W187" i="1"/>
  <c r="N123" i="1"/>
  <c r="L164" i="1"/>
  <c r="B150" i="1"/>
  <c r="J192" i="1"/>
  <c r="D169" i="1"/>
  <c r="N111" i="1"/>
  <c r="B184" i="1"/>
  <c r="B172" i="1"/>
  <c r="N72" i="1"/>
  <c r="N81" i="1"/>
  <c r="B177" i="1"/>
  <c r="T180" i="1"/>
  <c r="U180" i="1"/>
  <c r="B187" i="1"/>
  <c r="N112" i="1"/>
  <c r="B148" i="1"/>
  <c r="J153" i="1"/>
  <c r="L153" i="1"/>
  <c r="W191" i="1"/>
  <c r="J191" i="1"/>
  <c r="L191" i="1"/>
  <c r="L175" i="1"/>
  <c r="D195" i="1"/>
  <c r="C175" i="1"/>
  <c r="B183" i="1"/>
  <c r="D154" i="1"/>
  <c r="N29" i="1"/>
  <c r="H170" i="1"/>
  <c r="N6" i="1"/>
  <c r="W141" i="1"/>
  <c r="H195" i="1"/>
  <c r="L183" i="1"/>
  <c r="L150" i="1"/>
  <c r="L195" i="1"/>
  <c r="J144" i="1"/>
  <c r="L144" i="1"/>
  <c r="N78" i="1"/>
  <c r="D178" i="1"/>
  <c r="N88" i="1"/>
  <c r="D184" i="1"/>
  <c r="B188" i="1"/>
  <c r="C169" i="1"/>
  <c r="D167" i="1"/>
  <c r="N9" i="1"/>
  <c r="H166" i="1"/>
  <c r="J193" i="1"/>
  <c r="H187" i="1"/>
  <c r="N119" i="1"/>
  <c r="N118" i="1"/>
  <c r="L154" i="1"/>
  <c r="J163" i="1"/>
  <c r="C187" i="1"/>
  <c r="C190" i="1"/>
  <c r="C193" i="1"/>
  <c r="N64" i="1"/>
  <c r="N47" i="1"/>
  <c r="D158" i="1"/>
  <c r="J156" i="1"/>
  <c r="N121" i="1"/>
  <c r="B196" i="1"/>
  <c r="B195" i="1"/>
  <c r="W154" i="1"/>
  <c r="B156" i="1"/>
  <c r="S171" i="1"/>
  <c r="N76" i="1"/>
  <c r="D179" i="1"/>
  <c r="B167" i="1"/>
  <c r="H184" i="1"/>
  <c r="B96" i="28"/>
  <c r="W81" i="38"/>
  <c r="L207" i="10"/>
  <c r="N15" i="7"/>
  <c r="L177" i="7"/>
  <c r="S179" i="7"/>
  <c r="C180" i="3"/>
  <c r="E180" i="3" s="1"/>
  <c r="N112" i="3"/>
  <c r="N155" i="16"/>
  <c r="W177" i="14"/>
  <c r="N175" i="11"/>
  <c r="N109" i="13"/>
  <c r="C170" i="5"/>
  <c r="N73" i="5"/>
  <c r="N76" i="5"/>
  <c r="C171" i="5"/>
  <c r="E171" i="5" s="1"/>
  <c r="N71" i="1"/>
  <c r="D172" i="1"/>
  <c r="B173" i="1"/>
  <c r="N74" i="1"/>
  <c r="B188" i="2"/>
  <c r="N111" i="2"/>
  <c r="N97" i="13"/>
  <c r="D192" i="13"/>
  <c r="J187" i="15"/>
  <c r="L187" i="15"/>
  <c r="N168" i="14"/>
  <c r="B186" i="13"/>
  <c r="W165" i="5"/>
  <c r="L165" i="5"/>
  <c r="J165" i="5"/>
  <c r="L179" i="7"/>
  <c r="N76" i="31"/>
  <c r="B93" i="28"/>
  <c r="N180" i="3"/>
  <c r="D169" i="2"/>
  <c r="H94" i="32"/>
  <c r="J176" i="15"/>
  <c r="N184" i="5"/>
  <c r="N61" i="12"/>
  <c r="N37" i="28"/>
  <c r="T191" i="15"/>
  <c r="B191" i="15"/>
  <c r="S191" i="15"/>
  <c r="N88" i="7"/>
  <c r="D179" i="7"/>
  <c r="B179" i="3"/>
  <c r="N83" i="3"/>
  <c r="U181" i="3"/>
  <c r="S181" i="3"/>
  <c r="T181" i="3"/>
  <c r="H181" i="3"/>
  <c r="J181" i="3"/>
  <c r="L181" i="3"/>
  <c r="H182" i="3"/>
  <c r="S182" i="3"/>
  <c r="J182" i="3"/>
  <c r="B182" i="3"/>
  <c r="W182" i="3"/>
  <c r="D191" i="3"/>
  <c r="T191" i="3"/>
  <c r="S191" i="3"/>
  <c r="L191" i="3"/>
  <c r="H191" i="3"/>
  <c r="C191" i="3"/>
  <c r="U191" i="3"/>
  <c r="B184" i="2"/>
  <c r="N103" i="2"/>
  <c r="B191" i="3"/>
  <c r="C185" i="5"/>
  <c r="N104" i="5"/>
  <c r="E163" i="5"/>
  <c r="N13" i="5"/>
  <c r="B140" i="5"/>
  <c r="E144" i="5"/>
  <c r="J69" i="30"/>
  <c r="H69" i="30"/>
  <c r="H90" i="29"/>
  <c r="J90" i="29"/>
  <c r="L90" i="29"/>
  <c r="J87" i="29"/>
  <c r="H87" i="29"/>
  <c r="L94" i="32"/>
  <c r="N103" i="7"/>
  <c r="N192" i="14"/>
  <c r="H176" i="15"/>
  <c r="W88" i="34"/>
  <c r="S190" i="15"/>
  <c r="U190" i="15"/>
  <c r="T190" i="15"/>
  <c r="B190" i="15"/>
  <c r="H190" i="15"/>
  <c r="J190" i="15"/>
  <c r="N86" i="7"/>
  <c r="B175" i="7"/>
  <c r="E175" i="7" s="1"/>
  <c r="D185" i="1"/>
  <c r="C185" i="1"/>
  <c r="U185" i="1"/>
  <c r="H185" i="1"/>
  <c r="L185" i="1"/>
  <c r="S185" i="1"/>
  <c r="N98" i="2"/>
  <c r="N101" i="2"/>
  <c r="C183" i="2"/>
  <c r="H164" i="1"/>
  <c r="J164" i="1"/>
  <c r="W164" i="1"/>
  <c r="H161" i="1"/>
  <c r="W161" i="1"/>
  <c r="N34" i="37"/>
  <c r="C93" i="37"/>
  <c r="H71" i="30"/>
  <c r="J71" i="30"/>
  <c r="L71" i="30"/>
  <c r="B197" i="13"/>
  <c r="N107" i="13"/>
  <c r="B186" i="2"/>
  <c r="N106" i="2"/>
  <c r="L191" i="15"/>
  <c r="J191" i="15"/>
  <c r="H173" i="15"/>
  <c r="L173" i="15"/>
  <c r="W177" i="7"/>
  <c r="N178" i="21"/>
  <c r="H187" i="15"/>
  <c r="D151" i="5"/>
  <c r="E151" i="5" s="1"/>
  <c r="N36" i="5"/>
  <c r="L184" i="7"/>
  <c r="W184" i="7"/>
  <c r="H184" i="7"/>
  <c r="L194" i="15"/>
  <c r="H194" i="15"/>
  <c r="H197" i="3"/>
  <c r="E142" i="18"/>
  <c r="E145" i="14"/>
  <c r="H191" i="15"/>
  <c r="N23" i="15"/>
  <c r="H164" i="19"/>
  <c r="L164" i="19"/>
  <c r="J164" i="19"/>
  <c r="N71" i="15"/>
  <c r="D180" i="15"/>
  <c r="N73" i="15"/>
  <c r="B181" i="15"/>
  <c r="B188" i="8"/>
  <c r="E188" i="8" s="1"/>
  <c r="N92" i="8"/>
  <c r="S177" i="1"/>
  <c r="T177" i="1"/>
  <c r="U177" i="1"/>
  <c r="D177" i="1"/>
  <c r="W177" i="1"/>
  <c r="C177" i="1"/>
  <c r="H177" i="1"/>
  <c r="J177" i="1"/>
  <c r="N115" i="5"/>
  <c r="D190" i="5"/>
  <c r="E190" i="5" s="1"/>
  <c r="H171" i="1"/>
  <c r="J171" i="1"/>
  <c r="L167" i="1"/>
  <c r="H167" i="1"/>
  <c r="W167" i="1"/>
  <c r="H160" i="1"/>
  <c r="L160" i="1"/>
  <c r="J160" i="1"/>
  <c r="N13" i="32"/>
  <c r="D79" i="32"/>
  <c r="E79" i="32" s="1"/>
  <c r="C116" i="35"/>
  <c r="E116" i="35" s="1"/>
  <c r="N21" i="35"/>
  <c r="L183" i="15"/>
  <c r="J183" i="15"/>
  <c r="H183" i="15"/>
  <c r="U165" i="12"/>
  <c r="T165" i="12"/>
  <c r="S165" i="12"/>
  <c r="L165" i="12"/>
  <c r="D165" i="12"/>
  <c r="B165" i="12"/>
  <c r="J165" i="12"/>
  <c r="H165" i="12"/>
  <c r="C185" i="12"/>
  <c r="E185" i="12" s="1"/>
  <c r="N102" i="12"/>
  <c r="T179" i="7"/>
  <c r="L143" i="19"/>
  <c r="H143" i="19"/>
  <c r="J143" i="19"/>
  <c r="N71" i="13"/>
  <c r="B181" i="13"/>
  <c r="C194" i="13"/>
  <c r="N101" i="13"/>
  <c r="N112" i="15"/>
  <c r="D199" i="15"/>
  <c r="L161" i="14"/>
  <c r="J161" i="14"/>
  <c r="H161" i="14"/>
  <c r="J207" i="10"/>
  <c r="B179" i="7"/>
  <c r="L197" i="3"/>
  <c r="W181" i="21"/>
  <c r="N109" i="3"/>
  <c r="W130" i="35"/>
  <c r="N174" i="22"/>
  <c r="T185" i="1"/>
  <c r="N67" i="15"/>
  <c r="C179" i="15"/>
  <c r="B187" i="8"/>
  <c r="N90" i="8"/>
  <c r="N98" i="5"/>
  <c r="D182" i="5"/>
  <c r="E182" i="5" s="1"/>
  <c r="N87" i="1"/>
  <c r="B180" i="1"/>
  <c r="D147" i="1"/>
  <c r="L147" i="1"/>
  <c r="H147" i="1"/>
  <c r="C147" i="1"/>
  <c r="S147" i="1"/>
  <c r="U147" i="1"/>
  <c r="J147" i="1"/>
  <c r="T147" i="1"/>
  <c r="W147" i="1"/>
  <c r="N63" i="1"/>
  <c r="C168" i="1"/>
  <c r="E168" i="1" s="1"/>
  <c r="C162" i="1"/>
  <c r="N51" i="1"/>
  <c r="C156" i="2"/>
  <c r="N47" i="2"/>
  <c r="N31" i="32"/>
  <c r="C88" i="32"/>
  <c r="N111" i="14"/>
  <c r="C189" i="14"/>
  <c r="J181" i="7"/>
  <c r="W181" i="7"/>
  <c r="L181" i="7"/>
  <c r="H181" i="7"/>
  <c r="J195" i="15"/>
  <c r="L195" i="15"/>
  <c r="H195" i="15"/>
  <c r="J179" i="15"/>
  <c r="L179" i="15"/>
  <c r="H179" i="15"/>
  <c r="B195" i="13"/>
  <c r="J88" i="31"/>
  <c r="L88" i="31"/>
  <c r="H88" i="31"/>
  <c r="N195" i="3"/>
  <c r="N116" i="35"/>
  <c r="E177" i="14"/>
  <c r="N148" i="5"/>
  <c r="J154" i="25"/>
  <c r="H154" i="25"/>
  <c r="L154" i="25"/>
  <c r="B170" i="14"/>
  <c r="E170" i="14" s="1"/>
  <c r="N72" i="14"/>
  <c r="N88" i="14"/>
  <c r="N65" i="15"/>
  <c r="C178" i="15"/>
  <c r="B182" i="8"/>
  <c r="N80" i="8"/>
  <c r="D181" i="5"/>
  <c r="E181" i="5" s="1"/>
  <c r="N97" i="5"/>
  <c r="C173" i="1"/>
  <c r="N73" i="1"/>
  <c r="C190" i="14"/>
  <c r="E163" i="19"/>
  <c r="W98" i="37"/>
  <c r="W187" i="9"/>
  <c r="L158" i="19"/>
  <c r="N155" i="11"/>
  <c r="W186" i="11"/>
  <c r="W170" i="25"/>
  <c r="N83" i="13"/>
  <c r="N87" i="13"/>
  <c r="N90" i="13"/>
  <c r="N103" i="13"/>
  <c r="C195" i="13"/>
  <c r="C196" i="13"/>
  <c r="N87" i="14"/>
  <c r="N91" i="8"/>
  <c r="N96" i="8"/>
  <c r="B178" i="5"/>
  <c r="E178" i="5" s="1"/>
  <c r="N87" i="3"/>
  <c r="N168" i="2"/>
  <c r="N74" i="2"/>
  <c r="B177" i="2"/>
  <c r="N77" i="1"/>
  <c r="L176" i="1"/>
  <c r="D176" i="1"/>
  <c r="U176" i="1"/>
  <c r="N104" i="1"/>
  <c r="N101" i="7"/>
  <c r="C183" i="7"/>
  <c r="T196" i="8"/>
  <c r="U196" i="8"/>
  <c r="S196" i="8"/>
  <c r="C188" i="14"/>
  <c r="E188" i="14" s="1"/>
  <c r="N108" i="7"/>
  <c r="N24" i="5"/>
  <c r="W183" i="5"/>
  <c r="L183" i="5"/>
  <c r="N183" i="5" s="1"/>
  <c r="H156" i="7"/>
  <c r="W156" i="7"/>
  <c r="W148" i="7"/>
  <c r="D166" i="14"/>
  <c r="E166" i="14" s="1"/>
  <c r="N65" i="14"/>
  <c r="N13" i="36"/>
  <c r="B104" i="36"/>
  <c r="N41" i="37"/>
  <c r="D158" i="11"/>
  <c r="E158" i="11" s="1"/>
  <c r="N44" i="11"/>
  <c r="N51" i="11"/>
  <c r="B161" i="11"/>
  <c r="W193" i="22"/>
  <c r="N151" i="11"/>
  <c r="W170" i="11"/>
  <c r="E177" i="11"/>
  <c r="N153" i="11"/>
  <c r="E181" i="19"/>
  <c r="J158" i="19"/>
  <c r="W182" i="25"/>
  <c r="W172" i="23"/>
  <c r="W169" i="23"/>
  <c r="N185" i="23"/>
  <c r="N79" i="13"/>
  <c r="B194" i="13"/>
  <c r="N102" i="13"/>
  <c r="S187" i="8"/>
  <c r="U187" i="8"/>
  <c r="T187" i="8"/>
  <c r="C187" i="8"/>
  <c r="B176" i="7"/>
  <c r="D181" i="7"/>
  <c r="B169" i="5"/>
  <c r="E169" i="5" s="1"/>
  <c r="B174" i="3"/>
  <c r="E174" i="3" s="1"/>
  <c r="B176" i="3"/>
  <c r="S189" i="1"/>
  <c r="J189" i="1"/>
  <c r="U189" i="1"/>
  <c r="N104" i="2"/>
  <c r="B199" i="8"/>
  <c r="N116" i="8"/>
  <c r="C188" i="2"/>
  <c r="N110" i="2"/>
  <c r="N113" i="5"/>
  <c r="N41" i="1"/>
  <c r="D157" i="1"/>
  <c r="N59" i="2"/>
  <c r="D162" i="2"/>
  <c r="N20" i="3"/>
  <c r="N25" i="32"/>
  <c r="D85" i="32"/>
  <c r="E85" i="32" s="1"/>
  <c r="N39" i="34"/>
  <c r="W89" i="38"/>
  <c r="E190" i="9"/>
  <c r="J155" i="19"/>
  <c r="H155" i="19"/>
  <c r="J146" i="17"/>
  <c r="L146" i="17"/>
  <c r="N99" i="13"/>
  <c r="B193" i="13"/>
  <c r="T196" i="13"/>
  <c r="B196" i="13"/>
  <c r="S196" i="13"/>
  <c r="D190" i="15"/>
  <c r="B167" i="5"/>
  <c r="T167" i="5"/>
  <c r="C150" i="2"/>
  <c r="N35" i="2"/>
  <c r="N39" i="8"/>
  <c r="C162" i="8"/>
  <c r="E162" i="8" s="1"/>
  <c r="H200" i="8"/>
  <c r="J200" i="8"/>
  <c r="L200" i="8"/>
  <c r="H196" i="8"/>
  <c r="J196" i="8"/>
  <c r="L196" i="8"/>
  <c r="L192" i="8"/>
  <c r="H192" i="8"/>
  <c r="J192" i="8"/>
  <c r="H188" i="8"/>
  <c r="J188" i="8"/>
  <c r="L188" i="8"/>
  <c r="H184" i="8"/>
  <c r="J184" i="8"/>
  <c r="L184" i="8"/>
  <c r="J180" i="8"/>
  <c r="L180" i="8"/>
  <c r="H180" i="8"/>
  <c r="H176" i="8"/>
  <c r="L176" i="8"/>
  <c r="J176" i="8"/>
  <c r="H172" i="8"/>
  <c r="J172" i="8"/>
  <c r="L172" i="8"/>
  <c r="J151" i="8"/>
  <c r="L151" i="8"/>
  <c r="H151" i="8"/>
  <c r="L92" i="28"/>
  <c r="J92" i="28"/>
  <c r="N108" i="9"/>
  <c r="C198" i="9"/>
  <c r="B179" i="19"/>
  <c r="E179" i="19" s="1"/>
  <c r="N81" i="19"/>
  <c r="J182" i="19"/>
  <c r="H182" i="19"/>
  <c r="L182" i="19"/>
  <c r="H146" i="19"/>
  <c r="J146" i="19"/>
  <c r="L146" i="19"/>
  <c r="D178" i="7"/>
  <c r="E178" i="7" s="1"/>
  <c r="L173" i="3"/>
  <c r="J173" i="3"/>
  <c r="U173" i="3"/>
  <c r="D181" i="3"/>
  <c r="C182" i="3"/>
  <c r="B185" i="1"/>
  <c r="D186" i="5"/>
  <c r="E186" i="5" s="1"/>
  <c r="N112" i="8"/>
  <c r="B197" i="8"/>
  <c r="U160" i="1"/>
  <c r="C160" i="1"/>
  <c r="T160" i="1"/>
  <c r="C148" i="7"/>
  <c r="N31" i="7"/>
  <c r="C176" i="8"/>
  <c r="E176" i="8" s="1"/>
  <c r="N69" i="8"/>
  <c r="E150" i="8"/>
  <c r="N10" i="31"/>
  <c r="D75" i="31"/>
  <c r="E75" i="31" s="1"/>
  <c r="C194" i="9"/>
  <c r="N99" i="9"/>
  <c r="E77" i="31"/>
  <c r="W166" i="9"/>
  <c r="W186" i="25"/>
  <c r="W158" i="25"/>
  <c r="E164" i="24"/>
  <c r="N166" i="23"/>
  <c r="C187" i="13"/>
  <c r="D189" i="13"/>
  <c r="C192" i="13"/>
  <c r="U192" i="13"/>
  <c r="T192" i="13"/>
  <c r="B192" i="13"/>
  <c r="L192" i="13"/>
  <c r="D196" i="13"/>
  <c r="C184" i="14"/>
  <c r="E184" i="14" s="1"/>
  <c r="C178" i="8"/>
  <c r="E178" i="8" s="1"/>
  <c r="D186" i="8"/>
  <c r="E186" i="8" s="1"/>
  <c r="N88" i="8"/>
  <c r="N93" i="5"/>
  <c r="N96" i="3"/>
  <c r="N99" i="7"/>
  <c r="C189" i="1"/>
  <c r="T192" i="1"/>
  <c r="S192" i="1"/>
  <c r="B200" i="8"/>
  <c r="N118" i="8"/>
  <c r="N31" i="1"/>
  <c r="C152" i="1"/>
  <c r="N31" i="2"/>
  <c r="D149" i="2"/>
  <c r="N33" i="2"/>
  <c r="N21" i="30"/>
  <c r="N32" i="30"/>
  <c r="N21" i="32"/>
  <c r="D83" i="32"/>
  <c r="E83" i="32" s="1"/>
  <c r="L86" i="32"/>
  <c r="J86" i="32"/>
  <c r="H86" i="32"/>
  <c r="N69" i="3"/>
  <c r="D173" i="3"/>
  <c r="N86" i="3"/>
  <c r="C181" i="3"/>
  <c r="C184" i="3"/>
  <c r="E184" i="3" s="1"/>
  <c r="N75" i="2"/>
  <c r="D170" i="2"/>
  <c r="N86" i="1"/>
  <c r="B195" i="8"/>
  <c r="N108" i="8"/>
  <c r="N106" i="1"/>
  <c r="N116" i="13"/>
  <c r="N113" i="1"/>
  <c r="B157" i="1"/>
  <c r="N42" i="1"/>
  <c r="J186" i="1"/>
  <c r="W186" i="1"/>
  <c r="H186" i="1"/>
  <c r="L186" i="1"/>
  <c r="W173" i="5"/>
  <c r="N42" i="8"/>
  <c r="B164" i="8"/>
  <c r="S161" i="11"/>
  <c r="U161" i="11"/>
  <c r="C161" i="11"/>
  <c r="J161" i="11"/>
  <c r="D161" i="11"/>
  <c r="H161" i="11"/>
  <c r="L161" i="11"/>
  <c r="H162" i="11"/>
  <c r="L162" i="11"/>
  <c r="J162" i="11"/>
  <c r="B168" i="11"/>
  <c r="N65" i="11"/>
  <c r="W193" i="19"/>
  <c r="C172" i="14"/>
  <c r="E172" i="14" s="1"/>
  <c r="S178" i="8"/>
  <c r="T178" i="8"/>
  <c r="U178" i="8"/>
  <c r="B181" i="8"/>
  <c r="S186" i="8"/>
  <c r="T186" i="8"/>
  <c r="U186" i="8"/>
  <c r="D191" i="8"/>
  <c r="D192" i="8"/>
  <c r="D193" i="8"/>
  <c r="C167" i="5"/>
  <c r="B178" i="1"/>
  <c r="S194" i="8"/>
  <c r="T194" i="8"/>
  <c r="U194" i="8"/>
  <c r="C195" i="8"/>
  <c r="B196" i="8"/>
  <c r="N110" i="8"/>
  <c r="D197" i="8"/>
  <c r="B198" i="8"/>
  <c r="N114" i="8"/>
  <c r="D199" i="8"/>
  <c r="D164" i="1"/>
  <c r="D145" i="1"/>
  <c r="N21" i="1"/>
  <c r="N57" i="2"/>
  <c r="N49" i="2"/>
  <c r="C159" i="3"/>
  <c r="H172" i="1"/>
  <c r="W146" i="2"/>
  <c r="W142" i="2"/>
  <c r="H174" i="3"/>
  <c r="J170" i="3"/>
  <c r="B166" i="5"/>
  <c r="N65" i="5"/>
  <c r="T165" i="5"/>
  <c r="S165" i="5"/>
  <c r="C140" i="5"/>
  <c r="U140" i="5"/>
  <c r="L153" i="7"/>
  <c r="H149" i="7"/>
  <c r="J149" i="7"/>
  <c r="W149" i="7"/>
  <c r="D152" i="8"/>
  <c r="E152" i="8" s="1"/>
  <c r="N26" i="8"/>
  <c r="L169" i="8"/>
  <c r="H169" i="8"/>
  <c r="J169" i="8"/>
  <c r="L165" i="8"/>
  <c r="H165" i="8"/>
  <c r="J165" i="8"/>
  <c r="L159" i="8"/>
  <c r="J159" i="8"/>
  <c r="H159" i="8"/>
  <c r="J155" i="8"/>
  <c r="L155" i="8"/>
  <c r="H155" i="8"/>
  <c r="J202" i="15"/>
  <c r="B154" i="14"/>
  <c r="D149" i="14"/>
  <c r="E149" i="14" s="1"/>
  <c r="J148" i="14"/>
  <c r="N148" i="14" s="1"/>
  <c r="N164" i="2"/>
  <c r="N70" i="13"/>
  <c r="B94" i="28"/>
  <c r="N53" i="28"/>
  <c r="N55" i="28"/>
  <c r="C105" i="28"/>
  <c r="D95" i="29"/>
  <c r="E95" i="29" s="1"/>
  <c r="N30" i="31"/>
  <c r="C84" i="31"/>
  <c r="E84" i="31" s="1"/>
  <c r="N37" i="31"/>
  <c r="B78" i="32"/>
  <c r="D81" i="32"/>
  <c r="C84" i="32"/>
  <c r="C89" i="32"/>
  <c r="E89" i="32" s="1"/>
  <c r="N30" i="34"/>
  <c r="D89" i="34"/>
  <c r="N29" i="37"/>
  <c r="D91" i="37"/>
  <c r="D99" i="37"/>
  <c r="N39" i="28"/>
  <c r="L83" i="32"/>
  <c r="N83" i="32" s="1"/>
  <c r="J78" i="34"/>
  <c r="L78" i="34"/>
  <c r="H163" i="10"/>
  <c r="L163" i="10"/>
  <c r="D163" i="10"/>
  <c r="W173" i="9"/>
  <c r="W144" i="19"/>
  <c r="S170" i="14"/>
  <c r="W170" i="14" s="1"/>
  <c r="T182" i="8"/>
  <c r="S182" i="8"/>
  <c r="U182" i="8"/>
  <c r="B121" i="6"/>
  <c r="B168" i="5"/>
  <c r="C168" i="5"/>
  <c r="N89" i="5"/>
  <c r="N106" i="8"/>
  <c r="B194" i="8"/>
  <c r="B187" i="5"/>
  <c r="N115" i="8"/>
  <c r="B194" i="3"/>
  <c r="C200" i="8"/>
  <c r="N120" i="8"/>
  <c r="B201" i="8"/>
  <c r="C164" i="2"/>
  <c r="C140" i="2"/>
  <c r="B162" i="3"/>
  <c r="H145" i="1"/>
  <c r="H188" i="1"/>
  <c r="W188" i="1"/>
  <c r="L174" i="1"/>
  <c r="J169" i="3"/>
  <c r="N169" i="3" s="1"/>
  <c r="N11" i="5"/>
  <c r="N32" i="5"/>
  <c r="N60" i="7"/>
  <c r="U138" i="7"/>
  <c r="D138" i="7"/>
  <c r="W187" i="7"/>
  <c r="L187" i="7"/>
  <c r="N63" i="8"/>
  <c r="N25" i="15"/>
  <c r="B162" i="14"/>
  <c r="N46" i="31"/>
  <c r="N34" i="32"/>
  <c r="E92" i="32"/>
  <c r="B93" i="32"/>
  <c r="E93" i="32" s="1"/>
  <c r="E95" i="32"/>
  <c r="N50" i="32"/>
  <c r="N36" i="34"/>
  <c r="C94" i="34"/>
  <c r="N22" i="37"/>
  <c r="L74" i="30"/>
  <c r="L92" i="29"/>
  <c r="J86" i="29"/>
  <c r="N86" i="29" s="1"/>
  <c r="L90" i="31"/>
  <c r="L87" i="31"/>
  <c r="H97" i="32"/>
  <c r="J97" i="32"/>
  <c r="H79" i="32"/>
  <c r="L79" i="32"/>
  <c r="U184" i="12"/>
  <c r="L184" i="12"/>
  <c r="H184" i="12"/>
  <c r="D187" i="10"/>
  <c r="J201" i="9"/>
  <c r="H201" i="9"/>
  <c r="L201" i="9"/>
  <c r="T188" i="8"/>
  <c r="U188" i="8"/>
  <c r="S188" i="8"/>
  <c r="N105" i="8"/>
  <c r="J185" i="3"/>
  <c r="W185" i="3"/>
  <c r="C183" i="5"/>
  <c r="E183" i="5" s="1"/>
  <c r="N109" i="5"/>
  <c r="D170" i="1"/>
  <c r="D148" i="1"/>
  <c r="J181" i="1"/>
  <c r="W181" i="1"/>
  <c r="L181" i="1"/>
  <c r="L172" i="5"/>
  <c r="D164" i="8"/>
  <c r="L193" i="15"/>
  <c r="D153" i="14"/>
  <c r="E153" i="14" s="1"/>
  <c r="N25" i="14"/>
  <c r="J77" i="30"/>
  <c r="H77" i="30"/>
  <c r="D188" i="12"/>
  <c r="U183" i="8"/>
  <c r="S183" i="8"/>
  <c r="T183" i="8"/>
  <c r="B184" i="8"/>
  <c r="E184" i="8" s="1"/>
  <c r="B189" i="8"/>
  <c r="E189" i="8" s="1"/>
  <c r="B190" i="8"/>
  <c r="N104" i="8"/>
  <c r="E193" i="8"/>
  <c r="D174" i="1"/>
  <c r="C179" i="1"/>
  <c r="N111" i="8"/>
  <c r="N113" i="8"/>
  <c r="N117" i="8"/>
  <c r="C201" i="8"/>
  <c r="N23" i="2"/>
  <c r="N29" i="3"/>
  <c r="B154" i="5"/>
  <c r="N41" i="5"/>
  <c r="J149" i="5"/>
  <c r="N149" i="5" s="1"/>
  <c r="D149" i="5"/>
  <c r="E149" i="5" s="1"/>
  <c r="S149" i="5"/>
  <c r="N17" i="7"/>
  <c r="J175" i="7"/>
  <c r="N175" i="7" s="1"/>
  <c r="J143" i="7"/>
  <c r="B161" i="15"/>
  <c r="B82" i="32"/>
  <c r="E82" i="32" s="1"/>
  <c r="N51" i="34"/>
  <c r="N51" i="36"/>
  <c r="D120" i="36"/>
  <c r="N53" i="37"/>
  <c r="L94" i="28"/>
  <c r="H94" i="28"/>
  <c r="J94" i="28"/>
  <c r="U188" i="9"/>
  <c r="S188" i="9"/>
  <c r="T188" i="9"/>
  <c r="N147" i="21"/>
  <c r="E180" i="9"/>
  <c r="S179" i="8"/>
  <c r="U179" i="8"/>
  <c r="T179" i="8"/>
  <c r="B180" i="8"/>
  <c r="T184" i="8"/>
  <c r="U184" i="8"/>
  <c r="S184" i="8"/>
  <c r="D190" i="8"/>
  <c r="T190" i="8"/>
  <c r="S190" i="8"/>
  <c r="U190" i="8"/>
  <c r="N103" i="8"/>
  <c r="T179" i="5"/>
  <c r="U179" i="5"/>
  <c r="S179" i="5"/>
  <c r="N107" i="8"/>
  <c r="N109" i="8"/>
  <c r="D196" i="8"/>
  <c r="D198" i="8"/>
  <c r="U199" i="8"/>
  <c r="S199" i="8"/>
  <c r="T199" i="8"/>
  <c r="C171" i="1"/>
  <c r="N62" i="1"/>
  <c r="B147" i="1"/>
  <c r="D166" i="3"/>
  <c r="N22" i="3"/>
  <c r="D153" i="3"/>
  <c r="E153" i="3" s="1"/>
  <c r="C157" i="3"/>
  <c r="E157" i="3" s="1"/>
  <c r="N54" i="3"/>
  <c r="W193" i="1"/>
  <c r="J180" i="1"/>
  <c r="J176" i="1"/>
  <c r="W152" i="3"/>
  <c r="C154" i="5"/>
  <c r="C164" i="7"/>
  <c r="N40" i="7"/>
  <c r="C141" i="7"/>
  <c r="E141" i="7" s="1"/>
  <c r="H182" i="7"/>
  <c r="J163" i="7"/>
  <c r="L154" i="7"/>
  <c r="H154" i="7"/>
  <c r="W154" i="7"/>
  <c r="J154" i="7"/>
  <c r="W150" i="7"/>
  <c r="H139" i="7"/>
  <c r="L139" i="7"/>
  <c r="N9" i="8"/>
  <c r="N20" i="8"/>
  <c r="C154" i="8"/>
  <c r="C159" i="15"/>
  <c r="N67" i="14"/>
  <c r="N144" i="2"/>
  <c r="N46" i="28"/>
  <c r="D96" i="29"/>
  <c r="E96" i="29" s="1"/>
  <c r="C74" i="30"/>
  <c r="E74" i="30" s="1"/>
  <c r="B74" i="31"/>
  <c r="N25" i="31"/>
  <c r="N23" i="32"/>
  <c r="B84" i="32"/>
  <c r="B86" i="32"/>
  <c r="E86" i="32" s="1"/>
  <c r="N27" i="32"/>
  <c r="N37" i="32"/>
  <c r="D91" i="32"/>
  <c r="D97" i="32"/>
  <c r="E97" i="32" s="1"/>
  <c r="N33" i="34"/>
  <c r="C89" i="34"/>
  <c r="N49" i="34"/>
  <c r="N36" i="35"/>
  <c r="B121" i="35"/>
  <c r="N50" i="28"/>
  <c r="L84" i="32"/>
  <c r="J84" i="32"/>
  <c r="L172" i="11"/>
  <c r="J172" i="11"/>
  <c r="N115" i="11"/>
  <c r="D204" i="10"/>
  <c r="C188" i="9"/>
  <c r="U170" i="21"/>
  <c r="S170" i="21"/>
  <c r="T170" i="21"/>
  <c r="H170" i="21"/>
  <c r="B184" i="13"/>
  <c r="T180" i="8"/>
  <c r="U180" i="8"/>
  <c r="S180" i="8"/>
  <c r="L180" i="5"/>
  <c r="N180" i="5" s="1"/>
  <c r="S180" i="5"/>
  <c r="B186" i="1"/>
  <c r="D195" i="8"/>
  <c r="C196" i="8"/>
  <c r="C198" i="8"/>
  <c r="B171" i="1"/>
  <c r="B165" i="1"/>
  <c r="D150" i="1"/>
  <c r="C139" i="2"/>
  <c r="C144" i="3"/>
  <c r="E144" i="3" s="1"/>
  <c r="N27" i="3"/>
  <c r="C165" i="3"/>
  <c r="W183" i="1"/>
  <c r="W164" i="5"/>
  <c r="U164" i="5"/>
  <c r="S164" i="5"/>
  <c r="C143" i="7"/>
  <c r="L142" i="7"/>
  <c r="J142" i="7"/>
  <c r="H142" i="7"/>
  <c r="B160" i="8"/>
  <c r="C166" i="15"/>
  <c r="D152" i="15"/>
  <c r="E152" i="15" s="1"/>
  <c r="N23" i="30"/>
  <c r="C75" i="30"/>
  <c r="D83" i="31"/>
  <c r="E83" i="31" s="1"/>
  <c r="N40" i="32"/>
  <c r="N20" i="34"/>
  <c r="D92" i="37"/>
  <c r="D88" i="38"/>
  <c r="C92" i="38"/>
  <c r="N37" i="38"/>
  <c r="B93" i="38"/>
  <c r="H103" i="28"/>
  <c r="L103" i="28"/>
  <c r="H84" i="28"/>
  <c r="L84" i="28"/>
  <c r="C90" i="34"/>
  <c r="E90" i="34" s="1"/>
  <c r="H191" i="13"/>
  <c r="N168" i="12"/>
  <c r="C158" i="1"/>
  <c r="D146" i="1"/>
  <c r="C156" i="3"/>
  <c r="E156" i="3" s="1"/>
  <c r="H175" i="1"/>
  <c r="H151" i="5"/>
  <c r="N151" i="5" s="1"/>
  <c r="L147" i="7"/>
  <c r="N147" i="7" s="1"/>
  <c r="L201" i="8"/>
  <c r="H201" i="8"/>
  <c r="J201" i="8"/>
  <c r="L197" i="8"/>
  <c r="H197" i="8"/>
  <c r="J197" i="8"/>
  <c r="L193" i="8"/>
  <c r="H193" i="8"/>
  <c r="J193" i="8"/>
  <c r="L189" i="8"/>
  <c r="H189" i="8"/>
  <c r="J189" i="8"/>
  <c r="L185" i="8"/>
  <c r="J185" i="8"/>
  <c r="H185" i="8"/>
  <c r="L181" i="8"/>
  <c r="J181" i="8"/>
  <c r="H181" i="8"/>
  <c r="L177" i="8"/>
  <c r="J177" i="8"/>
  <c r="H177" i="8"/>
  <c r="L173" i="8"/>
  <c r="H173" i="8"/>
  <c r="J173" i="8"/>
  <c r="J162" i="8"/>
  <c r="H162" i="8"/>
  <c r="L162" i="8"/>
  <c r="J152" i="8"/>
  <c r="L152" i="8"/>
  <c r="H152" i="8"/>
  <c r="L179" i="14"/>
  <c r="N179" i="14" s="1"/>
  <c r="H159" i="14"/>
  <c r="L159" i="14"/>
  <c r="B89" i="28"/>
  <c r="N7" i="31"/>
  <c r="B81" i="31"/>
  <c r="E81" i="31" s="1"/>
  <c r="D86" i="31"/>
  <c r="E86" i="31" s="1"/>
  <c r="N48" i="32"/>
  <c r="C86" i="34"/>
  <c r="N7" i="38"/>
  <c r="C83" i="38"/>
  <c r="N15" i="38"/>
  <c r="C91" i="38"/>
  <c r="D97" i="38"/>
  <c r="J99" i="28"/>
  <c r="L99" i="28"/>
  <c r="L90" i="28"/>
  <c r="J80" i="32"/>
  <c r="C117" i="36"/>
  <c r="H101" i="37"/>
  <c r="B139" i="12"/>
  <c r="N32" i="12"/>
  <c r="N42" i="12"/>
  <c r="N45" i="12"/>
  <c r="B161" i="12"/>
  <c r="N110" i="12"/>
  <c r="N140" i="12"/>
  <c r="N174" i="12"/>
  <c r="N17" i="11"/>
  <c r="S145" i="11"/>
  <c r="C145" i="11"/>
  <c r="E145" i="11" s="1"/>
  <c r="U145" i="11"/>
  <c r="N29" i="11"/>
  <c r="D151" i="11"/>
  <c r="E151" i="11" s="1"/>
  <c r="U157" i="11"/>
  <c r="C157" i="11"/>
  <c r="T157" i="11"/>
  <c r="B166" i="11"/>
  <c r="E166" i="11" s="1"/>
  <c r="D173" i="11"/>
  <c r="D190" i="11"/>
  <c r="E190" i="11" s="1"/>
  <c r="D191" i="11"/>
  <c r="W152" i="11"/>
  <c r="B179" i="10"/>
  <c r="C181" i="10"/>
  <c r="H182" i="10"/>
  <c r="N124" i="10"/>
  <c r="N16" i="9"/>
  <c r="D185" i="9"/>
  <c r="E185" i="9" s="1"/>
  <c r="B187" i="9"/>
  <c r="L187" i="9"/>
  <c r="N187" i="9" s="1"/>
  <c r="H195" i="9"/>
  <c r="N195" i="9" s="1"/>
  <c r="D195" i="9"/>
  <c r="J197" i="9"/>
  <c r="N117" i="9"/>
  <c r="W158" i="9"/>
  <c r="N9" i="21"/>
  <c r="N16" i="21"/>
  <c r="N31" i="21"/>
  <c r="B146" i="21"/>
  <c r="J153" i="21"/>
  <c r="H153" i="21"/>
  <c r="W160" i="19"/>
  <c r="L193" i="1"/>
  <c r="J172" i="1"/>
  <c r="J166" i="3"/>
  <c r="N166" i="3" s="1"/>
  <c r="B155" i="5"/>
  <c r="E155" i="5" s="1"/>
  <c r="T159" i="5"/>
  <c r="U145" i="5"/>
  <c r="H188" i="5"/>
  <c r="J188" i="5"/>
  <c r="D147" i="7"/>
  <c r="N9" i="7"/>
  <c r="L146" i="7"/>
  <c r="H146" i="7"/>
  <c r="H168" i="8"/>
  <c r="J168" i="8"/>
  <c r="L168" i="8"/>
  <c r="J161" i="8"/>
  <c r="L161" i="8"/>
  <c r="H161" i="8"/>
  <c r="J158" i="8"/>
  <c r="L158" i="8"/>
  <c r="H158" i="8"/>
  <c r="L154" i="8"/>
  <c r="J154" i="8"/>
  <c r="H154" i="8"/>
  <c r="L155" i="14"/>
  <c r="N155" i="14" s="1"/>
  <c r="C90" i="28"/>
  <c r="N40" i="28"/>
  <c r="N15" i="30"/>
  <c r="D90" i="31"/>
  <c r="E90" i="31" s="1"/>
  <c r="B93" i="31"/>
  <c r="E93" i="31" s="1"/>
  <c r="B91" i="34"/>
  <c r="N23" i="36"/>
  <c r="D109" i="36"/>
  <c r="C86" i="38"/>
  <c r="N26" i="38"/>
  <c r="C95" i="38"/>
  <c r="H97" i="29"/>
  <c r="N97" i="29" s="1"/>
  <c r="N16" i="32"/>
  <c r="H87" i="34"/>
  <c r="J87" i="34"/>
  <c r="B122" i="36"/>
  <c r="H104" i="36"/>
  <c r="L104" i="36"/>
  <c r="D183" i="13"/>
  <c r="N38" i="12"/>
  <c r="N52" i="12"/>
  <c r="C160" i="12"/>
  <c r="L187" i="12"/>
  <c r="D187" i="12"/>
  <c r="T187" i="12"/>
  <c r="N185" i="12"/>
  <c r="L186" i="11"/>
  <c r="N186" i="11" s="1"/>
  <c r="U191" i="11"/>
  <c r="T191" i="11"/>
  <c r="S191" i="11"/>
  <c r="N14" i="10"/>
  <c r="B191" i="10"/>
  <c r="N121" i="10"/>
  <c r="D211" i="10"/>
  <c r="C211" i="10"/>
  <c r="N15" i="9"/>
  <c r="N22" i="9"/>
  <c r="N51" i="9"/>
  <c r="N56" i="9"/>
  <c r="D175" i="9"/>
  <c r="D188" i="9"/>
  <c r="W154" i="9"/>
  <c r="N13" i="21"/>
  <c r="N70" i="19"/>
  <c r="N86" i="23"/>
  <c r="J170" i="1"/>
  <c r="L170" i="1"/>
  <c r="J185" i="1"/>
  <c r="J169" i="5"/>
  <c r="J153" i="7"/>
  <c r="L143" i="7"/>
  <c r="H199" i="8"/>
  <c r="J199" i="8"/>
  <c r="L199" i="8"/>
  <c r="J195" i="8"/>
  <c r="H195" i="8"/>
  <c r="L195" i="8"/>
  <c r="J191" i="8"/>
  <c r="L191" i="8"/>
  <c r="H191" i="8"/>
  <c r="H187" i="8"/>
  <c r="J187" i="8"/>
  <c r="L187" i="8"/>
  <c r="J183" i="8"/>
  <c r="L183" i="8"/>
  <c r="H183" i="8"/>
  <c r="J179" i="8"/>
  <c r="L179" i="8"/>
  <c r="H179" i="8"/>
  <c r="H175" i="8"/>
  <c r="J175" i="8"/>
  <c r="L175" i="8"/>
  <c r="J164" i="8"/>
  <c r="H164" i="8"/>
  <c r="L164" i="8"/>
  <c r="L153" i="8"/>
  <c r="H153" i="8"/>
  <c r="J153" i="8"/>
  <c r="L150" i="8"/>
  <c r="J150" i="8"/>
  <c r="H150" i="8"/>
  <c r="D91" i="38"/>
  <c r="J96" i="28"/>
  <c r="H96" i="28"/>
  <c r="J87" i="31"/>
  <c r="D92" i="34"/>
  <c r="H90" i="34"/>
  <c r="J77" i="34"/>
  <c r="H77" i="34"/>
  <c r="J175" i="1"/>
  <c r="B183" i="13"/>
  <c r="H179" i="13"/>
  <c r="H143" i="7"/>
  <c r="J137" i="7"/>
  <c r="E157" i="12"/>
  <c r="N26" i="11"/>
  <c r="C149" i="11"/>
  <c r="J148" i="11"/>
  <c r="U169" i="10"/>
  <c r="D169" i="10"/>
  <c r="S169" i="10"/>
  <c r="N102" i="21"/>
  <c r="B182" i="21"/>
  <c r="E182" i="21" s="1"/>
  <c r="N172" i="19"/>
  <c r="C154" i="1"/>
  <c r="L142" i="1"/>
  <c r="W142" i="1"/>
  <c r="H142" i="1"/>
  <c r="J187" i="1"/>
  <c r="J182" i="1"/>
  <c r="H182" i="1"/>
  <c r="H164" i="3"/>
  <c r="N164" i="3" s="1"/>
  <c r="H181" i="5"/>
  <c r="W188" i="7"/>
  <c r="W161" i="7"/>
  <c r="H150" i="7"/>
  <c r="H148" i="7"/>
  <c r="N148" i="7" s="1"/>
  <c r="N66" i="8"/>
  <c r="J171" i="8"/>
  <c r="L171" i="8"/>
  <c r="H171" i="8"/>
  <c r="H167" i="8"/>
  <c r="J167" i="8"/>
  <c r="L167" i="8"/>
  <c r="J157" i="8"/>
  <c r="L157" i="8"/>
  <c r="H157" i="8"/>
  <c r="B150" i="14"/>
  <c r="H191" i="14"/>
  <c r="J191" i="14"/>
  <c r="L191" i="14"/>
  <c r="B92" i="38"/>
  <c r="H84" i="31"/>
  <c r="L84" i="31"/>
  <c r="L80" i="32"/>
  <c r="J86" i="34"/>
  <c r="N86" i="34" s="1"/>
  <c r="H93" i="37"/>
  <c r="J93" i="37"/>
  <c r="B142" i="12"/>
  <c r="N89" i="12"/>
  <c r="N103" i="12"/>
  <c r="D149" i="11"/>
  <c r="D187" i="11"/>
  <c r="L148" i="11"/>
  <c r="W158" i="11"/>
  <c r="B177" i="9"/>
  <c r="N61" i="9"/>
  <c r="C184" i="9"/>
  <c r="N75" i="9"/>
  <c r="L142" i="24"/>
  <c r="H142" i="24"/>
  <c r="J142" i="24"/>
  <c r="B154" i="1"/>
  <c r="H194" i="1"/>
  <c r="L194" i="1"/>
  <c r="H192" i="1"/>
  <c r="H173" i="1"/>
  <c r="N49" i="5"/>
  <c r="B145" i="5"/>
  <c r="E145" i="5" s="1"/>
  <c r="L159" i="7"/>
  <c r="J157" i="7"/>
  <c r="L157" i="7"/>
  <c r="H157" i="7"/>
  <c r="D149" i="8"/>
  <c r="E149" i="8" s="1"/>
  <c r="D154" i="8"/>
  <c r="J149" i="8"/>
  <c r="H149" i="8"/>
  <c r="J198" i="8"/>
  <c r="H198" i="8"/>
  <c r="L198" i="8"/>
  <c r="J194" i="8"/>
  <c r="L194" i="8"/>
  <c r="H194" i="8"/>
  <c r="J190" i="8"/>
  <c r="L190" i="8"/>
  <c r="H190" i="8"/>
  <c r="J186" i="8"/>
  <c r="L186" i="8"/>
  <c r="H186" i="8"/>
  <c r="J182" i="8"/>
  <c r="L182" i="8"/>
  <c r="H182" i="8"/>
  <c r="H178" i="8"/>
  <c r="J178" i="8"/>
  <c r="L178" i="8"/>
  <c r="J174" i="8"/>
  <c r="L174" i="8"/>
  <c r="H174" i="8"/>
  <c r="H163" i="8"/>
  <c r="J163" i="8"/>
  <c r="L163" i="8"/>
  <c r="L160" i="8"/>
  <c r="H160" i="8"/>
  <c r="J160" i="8"/>
  <c r="J144" i="14"/>
  <c r="N144" i="14" s="1"/>
  <c r="D80" i="34"/>
  <c r="N44" i="38"/>
  <c r="N51" i="38"/>
  <c r="H88" i="28"/>
  <c r="L88" i="28"/>
  <c r="L98" i="32"/>
  <c r="H98" i="32"/>
  <c r="J98" i="32"/>
  <c r="L89" i="34"/>
  <c r="J89" i="34"/>
  <c r="C120" i="36"/>
  <c r="J152" i="12"/>
  <c r="D152" i="12"/>
  <c r="L152" i="12"/>
  <c r="U152" i="12"/>
  <c r="J182" i="12"/>
  <c r="C182" i="12"/>
  <c r="S182" i="12"/>
  <c r="N105" i="12"/>
  <c r="W155" i="12"/>
  <c r="N178" i="12"/>
  <c r="N10" i="11"/>
  <c r="W192" i="11"/>
  <c r="D159" i="10"/>
  <c r="D167" i="10"/>
  <c r="N40" i="10"/>
  <c r="N49" i="10"/>
  <c r="C182" i="10"/>
  <c r="N76" i="10"/>
  <c r="N80" i="10"/>
  <c r="N92" i="10"/>
  <c r="C165" i="9"/>
  <c r="J168" i="9"/>
  <c r="U179" i="9"/>
  <c r="S179" i="9"/>
  <c r="B199" i="9"/>
  <c r="N111" i="9"/>
  <c r="C137" i="21"/>
  <c r="D145" i="21"/>
  <c r="D154" i="17"/>
  <c r="N96" i="25"/>
  <c r="B180" i="25"/>
  <c r="E180" i="25" s="1"/>
  <c r="D152" i="1"/>
  <c r="L162" i="1"/>
  <c r="J162" i="1"/>
  <c r="W162" i="1"/>
  <c r="H189" i="1"/>
  <c r="J184" i="1"/>
  <c r="H138" i="5"/>
  <c r="N138" i="5" s="1"/>
  <c r="H137" i="7"/>
  <c r="L188" i="7"/>
  <c r="J145" i="7"/>
  <c r="L145" i="7"/>
  <c r="N13" i="8"/>
  <c r="N18" i="8"/>
  <c r="J170" i="8"/>
  <c r="L170" i="8"/>
  <c r="H170" i="8"/>
  <c r="J166" i="8"/>
  <c r="H166" i="8"/>
  <c r="L166" i="8"/>
  <c r="J156" i="8"/>
  <c r="L156" i="8"/>
  <c r="H156" i="8"/>
  <c r="B89" i="31"/>
  <c r="E89" i="31" s="1"/>
  <c r="N7" i="34"/>
  <c r="N12" i="38"/>
  <c r="D84" i="38"/>
  <c r="H93" i="29"/>
  <c r="J91" i="31"/>
  <c r="N91" i="31" s="1"/>
  <c r="J86" i="31"/>
  <c r="L77" i="32"/>
  <c r="H77" i="32"/>
  <c r="L92" i="34"/>
  <c r="L204" i="13"/>
  <c r="H187" i="13"/>
  <c r="L169" i="5"/>
  <c r="N8" i="12"/>
  <c r="C138" i="12"/>
  <c r="N53" i="12"/>
  <c r="C165" i="12"/>
  <c r="N83" i="12"/>
  <c r="C184" i="12"/>
  <c r="E184" i="12" s="1"/>
  <c r="L140" i="11"/>
  <c r="J140" i="11"/>
  <c r="N98" i="11"/>
  <c r="N104" i="11"/>
  <c r="N107" i="11"/>
  <c r="D189" i="11"/>
  <c r="E189" i="11" s="1"/>
  <c r="C191" i="11"/>
  <c r="E191" i="11" s="1"/>
  <c r="H159" i="10"/>
  <c r="D202" i="10"/>
  <c r="J184" i="9"/>
  <c r="N184" i="9" s="1"/>
  <c r="N55" i="21"/>
  <c r="C158" i="21"/>
  <c r="B194" i="19"/>
  <c r="N115" i="19"/>
  <c r="C144" i="17"/>
  <c r="N23" i="17"/>
  <c r="H133" i="26"/>
  <c r="N133" i="26" s="1"/>
  <c r="S133" i="26"/>
  <c r="W133" i="26" s="1"/>
  <c r="N94" i="25"/>
  <c r="D179" i="25"/>
  <c r="J183" i="13"/>
  <c r="N183" i="13" s="1"/>
  <c r="S173" i="12"/>
  <c r="L180" i="12"/>
  <c r="N180" i="12" s="1"/>
  <c r="T185" i="11"/>
  <c r="H210" i="10"/>
  <c r="B188" i="9"/>
  <c r="S195" i="9"/>
  <c r="W195" i="9" s="1"/>
  <c r="N46" i="21"/>
  <c r="N74" i="21"/>
  <c r="H169" i="21"/>
  <c r="D170" i="21"/>
  <c r="N81" i="21"/>
  <c r="L177" i="21"/>
  <c r="C178" i="21"/>
  <c r="E178" i="21" s="1"/>
  <c r="C164" i="19"/>
  <c r="L176" i="19"/>
  <c r="U176" i="19"/>
  <c r="D176" i="19"/>
  <c r="T176" i="19"/>
  <c r="S176" i="19"/>
  <c r="U180" i="19"/>
  <c r="S180" i="19"/>
  <c r="N95" i="19"/>
  <c r="L187" i="19"/>
  <c r="D188" i="19"/>
  <c r="E188" i="19" s="1"/>
  <c r="N110" i="19"/>
  <c r="J183" i="19"/>
  <c r="C146" i="18"/>
  <c r="J155" i="18"/>
  <c r="N155" i="18" s="1"/>
  <c r="N52" i="18"/>
  <c r="J161" i="18"/>
  <c r="H162" i="18"/>
  <c r="J162" i="18"/>
  <c r="D167" i="18"/>
  <c r="E167" i="18" s="1"/>
  <c r="C191" i="18"/>
  <c r="W171" i="18"/>
  <c r="N18" i="17"/>
  <c r="B143" i="17"/>
  <c r="N43" i="17"/>
  <c r="L159" i="17"/>
  <c r="N159" i="17" s="1"/>
  <c r="C162" i="17"/>
  <c r="N70" i="17"/>
  <c r="B171" i="17"/>
  <c r="E171" i="17" s="1"/>
  <c r="D173" i="17"/>
  <c r="C177" i="17"/>
  <c r="N55" i="24"/>
  <c r="N66" i="24"/>
  <c r="B88" i="34"/>
  <c r="J92" i="34"/>
  <c r="L96" i="37"/>
  <c r="L85" i="37"/>
  <c r="U167" i="12"/>
  <c r="U153" i="11"/>
  <c r="J158" i="11"/>
  <c r="N158" i="11" s="1"/>
  <c r="B172" i="11"/>
  <c r="B179" i="11"/>
  <c r="E179" i="11" s="1"/>
  <c r="S179" i="11"/>
  <c r="W179" i="11" s="1"/>
  <c r="H155" i="9"/>
  <c r="B166" i="9"/>
  <c r="T175" i="9"/>
  <c r="W175" i="9" s="1"/>
  <c r="T186" i="9"/>
  <c r="N124" i="9"/>
  <c r="N30" i="21"/>
  <c r="H155" i="21"/>
  <c r="J155" i="21"/>
  <c r="H175" i="21"/>
  <c r="L175" i="21"/>
  <c r="W153" i="21"/>
  <c r="W185" i="21"/>
  <c r="J144" i="19"/>
  <c r="N144" i="19" s="1"/>
  <c r="N19" i="19"/>
  <c r="N66" i="19"/>
  <c r="N78" i="19"/>
  <c r="N86" i="19"/>
  <c r="J142" i="18"/>
  <c r="N36" i="18"/>
  <c r="C154" i="18"/>
  <c r="H173" i="18"/>
  <c r="C181" i="18"/>
  <c r="E181" i="18" s="1"/>
  <c r="D162" i="17"/>
  <c r="U162" i="17"/>
  <c r="S162" i="17"/>
  <c r="C168" i="17"/>
  <c r="N75" i="17"/>
  <c r="H174" i="17"/>
  <c r="N89" i="17"/>
  <c r="H177" i="17"/>
  <c r="L177" i="17"/>
  <c r="N95" i="17"/>
  <c r="N112" i="17"/>
  <c r="B188" i="17"/>
  <c r="N58" i="16"/>
  <c r="S155" i="25"/>
  <c r="U155" i="25"/>
  <c r="U181" i="24"/>
  <c r="T181" i="24"/>
  <c r="S181" i="24"/>
  <c r="C181" i="24"/>
  <c r="L196" i="13"/>
  <c r="N196" i="13" s="1"/>
  <c r="J166" i="11"/>
  <c r="N166" i="11" s="1"/>
  <c r="S183" i="11"/>
  <c r="L194" i="9"/>
  <c r="N194" i="9" s="1"/>
  <c r="L148" i="21"/>
  <c r="N148" i="21" s="1"/>
  <c r="D162" i="21"/>
  <c r="E162" i="21" s="1"/>
  <c r="D171" i="21"/>
  <c r="B158" i="19"/>
  <c r="N38" i="19"/>
  <c r="C141" i="17"/>
  <c r="E141" i="17" s="1"/>
  <c r="L176" i="24"/>
  <c r="J176" i="24"/>
  <c r="H176" i="24"/>
  <c r="W168" i="23"/>
  <c r="C170" i="23"/>
  <c r="N74" i="23"/>
  <c r="T149" i="12"/>
  <c r="B150" i="12"/>
  <c r="N59" i="12"/>
  <c r="H141" i="12"/>
  <c r="H173" i="12"/>
  <c r="S153" i="11"/>
  <c r="D203" i="10"/>
  <c r="H168" i="9"/>
  <c r="C192" i="9"/>
  <c r="B203" i="9"/>
  <c r="C204" i="9"/>
  <c r="L183" i="21"/>
  <c r="J183" i="21"/>
  <c r="D156" i="19"/>
  <c r="L161" i="19"/>
  <c r="H161" i="19"/>
  <c r="D186" i="19"/>
  <c r="N111" i="19"/>
  <c r="B163" i="18"/>
  <c r="N58" i="18"/>
  <c r="W149" i="18"/>
  <c r="N9" i="17"/>
  <c r="L151" i="17"/>
  <c r="N151" i="17" s="1"/>
  <c r="C179" i="17"/>
  <c r="E179" i="17" s="1"/>
  <c r="L146" i="23"/>
  <c r="J146" i="23"/>
  <c r="N146" i="23" s="1"/>
  <c r="C183" i="13"/>
  <c r="N46" i="12"/>
  <c r="T153" i="11"/>
  <c r="S171" i="11"/>
  <c r="W171" i="11" s="1"/>
  <c r="L210" i="10"/>
  <c r="D204" i="9"/>
  <c r="C146" i="21"/>
  <c r="C147" i="21"/>
  <c r="E147" i="21" s="1"/>
  <c r="N61" i="21"/>
  <c r="N66" i="21"/>
  <c r="H187" i="21"/>
  <c r="W148" i="21"/>
  <c r="W163" i="19"/>
  <c r="B164" i="19"/>
  <c r="D184" i="19"/>
  <c r="L186" i="19"/>
  <c r="N186" i="19" s="1"/>
  <c r="D184" i="18"/>
  <c r="T154" i="18"/>
  <c r="C156" i="17"/>
  <c r="T168" i="17"/>
  <c r="W168" i="17" s="1"/>
  <c r="C176" i="17"/>
  <c r="W156" i="17"/>
  <c r="N121" i="26"/>
  <c r="B124" i="26"/>
  <c r="E124" i="26" s="1"/>
  <c r="L136" i="25"/>
  <c r="D136" i="25"/>
  <c r="C136" i="25"/>
  <c r="N36" i="38"/>
  <c r="N47" i="38"/>
  <c r="H192" i="9"/>
  <c r="J192" i="9"/>
  <c r="L192" i="9"/>
  <c r="H204" i="9"/>
  <c r="J204" i="9"/>
  <c r="L204" i="9"/>
  <c r="N63" i="21"/>
  <c r="N15" i="19"/>
  <c r="N27" i="19"/>
  <c r="U186" i="19"/>
  <c r="T186" i="19"/>
  <c r="S186" i="19"/>
  <c r="W187" i="19"/>
  <c r="W192" i="19"/>
  <c r="N32" i="18"/>
  <c r="N104" i="18"/>
  <c r="W146" i="18"/>
  <c r="C153" i="17"/>
  <c r="H165" i="17"/>
  <c r="C173" i="17"/>
  <c r="J152" i="23"/>
  <c r="N152" i="23" s="1"/>
  <c r="H160" i="23"/>
  <c r="J160" i="23"/>
  <c r="T184" i="21"/>
  <c r="W184" i="21" s="1"/>
  <c r="N22" i="19"/>
  <c r="B176" i="19"/>
  <c r="U182" i="19"/>
  <c r="U190" i="19"/>
  <c r="U138" i="17"/>
  <c r="S138" i="17"/>
  <c r="B148" i="17"/>
  <c r="T166" i="17"/>
  <c r="S166" i="17"/>
  <c r="J171" i="17"/>
  <c r="H171" i="17"/>
  <c r="N105" i="17"/>
  <c r="C186" i="17"/>
  <c r="B187" i="17"/>
  <c r="N110" i="17"/>
  <c r="T138" i="17"/>
  <c r="W131" i="16"/>
  <c r="N13" i="26"/>
  <c r="C126" i="26"/>
  <c r="D133" i="26"/>
  <c r="H135" i="26"/>
  <c r="C140" i="26"/>
  <c r="U140" i="26"/>
  <c r="W140" i="26" s="1"/>
  <c r="D145" i="26"/>
  <c r="D155" i="25"/>
  <c r="B156" i="25"/>
  <c r="C166" i="25"/>
  <c r="N82" i="25"/>
  <c r="N88" i="25"/>
  <c r="N111" i="25"/>
  <c r="U139" i="24"/>
  <c r="T139" i="24"/>
  <c r="D139" i="24"/>
  <c r="S139" i="24"/>
  <c r="N27" i="24"/>
  <c r="U151" i="24"/>
  <c r="T151" i="24"/>
  <c r="J160" i="24"/>
  <c r="L160" i="24"/>
  <c r="L161" i="24"/>
  <c r="N161" i="24" s="1"/>
  <c r="C173" i="24"/>
  <c r="N82" i="24"/>
  <c r="C178" i="24"/>
  <c r="H180" i="24"/>
  <c r="N180" i="24" s="1"/>
  <c r="L181" i="24"/>
  <c r="W162" i="24"/>
  <c r="N40" i="23"/>
  <c r="N52" i="23"/>
  <c r="N106" i="23"/>
  <c r="B138" i="23"/>
  <c r="D171" i="22"/>
  <c r="W191" i="8"/>
  <c r="B157" i="21"/>
  <c r="S174" i="21"/>
  <c r="T176" i="21"/>
  <c r="W176" i="21" s="1"/>
  <c r="T146" i="19"/>
  <c r="N34" i="19"/>
  <c r="H171" i="19"/>
  <c r="N102" i="19"/>
  <c r="B193" i="19"/>
  <c r="B195" i="19"/>
  <c r="E195" i="19" s="1"/>
  <c r="U174" i="19"/>
  <c r="W174" i="19" s="1"/>
  <c r="N63" i="18"/>
  <c r="U170" i="18"/>
  <c r="T142" i="17"/>
  <c r="U150" i="17"/>
  <c r="S150" i="17"/>
  <c r="T160" i="17"/>
  <c r="S160" i="17"/>
  <c r="B164" i="17"/>
  <c r="B168" i="17"/>
  <c r="C184" i="17"/>
  <c r="W152" i="17"/>
  <c r="T180" i="17"/>
  <c r="W186" i="17"/>
  <c r="N60" i="16"/>
  <c r="C118" i="26"/>
  <c r="N21" i="25"/>
  <c r="N61" i="25"/>
  <c r="N79" i="25"/>
  <c r="D177" i="25"/>
  <c r="W160" i="25"/>
  <c r="N33" i="24"/>
  <c r="B151" i="24"/>
  <c r="L162" i="24"/>
  <c r="N162" i="24" s="1"/>
  <c r="N81" i="24"/>
  <c r="U178" i="24"/>
  <c r="W141" i="24"/>
  <c r="W149" i="24"/>
  <c r="N14" i="23"/>
  <c r="N15" i="23"/>
  <c r="J142" i="23"/>
  <c r="N23" i="23"/>
  <c r="N27" i="23"/>
  <c r="D156" i="23"/>
  <c r="N67" i="23"/>
  <c r="C167" i="23"/>
  <c r="W195" i="8"/>
  <c r="U154" i="21"/>
  <c r="U146" i="19"/>
  <c r="N18" i="19"/>
  <c r="C183" i="19"/>
  <c r="B185" i="19"/>
  <c r="L194" i="19"/>
  <c r="N194" i="19" s="1"/>
  <c r="J152" i="18"/>
  <c r="B170" i="18"/>
  <c r="S170" i="18"/>
  <c r="B138" i="17"/>
  <c r="N72" i="17"/>
  <c r="B170" i="17"/>
  <c r="U180" i="17"/>
  <c r="T137" i="16"/>
  <c r="S137" i="16"/>
  <c r="B147" i="16"/>
  <c r="J154" i="16"/>
  <c r="L159" i="16"/>
  <c r="H159" i="16"/>
  <c r="J159" i="16"/>
  <c r="D158" i="25"/>
  <c r="C161" i="25"/>
  <c r="C165" i="25"/>
  <c r="E165" i="25" s="1"/>
  <c r="W139" i="25"/>
  <c r="B139" i="24"/>
  <c r="N26" i="24"/>
  <c r="C145" i="24"/>
  <c r="E145" i="24" s="1"/>
  <c r="N41" i="24"/>
  <c r="C159" i="24"/>
  <c r="N54" i="24"/>
  <c r="L167" i="24"/>
  <c r="N167" i="24" s="1"/>
  <c r="S167" i="24"/>
  <c r="B175" i="24"/>
  <c r="N91" i="24"/>
  <c r="C187" i="24"/>
  <c r="E187" i="24" s="1"/>
  <c r="J154" i="23"/>
  <c r="N51" i="23"/>
  <c r="C159" i="23"/>
  <c r="N64" i="23"/>
  <c r="N70" i="23"/>
  <c r="N82" i="23"/>
  <c r="C176" i="23"/>
  <c r="E176" i="23" s="1"/>
  <c r="S178" i="23"/>
  <c r="U178" i="23"/>
  <c r="N109" i="23"/>
  <c r="D159" i="22"/>
  <c r="E159" i="22" s="1"/>
  <c r="S154" i="21"/>
  <c r="T156" i="19"/>
  <c r="C185" i="19"/>
  <c r="S156" i="19"/>
  <c r="D184" i="17"/>
  <c r="H188" i="17"/>
  <c r="N188" i="17" s="1"/>
  <c r="T117" i="26"/>
  <c r="U117" i="26"/>
  <c r="S117" i="26"/>
  <c r="C187" i="25"/>
  <c r="D154" i="24"/>
  <c r="E154" i="24" s="1"/>
  <c r="D159" i="24"/>
  <c r="N96" i="24"/>
  <c r="C180" i="24"/>
  <c r="E180" i="24" s="1"/>
  <c r="B155" i="24"/>
  <c r="E155" i="24" s="1"/>
  <c r="N19" i="22"/>
  <c r="C155" i="22"/>
  <c r="S180" i="21"/>
  <c r="W180" i="21" s="1"/>
  <c r="D185" i="19"/>
  <c r="J195" i="19"/>
  <c r="N195" i="19" s="1"/>
  <c r="S182" i="19"/>
  <c r="S190" i="19"/>
  <c r="N29" i="18"/>
  <c r="N19" i="17"/>
  <c r="U176" i="17"/>
  <c r="T176" i="17"/>
  <c r="J179" i="17"/>
  <c r="H179" i="17"/>
  <c r="N100" i="17"/>
  <c r="N111" i="17"/>
  <c r="W189" i="17"/>
  <c r="N22" i="26"/>
  <c r="J128" i="26"/>
  <c r="N33" i="26"/>
  <c r="W128" i="26"/>
  <c r="N27" i="25"/>
  <c r="C147" i="25"/>
  <c r="E147" i="25" s="1"/>
  <c r="B155" i="25"/>
  <c r="J160" i="25"/>
  <c r="C171" i="25"/>
  <c r="N83" i="25"/>
  <c r="U177" i="25"/>
  <c r="S177" i="25"/>
  <c r="N97" i="25"/>
  <c r="B183" i="25"/>
  <c r="E183" i="25" s="1"/>
  <c r="D187" i="25"/>
  <c r="W143" i="25"/>
  <c r="N18" i="24"/>
  <c r="N40" i="24"/>
  <c r="B152" i="24"/>
  <c r="L154" i="24"/>
  <c r="N69" i="24"/>
  <c r="N90" i="24"/>
  <c r="L186" i="24"/>
  <c r="W158" i="24"/>
  <c r="N48" i="23"/>
  <c r="L162" i="23"/>
  <c r="L140" i="23"/>
  <c r="N19" i="36"/>
  <c r="B157" i="19"/>
  <c r="C190" i="19"/>
  <c r="H181" i="17"/>
  <c r="L181" i="17"/>
  <c r="T150" i="17"/>
  <c r="N64" i="16"/>
  <c r="C117" i="26"/>
  <c r="N32" i="26"/>
  <c r="W121" i="26"/>
  <c r="N43" i="25"/>
  <c r="C155" i="25"/>
  <c r="N53" i="25"/>
  <c r="N57" i="25"/>
  <c r="D171" i="25"/>
  <c r="N45" i="24"/>
  <c r="C177" i="24"/>
  <c r="E177" i="24" s="1"/>
  <c r="C182" i="24"/>
  <c r="E182" i="24" s="1"/>
  <c r="W145" i="24"/>
  <c r="N26" i="23"/>
  <c r="C147" i="23"/>
  <c r="H154" i="23"/>
  <c r="T173" i="23"/>
  <c r="S173" i="23"/>
  <c r="C173" i="23"/>
  <c r="U173" i="23"/>
  <c r="D178" i="23"/>
  <c r="C182" i="23"/>
  <c r="S182" i="17"/>
  <c r="H117" i="26"/>
  <c r="J117" i="26"/>
  <c r="T179" i="25"/>
  <c r="T147" i="24"/>
  <c r="T175" i="24"/>
  <c r="N43" i="23"/>
  <c r="U157" i="23"/>
  <c r="T157" i="23"/>
  <c r="D163" i="23"/>
  <c r="B172" i="23"/>
  <c r="J180" i="23"/>
  <c r="H180" i="23"/>
  <c r="D187" i="23"/>
  <c r="W151" i="23"/>
  <c r="N11" i="22"/>
  <c r="N21" i="22"/>
  <c r="N29" i="22"/>
  <c r="C169" i="22"/>
  <c r="C171" i="22"/>
  <c r="B191" i="22"/>
  <c r="N102" i="22"/>
  <c r="C192" i="22"/>
  <c r="E192" i="22" s="1"/>
  <c r="W174" i="22"/>
  <c r="W179" i="13"/>
  <c r="T119" i="36"/>
  <c r="S119" i="36"/>
  <c r="W101" i="28"/>
  <c r="B117" i="26"/>
  <c r="L118" i="26"/>
  <c r="L150" i="25"/>
  <c r="C163" i="25"/>
  <c r="E163" i="25" s="1"/>
  <c r="B177" i="25"/>
  <c r="J172" i="25"/>
  <c r="N172" i="25" s="1"/>
  <c r="J188" i="25"/>
  <c r="N188" i="25" s="1"/>
  <c r="N12" i="24"/>
  <c r="B181" i="24"/>
  <c r="E181" i="24" s="1"/>
  <c r="H154" i="24"/>
  <c r="D144" i="23"/>
  <c r="B163" i="23"/>
  <c r="T179" i="23"/>
  <c r="W179" i="23" s="1"/>
  <c r="W156" i="23"/>
  <c r="U167" i="23"/>
  <c r="W167" i="23" s="1"/>
  <c r="B153" i="22"/>
  <c r="C165" i="22"/>
  <c r="N63" i="22"/>
  <c r="N87" i="22"/>
  <c r="N114" i="22"/>
  <c r="W155" i="8"/>
  <c r="W163" i="8"/>
  <c r="W171" i="8"/>
  <c r="N183" i="22"/>
  <c r="E78" i="33"/>
  <c r="N114" i="2"/>
  <c r="D190" i="2"/>
  <c r="J187" i="17"/>
  <c r="N14" i="26"/>
  <c r="D150" i="26"/>
  <c r="E150" i="26" s="1"/>
  <c r="H150" i="25"/>
  <c r="H160" i="25"/>
  <c r="S169" i="25"/>
  <c r="J154" i="24"/>
  <c r="T169" i="24"/>
  <c r="T179" i="24"/>
  <c r="T183" i="24"/>
  <c r="S187" i="24"/>
  <c r="B180" i="23"/>
  <c r="E180" i="23" s="1"/>
  <c r="T185" i="23"/>
  <c r="S185" i="23"/>
  <c r="U185" i="23"/>
  <c r="N189" i="22"/>
  <c r="S134" i="16"/>
  <c r="W134" i="16" s="1"/>
  <c r="N20" i="26"/>
  <c r="U173" i="25"/>
  <c r="J140" i="25"/>
  <c r="H144" i="25"/>
  <c r="T169" i="25"/>
  <c r="S163" i="24"/>
  <c r="T165" i="24"/>
  <c r="W165" i="24" s="1"/>
  <c r="T187" i="24"/>
  <c r="L156" i="23"/>
  <c r="N156" i="23" s="1"/>
  <c r="C160" i="23"/>
  <c r="E160" i="23" s="1"/>
  <c r="B190" i="23"/>
  <c r="S165" i="23"/>
  <c r="B185" i="22"/>
  <c r="N54" i="25"/>
  <c r="J166" i="25"/>
  <c r="S173" i="25"/>
  <c r="T163" i="24"/>
  <c r="H170" i="24"/>
  <c r="B154" i="23"/>
  <c r="E154" i="23" s="1"/>
  <c r="B185" i="23"/>
  <c r="S157" i="23"/>
  <c r="T165" i="23"/>
  <c r="B156" i="22"/>
  <c r="N23" i="22"/>
  <c r="N36" i="22"/>
  <c r="B170" i="13"/>
  <c r="N49" i="13"/>
  <c r="H83" i="28"/>
  <c r="T77" i="34"/>
  <c r="U77" i="34"/>
  <c r="L117" i="26"/>
  <c r="D117" i="26"/>
  <c r="L150" i="23"/>
  <c r="J150" i="23"/>
  <c r="H150" i="23"/>
  <c r="D155" i="23"/>
  <c r="H173" i="23"/>
  <c r="C179" i="23"/>
  <c r="C185" i="23"/>
  <c r="B172" i="22"/>
  <c r="N62" i="22"/>
  <c r="C174" i="22"/>
  <c r="N75" i="22"/>
  <c r="W167" i="15"/>
  <c r="W188" i="15"/>
  <c r="D157" i="13"/>
  <c r="E157" i="13" s="1"/>
  <c r="W170" i="10"/>
  <c r="U185" i="19"/>
  <c r="T185" i="19"/>
  <c r="S185" i="19"/>
  <c r="W99" i="37"/>
  <c r="C129" i="35"/>
  <c r="W79" i="29"/>
  <c r="W81" i="31"/>
  <c r="W82" i="32"/>
  <c r="W196" i="15"/>
  <c r="W187" i="14"/>
  <c r="N56" i="13"/>
  <c r="W169" i="13"/>
  <c r="L169" i="22"/>
  <c r="W95" i="38"/>
  <c r="H87" i="37"/>
  <c r="N87" i="37" s="1"/>
  <c r="N75" i="35"/>
  <c r="N16" i="34"/>
  <c r="J82" i="34"/>
  <c r="H82" i="34"/>
  <c r="T80" i="34"/>
  <c r="U80" i="34"/>
  <c r="W81" i="34"/>
  <c r="L92" i="33"/>
  <c r="C112" i="36"/>
  <c r="W78" i="32"/>
  <c r="N7" i="9"/>
  <c r="N29" i="20"/>
  <c r="C132" i="20"/>
  <c r="T179" i="22"/>
  <c r="W183" i="10"/>
  <c r="L179" i="22"/>
  <c r="N179" i="22" s="1"/>
  <c r="J163" i="22"/>
  <c r="N163" i="22" s="1"/>
  <c r="L83" i="28"/>
  <c r="J83" i="28"/>
  <c r="W91" i="28"/>
  <c r="L123" i="35"/>
  <c r="N123" i="35" s="1"/>
  <c r="D125" i="35"/>
  <c r="E125" i="35" s="1"/>
  <c r="N33" i="36"/>
  <c r="N26" i="36"/>
  <c r="L142" i="19"/>
  <c r="J142" i="19"/>
  <c r="H142" i="19"/>
  <c r="N49" i="22"/>
  <c r="B154" i="13"/>
  <c r="L159" i="13"/>
  <c r="L99" i="38"/>
  <c r="W89" i="37"/>
  <c r="W79" i="30"/>
  <c r="N81" i="34"/>
  <c r="B89" i="33"/>
  <c r="N31" i="33"/>
  <c r="L94" i="33"/>
  <c r="J94" i="33"/>
  <c r="L77" i="31"/>
  <c r="H77" i="31"/>
  <c r="J153" i="13"/>
  <c r="H153" i="13"/>
  <c r="W182" i="13"/>
  <c r="B155" i="13"/>
  <c r="N10" i="13"/>
  <c r="H196" i="22"/>
  <c r="H171" i="22"/>
  <c r="N171" i="22" s="1"/>
  <c r="L162" i="22"/>
  <c r="H162" i="22"/>
  <c r="L156" i="22"/>
  <c r="N156" i="22" s="1"/>
  <c r="J85" i="38"/>
  <c r="D118" i="35"/>
  <c r="W104" i="28"/>
  <c r="L117" i="35"/>
  <c r="H117" i="35"/>
  <c r="C124" i="35"/>
  <c r="E124" i="35" s="1"/>
  <c r="D130" i="35"/>
  <c r="W80" i="30"/>
  <c r="J93" i="34"/>
  <c r="T93" i="34"/>
  <c r="S93" i="34"/>
  <c r="N35" i="33"/>
  <c r="H95" i="33"/>
  <c r="J80" i="31"/>
  <c r="H80" i="31"/>
  <c r="C193" i="11"/>
  <c r="N119" i="11"/>
  <c r="B153" i="26"/>
  <c r="W183" i="13"/>
  <c r="B171" i="13"/>
  <c r="E171" i="13" s="1"/>
  <c r="J158" i="22"/>
  <c r="W86" i="38"/>
  <c r="W86" i="28"/>
  <c r="W105" i="28"/>
  <c r="N56" i="35"/>
  <c r="W87" i="34"/>
  <c r="L83" i="38"/>
  <c r="N21" i="38"/>
  <c r="C79" i="33"/>
  <c r="B92" i="33"/>
  <c r="N43" i="33"/>
  <c r="N35" i="36"/>
  <c r="W90" i="29"/>
  <c r="L73" i="31"/>
  <c r="H73" i="31"/>
  <c r="N17" i="33"/>
  <c r="N23" i="33"/>
  <c r="B87" i="33"/>
  <c r="B85" i="33"/>
  <c r="D84" i="33"/>
  <c r="N24" i="34"/>
  <c r="N46" i="36"/>
  <c r="L90" i="37"/>
  <c r="J161" i="13"/>
  <c r="H137" i="5"/>
  <c r="J137" i="5"/>
  <c r="N7" i="13"/>
  <c r="T137" i="12"/>
  <c r="S137" i="12"/>
  <c r="N6" i="21"/>
  <c r="N6" i="22"/>
  <c r="C149" i="22"/>
  <c r="E149" i="22" s="1"/>
  <c r="N10" i="20"/>
  <c r="N8" i="13"/>
  <c r="L81" i="38"/>
  <c r="U102" i="37"/>
  <c r="W102" i="37" s="1"/>
  <c r="S110" i="36"/>
  <c r="T78" i="30"/>
  <c r="W78" i="30" s="1"/>
  <c r="J87" i="33"/>
  <c r="H87" i="33"/>
  <c r="L87" i="33"/>
  <c r="B91" i="33"/>
  <c r="W89" i="31"/>
  <c r="W89" i="32"/>
  <c r="W86" i="32"/>
  <c r="W80" i="33"/>
  <c r="N25" i="34"/>
  <c r="W110" i="35"/>
  <c r="C136" i="17"/>
  <c r="T135" i="24"/>
  <c r="U135" i="24"/>
  <c r="D137" i="12"/>
  <c r="D193" i="14"/>
  <c r="B138" i="20"/>
  <c r="N40" i="20"/>
  <c r="B206" i="13"/>
  <c r="E206" i="13" s="1"/>
  <c r="J160" i="13"/>
  <c r="N160" i="13" s="1"/>
  <c r="N32" i="38"/>
  <c r="L85" i="38"/>
  <c r="T85" i="34"/>
  <c r="W85" i="34" s="1"/>
  <c r="J90" i="33"/>
  <c r="J96" i="33"/>
  <c r="L96" i="33"/>
  <c r="C111" i="36"/>
  <c r="J74" i="31"/>
  <c r="L74" i="31"/>
  <c r="L82" i="31"/>
  <c r="H82" i="31"/>
  <c r="W90" i="32"/>
  <c r="H93" i="34"/>
  <c r="N42" i="35"/>
  <c r="B137" i="12"/>
  <c r="S134" i="21"/>
  <c r="J134" i="21"/>
  <c r="T134" i="21"/>
  <c r="B142" i="19"/>
  <c r="N6" i="19"/>
  <c r="N84" i="35"/>
  <c r="J88" i="33"/>
  <c r="H88" i="33"/>
  <c r="J92" i="33"/>
  <c r="J95" i="33"/>
  <c r="L95" i="33"/>
  <c r="B81" i="29"/>
  <c r="E81" i="29" s="1"/>
  <c r="W85" i="31"/>
  <c r="N8" i="37"/>
  <c r="C83" i="37"/>
  <c r="E83" i="37" s="1"/>
  <c r="B148" i="8"/>
  <c r="D135" i="25"/>
  <c r="N6" i="25"/>
  <c r="B135" i="24"/>
  <c r="L205" i="15"/>
  <c r="J205" i="15"/>
  <c r="B160" i="16"/>
  <c r="C131" i="20"/>
  <c r="J157" i="13"/>
  <c r="J94" i="38"/>
  <c r="L91" i="38"/>
  <c r="W97" i="38"/>
  <c r="C83" i="28"/>
  <c r="E83" i="28" s="1"/>
  <c r="L85" i="33"/>
  <c r="L76" i="32"/>
  <c r="N76" i="32" s="1"/>
  <c r="W76" i="32"/>
  <c r="D84" i="34"/>
  <c r="N26" i="34"/>
  <c r="C90" i="37"/>
  <c r="N6" i="5"/>
  <c r="C137" i="5"/>
  <c r="E137" i="5" s="1"/>
  <c r="L153" i="13"/>
  <c r="C151" i="9"/>
  <c r="E151" i="9" s="1"/>
  <c r="L137" i="5"/>
  <c r="U137" i="12"/>
  <c r="C135" i="24"/>
  <c r="L160" i="16"/>
  <c r="E191" i="23"/>
  <c r="W83" i="38"/>
  <c r="C87" i="38"/>
  <c r="J89" i="33"/>
  <c r="H89" i="33"/>
  <c r="L93" i="33"/>
  <c r="J93" i="33"/>
  <c r="B96" i="33"/>
  <c r="N21" i="36"/>
  <c r="C85" i="33"/>
  <c r="H83" i="37"/>
  <c r="L137" i="12"/>
  <c r="J137" i="12"/>
  <c r="H137" i="12"/>
  <c r="N123" i="8"/>
  <c r="C202" i="8"/>
  <c r="U160" i="16"/>
  <c r="T160" i="16"/>
  <c r="S160" i="16"/>
  <c r="T101" i="29"/>
  <c r="U101" i="29"/>
  <c r="J143" i="20"/>
  <c r="H143" i="20"/>
  <c r="L143" i="20"/>
  <c r="N6" i="7"/>
  <c r="L151" i="9"/>
  <c r="H151" i="9"/>
  <c r="D142" i="19"/>
  <c r="L136" i="17"/>
  <c r="J136" i="17"/>
  <c r="H136" i="17"/>
  <c r="C135" i="25"/>
  <c r="R6" i="24"/>
  <c r="U137" i="23"/>
  <c r="S137" i="23"/>
  <c r="T137" i="23"/>
  <c r="U139" i="11"/>
  <c r="W151" i="9"/>
  <c r="J138" i="18"/>
  <c r="N138" i="18" s="1"/>
  <c r="W136" i="17"/>
  <c r="J137" i="23"/>
  <c r="N126" i="15"/>
  <c r="N115" i="12"/>
  <c r="C188" i="21"/>
  <c r="W196" i="19"/>
  <c r="W192" i="18"/>
  <c r="J190" i="17"/>
  <c r="H190" i="17"/>
  <c r="J105" i="37"/>
  <c r="B98" i="32"/>
  <c r="N13" i="20"/>
  <c r="C128" i="20"/>
  <c r="H133" i="20"/>
  <c r="J133" i="20"/>
  <c r="N41" i="20"/>
  <c r="C144" i="20"/>
  <c r="N52" i="20"/>
  <c r="L148" i="20"/>
  <c r="J148" i="20"/>
  <c r="H148" i="20"/>
  <c r="B150" i="20"/>
  <c r="S142" i="19"/>
  <c r="U142" i="19"/>
  <c r="W197" i="3"/>
  <c r="H205" i="15"/>
  <c r="C193" i="14"/>
  <c r="E193" i="14" s="1"/>
  <c r="N131" i="9"/>
  <c r="J188" i="21"/>
  <c r="N125" i="22"/>
  <c r="L122" i="20"/>
  <c r="J122" i="20"/>
  <c r="H122" i="20"/>
  <c r="L140" i="20"/>
  <c r="J140" i="20"/>
  <c r="H140" i="20"/>
  <c r="B139" i="20"/>
  <c r="N6" i="17"/>
  <c r="B137" i="23"/>
  <c r="J148" i="8"/>
  <c r="J135" i="25"/>
  <c r="H205" i="9"/>
  <c r="L196" i="19"/>
  <c r="H160" i="16"/>
  <c r="N132" i="10"/>
  <c r="N7" i="20"/>
  <c r="L123" i="20"/>
  <c r="N26" i="20"/>
  <c r="C137" i="20"/>
  <c r="E137" i="20" s="1"/>
  <c r="N38" i="20"/>
  <c r="N81" i="20"/>
  <c r="U159" i="20"/>
  <c r="T159" i="20"/>
  <c r="S159" i="20"/>
  <c r="L160" i="20"/>
  <c r="J160" i="20"/>
  <c r="H160" i="20"/>
  <c r="N92" i="20"/>
  <c r="B164" i="20"/>
  <c r="N100" i="20"/>
  <c r="B168" i="20"/>
  <c r="H129" i="20"/>
  <c r="L75" i="31"/>
  <c r="J196" i="19"/>
  <c r="H196" i="19"/>
  <c r="B192" i="18"/>
  <c r="D160" i="16"/>
  <c r="J160" i="16"/>
  <c r="L130" i="20"/>
  <c r="J130" i="20"/>
  <c r="H130" i="20"/>
  <c r="S136" i="20"/>
  <c r="U136" i="20"/>
  <c r="T136" i="20"/>
  <c r="J129" i="20"/>
  <c r="W140" i="20"/>
  <c r="N86" i="16"/>
  <c r="C161" i="16"/>
  <c r="E161" i="16" s="1"/>
  <c r="D137" i="23"/>
  <c r="T142" i="19"/>
  <c r="D106" i="28"/>
  <c r="N57" i="28"/>
  <c r="B207" i="13"/>
  <c r="N128" i="13"/>
  <c r="C205" i="9"/>
  <c r="C160" i="16"/>
  <c r="C99" i="32"/>
  <c r="B98" i="33"/>
  <c r="E98" i="33" s="1"/>
  <c r="B132" i="35"/>
  <c r="H212" i="10"/>
  <c r="J212" i="10"/>
  <c r="L212" i="10"/>
  <c r="J131" i="20"/>
  <c r="N35" i="20"/>
  <c r="H137" i="20"/>
  <c r="J137" i="20"/>
  <c r="L137" i="20"/>
  <c r="D138" i="20"/>
  <c r="N57" i="20"/>
  <c r="L147" i="20"/>
  <c r="N62" i="20"/>
  <c r="N75" i="20"/>
  <c r="L162" i="20"/>
  <c r="J162" i="20"/>
  <c r="H162" i="20"/>
  <c r="J163" i="20"/>
  <c r="H163" i="20"/>
  <c r="L163" i="20"/>
  <c r="L133" i="20"/>
  <c r="W80" i="38"/>
  <c r="H134" i="21"/>
  <c r="B135" i="25"/>
  <c r="J106" i="28"/>
  <c r="L106" i="28"/>
  <c r="H207" i="13"/>
  <c r="L207" i="13"/>
  <c r="E193" i="11"/>
  <c r="N130" i="9"/>
  <c r="T188" i="21"/>
  <c r="S188" i="21"/>
  <c r="J97" i="34"/>
  <c r="N97" i="34" s="1"/>
  <c r="C132" i="35"/>
  <c r="N8" i="20"/>
  <c r="L126" i="20"/>
  <c r="J126" i="20"/>
  <c r="H126" i="20"/>
  <c r="N18" i="20"/>
  <c r="B145" i="20"/>
  <c r="N54" i="20"/>
  <c r="U147" i="20"/>
  <c r="T147" i="20"/>
  <c r="S147" i="20"/>
  <c r="H147" i="20"/>
  <c r="S156" i="20"/>
  <c r="T156" i="20"/>
  <c r="C124" i="20"/>
  <c r="H191" i="12"/>
  <c r="L205" i="9"/>
  <c r="J203" i="22"/>
  <c r="C100" i="38"/>
  <c r="U121" i="20"/>
  <c r="T121" i="20"/>
  <c r="S121" i="20"/>
  <c r="B123" i="20"/>
  <c r="D129" i="20"/>
  <c r="L132" i="20"/>
  <c r="J132" i="20"/>
  <c r="C133" i="20"/>
  <c r="B134" i="20"/>
  <c r="L136" i="20"/>
  <c r="J136" i="20"/>
  <c r="U139" i="20"/>
  <c r="T139" i="20"/>
  <c r="D143" i="20"/>
  <c r="B144" i="20"/>
  <c r="D147" i="20"/>
  <c r="N60" i="20"/>
  <c r="L151" i="20"/>
  <c r="J151" i="20"/>
  <c r="H151" i="20"/>
  <c r="L159" i="20"/>
  <c r="C161" i="20"/>
  <c r="W122" i="20"/>
  <c r="J125" i="20"/>
  <c r="L131" i="20"/>
  <c r="W134" i="20"/>
  <c r="H197" i="19"/>
  <c r="J197" i="19"/>
  <c r="L197" i="19"/>
  <c r="L191" i="12"/>
  <c r="B205" i="9"/>
  <c r="H192" i="18"/>
  <c r="L102" i="29"/>
  <c r="J102" i="29"/>
  <c r="H102" i="29"/>
  <c r="N53" i="38"/>
  <c r="J99" i="32"/>
  <c r="N99" i="32" s="1"/>
  <c r="D127" i="20"/>
  <c r="D131" i="20"/>
  <c r="L134" i="20"/>
  <c r="J134" i="20"/>
  <c r="C135" i="20"/>
  <c r="H141" i="20"/>
  <c r="C142" i="20"/>
  <c r="L145" i="20"/>
  <c r="B146" i="20"/>
  <c r="C150" i="20"/>
  <c r="J153" i="20"/>
  <c r="L157" i="20"/>
  <c r="J157" i="20"/>
  <c r="B158" i="20"/>
  <c r="N87" i="20"/>
  <c r="N89" i="20"/>
  <c r="L166" i="20"/>
  <c r="J166" i="20"/>
  <c r="H166" i="20"/>
  <c r="L167" i="20"/>
  <c r="J167" i="20"/>
  <c r="J123" i="20"/>
  <c r="W124" i="20"/>
  <c r="H127" i="20"/>
  <c r="W132" i="20"/>
  <c r="J135" i="20"/>
  <c r="J145" i="20"/>
  <c r="S150" i="20"/>
  <c r="N130" i="13"/>
  <c r="H100" i="32"/>
  <c r="L100" i="32"/>
  <c r="J100" i="32"/>
  <c r="W189" i="21"/>
  <c r="J133" i="35"/>
  <c r="L133" i="35"/>
  <c r="B154" i="26"/>
  <c r="N80" i="26"/>
  <c r="U191" i="5"/>
  <c r="B205" i="15"/>
  <c r="J191" i="12"/>
  <c r="H193" i="11"/>
  <c r="N193" i="11" s="1"/>
  <c r="H189" i="25"/>
  <c r="D212" i="10"/>
  <c r="N54" i="38"/>
  <c r="H100" i="38"/>
  <c r="B125" i="20"/>
  <c r="D135" i="20"/>
  <c r="B136" i="20"/>
  <c r="L138" i="20"/>
  <c r="J138" i="20"/>
  <c r="C139" i="20"/>
  <c r="D142" i="20"/>
  <c r="U145" i="20"/>
  <c r="T145" i="20"/>
  <c r="S145" i="20"/>
  <c r="C146" i="20"/>
  <c r="L149" i="20"/>
  <c r="U153" i="20"/>
  <c r="T153" i="20"/>
  <c r="S153" i="20"/>
  <c r="C158" i="20"/>
  <c r="B122" i="20"/>
  <c r="J127" i="20"/>
  <c r="J141" i="20"/>
  <c r="T150" i="20"/>
  <c r="S195" i="1"/>
  <c r="H193" i="18"/>
  <c r="J193" i="18"/>
  <c r="J192" i="18"/>
  <c r="J189" i="25"/>
  <c r="L124" i="20"/>
  <c r="J124" i="20"/>
  <c r="H124" i="20"/>
  <c r="C125" i="20"/>
  <c r="N16" i="20"/>
  <c r="B129" i="20"/>
  <c r="U131" i="20"/>
  <c r="T131" i="20"/>
  <c r="S131" i="20"/>
  <c r="N30" i="20"/>
  <c r="H135" i="20"/>
  <c r="N44" i="20"/>
  <c r="H142" i="20"/>
  <c r="B143" i="20"/>
  <c r="D146" i="20"/>
  <c r="L154" i="20"/>
  <c r="J154" i="20"/>
  <c r="H154" i="20"/>
  <c r="B156" i="20"/>
  <c r="D158" i="20"/>
  <c r="N101" i="20"/>
  <c r="W128" i="20"/>
  <c r="H131" i="20"/>
  <c r="H138" i="20"/>
  <c r="L141" i="20"/>
  <c r="J203" i="8"/>
  <c r="H203" i="8"/>
  <c r="L203" i="8"/>
  <c r="N126" i="8"/>
  <c r="W95" i="33"/>
  <c r="E197" i="19"/>
  <c r="C212" i="10"/>
  <c r="L128" i="20"/>
  <c r="J128" i="20"/>
  <c r="H128" i="20"/>
  <c r="H139" i="20"/>
  <c r="U142" i="20"/>
  <c r="T142" i="20"/>
  <c r="L146" i="20"/>
  <c r="J146" i="20"/>
  <c r="H146" i="20"/>
  <c r="N63" i="20"/>
  <c r="C156" i="20"/>
  <c r="N84" i="20"/>
  <c r="C160" i="20"/>
  <c r="B161" i="20"/>
  <c r="N86" i="20"/>
  <c r="H134" i="20"/>
  <c r="W138" i="20"/>
  <c r="L193" i="18"/>
  <c r="L150" i="20"/>
  <c r="J150" i="20"/>
  <c r="H150" i="20"/>
  <c r="L156" i="20"/>
  <c r="J156" i="20"/>
  <c r="H156" i="20"/>
  <c r="B163" i="20"/>
  <c r="E163" i="20" s="1"/>
  <c r="L153" i="20"/>
  <c r="J155" i="20"/>
  <c r="B162" i="20"/>
  <c r="J165" i="20"/>
  <c r="W166" i="20"/>
  <c r="H196" i="1"/>
  <c r="W196" i="1"/>
  <c r="L196" i="1"/>
  <c r="H82" i="30"/>
  <c r="L82" i="30"/>
  <c r="D203" i="8"/>
  <c r="E203" i="8" s="1"/>
  <c r="D100" i="32"/>
  <c r="J169" i="20"/>
  <c r="L169" i="20"/>
  <c r="H169" i="20"/>
  <c r="B147" i="20"/>
  <c r="D149" i="20"/>
  <c r="U151" i="20"/>
  <c r="T151" i="20"/>
  <c r="S151" i="20"/>
  <c r="B153" i="20"/>
  <c r="C155" i="20"/>
  <c r="U157" i="20"/>
  <c r="T157" i="20"/>
  <c r="S157" i="20"/>
  <c r="D161" i="20"/>
  <c r="U163" i="20"/>
  <c r="T163" i="20"/>
  <c r="S163" i="20"/>
  <c r="B165" i="20"/>
  <c r="J147" i="20"/>
  <c r="H149" i="20"/>
  <c r="T152" i="20"/>
  <c r="S154" i="20"/>
  <c r="H159" i="20"/>
  <c r="S168" i="20"/>
  <c r="L192" i="5"/>
  <c r="W192" i="5"/>
  <c r="J192" i="5"/>
  <c r="W82" i="30"/>
  <c r="D103" i="29"/>
  <c r="B192" i="12"/>
  <c r="W96" i="33"/>
  <c r="N190" i="24"/>
  <c r="C169" i="20"/>
  <c r="H106" i="37"/>
  <c r="J106" i="37"/>
  <c r="L154" i="26"/>
  <c r="C147" i="20"/>
  <c r="C153" i="20"/>
  <c r="D155" i="20"/>
  <c r="B159" i="20"/>
  <c r="C165" i="20"/>
  <c r="N96" i="20"/>
  <c r="L168" i="20"/>
  <c r="J168" i="20"/>
  <c r="H168" i="20"/>
  <c r="J149" i="20"/>
  <c r="T154" i="20"/>
  <c r="J159" i="20"/>
  <c r="H161" i="20"/>
  <c r="T168" i="20"/>
  <c r="N117" i="2"/>
  <c r="B198" i="3"/>
  <c r="E198" i="3" s="1"/>
  <c r="N121" i="14"/>
  <c r="N120" i="11"/>
  <c r="W206" i="9"/>
  <c r="W197" i="19"/>
  <c r="J161" i="16"/>
  <c r="H161" i="16"/>
  <c r="L161" i="16"/>
  <c r="N81" i="26"/>
  <c r="W154" i="26"/>
  <c r="U149" i="20"/>
  <c r="T149" i="20"/>
  <c r="S149" i="20"/>
  <c r="L152" i="20"/>
  <c r="J152" i="20"/>
  <c r="H152" i="20"/>
  <c r="L158" i="20"/>
  <c r="J158" i="20"/>
  <c r="H158" i="20"/>
  <c r="C159" i="20"/>
  <c r="L164" i="20"/>
  <c r="J164" i="20"/>
  <c r="H164" i="20"/>
  <c r="D165" i="20"/>
  <c r="B148" i="20"/>
  <c r="H153" i="20"/>
  <c r="J161" i="20"/>
  <c r="W198" i="3"/>
  <c r="B99" i="33"/>
  <c r="W192" i="23"/>
  <c r="B190" i="25"/>
  <c r="N117" i="25"/>
  <c r="L144" i="20"/>
  <c r="J144" i="20"/>
  <c r="H144" i="20"/>
  <c r="N64" i="20"/>
  <c r="N66" i="20"/>
  <c r="D153" i="20"/>
  <c r="N78" i="20"/>
  <c r="D159" i="20"/>
  <c r="U161" i="20"/>
  <c r="T161" i="20"/>
  <c r="S161" i="20"/>
  <c r="N90" i="20"/>
  <c r="N98" i="20"/>
  <c r="W144" i="20"/>
  <c r="H192" i="5"/>
  <c r="B206" i="15"/>
  <c r="C100" i="32"/>
  <c r="E100" i="32" s="1"/>
  <c r="J194" i="11"/>
  <c r="L194" i="11"/>
  <c r="H194" i="11"/>
  <c r="C194" i="11"/>
  <c r="B206" i="9"/>
  <c r="N132" i="9"/>
  <c r="D98" i="34"/>
  <c r="E98" i="34" s="1"/>
  <c r="H189" i="21"/>
  <c r="J189" i="21"/>
  <c r="L189" i="21"/>
  <c r="D169" i="20"/>
  <c r="C193" i="18"/>
  <c r="W193" i="18"/>
  <c r="N116" i="25"/>
  <c r="L107" i="28"/>
  <c r="J194" i="14"/>
  <c r="J206" i="9"/>
  <c r="J154" i="26"/>
  <c r="B193" i="18"/>
  <c r="N109" i="6"/>
  <c r="L191" i="7"/>
  <c r="N51" i="31"/>
  <c r="N57" i="32"/>
  <c r="H191" i="7"/>
  <c r="L124" i="6"/>
  <c r="H124" i="6"/>
  <c r="J124" i="6"/>
  <c r="N111" i="6"/>
  <c r="N116" i="6"/>
  <c r="N117" i="6"/>
  <c r="N115" i="6"/>
  <c r="N112" i="6"/>
  <c r="N119" i="6"/>
  <c r="N118" i="6"/>
  <c r="C138" i="6"/>
  <c r="J127" i="6"/>
  <c r="B136" i="6"/>
  <c r="E114" i="6"/>
  <c r="U130" i="6"/>
  <c r="N37" i="6"/>
  <c r="B135" i="6"/>
  <c r="C136" i="6"/>
  <c r="E111" i="6"/>
  <c r="E116" i="6"/>
  <c r="E113" i="6"/>
  <c r="N44" i="6"/>
  <c r="N80" i="6"/>
  <c r="B145" i="6"/>
  <c r="C135" i="6"/>
  <c r="B138" i="6"/>
  <c r="E119" i="6"/>
  <c r="E110" i="6"/>
  <c r="E120" i="6"/>
  <c r="E118" i="6"/>
  <c r="C133" i="6"/>
  <c r="C141" i="6"/>
  <c r="B144" i="6"/>
  <c r="D138" i="6"/>
  <c r="L137" i="6"/>
  <c r="J137" i="6"/>
  <c r="H137" i="6"/>
  <c r="C121" i="6"/>
  <c r="B125" i="6"/>
  <c r="J136" i="6"/>
  <c r="L136" i="6"/>
  <c r="H136" i="6"/>
  <c r="D121" i="6"/>
  <c r="D137" i="6"/>
  <c r="B140" i="6"/>
  <c r="L135" i="6"/>
  <c r="C137" i="6"/>
  <c r="B141" i="6"/>
  <c r="B142" i="6"/>
  <c r="B143" i="6"/>
  <c r="U121" i="6"/>
  <c r="T121" i="6"/>
  <c r="S121" i="6"/>
  <c r="E117" i="6"/>
  <c r="B137" i="6"/>
  <c r="B139" i="6"/>
  <c r="L138" i="6"/>
  <c r="J138" i="6"/>
  <c r="H138" i="6"/>
  <c r="E112" i="6"/>
  <c r="E115" i="6"/>
  <c r="N64" i="28"/>
  <c r="N101" i="38"/>
  <c r="W103" i="29"/>
  <c r="W107" i="28"/>
  <c r="J107" i="28"/>
  <c r="T100" i="38"/>
  <c r="L100" i="38"/>
  <c r="E80" i="38"/>
  <c r="N14" i="38"/>
  <c r="D85" i="38"/>
  <c r="C88" i="38"/>
  <c r="D90" i="38"/>
  <c r="N22" i="38"/>
  <c r="S99" i="38"/>
  <c r="W99" i="38" s="1"/>
  <c r="S91" i="38"/>
  <c r="C84" i="38"/>
  <c r="N17" i="38"/>
  <c r="D89" i="38"/>
  <c r="N29" i="38"/>
  <c r="D92" i="38"/>
  <c r="N40" i="38"/>
  <c r="B96" i="38"/>
  <c r="C97" i="38"/>
  <c r="N49" i="38"/>
  <c r="J97" i="38"/>
  <c r="J91" i="38"/>
  <c r="J88" i="38"/>
  <c r="H82" i="38"/>
  <c r="U91" i="38"/>
  <c r="B87" i="38"/>
  <c r="H91" i="38"/>
  <c r="J93" i="38"/>
  <c r="N8" i="38"/>
  <c r="C82" i="38"/>
  <c r="N13" i="38"/>
  <c r="D87" i="38"/>
  <c r="N43" i="38"/>
  <c r="D98" i="38"/>
  <c r="J98" i="38"/>
  <c r="J95" i="38"/>
  <c r="J92" i="38"/>
  <c r="L90" i="38"/>
  <c r="H84" i="38"/>
  <c r="J96" i="38"/>
  <c r="J81" i="38"/>
  <c r="L93" i="38"/>
  <c r="N52" i="38"/>
  <c r="N10" i="38"/>
  <c r="N16" i="38"/>
  <c r="N23" i="38"/>
  <c r="D93" i="38"/>
  <c r="N41" i="38"/>
  <c r="D96" i="38"/>
  <c r="H98" i="38"/>
  <c r="L94" i="38"/>
  <c r="L86" i="38"/>
  <c r="N57" i="38"/>
  <c r="B91" i="38"/>
  <c r="U92" i="38"/>
  <c r="C89" i="38"/>
  <c r="T92" i="38"/>
  <c r="B82" i="38"/>
  <c r="D86" i="38"/>
  <c r="C90" i="38"/>
  <c r="N34" i="38"/>
  <c r="N48" i="38"/>
  <c r="D99" i="38"/>
  <c r="C98" i="38"/>
  <c r="L89" i="38"/>
  <c r="N56" i="38"/>
  <c r="H90" i="38"/>
  <c r="H87" i="38"/>
  <c r="N18" i="38"/>
  <c r="N30" i="38"/>
  <c r="B94" i="38"/>
  <c r="H97" i="38"/>
  <c r="H94" i="38"/>
  <c r="L88" i="38"/>
  <c r="B83" i="38"/>
  <c r="J83" i="38"/>
  <c r="J82" i="38"/>
  <c r="B81" i="38"/>
  <c r="D82" i="38"/>
  <c r="N33" i="38"/>
  <c r="N45" i="38"/>
  <c r="L92" i="38"/>
  <c r="L96" i="38"/>
  <c r="D94" i="38"/>
  <c r="N50" i="38"/>
  <c r="B98" i="38"/>
  <c r="L87" i="38"/>
  <c r="N28" i="38"/>
  <c r="B90" i="38"/>
  <c r="N11" i="38"/>
  <c r="N24" i="38"/>
  <c r="L98" i="38"/>
  <c r="B85" i="38"/>
  <c r="J86" i="38"/>
  <c r="B84" i="38"/>
  <c r="J84" i="38"/>
  <c r="N42" i="38"/>
  <c r="L97" i="38"/>
  <c r="T134" i="6"/>
  <c r="L143" i="6"/>
  <c r="J140" i="6"/>
  <c r="N66" i="6"/>
  <c r="S144" i="6"/>
  <c r="H145" i="6"/>
  <c r="N43" i="6"/>
  <c r="C134" i="6"/>
  <c r="N68" i="6"/>
  <c r="L126" i="6"/>
  <c r="W131" i="6"/>
  <c r="W135" i="6"/>
  <c r="B131" i="6"/>
  <c r="D135" i="6"/>
  <c r="L139" i="6"/>
  <c r="C127" i="6"/>
  <c r="S130" i="6"/>
  <c r="D140" i="6"/>
  <c r="H131" i="6"/>
  <c r="C124" i="6"/>
  <c r="H133" i="6"/>
  <c r="S125" i="6"/>
  <c r="D125" i="6"/>
  <c r="D126" i="6"/>
  <c r="H143" i="6"/>
  <c r="J132" i="6"/>
  <c r="U125" i="6"/>
  <c r="C125" i="6"/>
  <c r="S141" i="6"/>
  <c r="N50" i="6"/>
  <c r="N61" i="6"/>
  <c r="L142" i="6"/>
  <c r="H135" i="6"/>
  <c r="J131" i="6"/>
  <c r="J145" i="6"/>
  <c r="N45" i="6"/>
  <c r="B126" i="6"/>
  <c r="L141" i="6"/>
  <c r="B123" i="6"/>
  <c r="N47" i="6"/>
  <c r="J130" i="6"/>
  <c r="J126" i="6"/>
  <c r="U132" i="6"/>
  <c r="N38" i="6"/>
  <c r="T124" i="6"/>
  <c r="N46" i="6"/>
  <c r="J143" i="6"/>
  <c r="D124" i="6"/>
  <c r="T126" i="6"/>
  <c r="N48" i="6"/>
  <c r="W142" i="6"/>
  <c r="W137" i="6"/>
  <c r="W127" i="6"/>
  <c r="J144" i="6"/>
  <c r="N90" i="6"/>
  <c r="U133" i="6"/>
  <c r="U126" i="6"/>
  <c r="W126" i="6" s="1"/>
  <c r="L140" i="6"/>
  <c r="J134" i="6"/>
  <c r="H130" i="6"/>
  <c r="W123" i="6"/>
  <c r="N89" i="6"/>
  <c r="N42" i="6"/>
  <c r="H141" i="6"/>
  <c r="D142" i="6"/>
  <c r="L133" i="6"/>
  <c r="L130" i="6"/>
  <c r="T133" i="6"/>
  <c r="U134" i="6"/>
  <c r="C140" i="6"/>
  <c r="J133" i="6"/>
  <c r="H126" i="6"/>
  <c r="W139" i="6"/>
  <c r="W140" i="6"/>
  <c r="L131" i="6"/>
  <c r="C122" i="6"/>
  <c r="N40" i="6"/>
  <c r="D128" i="6"/>
  <c r="C139" i="6"/>
  <c r="L134" i="6"/>
  <c r="N36" i="6"/>
  <c r="C126" i="6"/>
  <c r="D127" i="6"/>
  <c r="B129" i="6"/>
  <c r="N70" i="6"/>
  <c r="H142" i="6"/>
  <c r="L132" i="6"/>
  <c r="H129" i="6"/>
  <c r="L125" i="6"/>
  <c r="W145" i="6"/>
  <c r="D143" i="6"/>
  <c r="N84" i="6"/>
  <c r="C143" i="6"/>
  <c r="N81" i="6"/>
  <c r="N79" i="6"/>
  <c r="N78" i="6"/>
  <c r="N74" i="6"/>
  <c r="N71" i="6"/>
  <c r="D134" i="6"/>
  <c r="B130" i="6"/>
  <c r="C130" i="6"/>
  <c r="D131" i="6"/>
  <c r="D132" i="6"/>
  <c r="B133" i="6"/>
  <c r="N65" i="6"/>
  <c r="D139" i="6"/>
  <c r="N76" i="6"/>
  <c r="D141" i="6"/>
  <c r="N75" i="6"/>
  <c r="N69" i="6"/>
  <c r="N67" i="6"/>
  <c r="B134" i="6"/>
  <c r="N62" i="6"/>
  <c r="D133" i="6"/>
  <c r="N60" i="6"/>
  <c r="N59" i="6"/>
  <c r="B132" i="6"/>
  <c r="C132" i="6"/>
  <c r="C131" i="6"/>
  <c r="N57" i="6"/>
  <c r="N55" i="6"/>
  <c r="D130" i="6"/>
  <c r="S129" i="6"/>
  <c r="J135" i="6"/>
  <c r="S132" i="6"/>
  <c r="S122" i="6"/>
  <c r="B128" i="6"/>
  <c r="N64" i="6"/>
  <c r="S124" i="6"/>
  <c r="D122" i="6"/>
  <c r="D123" i="6"/>
  <c r="N51" i="6"/>
  <c r="N53" i="6"/>
  <c r="N72" i="6"/>
  <c r="C142" i="6"/>
  <c r="H134" i="6"/>
  <c r="N134" i="6" s="1"/>
  <c r="H128" i="6"/>
  <c r="J125" i="6"/>
  <c r="H132" i="6"/>
  <c r="L129" i="6"/>
  <c r="C145" i="6"/>
  <c r="N56" i="6"/>
  <c r="N41" i="6"/>
  <c r="N52" i="6"/>
  <c r="N58" i="6"/>
  <c r="D144" i="6"/>
  <c r="L145" i="6"/>
  <c r="H140" i="6"/>
  <c r="H125" i="6"/>
  <c r="J129" i="6"/>
  <c r="U122" i="6"/>
  <c r="J141" i="6"/>
  <c r="U129" i="6"/>
  <c r="U141" i="6"/>
  <c r="N49" i="6"/>
  <c r="H127" i="6"/>
  <c r="D145" i="6"/>
  <c r="C129" i="6"/>
  <c r="W143" i="6"/>
  <c r="W138" i="6"/>
  <c r="N88" i="6"/>
  <c r="N54" i="6"/>
  <c r="N63" i="6"/>
  <c r="B124" i="6"/>
  <c r="N77" i="6"/>
  <c r="C128" i="6"/>
  <c r="T128" i="6"/>
  <c r="C144" i="6"/>
  <c r="H144" i="6"/>
  <c r="J139" i="6"/>
  <c r="H139" i="6"/>
  <c r="U128" i="6"/>
  <c r="T144" i="6"/>
  <c r="N87" i="6"/>
  <c r="N39" i="6"/>
  <c r="N86" i="6"/>
  <c r="L144" i="6"/>
  <c r="J142" i="6"/>
  <c r="N85" i="6"/>
  <c r="N83" i="6"/>
  <c r="N82" i="6"/>
  <c r="N73" i="6"/>
  <c r="J128" i="6"/>
  <c r="L128" i="6"/>
  <c r="D129" i="6"/>
  <c r="B127" i="6"/>
  <c r="L127" i="6"/>
  <c r="C123" i="6"/>
  <c r="E178" i="2" l="1"/>
  <c r="E142" i="1"/>
  <c r="E153" i="1"/>
  <c r="N141" i="1"/>
  <c r="E162" i="22"/>
  <c r="N202" i="22"/>
  <c r="W179" i="22"/>
  <c r="E171" i="22"/>
  <c r="E200" i="22"/>
  <c r="E197" i="22"/>
  <c r="E187" i="22"/>
  <c r="N164" i="22"/>
  <c r="E195" i="22"/>
  <c r="W163" i="22"/>
  <c r="W181" i="22"/>
  <c r="N158" i="22"/>
  <c r="E185" i="22"/>
  <c r="E165" i="22"/>
  <c r="E194" i="22"/>
  <c r="N186" i="22"/>
  <c r="N166" i="22"/>
  <c r="W175" i="22"/>
  <c r="W167" i="22"/>
  <c r="N184" i="22"/>
  <c r="E188" i="23"/>
  <c r="E183" i="23"/>
  <c r="E173" i="23"/>
  <c r="E152" i="23"/>
  <c r="E174" i="23"/>
  <c r="E161" i="23"/>
  <c r="E142" i="23"/>
  <c r="N172" i="23"/>
  <c r="W175" i="23"/>
  <c r="N161" i="23"/>
  <c r="N167" i="23"/>
  <c r="E170" i="23"/>
  <c r="E140" i="23"/>
  <c r="W141" i="23"/>
  <c r="E182" i="23"/>
  <c r="N140" i="23"/>
  <c r="E177" i="23"/>
  <c r="N144" i="23"/>
  <c r="E146" i="23"/>
  <c r="E168" i="23"/>
  <c r="E172" i="23"/>
  <c r="E139" i="23"/>
  <c r="N171" i="23"/>
  <c r="N165" i="23"/>
  <c r="W177" i="24"/>
  <c r="E162" i="24"/>
  <c r="N181" i="24"/>
  <c r="N158" i="24"/>
  <c r="N185" i="24"/>
  <c r="W170" i="24"/>
  <c r="W159" i="24"/>
  <c r="N177" i="24"/>
  <c r="E166" i="24"/>
  <c r="W171" i="24"/>
  <c r="E178" i="24"/>
  <c r="E189" i="24"/>
  <c r="W178" i="25"/>
  <c r="N179" i="25"/>
  <c r="N143" i="25"/>
  <c r="E161" i="25"/>
  <c r="E186" i="25"/>
  <c r="N178" i="25"/>
  <c r="N153" i="25"/>
  <c r="W161" i="25"/>
  <c r="N146" i="25"/>
  <c r="N186" i="25"/>
  <c r="N144" i="25"/>
  <c r="N164" i="25"/>
  <c r="E156" i="25"/>
  <c r="E141" i="25"/>
  <c r="E142" i="25"/>
  <c r="E139" i="25"/>
  <c r="N187" i="25"/>
  <c r="W174" i="25"/>
  <c r="W136" i="25"/>
  <c r="N122" i="26"/>
  <c r="E139" i="26"/>
  <c r="E119" i="26"/>
  <c r="E141" i="26"/>
  <c r="E140" i="26"/>
  <c r="E121" i="26"/>
  <c r="N124" i="26"/>
  <c r="E120" i="26"/>
  <c r="E123" i="26"/>
  <c r="E118" i="26"/>
  <c r="N153" i="26"/>
  <c r="N120" i="26"/>
  <c r="N141" i="26"/>
  <c r="N137" i="26"/>
  <c r="E129" i="26"/>
  <c r="W139" i="26"/>
  <c r="E149" i="26"/>
  <c r="N150" i="26"/>
  <c r="W94" i="37"/>
  <c r="W103" i="37"/>
  <c r="E99" i="37"/>
  <c r="E97" i="37"/>
  <c r="N98" i="37"/>
  <c r="N91" i="37"/>
  <c r="N94" i="37"/>
  <c r="N99" i="37"/>
  <c r="N85" i="37"/>
  <c r="N95" i="37"/>
  <c r="E98" i="37"/>
  <c r="E90" i="37"/>
  <c r="N101" i="37"/>
  <c r="E106" i="37"/>
  <c r="E95" i="37"/>
  <c r="E84" i="37"/>
  <c r="E102" i="37"/>
  <c r="N86" i="37"/>
  <c r="E103" i="36"/>
  <c r="E123" i="16"/>
  <c r="N130" i="16"/>
  <c r="E138" i="16"/>
  <c r="E144" i="16"/>
  <c r="W149" i="16"/>
  <c r="E132" i="16"/>
  <c r="N158" i="16"/>
  <c r="E139" i="16"/>
  <c r="E147" i="16"/>
  <c r="W141" i="16"/>
  <c r="E140" i="16"/>
  <c r="E129" i="16"/>
  <c r="E127" i="16"/>
  <c r="E128" i="16"/>
  <c r="N129" i="16"/>
  <c r="E126" i="35"/>
  <c r="N114" i="35"/>
  <c r="N118" i="35"/>
  <c r="E118" i="35"/>
  <c r="E130" i="35"/>
  <c r="N132" i="35"/>
  <c r="N115" i="35"/>
  <c r="N129" i="35"/>
  <c r="N143" i="18"/>
  <c r="N182" i="18"/>
  <c r="N149" i="18"/>
  <c r="W145" i="18"/>
  <c r="N183" i="18"/>
  <c r="N190" i="18"/>
  <c r="E179" i="18"/>
  <c r="N179" i="18"/>
  <c r="E146" i="18"/>
  <c r="N187" i="18"/>
  <c r="N148" i="18"/>
  <c r="N175" i="18"/>
  <c r="E138" i="18"/>
  <c r="E149" i="18"/>
  <c r="N156" i="18"/>
  <c r="W160" i="18"/>
  <c r="E149" i="19"/>
  <c r="E155" i="19"/>
  <c r="N184" i="19"/>
  <c r="E165" i="19"/>
  <c r="E126" i="20"/>
  <c r="E121" i="20"/>
  <c r="E136" i="20"/>
  <c r="W149" i="21"/>
  <c r="W178" i="21"/>
  <c r="E134" i="21"/>
  <c r="N184" i="21"/>
  <c r="E185" i="21"/>
  <c r="N187" i="21"/>
  <c r="N171" i="21"/>
  <c r="N152" i="21"/>
  <c r="N169" i="21"/>
  <c r="E139" i="21"/>
  <c r="E135" i="21"/>
  <c r="E172" i="21"/>
  <c r="N159" i="21"/>
  <c r="E187" i="21"/>
  <c r="N185" i="21"/>
  <c r="W76" i="34"/>
  <c r="N90" i="34"/>
  <c r="N91" i="34"/>
  <c r="E88" i="34"/>
  <c r="N79" i="34"/>
  <c r="N76" i="34"/>
  <c r="W84" i="34"/>
  <c r="E88" i="33"/>
  <c r="N78" i="33"/>
  <c r="N85" i="33"/>
  <c r="E93" i="33"/>
  <c r="E170" i="9"/>
  <c r="E156" i="9"/>
  <c r="N182" i="9"/>
  <c r="E152" i="9"/>
  <c r="N200" i="9"/>
  <c r="N181" i="9"/>
  <c r="E202" i="9"/>
  <c r="N179" i="9"/>
  <c r="W159" i="11"/>
  <c r="E190" i="12"/>
  <c r="W141" i="12"/>
  <c r="E156" i="12"/>
  <c r="E180" i="12"/>
  <c r="E150" i="12"/>
  <c r="W167" i="12"/>
  <c r="E159" i="12"/>
  <c r="W148" i="12"/>
  <c r="E77" i="32"/>
  <c r="N142" i="14"/>
  <c r="E165" i="14"/>
  <c r="N146" i="14"/>
  <c r="N193" i="15"/>
  <c r="E179" i="15"/>
  <c r="N203" i="15"/>
  <c r="W181" i="15"/>
  <c r="E180" i="15"/>
  <c r="N164" i="15"/>
  <c r="E204" i="15"/>
  <c r="N156" i="15"/>
  <c r="N184" i="15"/>
  <c r="N154" i="15"/>
  <c r="N153" i="15"/>
  <c r="N157" i="15"/>
  <c r="E176" i="15"/>
  <c r="N180" i="15"/>
  <c r="E175" i="8"/>
  <c r="E173" i="8"/>
  <c r="E177" i="8"/>
  <c r="E160" i="8"/>
  <c r="E158" i="8"/>
  <c r="N149" i="8"/>
  <c r="E192" i="8"/>
  <c r="N148" i="8"/>
  <c r="E180" i="8"/>
  <c r="E161" i="8"/>
  <c r="E202" i="8"/>
  <c r="E155" i="8"/>
  <c r="N74" i="31"/>
  <c r="E92" i="31"/>
  <c r="E189" i="7"/>
  <c r="N174" i="7"/>
  <c r="E139" i="7"/>
  <c r="E173" i="7"/>
  <c r="E151" i="7"/>
  <c r="N162" i="7"/>
  <c r="E142" i="7"/>
  <c r="E148" i="7"/>
  <c r="N177" i="7"/>
  <c r="N189" i="7"/>
  <c r="N176" i="7"/>
  <c r="N169" i="7"/>
  <c r="N140" i="7"/>
  <c r="N185" i="7"/>
  <c r="N139" i="5"/>
  <c r="N142" i="5"/>
  <c r="E141" i="5"/>
  <c r="E152" i="2"/>
  <c r="W136" i="2"/>
  <c r="E173" i="2"/>
  <c r="E158" i="2"/>
  <c r="E162" i="1"/>
  <c r="E166" i="1"/>
  <c r="E161" i="1"/>
  <c r="E176" i="1"/>
  <c r="N123" i="20"/>
  <c r="N203" i="22"/>
  <c r="E138" i="17"/>
  <c r="N170" i="8"/>
  <c r="N87" i="31"/>
  <c r="E159" i="15"/>
  <c r="E181" i="3"/>
  <c r="W191" i="15"/>
  <c r="E170" i="3"/>
  <c r="N84" i="29"/>
  <c r="E153" i="13"/>
  <c r="E160" i="24"/>
  <c r="E190" i="18"/>
  <c r="N176" i="17"/>
  <c r="E178" i="11"/>
  <c r="N139" i="17"/>
  <c r="N160" i="17"/>
  <c r="E130" i="26"/>
  <c r="E194" i="11"/>
  <c r="E135" i="20"/>
  <c r="W139" i="20"/>
  <c r="E148" i="8"/>
  <c r="W175" i="24"/>
  <c r="E173" i="24"/>
  <c r="E173" i="11"/>
  <c r="E193" i="18"/>
  <c r="E192" i="18"/>
  <c r="E96" i="33"/>
  <c r="E153" i="22"/>
  <c r="E152" i="24"/>
  <c r="W190" i="19"/>
  <c r="E148" i="17"/>
  <c r="E176" i="17"/>
  <c r="N174" i="8"/>
  <c r="N190" i="8"/>
  <c r="N172" i="5"/>
  <c r="E190" i="14"/>
  <c r="E192" i="3"/>
  <c r="E146" i="3"/>
  <c r="N175" i="3"/>
  <c r="E95" i="31"/>
  <c r="N191" i="5"/>
  <c r="N138" i="21"/>
  <c r="N167" i="21"/>
  <c r="N141" i="18"/>
  <c r="N202" i="9"/>
  <c r="N158" i="18"/>
  <c r="E136" i="24"/>
  <c r="E153" i="5"/>
  <c r="E81" i="32"/>
  <c r="N158" i="3"/>
  <c r="N97" i="28"/>
  <c r="E158" i="22"/>
  <c r="E188" i="24"/>
  <c r="N182" i="17"/>
  <c r="N177" i="23"/>
  <c r="W143" i="26"/>
  <c r="W164" i="7"/>
  <c r="L164" i="7"/>
  <c r="H164" i="7"/>
  <c r="N164" i="7" s="1"/>
  <c r="E175" i="5"/>
  <c r="E147" i="2"/>
  <c r="E181" i="2"/>
  <c r="N158" i="5"/>
  <c r="E136" i="7"/>
  <c r="N185" i="15"/>
  <c r="E155" i="15"/>
  <c r="N178" i="15"/>
  <c r="E196" i="15"/>
  <c r="W172" i="21"/>
  <c r="N162" i="19"/>
  <c r="E155" i="18"/>
  <c r="E137" i="17"/>
  <c r="E113" i="36"/>
  <c r="E108" i="36"/>
  <c r="E148" i="23"/>
  <c r="E166" i="23"/>
  <c r="N157" i="23"/>
  <c r="N151" i="23"/>
  <c r="N197" i="22"/>
  <c r="E184" i="22"/>
  <c r="N198" i="22"/>
  <c r="N142" i="11"/>
  <c r="E158" i="17"/>
  <c r="E139" i="17"/>
  <c r="W173" i="17"/>
  <c r="E150" i="25"/>
  <c r="N180" i="25"/>
  <c r="N111" i="35"/>
  <c r="E141" i="11"/>
  <c r="E189" i="12"/>
  <c r="E166" i="12"/>
  <c r="E88" i="28"/>
  <c r="N152" i="7"/>
  <c r="N92" i="32"/>
  <c r="E87" i="32"/>
  <c r="E186" i="18"/>
  <c r="E139" i="5"/>
  <c r="N103" i="37"/>
  <c r="E176" i="21"/>
  <c r="N141" i="5"/>
  <c r="W174" i="14"/>
  <c r="E140" i="24"/>
  <c r="E152" i="17"/>
  <c r="E178" i="18"/>
  <c r="E169" i="15"/>
  <c r="E154" i="2"/>
  <c r="N159" i="5"/>
  <c r="E158" i="7"/>
  <c r="N186" i="15"/>
  <c r="N169" i="12"/>
  <c r="N176" i="12"/>
  <c r="W189" i="15"/>
  <c r="W181" i="10"/>
  <c r="W175" i="10"/>
  <c r="E174" i="9"/>
  <c r="E197" i="9"/>
  <c r="N203" i="9"/>
  <c r="N172" i="21"/>
  <c r="E142" i="21"/>
  <c r="N144" i="21"/>
  <c r="E170" i="19"/>
  <c r="N148" i="19"/>
  <c r="N186" i="18"/>
  <c r="E153" i="18"/>
  <c r="W172" i="18"/>
  <c r="E155" i="17"/>
  <c r="E105" i="36"/>
  <c r="E118" i="36"/>
  <c r="E143" i="26"/>
  <c r="N126" i="26"/>
  <c r="E173" i="25"/>
  <c r="E137" i="25"/>
  <c r="N175" i="25"/>
  <c r="W169" i="22"/>
  <c r="W185" i="22"/>
  <c r="N172" i="22"/>
  <c r="N173" i="22"/>
  <c r="E180" i="2"/>
  <c r="E149" i="17"/>
  <c r="E160" i="11"/>
  <c r="E188" i="11"/>
  <c r="N184" i="11"/>
  <c r="E149" i="16"/>
  <c r="E145" i="16"/>
  <c r="E149" i="3"/>
  <c r="E155" i="16"/>
  <c r="E195" i="15"/>
  <c r="N160" i="19"/>
  <c r="E192" i="14"/>
  <c r="E146" i="25"/>
  <c r="E162" i="9"/>
  <c r="W185" i="13"/>
  <c r="E147" i="5"/>
  <c r="E172" i="2"/>
  <c r="N162" i="5"/>
  <c r="N161" i="7"/>
  <c r="E158" i="15"/>
  <c r="E151" i="12"/>
  <c r="E153" i="15"/>
  <c r="E170" i="15"/>
  <c r="N199" i="9"/>
  <c r="N144" i="18"/>
  <c r="W183" i="18"/>
  <c r="E116" i="36"/>
  <c r="N116" i="36"/>
  <c r="E167" i="25"/>
  <c r="E141" i="23"/>
  <c r="E196" i="22"/>
  <c r="N176" i="22"/>
  <c r="W191" i="22"/>
  <c r="N177" i="22"/>
  <c r="N150" i="16"/>
  <c r="E152" i="16"/>
  <c r="E142" i="16"/>
  <c r="N157" i="14"/>
  <c r="E153" i="19"/>
  <c r="E151" i="17"/>
  <c r="E183" i="8"/>
  <c r="E96" i="34"/>
  <c r="W96" i="34"/>
  <c r="N88" i="34"/>
  <c r="E91" i="34"/>
  <c r="E81" i="34"/>
  <c r="E77" i="34"/>
  <c r="N150" i="21"/>
  <c r="N173" i="21"/>
  <c r="E137" i="21"/>
  <c r="E150" i="21"/>
  <c r="N176" i="21"/>
  <c r="N142" i="21"/>
  <c r="E181" i="21"/>
  <c r="E143" i="21"/>
  <c r="E149" i="21"/>
  <c r="N156" i="21"/>
  <c r="E165" i="21"/>
  <c r="N141" i="21"/>
  <c r="E153" i="21"/>
  <c r="N164" i="18"/>
  <c r="N139" i="18"/>
  <c r="N199" i="22"/>
  <c r="N169" i="25"/>
  <c r="N161" i="25"/>
  <c r="N168" i="25"/>
  <c r="N137" i="25"/>
  <c r="N124" i="16"/>
  <c r="N134" i="16"/>
  <c r="N141" i="16"/>
  <c r="E185" i="17"/>
  <c r="E146" i="17"/>
  <c r="E170" i="17"/>
  <c r="E142" i="17"/>
  <c r="E159" i="17"/>
  <c r="N166" i="17"/>
  <c r="N158" i="17"/>
  <c r="N184" i="17"/>
  <c r="E169" i="17"/>
  <c r="E141" i="20"/>
  <c r="E157" i="20"/>
  <c r="E168" i="20"/>
  <c r="N136" i="20"/>
  <c r="N121" i="20"/>
  <c r="N83" i="34"/>
  <c r="E95" i="34"/>
  <c r="E84" i="34"/>
  <c r="N82" i="34"/>
  <c r="E86" i="34"/>
  <c r="E93" i="34"/>
  <c r="N82" i="33"/>
  <c r="N163" i="9"/>
  <c r="E181" i="9"/>
  <c r="N153" i="9"/>
  <c r="N176" i="9"/>
  <c r="E154" i="9"/>
  <c r="N183" i="9"/>
  <c r="N171" i="9"/>
  <c r="E176" i="10"/>
  <c r="W139" i="11"/>
  <c r="N180" i="11"/>
  <c r="N85" i="32"/>
  <c r="W193" i="13"/>
  <c r="N186" i="13"/>
  <c r="N199" i="13"/>
  <c r="W189" i="13"/>
  <c r="N174" i="13"/>
  <c r="E177" i="13"/>
  <c r="E161" i="13"/>
  <c r="E179" i="13"/>
  <c r="N176" i="13"/>
  <c r="E191" i="13"/>
  <c r="E175" i="13"/>
  <c r="E173" i="13"/>
  <c r="N172" i="13"/>
  <c r="E191" i="14"/>
  <c r="E150" i="14"/>
  <c r="E189" i="14"/>
  <c r="W173" i="14"/>
  <c r="N177" i="14"/>
  <c r="N163" i="8"/>
  <c r="E153" i="8"/>
  <c r="N194" i="8"/>
  <c r="E201" i="8"/>
  <c r="E200" i="8"/>
  <c r="E185" i="8"/>
  <c r="E166" i="8"/>
  <c r="N80" i="31"/>
  <c r="N190" i="7"/>
  <c r="E97" i="29"/>
  <c r="E94" i="29"/>
  <c r="E86" i="29"/>
  <c r="E84" i="29"/>
  <c r="E93" i="29"/>
  <c r="E105" i="28"/>
  <c r="E103" i="28"/>
  <c r="N148" i="3"/>
  <c r="E160" i="3"/>
  <c r="E181" i="12"/>
  <c r="N188" i="3"/>
  <c r="N150" i="11"/>
  <c r="E182" i="11"/>
  <c r="N103" i="29"/>
  <c r="W186" i="10"/>
  <c r="E144" i="21"/>
  <c r="N154" i="21"/>
  <c r="N174" i="19"/>
  <c r="E182" i="18"/>
  <c r="E159" i="18"/>
  <c r="E141" i="18"/>
  <c r="N131" i="26"/>
  <c r="E179" i="24"/>
  <c r="N187" i="23"/>
  <c r="E80" i="30"/>
  <c r="E180" i="14"/>
  <c r="W172" i="11"/>
  <c r="N179" i="11"/>
  <c r="N140" i="16"/>
  <c r="E96" i="32"/>
  <c r="N126" i="6"/>
  <c r="W163" i="20"/>
  <c r="N133" i="35"/>
  <c r="E138" i="23"/>
  <c r="W157" i="11"/>
  <c r="W183" i="8"/>
  <c r="N174" i="3"/>
  <c r="N173" i="3"/>
  <c r="W196" i="8"/>
  <c r="N196" i="3"/>
  <c r="E185" i="3"/>
  <c r="W98" i="28"/>
  <c r="E155" i="11"/>
  <c r="W142" i="16"/>
  <c r="E113" i="35"/>
  <c r="N165" i="21"/>
  <c r="N181" i="21"/>
  <c r="N177" i="18"/>
  <c r="W162" i="25"/>
  <c r="N156" i="25"/>
  <c r="E189" i="23"/>
  <c r="N163" i="15"/>
  <c r="N93" i="31"/>
  <c r="W175" i="12"/>
  <c r="N185" i="17"/>
  <c r="E115" i="35"/>
  <c r="N120" i="35"/>
  <c r="N171" i="25"/>
  <c r="N155" i="24"/>
  <c r="E91" i="31"/>
  <c r="W137" i="16"/>
  <c r="N176" i="24"/>
  <c r="N156" i="8"/>
  <c r="N186" i="8"/>
  <c r="E197" i="8"/>
  <c r="N183" i="15"/>
  <c r="E133" i="35"/>
  <c r="E163" i="24"/>
  <c r="W84" i="38"/>
  <c r="E151" i="22"/>
  <c r="E157" i="18"/>
  <c r="N151" i="15"/>
  <c r="E183" i="15"/>
  <c r="W193" i="10"/>
  <c r="N172" i="9"/>
  <c r="W176" i="9"/>
  <c r="E155" i="21"/>
  <c r="N158" i="21"/>
  <c r="E154" i="21"/>
  <c r="N141" i="25"/>
  <c r="E175" i="23"/>
  <c r="E186" i="7"/>
  <c r="N173" i="14"/>
  <c r="N173" i="11"/>
  <c r="N194" i="11"/>
  <c r="N167" i="8"/>
  <c r="N158" i="8"/>
  <c r="N177" i="8"/>
  <c r="E89" i="34"/>
  <c r="N159" i="8"/>
  <c r="N150" i="3"/>
  <c r="N165" i="3"/>
  <c r="N168" i="3"/>
  <c r="W146" i="20"/>
  <c r="N152" i="22"/>
  <c r="E90" i="32"/>
  <c r="E159" i="8"/>
  <c r="E169" i="7"/>
  <c r="E171" i="12"/>
  <c r="W161" i="12"/>
  <c r="N177" i="15"/>
  <c r="W155" i="9"/>
  <c r="N146" i="18"/>
  <c r="N170" i="18"/>
  <c r="N147" i="24"/>
  <c r="N169" i="23"/>
  <c r="N125" i="16"/>
  <c r="E173" i="14"/>
  <c r="N170" i="11"/>
  <c r="E185" i="11"/>
  <c r="N139" i="21"/>
  <c r="E139" i="18"/>
  <c r="E126" i="16"/>
  <c r="E183" i="22"/>
  <c r="E191" i="22"/>
  <c r="E203" i="22"/>
  <c r="E181" i="22"/>
  <c r="N167" i="22"/>
  <c r="W151" i="22"/>
  <c r="E169" i="22"/>
  <c r="E155" i="22"/>
  <c r="E202" i="22"/>
  <c r="N175" i="22"/>
  <c r="N153" i="22"/>
  <c r="N181" i="22"/>
  <c r="E152" i="22"/>
  <c r="E167" i="22"/>
  <c r="E163" i="22"/>
  <c r="N151" i="22"/>
  <c r="N168" i="22"/>
  <c r="E193" i="22"/>
  <c r="W199" i="22"/>
  <c r="N154" i="22"/>
  <c r="N162" i="22"/>
  <c r="N161" i="22"/>
  <c r="N165" i="22"/>
  <c r="E176" i="22"/>
  <c r="N173" i="23"/>
  <c r="N190" i="23"/>
  <c r="N170" i="23"/>
  <c r="E149" i="23"/>
  <c r="E143" i="23"/>
  <c r="W154" i="23"/>
  <c r="N162" i="23"/>
  <c r="W152" i="23"/>
  <c r="W171" i="23"/>
  <c r="N159" i="23"/>
  <c r="N145" i="23"/>
  <c r="W180" i="23"/>
  <c r="N178" i="23"/>
  <c r="N181" i="23"/>
  <c r="N182" i="24"/>
  <c r="N165" i="24"/>
  <c r="N151" i="24"/>
  <c r="E168" i="24"/>
  <c r="N145" i="24"/>
  <c r="N164" i="24"/>
  <c r="N170" i="24"/>
  <c r="W173" i="24"/>
  <c r="N137" i="24"/>
  <c r="E150" i="24"/>
  <c r="W187" i="24"/>
  <c r="N136" i="24"/>
  <c r="E149" i="24"/>
  <c r="N152" i="24"/>
  <c r="W155" i="24"/>
  <c r="N144" i="24"/>
  <c r="E156" i="24"/>
  <c r="E174" i="24"/>
  <c r="N175" i="24"/>
  <c r="E147" i="24"/>
  <c r="E136" i="25"/>
  <c r="N142" i="25"/>
  <c r="E181" i="25"/>
  <c r="N176" i="25"/>
  <c r="N183" i="25"/>
  <c r="N147" i="25"/>
  <c r="E190" i="25"/>
  <c r="N136" i="25"/>
  <c r="E169" i="25"/>
  <c r="N177" i="25"/>
  <c r="N149" i="25"/>
  <c r="W146" i="25"/>
  <c r="N139" i="25"/>
  <c r="W145" i="25"/>
  <c r="N173" i="25"/>
  <c r="N181" i="25"/>
  <c r="N154" i="26"/>
  <c r="N118" i="26"/>
  <c r="E128" i="26"/>
  <c r="E125" i="26"/>
  <c r="N130" i="26"/>
  <c r="N142" i="26"/>
  <c r="N146" i="26"/>
  <c r="E144" i="26"/>
  <c r="E145" i="26"/>
  <c r="N90" i="37"/>
  <c r="N104" i="37"/>
  <c r="N83" i="37"/>
  <c r="N84" i="37"/>
  <c r="W128" i="16"/>
  <c r="E137" i="16"/>
  <c r="N149" i="16"/>
  <c r="N146" i="16"/>
  <c r="N142" i="16"/>
  <c r="E127" i="35"/>
  <c r="W124" i="35"/>
  <c r="N126" i="35"/>
  <c r="N110" i="35"/>
  <c r="E114" i="35"/>
  <c r="E156" i="17"/>
  <c r="N141" i="17"/>
  <c r="W158" i="17"/>
  <c r="N183" i="17"/>
  <c r="N186" i="17"/>
  <c r="E165" i="17"/>
  <c r="W162" i="17"/>
  <c r="E167" i="17"/>
  <c r="E136" i="17"/>
  <c r="E175" i="17"/>
  <c r="N191" i="17"/>
  <c r="W190" i="17"/>
  <c r="N154" i="17"/>
  <c r="N140" i="17"/>
  <c r="E147" i="17"/>
  <c r="E173" i="17"/>
  <c r="N174" i="17"/>
  <c r="W175" i="17"/>
  <c r="N170" i="17"/>
  <c r="E190" i="17"/>
  <c r="N175" i="17"/>
  <c r="E145" i="17"/>
  <c r="W176" i="17"/>
  <c r="N173" i="17"/>
  <c r="N153" i="17"/>
  <c r="N136" i="17"/>
  <c r="N149" i="17"/>
  <c r="E158" i="18"/>
  <c r="N168" i="18"/>
  <c r="E160" i="18"/>
  <c r="E147" i="18"/>
  <c r="N188" i="18"/>
  <c r="N165" i="18"/>
  <c r="W175" i="18"/>
  <c r="E166" i="18"/>
  <c r="N180" i="18"/>
  <c r="E180" i="18"/>
  <c r="N167" i="18"/>
  <c r="N142" i="18"/>
  <c r="N147" i="18"/>
  <c r="W178" i="18"/>
  <c r="E188" i="18"/>
  <c r="E144" i="18"/>
  <c r="N172" i="18"/>
  <c r="E169" i="18"/>
  <c r="W153" i="18"/>
  <c r="E143" i="19"/>
  <c r="E169" i="19"/>
  <c r="E166" i="19"/>
  <c r="N183" i="19"/>
  <c r="W164" i="19"/>
  <c r="N168" i="19"/>
  <c r="E194" i="19"/>
  <c r="E167" i="19"/>
  <c r="E189" i="19"/>
  <c r="N154" i="19"/>
  <c r="N167" i="19"/>
  <c r="N185" i="19"/>
  <c r="W150" i="19"/>
  <c r="E180" i="19"/>
  <c r="E178" i="19"/>
  <c r="N150" i="19"/>
  <c r="E146" i="19"/>
  <c r="N156" i="19"/>
  <c r="N170" i="19"/>
  <c r="N161" i="20"/>
  <c r="W121" i="20"/>
  <c r="W148" i="20"/>
  <c r="E167" i="20"/>
  <c r="W149" i="20"/>
  <c r="N167" i="20"/>
  <c r="E128" i="20"/>
  <c r="W158" i="20"/>
  <c r="N148" i="20"/>
  <c r="E155" i="20"/>
  <c r="E171" i="21"/>
  <c r="N163" i="21"/>
  <c r="N180" i="21"/>
  <c r="E189" i="21"/>
  <c r="E169" i="21"/>
  <c r="N143" i="21"/>
  <c r="E140" i="21"/>
  <c r="E168" i="21"/>
  <c r="W142" i="21"/>
  <c r="E174" i="21"/>
  <c r="N160" i="21"/>
  <c r="N137" i="21"/>
  <c r="W154" i="21"/>
  <c r="N188" i="21"/>
  <c r="E177" i="21"/>
  <c r="E163" i="21"/>
  <c r="N80" i="33"/>
  <c r="W172" i="9"/>
  <c r="E173" i="9"/>
  <c r="N165" i="9"/>
  <c r="N198" i="9"/>
  <c r="W156" i="9"/>
  <c r="N191" i="9"/>
  <c r="E171" i="9"/>
  <c r="E163" i="9"/>
  <c r="N175" i="9"/>
  <c r="E159" i="9"/>
  <c r="W177" i="10"/>
  <c r="W191" i="10"/>
  <c r="W162" i="10"/>
  <c r="W195" i="10"/>
  <c r="N152" i="11"/>
  <c r="N188" i="11"/>
  <c r="W177" i="11"/>
  <c r="N163" i="11"/>
  <c r="N172" i="11"/>
  <c r="E153" i="11"/>
  <c r="N169" i="11"/>
  <c r="E139" i="11"/>
  <c r="E186" i="11"/>
  <c r="E187" i="11"/>
  <c r="W169" i="11"/>
  <c r="N146" i="11"/>
  <c r="W191" i="12"/>
  <c r="E155" i="12"/>
  <c r="N189" i="12"/>
  <c r="N166" i="12"/>
  <c r="E154" i="12"/>
  <c r="E146" i="12"/>
  <c r="E153" i="12"/>
  <c r="W188" i="12"/>
  <c r="N171" i="12"/>
  <c r="E170" i="12"/>
  <c r="N90" i="32"/>
  <c r="E99" i="32"/>
  <c r="E94" i="32"/>
  <c r="N82" i="32"/>
  <c r="W99" i="32"/>
  <c r="N203" i="13"/>
  <c r="W191" i="13"/>
  <c r="E202" i="13"/>
  <c r="E188" i="13"/>
  <c r="N153" i="13"/>
  <c r="E194" i="14"/>
  <c r="E178" i="14"/>
  <c r="N169" i="14"/>
  <c r="E154" i="14"/>
  <c r="N189" i="14"/>
  <c r="N137" i="6"/>
  <c r="N76" i="30"/>
  <c r="W68" i="30"/>
  <c r="E167" i="7"/>
  <c r="E156" i="7"/>
  <c r="E168" i="7"/>
  <c r="E185" i="7"/>
  <c r="N155" i="7"/>
  <c r="N83" i="31"/>
  <c r="N89" i="31"/>
  <c r="W87" i="38"/>
  <c r="E96" i="37"/>
  <c r="E85" i="37"/>
  <c r="E92" i="37"/>
  <c r="E86" i="37"/>
  <c r="E88" i="37"/>
  <c r="N89" i="37"/>
  <c r="N105" i="37"/>
  <c r="N97" i="37"/>
  <c r="E93" i="37"/>
  <c r="E123" i="36"/>
  <c r="W117" i="36"/>
  <c r="E122" i="36"/>
  <c r="N111" i="36"/>
  <c r="N108" i="36"/>
  <c r="N101" i="36"/>
  <c r="E110" i="36"/>
  <c r="N154" i="16"/>
  <c r="N145" i="16"/>
  <c r="N132" i="16"/>
  <c r="N136" i="16"/>
  <c r="E124" i="16"/>
  <c r="E159" i="16"/>
  <c r="N133" i="16"/>
  <c r="W166" i="17"/>
  <c r="E188" i="17"/>
  <c r="N146" i="17"/>
  <c r="E172" i="17"/>
  <c r="E182" i="17"/>
  <c r="E157" i="17"/>
  <c r="E140" i="17"/>
  <c r="E166" i="17"/>
  <c r="N189" i="17"/>
  <c r="N155" i="17"/>
  <c r="E189" i="17"/>
  <c r="N169" i="17"/>
  <c r="E181" i="17"/>
  <c r="N168" i="17"/>
  <c r="N93" i="34"/>
  <c r="N89" i="34"/>
  <c r="E82" i="34"/>
  <c r="E80" i="34"/>
  <c r="E79" i="34"/>
  <c r="E97" i="34"/>
  <c r="N77" i="34"/>
  <c r="N81" i="33"/>
  <c r="E95" i="33"/>
  <c r="N79" i="33"/>
  <c r="W159" i="10"/>
  <c r="E208" i="10"/>
  <c r="W205" i="10"/>
  <c r="N174" i="10"/>
  <c r="W167" i="10"/>
  <c r="N200" i="15"/>
  <c r="N162" i="15"/>
  <c r="E161" i="15"/>
  <c r="E165" i="15"/>
  <c r="E181" i="15"/>
  <c r="E193" i="15"/>
  <c r="E198" i="15"/>
  <c r="E205" i="15"/>
  <c r="E163" i="15"/>
  <c r="N155" i="15"/>
  <c r="E194" i="15"/>
  <c r="E162" i="15"/>
  <c r="E202" i="15"/>
  <c r="N161" i="15"/>
  <c r="E156" i="15"/>
  <c r="E154" i="15"/>
  <c r="N199" i="15"/>
  <c r="E186" i="15"/>
  <c r="N174" i="15"/>
  <c r="E168" i="15"/>
  <c r="N179" i="15"/>
  <c r="E160" i="15"/>
  <c r="E191" i="15"/>
  <c r="E185" i="15"/>
  <c r="N181" i="15"/>
  <c r="N196" i="15"/>
  <c r="E177" i="15"/>
  <c r="E173" i="15"/>
  <c r="E174" i="7"/>
  <c r="E149" i="7"/>
  <c r="E181" i="7"/>
  <c r="E172" i="7"/>
  <c r="N163" i="7"/>
  <c r="E183" i="7"/>
  <c r="E182" i="7"/>
  <c r="N151" i="7"/>
  <c r="E180" i="7"/>
  <c r="E154" i="7"/>
  <c r="E155" i="7"/>
  <c r="E153" i="7"/>
  <c r="E146" i="7"/>
  <c r="E188" i="7"/>
  <c r="N183" i="7"/>
  <c r="N167" i="7"/>
  <c r="N165" i="7"/>
  <c r="N157" i="7"/>
  <c r="E137" i="7"/>
  <c r="N168" i="7"/>
  <c r="E170" i="7"/>
  <c r="N158" i="7"/>
  <c r="N144" i="7"/>
  <c r="N180" i="7"/>
  <c r="N160" i="7"/>
  <c r="E144" i="7"/>
  <c r="N138" i="7"/>
  <c r="N179" i="7"/>
  <c r="E163" i="7"/>
  <c r="N171" i="7"/>
  <c r="E138" i="7"/>
  <c r="N186" i="7"/>
  <c r="E160" i="7"/>
  <c r="E184" i="7"/>
  <c r="N166" i="7"/>
  <c r="N141" i="7"/>
  <c r="E162" i="7"/>
  <c r="N187" i="7"/>
  <c r="E179" i="7"/>
  <c r="N93" i="29"/>
  <c r="N95" i="29"/>
  <c r="N83" i="29"/>
  <c r="N98" i="29"/>
  <c r="N94" i="29"/>
  <c r="N101" i="29"/>
  <c r="E99" i="29"/>
  <c r="N145" i="6"/>
  <c r="N129" i="6"/>
  <c r="N78" i="30"/>
  <c r="E70" i="30"/>
  <c r="N70" i="30"/>
  <c r="N73" i="30"/>
  <c r="E73" i="30"/>
  <c r="N189" i="5"/>
  <c r="N165" i="5"/>
  <c r="E189" i="5"/>
  <c r="N160" i="5"/>
  <c r="E162" i="5"/>
  <c r="E185" i="5"/>
  <c r="E192" i="5"/>
  <c r="E75" i="30"/>
  <c r="E82" i="30"/>
  <c r="E72" i="30"/>
  <c r="E69" i="30"/>
  <c r="N68" i="30"/>
  <c r="N69" i="30"/>
  <c r="E68" i="30"/>
  <c r="N90" i="28"/>
  <c r="N91" i="28"/>
  <c r="E102" i="28"/>
  <c r="N85" i="28"/>
  <c r="E97" i="28"/>
  <c r="W106" i="28"/>
  <c r="N100" i="28"/>
  <c r="E189" i="2"/>
  <c r="E161" i="2"/>
  <c r="E138" i="2"/>
  <c r="E160" i="2"/>
  <c r="E191" i="2"/>
  <c r="E155" i="2"/>
  <c r="E179" i="2"/>
  <c r="E165" i="2"/>
  <c r="E164" i="2"/>
  <c r="E185" i="2"/>
  <c r="E144" i="1"/>
  <c r="E186" i="1"/>
  <c r="E145" i="1"/>
  <c r="E174" i="1"/>
  <c r="E167" i="1"/>
  <c r="N84" i="33"/>
  <c r="N86" i="33"/>
  <c r="E90" i="33"/>
  <c r="E87" i="33"/>
  <c r="E92" i="33"/>
  <c r="E94" i="33"/>
  <c r="E206" i="9"/>
  <c r="J177" i="9"/>
  <c r="E186" i="9"/>
  <c r="W198" i="9"/>
  <c r="E182" i="9"/>
  <c r="E191" i="9"/>
  <c r="E184" i="9"/>
  <c r="L177" i="9"/>
  <c r="N167" i="9"/>
  <c r="E157" i="9"/>
  <c r="E165" i="9"/>
  <c r="N164" i="9"/>
  <c r="N206" i="9"/>
  <c r="E205" i="9"/>
  <c r="E166" i="9"/>
  <c r="E158" i="9"/>
  <c r="E167" i="9"/>
  <c r="W170" i="9"/>
  <c r="N158" i="9"/>
  <c r="N155" i="9"/>
  <c r="E194" i="9"/>
  <c r="E153" i="9"/>
  <c r="N193" i="9"/>
  <c r="N162" i="9"/>
  <c r="N152" i="9"/>
  <c r="N159" i="22"/>
  <c r="E189" i="22"/>
  <c r="E179" i="22"/>
  <c r="N185" i="22"/>
  <c r="N192" i="22"/>
  <c r="E161" i="22"/>
  <c r="N196" i="22"/>
  <c r="E198" i="22"/>
  <c r="E154" i="22"/>
  <c r="N150" i="22"/>
  <c r="E174" i="22"/>
  <c r="E172" i="22"/>
  <c r="E186" i="22"/>
  <c r="E156" i="22"/>
  <c r="E160" i="22"/>
  <c r="E201" i="22"/>
  <c r="N180" i="22"/>
  <c r="E199" i="22"/>
  <c r="E179" i="23"/>
  <c r="E144" i="23"/>
  <c r="E151" i="23"/>
  <c r="N168" i="23"/>
  <c r="E165" i="23"/>
  <c r="E155" i="23"/>
  <c r="N150" i="23"/>
  <c r="N180" i="23"/>
  <c r="N142" i="23"/>
  <c r="N163" i="23"/>
  <c r="N149" i="23"/>
  <c r="N148" i="23"/>
  <c r="N191" i="23"/>
  <c r="W182" i="23"/>
  <c r="N141" i="23"/>
  <c r="E159" i="23"/>
  <c r="E185" i="23"/>
  <c r="E187" i="23"/>
  <c r="E169" i="23"/>
  <c r="E190" i="23"/>
  <c r="N182" i="23"/>
  <c r="E156" i="23"/>
  <c r="E181" i="23"/>
  <c r="N175" i="23"/>
  <c r="W144" i="23"/>
  <c r="N178" i="24"/>
  <c r="W179" i="24"/>
  <c r="N163" i="24"/>
  <c r="W147" i="24"/>
  <c r="N171" i="24"/>
  <c r="E175" i="24"/>
  <c r="N159" i="24"/>
  <c r="N149" i="24"/>
  <c r="E172" i="24"/>
  <c r="E170" i="24"/>
  <c r="N186" i="24"/>
  <c r="W178" i="24"/>
  <c r="N172" i="24"/>
  <c r="E183" i="24"/>
  <c r="E184" i="24"/>
  <c r="N183" i="24"/>
  <c r="N139" i="24"/>
  <c r="E157" i="24"/>
  <c r="W183" i="24"/>
  <c r="W135" i="24"/>
  <c r="E153" i="24"/>
  <c r="N150" i="24"/>
  <c r="E143" i="25"/>
  <c r="N162" i="25"/>
  <c r="E158" i="25"/>
  <c r="N148" i="25"/>
  <c r="E175" i="25"/>
  <c r="N190" i="25"/>
  <c r="E182" i="25"/>
  <c r="E174" i="25"/>
  <c r="E157" i="25"/>
  <c r="E148" i="25"/>
  <c r="J155" i="25"/>
  <c r="L155" i="25"/>
  <c r="N160" i="25"/>
  <c r="N140" i="25"/>
  <c r="N135" i="25"/>
  <c r="W157" i="25"/>
  <c r="E144" i="25"/>
  <c r="E166" i="25"/>
  <c r="E154" i="25"/>
  <c r="N182" i="25"/>
  <c r="W135" i="26"/>
  <c r="N148" i="26"/>
  <c r="N128" i="26"/>
  <c r="E126" i="26"/>
  <c r="E134" i="26"/>
  <c r="E153" i="26"/>
  <c r="W126" i="26"/>
  <c r="E135" i="26"/>
  <c r="W136" i="26"/>
  <c r="E122" i="26"/>
  <c r="E146" i="26"/>
  <c r="N119" i="26"/>
  <c r="N138" i="26"/>
  <c r="N127" i="26"/>
  <c r="E154" i="26"/>
  <c r="E117" i="26"/>
  <c r="N135" i="26"/>
  <c r="W148" i="26"/>
  <c r="N89" i="38"/>
  <c r="W100" i="38"/>
  <c r="E95" i="38"/>
  <c r="N90" i="38"/>
  <c r="E86" i="38"/>
  <c r="N83" i="38"/>
  <c r="N95" i="38"/>
  <c r="E109" i="36"/>
  <c r="N124" i="36"/>
  <c r="N121" i="36"/>
  <c r="N109" i="36"/>
  <c r="N117" i="36"/>
  <c r="W102" i="36"/>
  <c r="N122" i="36"/>
  <c r="W105" i="36"/>
  <c r="N110" i="36"/>
  <c r="N115" i="36"/>
  <c r="E117" i="36"/>
  <c r="N113" i="36"/>
  <c r="W120" i="36"/>
  <c r="E107" i="36"/>
  <c r="N105" i="36"/>
  <c r="W124" i="36"/>
  <c r="N114" i="36"/>
  <c r="E119" i="36"/>
  <c r="N123" i="36"/>
  <c r="W123" i="36"/>
  <c r="E124" i="36"/>
  <c r="N120" i="36"/>
  <c r="W110" i="36"/>
  <c r="E112" i="36"/>
  <c r="E121" i="36"/>
  <c r="N106" i="36"/>
  <c r="E106" i="36"/>
  <c r="W106" i="36"/>
  <c r="N107" i="36"/>
  <c r="W109" i="36"/>
  <c r="N119" i="36"/>
  <c r="E111" i="36"/>
  <c r="W119" i="36"/>
  <c r="W107" i="36"/>
  <c r="N125" i="36"/>
  <c r="E102" i="36"/>
  <c r="N112" i="36"/>
  <c r="N102" i="36"/>
  <c r="W122" i="36"/>
  <c r="E115" i="36"/>
  <c r="N178" i="17"/>
  <c r="W148" i="17"/>
  <c r="N179" i="17"/>
  <c r="E164" i="17"/>
  <c r="N167" i="17"/>
  <c r="W146" i="17"/>
  <c r="N171" i="17"/>
  <c r="N165" i="17"/>
  <c r="E154" i="17"/>
  <c r="E150" i="17"/>
  <c r="N157" i="17"/>
  <c r="W170" i="17"/>
  <c r="E143" i="17"/>
  <c r="W182" i="17"/>
  <c r="W142" i="17"/>
  <c r="E177" i="17"/>
  <c r="N148" i="17"/>
  <c r="N156" i="17"/>
  <c r="E153" i="17"/>
  <c r="E184" i="17"/>
  <c r="E174" i="17"/>
  <c r="N142" i="17"/>
  <c r="E180" i="17"/>
  <c r="N161" i="17"/>
  <c r="E154" i="18"/>
  <c r="E140" i="18"/>
  <c r="E148" i="18"/>
  <c r="E145" i="18"/>
  <c r="E171" i="18"/>
  <c r="E165" i="18"/>
  <c r="N150" i="18"/>
  <c r="E172" i="18"/>
  <c r="N153" i="18"/>
  <c r="W177" i="18"/>
  <c r="N152" i="18"/>
  <c r="W154" i="18"/>
  <c r="N162" i="18"/>
  <c r="E175" i="18"/>
  <c r="E152" i="18"/>
  <c r="E162" i="18"/>
  <c r="E183" i="18"/>
  <c r="N145" i="18"/>
  <c r="N171" i="18"/>
  <c r="N163" i="18"/>
  <c r="E173" i="18"/>
  <c r="E170" i="18"/>
  <c r="E163" i="18"/>
  <c r="N173" i="18"/>
  <c r="N161" i="18"/>
  <c r="W148" i="18"/>
  <c r="N166" i="18"/>
  <c r="W163" i="18"/>
  <c r="N175" i="19"/>
  <c r="E190" i="19"/>
  <c r="E183" i="19"/>
  <c r="E184" i="19"/>
  <c r="E159" i="19"/>
  <c r="N178" i="19"/>
  <c r="N187" i="19"/>
  <c r="N188" i="19"/>
  <c r="E144" i="19"/>
  <c r="E150" i="19"/>
  <c r="W149" i="19"/>
  <c r="E173" i="19"/>
  <c r="W156" i="19"/>
  <c r="N193" i="19"/>
  <c r="N152" i="19"/>
  <c r="W172" i="19"/>
  <c r="E161" i="19"/>
  <c r="N176" i="19"/>
  <c r="N158" i="19"/>
  <c r="N173" i="19"/>
  <c r="E182" i="19"/>
  <c r="N145" i="19"/>
  <c r="N179" i="19"/>
  <c r="N171" i="19"/>
  <c r="W186" i="19"/>
  <c r="W176" i="19"/>
  <c r="E148" i="19"/>
  <c r="N165" i="19"/>
  <c r="E142" i="20"/>
  <c r="E122" i="20"/>
  <c r="E129" i="20"/>
  <c r="N157" i="20"/>
  <c r="E138" i="20"/>
  <c r="N155" i="20"/>
  <c r="W153" i="20"/>
  <c r="E151" i="20"/>
  <c r="E140" i="20"/>
  <c r="N168" i="20"/>
  <c r="W152" i="20"/>
  <c r="W157" i="20"/>
  <c r="E149" i="20"/>
  <c r="N139" i="20"/>
  <c r="N125" i="20"/>
  <c r="E134" i="20"/>
  <c r="E152" i="20"/>
  <c r="E164" i="20"/>
  <c r="E130" i="20"/>
  <c r="E148" i="20"/>
  <c r="N128" i="20"/>
  <c r="E133" i="20"/>
  <c r="W147" i="20"/>
  <c r="E166" i="20"/>
  <c r="N152" i="20"/>
  <c r="E127" i="20"/>
  <c r="N132" i="20"/>
  <c r="W159" i="20"/>
  <c r="E160" i="20"/>
  <c r="N134" i="21"/>
  <c r="W144" i="21"/>
  <c r="E166" i="21"/>
  <c r="E145" i="21"/>
  <c r="N170" i="21"/>
  <c r="N164" i="21"/>
  <c r="E138" i="21"/>
  <c r="N166" i="21"/>
  <c r="N136" i="21"/>
  <c r="N162" i="21"/>
  <c r="E151" i="21"/>
  <c r="W188" i="21"/>
  <c r="N177" i="21"/>
  <c r="N168" i="21"/>
  <c r="E159" i="21"/>
  <c r="W177" i="21"/>
  <c r="E173" i="21"/>
  <c r="W168" i="21"/>
  <c r="W169" i="21"/>
  <c r="E84" i="33"/>
  <c r="E91" i="33"/>
  <c r="E80" i="33"/>
  <c r="E82" i="33"/>
  <c r="E86" i="33"/>
  <c r="E99" i="33"/>
  <c r="E192" i="9"/>
  <c r="E199" i="9"/>
  <c r="E177" i="9"/>
  <c r="E193" i="9"/>
  <c r="W186" i="9"/>
  <c r="N169" i="9"/>
  <c r="E164" i="9"/>
  <c r="N166" i="9"/>
  <c r="N160" i="9"/>
  <c r="E200" i="9"/>
  <c r="N157" i="9"/>
  <c r="W197" i="9"/>
  <c r="E175" i="9"/>
  <c r="E203" i="9"/>
  <c r="E160" i="9"/>
  <c r="W193" i="9"/>
  <c r="W191" i="9"/>
  <c r="L178" i="9"/>
  <c r="J178" i="9"/>
  <c r="N160" i="10"/>
  <c r="E192" i="10"/>
  <c r="W198" i="10"/>
  <c r="W210" i="10"/>
  <c r="E195" i="10"/>
  <c r="E202" i="10"/>
  <c r="N168" i="10"/>
  <c r="E177" i="10"/>
  <c r="N165" i="10"/>
  <c r="W201" i="10"/>
  <c r="N182" i="10"/>
  <c r="E204" i="10"/>
  <c r="W180" i="10"/>
  <c r="E171" i="10"/>
  <c r="E201" i="10"/>
  <c r="E200" i="10"/>
  <c r="W179" i="10"/>
  <c r="E165" i="10"/>
  <c r="N194" i="10"/>
  <c r="E187" i="10"/>
  <c r="E210" i="10"/>
  <c r="N196" i="10"/>
  <c r="N170" i="10"/>
  <c r="W185" i="10"/>
  <c r="W197" i="10"/>
  <c r="E158" i="10"/>
  <c r="W173" i="10"/>
  <c r="N198" i="10"/>
  <c r="W196" i="10"/>
  <c r="E189" i="10"/>
  <c r="W168" i="10"/>
  <c r="E205" i="10"/>
  <c r="N172" i="10"/>
  <c r="E164" i="10"/>
  <c r="E161" i="10"/>
  <c r="W169" i="10"/>
  <c r="W207" i="10"/>
  <c r="W199" i="10"/>
  <c r="N184" i="10"/>
  <c r="W211" i="10"/>
  <c r="E166" i="10"/>
  <c r="W190" i="10"/>
  <c r="E193" i="10"/>
  <c r="N200" i="10"/>
  <c r="N171" i="10"/>
  <c r="W158" i="10"/>
  <c r="E181" i="10"/>
  <c r="W200" i="10"/>
  <c r="N197" i="10"/>
  <c r="N199" i="10"/>
  <c r="E206" i="10"/>
  <c r="E190" i="10"/>
  <c r="N205" i="10"/>
  <c r="N193" i="10"/>
  <c r="E178" i="10"/>
  <c r="W202" i="10"/>
  <c r="E163" i="10"/>
  <c r="N181" i="10"/>
  <c r="N189" i="10"/>
  <c r="W187" i="10"/>
  <c r="N209" i="10"/>
  <c r="N167" i="10"/>
  <c r="N186" i="10"/>
  <c r="E213" i="10"/>
  <c r="N166" i="10"/>
  <c r="N176" i="10"/>
  <c r="W194" i="10"/>
  <c r="N164" i="10"/>
  <c r="N177" i="10"/>
  <c r="E172" i="10"/>
  <c r="W165" i="10"/>
  <c r="E191" i="10"/>
  <c r="E180" i="10"/>
  <c r="N180" i="10"/>
  <c r="N179" i="10"/>
  <c r="N195" i="10"/>
  <c r="E175" i="10"/>
  <c r="E183" i="10"/>
  <c r="N188" i="10"/>
  <c r="N206" i="10"/>
  <c r="W203" i="10"/>
  <c r="E159" i="10"/>
  <c r="W204" i="10"/>
  <c r="W192" i="10"/>
  <c r="W208" i="10"/>
  <c r="E160" i="10"/>
  <c r="E198" i="10"/>
  <c r="W188" i="10"/>
  <c r="N192" i="10"/>
  <c r="N159" i="10"/>
  <c r="N190" i="10"/>
  <c r="W189" i="10"/>
  <c r="N201" i="10"/>
  <c r="N161" i="10"/>
  <c r="E185" i="10"/>
  <c r="N173" i="10"/>
  <c r="W182" i="10"/>
  <c r="E194" i="10"/>
  <c r="E186" i="10"/>
  <c r="E207" i="10"/>
  <c r="N183" i="10"/>
  <c r="N208" i="10"/>
  <c r="E167" i="10"/>
  <c r="E179" i="10"/>
  <c r="E196" i="10"/>
  <c r="N203" i="10"/>
  <c r="E168" i="10"/>
  <c r="E188" i="10"/>
  <c r="N169" i="10"/>
  <c r="W209" i="10"/>
  <c r="E169" i="10"/>
  <c r="E212" i="10"/>
  <c r="N158" i="10"/>
  <c r="N162" i="10"/>
  <c r="E173" i="10"/>
  <c r="E184" i="10"/>
  <c r="N213" i="10"/>
  <c r="N191" i="10"/>
  <c r="E209" i="10"/>
  <c r="N178" i="10"/>
  <c r="N187" i="10"/>
  <c r="E170" i="10"/>
  <c r="E182" i="10"/>
  <c r="E211" i="10"/>
  <c r="E197" i="10"/>
  <c r="N185" i="10"/>
  <c r="E174" i="10"/>
  <c r="N175" i="10"/>
  <c r="N173" i="12"/>
  <c r="N161" i="12"/>
  <c r="N141" i="12"/>
  <c r="W157" i="12"/>
  <c r="E186" i="12"/>
  <c r="W177" i="12"/>
  <c r="E149" i="12"/>
  <c r="N157" i="12"/>
  <c r="N181" i="12"/>
  <c r="W184" i="12"/>
  <c r="N188" i="12"/>
  <c r="W176" i="12"/>
  <c r="E152" i="12"/>
  <c r="N156" i="12"/>
  <c r="E178" i="15"/>
  <c r="N160" i="15"/>
  <c r="E197" i="15"/>
  <c r="E166" i="15"/>
  <c r="E201" i="15"/>
  <c r="E157" i="15"/>
  <c r="E174" i="15"/>
  <c r="E199" i="15"/>
  <c r="E189" i="15"/>
  <c r="E182" i="15"/>
  <c r="W202" i="15"/>
  <c r="E187" i="15"/>
  <c r="N189" i="15"/>
  <c r="E139" i="12"/>
  <c r="W173" i="12"/>
  <c r="E176" i="12"/>
  <c r="E145" i="12"/>
  <c r="E167" i="12"/>
  <c r="E175" i="12"/>
  <c r="W181" i="12"/>
  <c r="E188" i="12"/>
  <c r="W187" i="12"/>
  <c r="E174" i="12"/>
  <c r="E141" i="12"/>
  <c r="E140" i="12"/>
  <c r="E172" i="12"/>
  <c r="N187" i="12"/>
  <c r="E179" i="12"/>
  <c r="E143" i="12"/>
  <c r="E168" i="12"/>
  <c r="E144" i="12"/>
  <c r="E178" i="12"/>
  <c r="E147" i="12"/>
  <c r="W182" i="12"/>
  <c r="E182" i="12"/>
  <c r="N182" i="12"/>
  <c r="E169" i="12"/>
  <c r="W149" i="12"/>
  <c r="W152" i="12"/>
  <c r="E187" i="12"/>
  <c r="E162" i="12"/>
  <c r="W171" i="12"/>
  <c r="N152" i="12"/>
  <c r="E183" i="12"/>
  <c r="E173" i="12"/>
  <c r="E158" i="12"/>
  <c r="N165" i="12"/>
  <c r="W180" i="12"/>
  <c r="N149" i="12"/>
  <c r="W169" i="12"/>
  <c r="N190" i="13"/>
  <c r="E203" i="13"/>
  <c r="N180" i="13"/>
  <c r="N156" i="13"/>
  <c r="E172" i="13"/>
  <c r="E168" i="13"/>
  <c r="E160" i="13"/>
  <c r="N169" i="13"/>
  <c r="N168" i="13"/>
  <c r="N171" i="13"/>
  <c r="W197" i="13"/>
  <c r="E174" i="13"/>
  <c r="E156" i="13"/>
  <c r="W187" i="13"/>
  <c r="N187" i="13"/>
  <c r="E193" i="13"/>
  <c r="N181" i="13"/>
  <c r="E200" i="13"/>
  <c r="N159" i="13"/>
  <c r="N184" i="13"/>
  <c r="N170" i="13"/>
  <c r="W192" i="13"/>
  <c r="N198" i="13"/>
  <c r="E154" i="13"/>
  <c r="E155" i="13"/>
  <c r="N208" i="13"/>
  <c r="E207" i="13"/>
  <c r="E181" i="13"/>
  <c r="E169" i="13"/>
  <c r="E182" i="13"/>
  <c r="E184" i="13"/>
  <c r="W196" i="13"/>
  <c r="E194" i="13"/>
  <c r="E176" i="13"/>
  <c r="E201" i="13"/>
  <c r="N182" i="13"/>
  <c r="N173" i="13"/>
  <c r="N192" i="13"/>
  <c r="E180" i="13"/>
  <c r="N201" i="13"/>
  <c r="N179" i="13"/>
  <c r="N191" i="13"/>
  <c r="E189" i="13"/>
  <c r="E186" i="13"/>
  <c r="E199" i="13"/>
  <c r="E190" i="13"/>
  <c r="E205" i="13"/>
  <c r="N178" i="13"/>
  <c r="E187" i="13"/>
  <c r="E197" i="13"/>
  <c r="N197" i="13"/>
  <c r="N194" i="13"/>
  <c r="E159" i="13"/>
  <c r="N189" i="13"/>
  <c r="E198" i="13"/>
  <c r="N177" i="13"/>
  <c r="W195" i="13"/>
  <c r="E204" i="13"/>
  <c r="E158" i="13"/>
  <c r="E208" i="13"/>
  <c r="W201" i="13"/>
  <c r="N205" i="13"/>
  <c r="N155" i="13"/>
  <c r="N185" i="13"/>
  <c r="N200" i="13"/>
  <c r="N157" i="13"/>
  <c r="N204" i="13"/>
  <c r="E185" i="13"/>
  <c r="N188" i="13"/>
  <c r="E206" i="15"/>
  <c r="E203" i="15"/>
  <c r="W197" i="15"/>
  <c r="N206" i="15"/>
  <c r="E188" i="15"/>
  <c r="N168" i="15"/>
  <c r="N166" i="15"/>
  <c r="N182" i="15"/>
  <c r="N176" i="15"/>
  <c r="N197" i="15"/>
  <c r="N152" i="15"/>
  <c r="N192" i="15"/>
  <c r="E143" i="7"/>
  <c r="E191" i="7"/>
  <c r="E171" i="7"/>
  <c r="E161" i="7"/>
  <c r="E152" i="7"/>
  <c r="E177" i="7"/>
  <c r="N172" i="7"/>
  <c r="N170" i="7"/>
  <c r="E176" i="7"/>
  <c r="N156" i="7"/>
  <c r="E150" i="7"/>
  <c r="N188" i="7"/>
  <c r="N150" i="7"/>
  <c r="N182" i="7"/>
  <c r="N137" i="7"/>
  <c r="N153" i="7"/>
  <c r="E145" i="7"/>
  <c r="E159" i="7"/>
  <c r="E157" i="7"/>
  <c r="N74" i="30"/>
  <c r="N81" i="30"/>
  <c r="N80" i="30"/>
  <c r="W77" i="30"/>
  <c r="E76" i="30"/>
  <c r="N140" i="5"/>
  <c r="E191" i="5"/>
  <c r="N143" i="5"/>
  <c r="N181" i="5"/>
  <c r="E187" i="5"/>
  <c r="E170" i="5"/>
  <c r="N182" i="5"/>
  <c r="N154" i="5"/>
  <c r="E148" i="5"/>
  <c r="E159" i="5"/>
  <c r="E142" i="5"/>
  <c r="N185" i="5"/>
  <c r="E157" i="5"/>
  <c r="N168" i="5"/>
  <c r="E99" i="28"/>
  <c r="E84" i="28"/>
  <c r="E101" i="28"/>
  <c r="E94" i="28"/>
  <c r="E107" i="28"/>
  <c r="N101" i="28"/>
  <c r="E87" i="28"/>
  <c r="E168" i="2"/>
  <c r="E144" i="2"/>
  <c r="E142" i="2"/>
  <c r="E140" i="2"/>
  <c r="E156" i="2"/>
  <c r="E169" i="2"/>
  <c r="E159" i="2"/>
  <c r="E184" i="2"/>
  <c r="E175" i="2"/>
  <c r="E151" i="2"/>
  <c r="E136" i="2"/>
  <c r="E190" i="2"/>
  <c r="E177" i="2"/>
  <c r="E141" i="2"/>
  <c r="E146" i="2"/>
  <c r="E176" i="2"/>
  <c r="N136" i="2"/>
  <c r="N190" i="2"/>
  <c r="E157" i="2"/>
  <c r="E162" i="2"/>
  <c r="E186" i="2"/>
  <c r="E153" i="2"/>
  <c r="E166" i="2"/>
  <c r="E137" i="2"/>
  <c r="E148" i="2"/>
  <c r="E171" i="2"/>
  <c r="E150" i="2"/>
  <c r="E139" i="2"/>
  <c r="E170" i="2"/>
  <c r="E174" i="2"/>
  <c r="E143" i="2"/>
  <c r="E187" i="2"/>
  <c r="N145" i="1"/>
  <c r="N155" i="1"/>
  <c r="E172" i="1"/>
  <c r="E156" i="1"/>
  <c r="N195" i="1"/>
  <c r="N146" i="1"/>
  <c r="N149" i="1"/>
  <c r="E182" i="1"/>
  <c r="N183" i="1"/>
  <c r="E164" i="1"/>
  <c r="E180" i="1"/>
  <c r="E193" i="1"/>
  <c r="N154" i="1"/>
  <c r="E141" i="1"/>
  <c r="N150" i="1"/>
  <c r="E148" i="1"/>
  <c r="E195" i="1"/>
  <c r="E190" i="1"/>
  <c r="N156" i="1"/>
  <c r="N153" i="1"/>
  <c r="N190" i="1"/>
  <c r="N192" i="1"/>
  <c r="E170" i="1"/>
  <c r="N179" i="1"/>
  <c r="W182" i="19"/>
  <c r="N146" i="19"/>
  <c r="E192" i="15"/>
  <c r="E179" i="25"/>
  <c r="E181" i="8"/>
  <c r="N192" i="8"/>
  <c r="N154" i="25"/>
  <c r="E81" i="33"/>
  <c r="N179" i="21"/>
  <c r="N167" i="12"/>
  <c r="W196" i="9"/>
  <c r="N100" i="32"/>
  <c r="E79" i="33"/>
  <c r="W174" i="21"/>
  <c r="E186" i="19"/>
  <c r="E92" i="34"/>
  <c r="E94" i="34"/>
  <c r="N188" i="1"/>
  <c r="E195" i="8"/>
  <c r="E198" i="9"/>
  <c r="E182" i="8"/>
  <c r="E193" i="3"/>
  <c r="E81" i="30"/>
  <c r="N189" i="19"/>
  <c r="E168" i="9"/>
  <c r="W179" i="21"/>
  <c r="E177" i="5"/>
  <c r="E160" i="17"/>
  <c r="E169" i="20"/>
  <c r="E153" i="20"/>
  <c r="N142" i="20"/>
  <c r="E123" i="20"/>
  <c r="E124" i="20"/>
  <c r="E145" i="20"/>
  <c r="N129" i="20"/>
  <c r="N93" i="33"/>
  <c r="N90" i="33"/>
  <c r="N161" i="13"/>
  <c r="E132" i="20"/>
  <c r="W80" i="34"/>
  <c r="N169" i="22"/>
  <c r="E139" i="24"/>
  <c r="W170" i="18"/>
  <c r="E151" i="24"/>
  <c r="E157" i="21"/>
  <c r="W183" i="11"/>
  <c r="N92" i="34"/>
  <c r="E188" i="9"/>
  <c r="E158" i="21"/>
  <c r="N77" i="32"/>
  <c r="N153" i="8"/>
  <c r="N187" i="8"/>
  <c r="N104" i="36"/>
  <c r="E157" i="11"/>
  <c r="N189" i="8"/>
  <c r="W180" i="8"/>
  <c r="N84" i="32"/>
  <c r="N202" i="15"/>
  <c r="N165" i="8"/>
  <c r="E166" i="5"/>
  <c r="E149" i="2"/>
  <c r="N189" i="3"/>
  <c r="N160" i="3"/>
  <c r="E164" i="3"/>
  <c r="N83" i="33"/>
  <c r="N99" i="38"/>
  <c r="E190" i="7"/>
  <c r="N202" i="8"/>
  <c r="E166" i="22"/>
  <c r="E153" i="23"/>
  <c r="E167" i="21"/>
  <c r="E152" i="19"/>
  <c r="E183" i="9"/>
  <c r="E76" i="31"/>
  <c r="E100" i="37"/>
  <c r="N157" i="25"/>
  <c r="N146" i="24"/>
  <c r="N145" i="25"/>
  <c r="W204" i="13"/>
  <c r="N188" i="24"/>
  <c r="N171" i="14"/>
  <c r="N103" i="36"/>
  <c r="N196" i="9"/>
  <c r="N137" i="23"/>
  <c r="E159" i="1"/>
  <c r="E125" i="36"/>
  <c r="N191" i="18"/>
  <c r="E157" i="8"/>
  <c r="N151" i="19"/>
  <c r="N186" i="9"/>
  <c r="W179" i="25"/>
  <c r="E157" i="19"/>
  <c r="N197" i="9"/>
  <c r="E151" i="1"/>
  <c r="N145" i="3"/>
  <c r="N184" i="18"/>
  <c r="E162" i="10"/>
  <c r="E149" i="25"/>
  <c r="E165" i="20"/>
  <c r="E143" i="20"/>
  <c r="N75" i="31"/>
  <c r="N84" i="31"/>
  <c r="W207" i="13"/>
  <c r="E146" i="24"/>
  <c r="N125" i="26"/>
  <c r="E180" i="21"/>
  <c r="N169" i="15"/>
  <c r="N143" i="24"/>
  <c r="E172" i="5"/>
  <c r="W168" i="20"/>
  <c r="N165" i="20"/>
  <c r="N203" i="8"/>
  <c r="E129" i="35"/>
  <c r="N166" i="25"/>
  <c r="N187" i="17"/>
  <c r="E187" i="25"/>
  <c r="W167" i="24"/>
  <c r="E193" i="19"/>
  <c r="W151" i="24"/>
  <c r="E187" i="17"/>
  <c r="N160" i="23"/>
  <c r="N159" i="7"/>
  <c r="E142" i="12"/>
  <c r="N90" i="31"/>
  <c r="E162" i="3"/>
  <c r="N155" i="8"/>
  <c r="E196" i="8"/>
  <c r="E189" i="1"/>
  <c r="N92" i="28"/>
  <c r="E104" i="36"/>
  <c r="E183" i="2"/>
  <c r="E96" i="28"/>
  <c r="E183" i="1"/>
  <c r="N178" i="1"/>
  <c r="E175" i="1"/>
  <c r="N198" i="3"/>
  <c r="E147" i="3"/>
  <c r="E183" i="3"/>
  <c r="N190" i="3"/>
  <c r="N99" i="29"/>
  <c r="N102" i="28"/>
  <c r="W98" i="32"/>
  <c r="M7" i="35"/>
  <c r="C110" i="35"/>
  <c r="N189" i="24"/>
  <c r="W153" i="22"/>
  <c r="E148" i="16"/>
  <c r="E152" i="21"/>
  <c r="E151" i="19"/>
  <c r="E85" i="31"/>
  <c r="E95" i="28"/>
  <c r="E145" i="2"/>
  <c r="N195" i="13"/>
  <c r="W165" i="25"/>
  <c r="N187" i="24"/>
  <c r="N161" i="9"/>
  <c r="E196" i="9"/>
  <c r="W144" i="25"/>
  <c r="W195" i="15"/>
  <c r="N162" i="17"/>
  <c r="N8" i="35"/>
  <c r="E152" i="3"/>
  <c r="W163" i="17"/>
  <c r="E162" i="25"/>
  <c r="W142" i="20"/>
  <c r="N168" i="8"/>
  <c r="N99" i="28"/>
  <c r="N197" i="8"/>
  <c r="E168" i="11"/>
  <c r="E88" i="32"/>
  <c r="E191" i="12"/>
  <c r="E151" i="14"/>
  <c r="N143" i="20"/>
  <c r="E191" i="18"/>
  <c r="E195" i="9"/>
  <c r="E164" i="7"/>
  <c r="N97" i="32"/>
  <c r="E194" i="3"/>
  <c r="N183" i="3"/>
  <c r="E100" i="38"/>
  <c r="W81" i="30"/>
  <c r="W142" i="23"/>
  <c r="W172" i="17"/>
  <c r="N145" i="17"/>
  <c r="N158" i="15"/>
  <c r="N191" i="7"/>
  <c r="N194" i="14"/>
  <c r="W161" i="20"/>
  <c r="N144" i="20"/>
  <c r="E162" i="20"/>
  <c r="N146" i="20"/>
  <c r="N124" i="20"/>
  <c r="N205" i="15"/>
  <c r="E188" i="21"/>
  <c r="E131" i="20"/>
  <c r="N92" i="33"/>
  <c r="W169" i="24"/>
  <c r="E163" i="23"/>
  <c r="E147" i="23"/>
  <c r="E171" i="25"/>
  <c r="W117" i="26"/>
  <c r="E167" i="23"/>
  <c r="E186" i="17"/>
  <c r="E184" i="18"/>
  <c r="E203" i="10"/>
  <c r="E158" i="19"/>
  <c r="E172" i="11"/>
  <c r="E170" i="21"/>
  <c r="W185" i="11"/>
  <c r="E138" i="12"/>
  <c r="N86" i="31"/>
  <c r="N148" i="11"/>
  <c r="E160" i="12"/>
  <c r="E147" i="7"/>
  <c r="E187" i="9"/>
  <c r="N142" i="7"/>
  <c r="E91" i="32"/>
  <c r="E74" i="31"/>
  <c r="E179" i="1"/>
  <c r="E162" i="14"/>
  <c r="E194" i="8"/>
  <c r="E78" i="32"/>
  <c r="E191" i="8"/>
  <c r="N196" i="8"/>
  <c r="N191" i="15"/>
  <c r="N94" i="32"/>
  <c r="N147" i="3"/>
  <c r="N144" i="3"/>
  <c r="E172" i="3"/>
  <c r="E83" i="33"/>
  <c r="N104" i="28"/>
  <c r="N154" i="13"/>
  <c r="W203" i="22"/>
  <c r="E183" i="11"/>
  <c r="E187" i="18"/>
  <c r="E169" i="9"/>
  <c r="E164" i="21"/>
  <c r="E170" i="8"/>
  <c r="N204" i="10"/>
  <c r="E171" i="11"/>
  <c r="N163" i="17"/>
  <c r="N165" i="15"/>
  <c r="E176" i="5"/>
  <c r="W182" i="15"/>
  <c r="N176" i="18"/>
  <c r="N145" i="7"/>
  <c r="N139" i="7"/>
  <c r="E93" i="28"/>
  <c r="N154" i="3"/>
  <c r="N143" i="23"/>
  <c r="N186" i="23"/>
  <c r="W174" i="23"/>
  <c r="E148" i="14"/>
  <c r="N96" i="34"/>
  <c r="E170" i="13"/>
  <c r="E168" i="17"/>
  <c r="E164" i="19"/>
  <c r="W145" i="11"/>
  <c r="N190" i="15"/>
  <c r="N143" i="3"/>
  <c r="W126" i="20"/>
  <c r="E167" i="15"/>
  <c r="E89" i="33"/>
  <c r="N160" i="24"/>
  <c r="N96" i="37"/>
  <c r="N175" i="8"/>
  <c r="N185" i="3"/>
  <c r="N161" i="3"/>
  <c r="E175" i="22"/>
  <c r="N158" i="25"/>
  <c r="N164" i="17"/>
  <c r="N165" i="25"/>
  <c r="E83" i="38"/>
  <c r="W91" i="38"/>
  <c r="E192" i="12"/>
  <c r="W154" i="20"/>
  <c r="N145" i="20"/>
  <c r="N166" i="20"/>
  <c r="E98" i="32"/>
  <c r="W160" i="16"/>
  <c r="W137" i="12"/>
  <c r="N117" i="35"/>
  <c r="W163" i="24"/>
  <c r="E178" i="23"/>
  <c r="W180" i="17"/>
  <c r="E133" i="26"/>
  <c r="N192" i="9"/>
  <c r="E156" i="19"/>
  <c r="W153" i="11"/>
  <c r="E144" i="17"/>
  <c r="N140" i="11"/>
  <c r="E120" i="36"/>
  <c r="N171" i="8"/>
  <c r="E149" i="11"/>
  <c r="N183" i="8"/>
  <c r="N154" i="8"/>
  <c r="E161" i="12"/>
  <c r="N80" i="32"/>
  <c r="E165" i="3"/>
  <c r="E121" i="35"/>
  <c r="N180" i="1"/>
  <c r="E91" i="37"/>
  <c r="N151" i="8"/>
  <c r="E167" i="5"/>
  <c r="N207" i="10"/>
  <c r="E184" i="1"/>
  <c r="E149" i="1"/>
  <c r="E155" i="1"/>
  <c r="N192" i="3"/>
  <c r="E163" i="3"/>
  <c r="E102" i="29"/>
  <c r="E101" i="29"/>
  <c r="N91" i="29"/>
  <c r="N99" i="33"/>
  <c r="N98" i="33"/>
  <c r="N93" i="28"/>
  <c r="E157" i="23"/>
  <c r="E131" i="16"/>
  <c r="E163" i="12"/>
  <c r="N168" i="11"/>
  <c r="E161" i="14"/>
  <c r="W95" i="28"/>
  <c r="E158" i="5"/>
  <c r="N198" i="15"/>
  <c r="E178" i="13"/>
  <c r="N171" i="11"/>
  <c r="N174" i="21"/>
  <c r="N120" i="15"/>
  <c r="N152" i="25"/>
  <c r="N150" i="17"/>
  <c r="E199" i="10"/>
  <c r="N132" i="26"/>
  <c r="N158" i="12"/>
  <c r="E163" i="17"/>
  <c r="E179" i="21"/>
  <c r="N156" i="24"/>
  <c r="N176" i="5"/>
  <c r="N164" i="14"/>
  <c r="N94" i="28"/>
  <c r="E98" i="28"/>
  <c r="E100" i="28"/>
  <c r="N95" i="28"/>
  <c r="N98" i="28"/>
  <c r="E106" i="28"/>
  <c r="E90" i="28"/>
  <c r="E89" i="28"/>
  <c r="E97" i="38"/>
  <c r="E98" i="38"/>
  <c r="E93" i="38"/>
  <c r="E87" i="38"/>
  <c r="N92" i="38"/>
  <c r="N98" i="38"/>
  <c r="E91" i="38"/>
  <c r="E88" i="38"/>
  <c r="E84" i="38"/>
  <c r="E82" i="38"/>
  <c r="N81" i="38"/>
  <c r="E99" i="38"/>
  <c r="E92" i="38"/>
  <c r="N85" i="38"/>
  <c r="N88" i="38"/>
  <c r="N96" i="33"/>
  <c r="N88" i="33"/>
  <c r="N94" i="33"/>
  <c r="E85" i="33"/>
  <c r="W102" i="29"/>
  <c r="N85" i="29"/>
  <c r="N96" i="29"/>
  <c r="N92" i="29"/>
  <c r="N79" i="29"/>
  <c r="E85" i="29"/>
  <c r="E103" i="29"/>
  <c r="E100" i="29"/>
  <c r="N171" i="3"/>
  <c r="E159" i="3"/>
  <c r="E173" i="3"/>
  <c r="E176" i="3"/>
  <c r="E189" i="3"/>
  <c r="N194" i="3"/>
  <c r="N152" i="3"/>
  <c r="E195" i="3"/>
  <c r="N155" i="3"/>
  <c r="E166" i="3"/>
  <c r="N197" i="3"/>
  <c r="N191" i="3"/>
  <c r="N193" i="3"/>
  <c r="N170" i="3"/>
  <c r="E179" i="3"/>
  <c r="N179" i="3"/>
  <c r="N162" i="3"/>
  <c r="N187" i="3"/>
  <c r="E165" i="1"/>
  <c r="N161" i="1"/>
  <c r="N158" i="1"/>
  <c r="N165" i="1"/>
  <c r="E181" i="1"/>
  <c r="N181" i="1"/>
  <c r="E173" i="1"/>
  <c r="E187" i="1"/>
  <c r="E194" i="1"/>
  <c r="N143" i="1"/>
  <c r="N174" i="1"/>
  <c r="E160" i="1"/>
  <c r="N157" i="1"/>
  <c r="E192" i="1"/>
  <c r="E196" i="1"/>
  <c r="N191" i="1"/>
  <c r="N163" i="1"/>
  <c r="N187" i="1"/>
  <c r="E146" i="1"/>
  <c r="E188" i="1"/>
  <c r="N152" i="1"/>
  <c r="N193" i="1"/>
  <c r="E171" i="1"/>
  <c r="N176" i="1"/>
  <c r="E147" i="1"/>
  <c r="E185" i="1"/>
  <c r="E163" i="1"/>
  <c r="N148" i="1"/>
  <c r="N196" i="1"/>
  <c r="N162" i="1"/>
  <c r="N173" i="1"/>
  <c r="E157" i="1"/>
  <c r="E152" i="1"/>
  <c r="N169" i="1"/>
  <c r="N166" i="1"/>
  <c r="E150" i="1"/>
  <c r="N160" i="1"/>
  <c r="E158" i="1"/>
  <c r="E178" i="1"/>
  <c r="N186" i="1"/>
  <c r="N144" i="1"/>
  <c r="E169" i="1"/>
  <c r="N151" i="1"/>
  <c r="N184" i="1"/>
  <c r="N167" i="1"/>
  <c r="E177" i="1"/>
  <c r="E183" i="13"/>
  <c r="E159" i="20"/>
  <c r="N192" i="18"/>
  <c r="W77" i="34"/>
  <c r="N175" i="21"/>
  <c r="N191" i="14"/>
  <c r="N87" i="34"/>
  <c r="N149" i="7"/>
  <c r="N182" i="19"/>
  <c r="N91" i="38"/>
  <c r="E85" i="38"/>
  <c r="N82" i="38"/>
  <c r="E89" i="38"/>
  <c r="E96" i="38"/>
  <c r="N164" i="20"/>
  <c r="N161" i="16"/>
  <c r="N149" i="20"/>
  <c r="N150" i="20"/>
  <c r="E161" i="20"/>
  <c r="N138" i="20"/>
  <c r="N154" i="20"/>
  <c r="E158" i="20"/>
  <c r="N102" i="29"/>
  <c r="N197" i="19"/>
  <c r="N191" i="12"/>
  <c r="W92" i="38"/>
  <c r="N96" i="38"/>
  <c r="N100" i="38"/>
  <c r="E136" i="6"/>
  <c r="N124" i="6"/>
  <c r="N106" i="37"/>
  <c r="N169" i="20"/>
  <c r="N131" i="20"/>
  <c r="W131" i="20"/>
  <c r="N189" i="25"/>
  <c r="W150" i="20"/>
  <c r="N137" i="20"/>
  <c r="N140" i="20"/>
  <c r="W137" i="23"/>
  <c r="N151" i="9"/>
  <c r="W101" i="29"/>
  <c r="N89" i="33"/>
  <c r="N77" i="31"/>
  <c r="E177" i="25"/>
  <c r="N154" i="23"/>
  <c r="W177" i="25"/>
  <c r="W178" i="23"/>
  <c r="N159" i="16"/>
  <c r="W146" i="19"/>
  <c r="E176" i="19"/>
  <c r="N161" i="19"/>
  <c r="N168" i="9"/>
  <c r="W181" i="24"/>
  <c r="W180" i="19"/>
  <c r="N166" i="8"/>
  <c r="N182" i="8"/>
  <c r="N142" i="24"/>
  <c r="N96" i="28"/>
  <c r="N191" i="8"/>
  <c r="N199" i="8"/>
  <c r="W191" i="11"/>
  <c r="N161" i="8"/>
  <c r="N162" i="8"/>
  <c r="N181" i="8"/>
  <c r="N201" i="8"/>
  <c r="N84" i="28"/>
  <c r="E84" i="32"/>
  <c r="W199" i="8"/>
  <c r="E154" i="5"/>
  <c r="E192" i="13"/>
  <c r="N184" i="8"/>
  <c r="N88" i="31"/>
  <c r="N161" i="14"/>
  <c r="N184" i="7"/>
  <c r="W190" i="15"/>
  <c r="N87" i="29"/>
  <c r="E140" i="5"/>
  <c r="E182" i="3"/>
  <c r="E188" i="2"/>
  <c r="N95" i="33"/>
  <c r="E137" i="23"/>
  <c r="L135" i="24"/>
  <c r="J135" i="24"/>
  <c r="N177" i="17"/>
  <c r="N103" i="28"/>
  <c r="N163" i="10"/>
  <c r="N176" i="8"/>
  <c r="N158" i="20"/>
  <c r="W151" i="20"/>
  <c r="N156" i="20"/>
  <c r="W145" i="20"/>
  <c r="W156" i="20"/>
  <c r="N207" i="13"/>
  <c r="N163" i="20"/>
  <c r="W136" i="20"/>
  <c r="N190" i="17"/>
  <c r="E142" i="19"/>
  <c r="N82" i="31"/>
  <c r="N137" i="5"/>
  <c r="W93" i="34"/>
  <c r="W185" i="19"/>
  <c r="N83" i="28"/>
  <c r="W185" i="23"/>
  <c r="W169" i="25"/>
  <c r="N154" i="24"/>
  <c r="N181" i="17"/>
  <c r="W160" i="17"/>
  <c r="N204" i="9"/>
  <c r="N183" i="21"/>
  <c r="E162" i="17"/>
  <c r="N150" i="8"/>
  <c r="N169" i="5"/>
  <c r="N188" i="5"/>
  <c r="N173" i="8"/>
  <c r="N185" i="8"/>
  <c r="E154" i="8"/>
  <c r="N154" i="7"/>
  <c r="W190" i="8"/>
  <c r="E190" i="8"/>
  <c r="N201" i="9"/>
  <c r="E168" i="5"/>
  <c r="W161" i="11"/>
  <c r="N86" i="32"/>
  <c r="N180" i="8"/>
  <c r="N188" i="8"/>
  <c r="W187" i="8"/>
  <c r="N182" i="3"/>
  <c r="N193" i="8"/>
  <c r="W188" i="9"/>
  <c r="N173" i="15"/>
  <c r="N189" i="21"/>
  <c r="N153" i="20"/>
  <c r="N159" i="20"/>
  <c r="N193" i="18"/>
  <c r="E125" i="20"/>
  <c r="N127" i="20"/>
  <c r="E146" i="20"/>
  <c r="E160" i="16"/>
  <c r="W165" i="23"/>
  <c r="W138" i="17"/>
  <c r="W155" i="25"/>
  <c r="N155" i="21"/>
  <c r="N210" i="10"/>
  <c r="W179" i="9"/>
  <c r="N98" i="32"/>
  <c r="N194" i="1"/>
  <c r="N157" i="8"/>
  <c r="N182" i="1"/>
  <c r="N195" i="8"/>
  <c r="N153" i="21"/>
  <c r="N152" i="8"/>
  <c r="N175" i="1"/>
  <c r="W179" i="8"/>
  <c r="N77" i="30"/>
  <c r="N169" i="8"/>
  <c r="N162" i="11"/>
  <c r="N200" i="8"/>
  <c r="E195" i="13"/>
  <c r="N195" i="15"/>
  <c r="E165" i="12"/>
  <c r="N90" i="29"/>
  <c r="W157" i="23"/>
  <c r="W178" i="8"/>
  <c r="N143" i="19"/>
  <c r="N134" i="20"/>
  <c r="E156" i="20"/>
  <c r="E144" i="20"/>
  <c r="N147" i="20"/>
  <c r="N126" i="20"/>
  <c r="N106" i="28"/>
  <c r="N162" i="20"/>
  <c r="N130" i="20"/>
  <c r="N196" i="19"/>
  <c r="N160" i="16"/>
  <c r="E139" i="20"/>
  <c r="N122" i="20"/>
  <c r="E150" i="20"/>
  <c r="N133" i="20"/>
  <c r="N73" i="31"/>
  <c r="N150" i="25"/>
  <c r="W173" i="23"/>
  <c r="E155" i="25"/>
  <c r="W150" i="17"/>
  <c r="E204" i="9"/>
  <c r="N189" i="1"/>
  <c r="N160" i="8"/>
  <c r="N198" i="8"/>
  <c r="E164" i="8"/>
  <c r="N187" i="15"/>
  <c r="N185" i="1"/>
  <c r="E190" i="15"/>
  <c r="E191" i="3"/>
  <c r="W142" i="19"/>
  <c r="N159" i="14"/>
  <c r="W170" i="21"/>
  <c r="N79" i="32"/>
  <c r="N192" i="5"/>
  <c r="N82" i="30"/>
  <c r="N135" i="20"/>
  <c r="E135" i="25"/>
  <c r="N212" i="10"/>
  <c r="W134" i="21"/>
  <c r="E159" i="24"/>
  <c r="E154" i="1"/>
  <c r="N170" i="1"/>
  <c r="N146" i="7"/>
  <c r="E146" i="21"/>
  <c r="W184" i="8"/>
  <c r="W188" i="8"/>
  <c r="N184" i="12"/>
  <c r="W182" i="8"/>
  <c r="N78" i="34"/>
  <c r="N172" i="1"/>
  <c r="W194" i="8"/>
  <c r="W186" i="8"/>
  <c r="N161" i="11"/>
  <c r="E196" i="13"/>
  <c r="N155" i="19"/>
  <c r="E199" i="8"/>
  <c r="N147" i="1"/>
  <c r="E187" i="8"/>
  <c r="N177" i="1"/>
  <c r="N164" i="19"/>
  <c r="N194" i="15"/>
  <c r="N71" i="30"/>
  <c r="N164" i="1"/>
  <c r="N181" i="3"/>
  <c r="N87" i="33"/>
  <c r="N93" i="37"/>
  <c r="N164" i="8"/>
  <c r="N171" i="1"/>
  <c r="N93" i="38"/>
  <c r="E147" i="20"/>
  <c r="N141" i="20"/>
  <c r="N151" i="20"/>
  <c r="E132" i="35"/>
  <c r="H135" i="24"/>
  <c r="N160" i="20"/>
  <c r="N205" i="9"/>
  <c r="N137" i="12"/>
  <c r="E135" i="24"/>
  <c r="E137" i="12"/>
  <c r="N142" i="19"/>
  <c r="W173" i="25"/>
  <c r="N117" i="26"/>
  <c r="E185" i="19"/>
  <c r="W139" i="24"/>
  <c r="N88" i="28"/>
  <c r="N178" i="8"/>
  <c r="N142" i="1"/>
  <c r="N143" i="7"/>
  <c r="N179" i="8"/>
  <c r="E198" i="8"/>
  <c r="N172" i="8"/>
  <c r="E161" i="11"/>
  <c r="N181" i="7"/>
  <c r="W165" i="12"/>
  <c r="N125" i="6"/>
  <c r="N127" i="6"/>
  <c r="N140" i="6"/>
  <c r="N130" i="6"/>
  <c r="N142" i="6"/>
  <c r="N133" i="6"/>
  <c r="N139" i="6"/>
  <c r="N132" i="6"/>
  <c r="N131" i="6"/>
  <c r="N138" i="6"/>
  <c r="N141" i="6"/>
  <c r="N136" i="6"/>
  <c r="N144" i="6"/>
  <c r="N128" i="6"/>
  <c r="N135" i="6"/>
  <c r="N143" i="6"/>
  <c r="W130" i="6"/>
  <c r="W134" i="6"/>
  <c r="W121" i="6"/>
  <c r="E121" i="6"/>
  <c r="W144" i="6"/>
  <c r="E126" i="6"/>
  <c r="N107" i="28"/>
  <c r="E94" i="38"/>
  <c r="N86" i="38"/>
  <c r="E81" i="38"/>
  <c r="E90" i="38"/>
  <c r="N94" i="38"/>
  <c r="N84" i="38"/>
  <c r="N97" i="38"/>
  <c r="N87" i="38"/>
  <c r="W128" i="6"/>
  <c r="W125" i="6"/>
  <c r="W124" i="6"/>
  <c r="E125" i="6"/>
  <c r="E134" i="6"/>
  <c r="E124" i="6"/>
  <c r="W129" i="6"/>
  <c r="W133" i="6"/>
  <c r="W132" i="6"/>
  <c r="E143" i="6"/>
  <c r="W141" i="6"/>
  <c r="E127" i="6"/>
  <c r="E130" i="6"/>
  <c r="E140" i="6"/>
  <c r="E122" i="6"/>
  <c r="E139" i="6"/>
  <c r="E142" i="6"/>
  <c r="E133" i="6"/>
  <c r="E131" i="6"/>
  <c r="E132" i="6"/>
  <c r="E141" i="6"/>
  <c r="E138" i="6"/>
  <c r="E137" i="6"/>
  <c r="E135" i="6"/>
  <c r="E123" i="6"/>
  <c r="E129" i="6"/>
  <c r="E145" i="6"/>
  <c r="E128" i="6"/>
  <c r="E144" i="6"/>
  <c r="W122" i="6"/>
  <c r="N177" i="9" l="1"/>
  <c r="N178" i="9"/>
  <c r="N155" i="25"/>
  <c r="D110" i="35"/>
  <c r="E110" i="35" s="1"/>
  <c r="N7" i="35"/>
  <c r="N135"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0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300-000003000000}">
      <text>
        <r>
          <rPr>
            <sz val="9"/>
            <color rgb="FF000000"/>
            <rFont val="Tahoma"/>
            <family val="2"/>
          </rPr>
          <t>First government based on a multi-party election held on 17 June 1990.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4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05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5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Y7" authorId="1" shapeId="0" xr:uid="{00000000-0006-0000-0500-000003000000}">
      <text>
        <r>
          <rPr>
            <sz val="9"/>
            <color rgb="FF000000"/>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xr:uid="{00000000-0006-0000-0500-000004000000}">
      <text>
        <r>
          <rPr>
            <sz val="9"/>
            <color indexed="81"/>
            <rFont val="Tahoma"/>
            <family val="2"/>
          </rPr>
          <t xml:space="preserve">In the 2000 elections part of allia1
</t>
        </r>
      </text>
    </comment>
    <comment ref="AC7" authorId="1" shapeId="0" xr:uid="{00000000-0006-0000-0500-00000500000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xr:uid="{00000000-0006-0000-0500-000006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xr:uid="{00000000-0006-0000-0500-000007000000}">
      <text>
        <r>
          <rPr>
            <sz val="9"/>
            <color rgb="FF000000"/>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xr:uid="{00000000-0006-0000-0500-000008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xr:uid="{00000000-0006-0000-0500-000009000000}">
      <text>
        <r>
          <rPr>
            <sz val="9"/>
            <color rgb="FF000000"/>
            <rFont val="Tahoma"/>
            <family val="2"/>
          </rPr>
          <t xml:space="preserve">Splitter party of HSLS 
</t>
        </r>
      </text>
    </comment>
    <comment ref="AC12" authorId="1" shapeId="0" xr:uid="{00000000-0006-0000-0500-00000A000000}">
      <text>
        <r>
          <rPr>
            <sz val="9"/>
            <color indexed="81"/>
            <rFont val="Tahoma"/>
            <family val="2"/>
          </rPr>
          <t xml:space="preserve">Source: http://www.hidra.hr/cro/politicke_stranke/parlamentarne_stranke/zastupljenost_stranaka_u_saboru
</t>
        </r>
      </text>
    </comment>
    <comment ref="AM14" authorId="1" shapeId="0" xr:uid="{00000000-0006-0000-0500-00000B000000}">
      <text>
        <r>
          <rPr>
            <sz val="9"/>
            <color indexed="81"/>
            <rFont val="Tahoma"/>
            <family val="2"/>
          </rPr>
          <t>In 2000 elections part of allia2</t>
        </r>
      </text>
    </comment>
    <comment ref="AC15" authorId="1" shapeId="0" xr:uid="{00000000-0006-0000-0500-00000C000000}">
      <text>
        <r>
          <rPr>
            <sz val="9"/>
            <color indexed="81"/>
            <rFont val="Tahoma"/>
            <family val="2"/>
          </rPr>
          <t xml:space="preserve">Source: http://www.hidra.hr/cro/politicke_stranke/parlamentarne_stranke/zastupljenost_stranaka_u_saboru
</t>
        </r>
      </text>
    </comment>
    <comment ref="AD25" authorId="1" shapeId="0" xr:uid="{00000000-0006-0000-0500-00000D000000}">
      <text>
        <r>
          <rPr>
            <sz val="9"/>
            <color indexed="81"/>
            <rFont val="Tahoma"/>
            <family val="2"/>
          </rPr>
          <t xml:space="preserve">In electoral coalition with HSS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David Weisstanner</author>
    <author>Isler, Christian (IPW)</author>
  </authors>
  <commentList>
    <comment ref="F4" authorId="0" shapeId="0" xr:uid="{00000000-0006-0000-06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6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6" authorId="1" shapeId="0" xr:uid="{00000000-0006-0000-0600-000003000000}">
      <text>
        <r>
          <rPr>
            <sz val="9"/>
            <color rgb="FF000000"/>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xr:uid="{00000000-0006-0000-0600-00000400000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xr:uid="{00000000-0006-0000-0600-00000500000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xr:uid="{00000000-0006-0000-0600-00000600000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7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0700-000003000000}">
      <text>
        <r>
          <rPr>
            <sz val="9"/>
            <color rgb="FF000000"/>
            <rFont val="Tahoma"/>
            <family val="2"/>
          </rPr>
          <t>Pithart I and Klaus I were the Prime Ministers in the Czech part of Czechoslovakia until the dissolution of Czechoslovakia on 31 December 1992.</t>
        </r>
      </text>
    </comment>
    <comment ref="F7" authorId="0" shapeId="0" xr:uid="{00000000-0006-0000-0700-000004000000}">
      <text>
        <r>
          <rPr>
            <sz val="9"/>
            <color rgb="FF000000"/>
            <rFont val="Tahoma"/>
            <family val="2"/>
          </rPr>
          <t xml:space="preserve">First post-communist government based on free elections held on 9 June 1990.
</t>
        </r>
      </text>
    </comment>
    <comment ref="C11" authorId="0" shapeId="0" xr:uid="{00000000-0006-0000-0700-000005000000}">
      <text>
        <r>
          <rPr>
            <sz val="9"/>
            <color rgb="FF000000"/>
            <rFont val="Tahoma"/>
            <family val="2"/>
          </rPr>
          <t>Pithart I and Klaus I were the Prime Ministers in the Czech part of Czechoslovakia until the dissolution of Czechoslovakia on 31 December 1992.</t>
        </r>
      </text>
    </comment>
    <comment ref="F12" authorId="0" shapeId="0" xr:uid="{00000000-0006-0000-0700-000006000000}">
      <text>
        <r>
          <rPr>
            <sz val="9"/>
            <color rgb="FF000000"/>
            <rFont val="Tahoma"/>
            <family val="2"/>
          </rPr>
          <t>Dissolution of Czechoslovakia on 31 December 1992</t>
        </r>
      </text>
    </comment>
    <comment ref="AC33" authorId="0" shapeId="0" xr:uid="{00000000-0006-0000-0700-000007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xr:uid="{00000000-0006-0000-0700-000008000000}">
      <text>
        <r>
          <rPr>
            <sz val="9"/>
            <color indexed="81"/>
            <rFont val="Tahoma"/>
            <family val="2"/>
          </rPr>
          <t>Freedom Union - Democratic Union</t>
        </r>
      </text>
    </comment>
    <comment ref="AG33" authorId="0" shapeId="0" xr:uid="{00000000-0006-0000-0700-000009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8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8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900-000003000000}">
      <text>
        <r>
          <rPr>
            <sz val="9"/>
            <color rgb="FF000000"/>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A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18" authorId="0" shapeId="0" xr:uid="{00000000-0006-0000-0A00-00000300000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David Weisstanner</author>
    <author>david.weisstanner</author>
  </authors>
  <commentList>
    <comment ref="F4" authorId="0" shapeId="0" xr:uid="{00000000-0006-0000-0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B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AK41" authorId="0" shapeId="0" xr:uid="{00000000-0006-0000-0B00-000003000000}">
      <text>
        <r>
          <rPr>
            <sz val="9"/>
            <color indexed="81"/>
            <rFont val="Tahoma"/>
            <family val="2"/>
          </rPr>
          <t>1973 not in CPDS I, won 1.7% votes and 11/473=2.3% seats</t>
        </r>
      </text>
    </comment>
    <comment ref="G116" authorId="1" shapeId="0" xr:uid="{00000000-0006-0000-0B00-00000400000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C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H71" authorId="0" shapeId="0" xr:uid="{00000000-0006-0000-0C00-000003000000}">
      <text>
        <r>
          <rPr>
            <sz val="9"/>
            <color indexed="81"/>
            <rFont val="Tahoma"/>
            <family val="2"/>
          </rPr>
          <t>new ministry (postal and telecommunication)</t>
        </r>
      </text>
    </comment>
    <comment ref="F73" authorId="0" shapeId="0" xr:uid="{00000000-0006-0000-0C00-000004000000}">
      <text>
        <r>
          <rPr>
            <sz val="9"/>
            <color rgb="FF000000"/>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D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24" authorId="0" shapeId="0" xr:uid="{00000000-0006-0000-0D00-000003000000}">
      <text>
        <r>
          <rPr>
            <sz val="9"/>
            <color rgb="FF000000"/>
            <rFont val="Tahoma"/>
            <family val="2"/>
          </rPr>
          <t>Athanasiadis failed to receive a vote of confidence in Parliament, after which the CU split in two.</t>
        </r>
      </text>
    </comment>
    <comment ref="AC25" authorId="0" shapeId="0" xr:uid="{00000000-0006-0000-0D00-000004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xr:uid="{00000000-0006-0000-0D00-000005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xr:uid="{00000000-0006-0000-0D00-000006000000}">
      <text>
        <r>
          <rPr>
            <sz val="9"/>
            <color rgb="FF000000"/>
            <rFont val="Tahoma"/>
            <family val="2"/>
          </rPr>
          <t>Military coup on 21 April 1967.</t>
        </r>
      </text>
    </comment>
    <comment ref="F44" authorId="0" shapeId="0" xr:uid="{00000000-0006-0000-0D00-000007000000}">
      <text>
        <r>
          <rPr>
            <sz val="9"/>
            <color rgb="FF000000"/>
            <rFont val="Tahoma"/>
            <family val="2"/>
          </rPr>
          <t>Reason for termination of previous government is military coup on 21 April 1967</t>
        </r>
      </text>
    </comment>
    <comment ref="G44" authorId="0" shapeId="0" xr:uid="{00000000-0006-0000-0D00-00000800000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xr:uid="{00000000-0006-0000-0D00-00000900000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E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E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E00-000003000000}">
      <text>
        <r>
          <rPr>
            <sz val="9"/>
            <color rgb="FF000000"/>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F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F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0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Z93" authorId="1" shapeId="0" xr:uid="{00000000-0006-0000-1100-000003000000}">
      <text>
        <r>
          <rPr>
            <b/>
            <sz val="9"/>
            <color indexed="81"/>
            <rFont val="Tahoma"/>
            <family val="2"/>
          </rPr>
          <t>E</t>
        </r>
        <r>
          <rPr>
            <sz val="9"/>
            <color indexed="81"/>
            <rFont val="Tahoma"/>
            <family val="2"/>
          </rPr>
          <t>lectoral alliance between Italian Popular Party (PPI) and Democratic Union (UD)</t>
        </r>
      </text>
    </comment>
    <comment ref="AD93" authorId="1" shapeId="0" xr:uid="{00000000-0006-0000-1100-00000400000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2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59" authorId="1" shapeId="0" xr:uid="{00000000-0006-0000-1200-000003000000}">
      <text>
        <r>
          <rPr>
            <sz val="9"/>
            <color indexed="81"/>
            <rFont val="Tahoma"/>
            <family val="2"/>
          </rPr>
          <t>Re-election Nakasone as chairman LDP and hence PM</t>
        </r>
      </text>
    </comment>
    <comment ref="C86" authorId="1" shapeId="0" xr:uid="{00000000-0006-0000-1200-000004000000}">
      <text>
        <r>
          <rPr>
            <sz val="9"/>
            <color indexed="81"/>
            <rFont val="Tahoma"/>
            <family val="2"/>
          </rPr>
          <t xml:space="preserve">Coalition cabinet with only LDP ministers in it
</t>
        </r>
      </text>
    </comment>
    <comment ref="S86" authorId="0" shapeId="0" xr:uid="{00000000-0006-0000-1200-000005000000}">
      <text>
        <r>
          <rPr>
            <sz val="9"/>
            <color indexed="81"/>
            <rFont val="Tahoma"/>
            <family val="2"/>
          </rPr>
          <t>Coalition cabinet with only LDP ministers in it</t>
        </r>
      </text>
    </comment>
    <comment ref="AC92" authorId="0" shapeId="0" xr:uid="{00000000-0006-0000-1200-000006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xr:uid="{00000000-0006-0000-1200-000007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13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3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300-000003000000}">
      <text>
        <r>
          <rPr>
            <sz val="9"/>
            <color rgb="FF000000"/>
            <rFont val="Tahoma"/>
            <family val="2"/>
          </rPr>
          <t>First post-communist government based on the first free elections after independence from the Sovjet Union, held on 6 June 1993.</t>
        </r>
      </text>
    </comment>
    <comment ref="Z9" authorId="1" shapeId="0" xr:uid="{00000000-0006-0000-1300-000004000000}">
      <text>
        <r>
          <rPr>
            <sz val="9"/>
            <color indexed="81"/>
            <rFont val="Tahoma"/>
            <family val="2"/>
          </rPr>
          <t xml:space="preserve">Formed during legislation (breaking away from Harmony for Latvia), hence did not get any seats on their own in the 1993 election.
</t>
        </r>
      </text>
    </comment>
    <comment ref="AK11" authorId="0" shapeId="0" xr:uid="{00000000-0006-0000-1300-000005000000}">
      <text>
        <r>
          <rPr>
            <sz val="9"/>
            <color indexed="81"/>
            <rFont val="Tahoma"/>
            <family val="2"/>
          </rPr>
          <t>Formed an electoral alliance with the Latvian Green Party in 1995. The seat share entered is the total share of the alliance (allia1).</t>
        </r>
      </text>
    </comment>
    <comment ref="AO44" authorId="0" shapeId="0" xr:uid="{00000000-0006-0000-1300-00000600000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4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400-000003000000}">
      <text>
        <r>
          <rPr>
            <sz val="9"/>
            <color rgb="FF000000"/>
            <rFont val="Tahoma"/>
            <family val="2"/>
          </rPr>
          <t>First post-communist government based on the first free elections after independence from the Sovjet Union, held on 15 November 1992.</t>
        </r>
      </text>
    </comment>
    <comment ref="Y27" authorId="1" shapeId="0" xr:uid="{00000000-0006-0000-1400-00000400000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xr:uid="{00000000-0006-0000-1400-000005000000}">
      <text>
        <r>
          <rPr>
            <sz val="9"/>
            <color rgb="FF000000"/>
            <rFont val="Tahoma"/>
            <family val="2"/>
          </rPr>
          <t xml:space="preserve">Since LSDP was part of the Coalition of Algirdas Bazauskas and Arturas Paulauskas "Working for Lithuania" their own seat share is not apparent in the CPDS and thus taken from Krupavicius (2005: 1091).
</t>
        </r>
      </text>
    </comment>
    <comment ref="AG34" authorId="2" shapeId="0" xr:uid="{00000000-0006-0000-1400-000006000000}">
      <text>
        <r>
          <rPr>
            <sz val="9"/>
            <color rgb="FF000000"/>
            <rFont val="Tahoma"/>
            <family val="2"/>
          </rPr>
          <t>Since NS-LP was part of the Coalition of Algirdas Bazauskas and Arturas Paulauskas "Working for Lithuania" their own seat share is not apparent in the CPDS and thus taken from Krupavicius (2005: 1091).</t>
        </r>
      </text>
    </comment>
    <comment ref="Y39" authorId="0" shapeId="0" xr:uid="{00000000-0006-0000-1400-000007000000}">
      <text>
        <r>
          <rPr>
            <sz val="9"/>
            <color rgb="FF000000"/>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xr:uid="{00000000-0006-0000-1400-000008000000}">
      <text>
        <r>
          <rPr>
            <sz val="9"/>
            <color rgb="FF000000"/>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5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5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6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6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7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8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8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xr:uid="{00000000-0006-0000-1800-00000300000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A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A00-000003000000}">
      <text>
        <r>
          <rPr>
            <sz val="9"/>
            <color rgb="FF000000"/>
            <rFont val="Tahoma"/>
            <family val="2"/>
          </rPr>
          <t>First post-communist government based on the first free elections held on 27 October 1991.</t>
        </r>
      </text>
    </comment>
    <comment ref="F10" authorId="1" shapeId="0" xr:uid="{00000000-0006-0000-1A00-000004000000}">
      <text>
        <r>
          <rPr>
            <sz val="9"/>
            <color rgb="FF000000"/>
            <rFont val="Tahoma"/>
            <family val="2"/>
          </rPr>
          <t>Reason for termination is failure to form a new government because of lack of support from the parliament.</t>
        </r>
      </text>
    </comment>
    <comment ref="AS10" authorId="0" shapeId="0" xr:uid="{00000000-0006-0000-1A00-000005000000}">
      <text>
        <r>
          <rPr>
            <sz val="9"/>
            <color indexed="81"/>
            <rFont val="Tahoma"/>
            <family val="2"/>
          </rPr>
          <t>Run in the election as part of PL.</t>
        </r>
      </text>
    </comment>
    <comment ref="Y35" authorId="1" shapeId="0" xr:uid="{00000000-0006-0000-1A00-000006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xr:uid="{00000000-0006-0000-1A00-000007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xr:uid="{00000000-0006-0000-1A00-00000800000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B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B00-000003000000}">
      <text>
        <r>
          <rPr>
            <sz val="9"/>
            <color rgb="FF000000"/>
            <rFont val="Tahoma"/>
            <family val="2"/>
          </rPr>
          <t>On 25 April 1974, the "Carnation Revolution" initiated a the two-year revolutionary transitory phase which resulted in the new democratic constitution enacted on 25 April 1976.</t>
        </r>
      </text>
    </comment>
    <comment ref="V17" authorId="1" shapeId="0" xr:uid="{00000000-0006-0000-1B00-000004000000}">
      <text>
        <r>
          <rPr>
            <sz val="9"/>
            <color indexed="81"/>
            <rFont val="Tahoma"/>
            <family val="2"/>
          </rPr>
          <t xml:space="preserve">Electoral alliance of Center Social Democrats, Social Democrats and Popular Monarchist Party </t>
        </r>
      </text>
    </comment>
    <comment ref="Z17" authorId="1" shapeId="0" xr:uid="{00000000-0006-0000-1B00-000005000000}">
      <text>
        <r>
          <rPr>
            <sz val="9"/>
            <color indexed="81"/>
            <rFont val="Tahoma"/>
            <family val="2"/>
          </rPr>
          <t xml:space="preserve">Electoral alliance of Center Social Democrats, Social Democrats and Popular Monarchist Party </t>
        </r>
      </text>
    </comment>
    <comment ref="AD17" authorId="1" shapeId="0" xr:uid="{00000000-0006-0000-1B00-000006000000}">
      <text>
        <r>
          <rPr>
            <sz val="9"/>
            <color indexed="81"/>
            <rFont val="Tahoma"/>
            <family val="2"/>
          </rPr>
          <t xml:space="preserve">Electoral alliance of Center Social Democrats, Social Democrats and Popular Monarchist Party </t>
        </r>
      </text>
    </comment>
    <comment ref="F19" authorId="1" shapeId="0" xr:uid="{00000000-0006-0000-1B00-00000700000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C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C00-000003000000}">
      <text>
        <r>
          <rPr>
            <sz val="9"/>
            <color rgb="FF000000"/>
            <rFont val="Tahoma"/>
            <family val="2"/>
          </rPr>
          <t>Government based on the first free elections held on 20 May 1990 after the communist regime under Ceaușescu.</t>
        </r>
      </text>
    </comment>
    <comment ref="AK9" authorId="1" shapeId="0" xr:uid="{00000000-0006-0000-1C00-00000400000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xr:uid="{00000000-0006-0000-1C00-000005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xr:uid="{00000000-0006-0000-1C00-000006000000}">
      <text>
        <r>
          <rPr>
            <sz val="9"/>
            <color indexed="81"/>
            <rFont val="Tahoma"/>
            <family val="2"/>
          </rPr>
          <t>PNL won 19.2% of parliamentary seats whilst competing in the electoral coalition with PD (Stan and Zaharia 2007: 1086).</t>
        </r>
      </text>
    </comment>
    <comment ref="Z37" authorId="2" shapeId="0" xr:uid="{00000000-0006-0000-1C00-000007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xr:uid="{00000000-0006-0000-1C00-000008000000}">
      <text>
        <r>
          <rPr>
            <sz val="9"/>
            <color indexed="81"/>
            <rFont val="Tahoma"/>
            <family val="2"/>
          </rPr>
          <t>PD won 14.5% of parliamentary seats whilst competing in the electoral coalition with PNL (Stan and Zaharia 2007: 1086).</t>
        </r>
      </text>
    </comment>
    <comment ref="AH37" authorId="1" shapeId="0" xr:uid="{00000000-0006-0000-1C00-00000900000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xr:uid="{00000000-0006-0000-1C00-00000A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xr:uid="{00000000-0006-0000-1C00-00000B00000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xr:uid="{00000000-0006-0000-1C00-00000C000000}">
      <text>
        <r>
          <rPr>
            <sz val="9"/>
            <color indexed="81"/>
            <rFont val="Tahoma"/>
            <family val="2"/>
          </rPr>
          <t xml:space="preserve">The seat share of UNPR is taken from EJPR (Stan and Zaharia 2011: 1108). 
</t>
        </r>
      </text>
    </comment>
    <comment ref="Y62" authorId="2" shapeId="0" xr:uid="{00000000-0006-0000-1C00-00000D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xr:uid="{00000000-0006-0000-1C00-00000E00000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xr:uid="{00000000-0006-0000-1C00-00000F00000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xr:uid="{00000000-0006-0000-1C00-000010000000}">
      <text>
        <r>
          <rPr>
            <sz val="9"/>
            <color rgb="FF000000"/>
            <rFont val="Tahoma"/>
            <family val="2"/>
          </rPr>
          <t>The seat share of PSD, PNL, PC and UNPR is taken from EJPR (Stan 2013: 201).</t>
        </r>
      </text>
    </comment>
    <comment ref="Z64" authorId="2" shapeId="0" xr:uid="{00000000-0006-0000-1C00-000011000000}">
      <text>
        <r>
          <rPr>
            <sz val="9"/>
            <color rgb="FF000000"/>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xr:uid="{00000000-0006-0000-1C00-000012000000}">
      <text>
        <r>
          <rPr>
            <sz val="9"/>
            <color indexed="81"/>
            <rFont val="Tahoma"/>
            <family val="2"/>
          </rPr>
          <t>The seat share of PSD, PNL, PC and UNPR is taken from EJPR (Stan 2013: 201).</t>
        </r>
      </text>
    </comment>
    <comment ref="AD64" authorId="0" shapeId="0" xr:uid="{00000000-0006-0000-1C00-00001300000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xr:uid="{00000000-0006-0000-1C00-000014000000}">
      <text>
        <r>
          <rPr>
            <sz val="9"/>
            <color indexed="81"/>
            <rFont val="Tahoma"/>
            <family val="2"/>
          </rPr>
          <t>The seat share of PSD, PNL, PC and UNPR is taken from EJPR (Stan 2013: 201).</t>
        </r>
      </text>
    </comment>
    <comment ref="AH64" authorId="0" shapeId="0" xr:uid="{00000000-0006-0000-1C00-00001500000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xr:uid="{00000000-0006-0000-1C00-00001600000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D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1D00-000003000000}">
      <text>
        <r>
          <rPr>
            <sz val="9"/>
            <color rgb="FF000000"/>
            <rFont val="Tahoma"/>
            <family val="2"/>
          </rPr>
          <t>Mečiar I, Čarnogurský I and Mečiar II were the Prime Ministers in the Slovak part of Czechoslovakia until the dissolution of Czechoslovakia on 31 December 1992.</t>
        </r>
      </text>
    </comment>
    <comment ref="F7" authorId="0" shapeId="0" xr:uid="{00000000-0006-0000-1D00-000004000000}">
      <text>
        <r>
          <rPr>
            <sz val="9"/>
            <color rgb="FF000000"/>
            <rFont val="Tahoma"/>
            <family val="2"/>
          </rPr>
          <t xml:space="preserve">Government based on the first free elections held on 9 June 1990.
</t>
        </r>
      </text>
    </comment>
    <comment ref="C9" authorId="0" shapeId="0" xr:uid="{00000000-0006-0000-1D00-000005000000}">
      <text>
        <r>
          <rPr>
            <sz val="9"/>
            <color rgb="FF000000"/>
            <rFont val="Tahoma"/>
            <family val="2"/>
          </rPr>
          <t>Mečiar I, Čarnogurský I and Mečiar II were the Prime Ministers in the Slovak part of Czechoslovakia until the dissolution of Czechoslovakia on 31 December 1992.</t>
        </r>
      </text>
    </comment>
    <comment ref="C11" authorId="0" shapeId="0" xr:uid="{00000000-0006-0000-1D00-000006000000}">
      <text>
        <r>
          <rPr>
            <sz val="9"/>
            <color rgb="FF000000"/>
            <rFont val="Tahoma"/>
            <family val="2"/>
          </rPr>
          <t>Mečiar I, Čarnogurský I and Mečiar II were the Prime Ministers in the Slovak part of Czechoslovakia until the dissolution of Czechoslovakia on 31 December 1992.</t>
        </r>
      </text>
    </comment>
    <comment ref="F12" authorId="0" shapeId="0" xr:uid="{00000000-0006-0000-1D00-000007000000}">
      <text>
        <r>
          <rPr>
            <sz val="9"/>
            <color rgb="FF000000"/>
            <rFont val="Tahoma"/>
            <family val="2"/>
          </rPr>
          <t>Dissolution of Czechoslovakia on 31 December 1992</t>
        </r>
      </text>
    </comment>
    <comment ref="AG17" authorId="0" shapeId="0" xr:uid="{00000000-0006-0000-1D00-000008000000}">
      <text>
        <r>
          <rPr>
            <sz val="9"/>
            <color indexed="81"/>
            <rFont val="Tahoma"/>
            <family val="2"/>
          </rPr>
          <t>DUS and ADSR are splinter parties from the HZDS. Their seat share is taken from Müller-Rommel et al. (2008: 828).</t>
        </r>
      </text>
    </comment>
    <comment ref="AK17" authorId="0" shapeId="0" xr:uid="{00000000-0006-0000-1D00-000009000000}">
      <text>
        <r>
          <rPr>
            <sz val="9"/>
            <color indexed="81"/>
            <rFont val="Tahoma"/>
            <family val="2"/>
          </rPr>
          <t>DUS and ADSR are splinter parties from the HZDS. Their seat share is taken from Müller-Rommel et al. (2008: 828).</t>
        </r>
      </text>
    </comment>
    <comment ref="AO17" authorId="0" shapeId="0" xr:uid="{00000000-0006-0000-1D00-00000A00000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E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E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E00-000003000000}">
      <text>
        <r>
          <rPr>
            <sz val="9"/>
            <color rgb="FF000000"/>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F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F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F00-00000300000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xr:uid="{00000000-0006-0000-2000-000003000000}">
      <text>
        <r>
          <rPr>
            <sz val="9"/>
            <color indexed="81"/>
            <rFont val="Tahoma"/>
            <family val="2"/>
          </rPr>
          <t>Reason for termination is assassination of PM Palme.</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1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1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AE6" authorId="1" shapeId="0" xr:uid="{00000000-0006-0000-2100-000003000000}">
      <text>
        <r>
          <rPr>
            <sz val="9"/>
            <color indexed="81"/>
            <rFont val="Tahoma"/>
            <family val="2"/>
          </rPr>
          <t>Coded as agrarian until 1994 and as right4 (right-wing populist) since 1995.</t>
        </r>
      </text>
    </comment>
    <comment ref="F7" authorId="1" shapeId="0" xr:uid="{00000000-0006-0000-2100-000004000000}">
      <text>
        <r>
          <rPr>
            <sz val="9"/>
            <color rgb="FF000000"/>
            <rFont val="Tahoma"/>
            <family val="2"/>
          </rPr>
          <t>Head of State is the chairperson of the Federal Council (Bundespräsident), whose members alternate in the position each year.</t>
        </r>
      </text>
    </comment>
    <comment ref="AI7" authorId="1" shapeId="0" xr:uid="{00000000-0006-0000-2100-000005000000}">
      <text>
        <r>
          <rPr>
            <sz val="9"/>
            <color indexed="81"/>
            <rFont val="Tahoma"/>
            <family val="2"/>
          </rPr>
          <t>Coded as agrarian until 1994 and as right4 (right-wing populist) since 1995.</t>
        </r>
      </text>
    </comment>
    <comment ref="AI8" authorId="1" shapeId="0" xr:uid="{00000000-0006-0000-2100-000006000000}">
      <text>
        <r>
          <rPr>
            <sz val="9"/>
            <color indexed="81"/>
            <rFont val="Tahoma"/>
            <family val="2"/>
          </rPr>
          <t>Coded as agrarian until 1994 and as right4 (right-wing populist) since 1995.</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22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2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xr:uid="{00000000-0006-0000-2300-000003000000}">
      <text>
        <r>
          <rPr>
            <sz val="9"/>
            <color indexed="81"/>
            <rFont val="Tahoma"/>
            <family val="2"/>
          </rPr>
          <t>Election to the House of Representatives (relevant for the variables gov2 and gov3), does not indicate a change of government.</t>
        </r>
      </text>
    </comment>
    <comment ref="F16" authorId="1" shapeId="0" xr:uid="{00000000-0006-0000-2300-000004000000}">
      <text>
        <r>
          <rPr>
            <sz val="9"/>
            <color indexed="81"/>
            <rFont val="Tahoma"/>
            <family val="2"/>
          </rPr>
          <t>Reason for termination is assassination of President Kennedey.</t>
        </r>
      </text>
    </comment>
  </commentList>
</comments>
</file>

<file path=xl/sharedStrings.xml><?xml version="1.0" encoding="utf-8"?>
<sst xmlns="http://schemas.openxmlformats.org/spreadsheetml/2006/main" count="32489" uniqueCount="1465">
  <si>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</si>
  <si>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</si>
  <si>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</si>
  <si>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</si>
  <si>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</si>
  <si>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</si>
  <si>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</si>
  <si>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</si>
  <si>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</si>
  <si>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</si>
  <si>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</si>
  <si>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</si>
  <si>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</si>
  <si>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</si>
  <si>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</si>
  <si>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</si>
  <si>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</si>
  <si>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</si>
  <si>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</si>
  <si>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</si>
  <si>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</si>
  <si>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</si>
  <si>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</si>
  <si>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</si>
  <si>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</si>
  <si>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</si>
  <si>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</si>
  <si>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</si>
  <si>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</si>
  <si>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</si>
  <si>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</si>
  <si>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</si>
  <si>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</si>
  <si>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</si>
  <si>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</si>
  <si>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</si>
  <si>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</si>
  <si>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</si>
  <si>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</si>
  <si>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</si>
  <si>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</si>
  <si>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</si>
  <si>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</si>
  <si>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</si>
  <si>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</si>
  <si>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</si>
  <si>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</si>
  <si>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</si>
  <si>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</si>
  <si>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</si>
  <si>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</si>
  <si>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</si>
  <si>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</si>
  <si>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</si>
  <si>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</si>
  <si>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</si>
  <si>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</si>
  <si>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</si>
  <si>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</si>
  <si>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</si>
  <si>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</si>
  <si>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</si>
  <si>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</si>
  <si>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</si>
  <si>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</si>
  <si>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</si>
  <si>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</si>
  <si>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</si>
  <si>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</si>
  <si>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</si>
  <si>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</si>
  <si>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</si>
  <si>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</si>
  <si>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</si>
  <si>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</si>
  <si>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agrarian</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</si>
  <si>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</si>
  <si>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</si>
  <si>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</si>
  <si>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</si>
  <si>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</si>
  <si>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</si>
  <si>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</si>
  <si>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</si>
  <si>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</si>
  <si>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</si>
  <si>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</si>
  <si>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</si>
  <si>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</si>
  <si>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</si>
  <si>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</si>
  <si>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</si>
  <si>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</si>
  <si>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</si>
  <si>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</si>
  <si>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</si>
  <si>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</si>
  <si>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</si>
  <si>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</si>
  <si>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</si>
  <si>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</si>
  <si>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</si>
  <si>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</si>
  <si>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</si>
  <si>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</si>
  <si>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</si>
  <si>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</si>
  <si>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</si>
  <si>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</si>
  <si>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</si>
  <si>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</si>
  <si>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</si>
  <si>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</si>
  <si>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</si>
  <si>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</si>
  <si>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</si>
  <si>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</si>
  <si>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</si>
  <si>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</si>
  <si>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</si>
  <si>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</si>
  <si>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</si>
  <si>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</si>
  <si>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</si>
  <si>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</si>
  <si>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</si>
  <si>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</si>
  <si>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</si>
  <si>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</si>
  <si>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</si>
  <si>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</si>
  <si>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</si>
  <si>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</si>
  <si>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</si>
  <si>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</si>
  <si>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</si>
  <si>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</si>
  <si>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</si>
  <si>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</si>
  <si>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</si>
  <si>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</si>
  <si>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</si>
  <si>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</si>
  <si>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</si>
  <si>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</si>
  <si>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</si>
  <si>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</si>
  <si>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</si>
  <si>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</si>
  <si>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</si>
  <si>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</si>
  <si>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</si>
  <si>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</si>
  <si>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</si>
  <si>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</si>
  <si>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</si>
  <si>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</si>
  <si>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</si>
  <si>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</si>
  <si>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</si>
  <si>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</si>
  <si>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</si>
  <si>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</si>
  <si>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</si>
  <si>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</si>
  <si>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</si>
  <si>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</si>
  <si>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</si>
  <si>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</si>
  <si>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</si>
  <si>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</si>
  <si>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</si>
  <si>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</si>
  <si>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</si>
  <si>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</si>
  <si>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</si>
  <si>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</si>
  <si>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</si>
  <si>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</si>
  <si>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</si>
  <si>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Mitsotakis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</si>
  <si>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</si>
  <si>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</si>
  <si>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</si>
  <si>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</si>
  <si>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</si>
  <si>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</si>
  <si>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</si>
  <si>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</si>
  <si>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</si>
  <si>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</si>
  <si>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</si>
  <si>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</si>
  <si>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</si>
  <si>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</si>
  <si>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</si>
  <si>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</si>
  <si>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</si>
  <si>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</si>
  <si>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</si>
  <si>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</si>
  <si>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</si>
  <si>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</si>
  <si>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</si>
  <si>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</si>
  <si>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</si>
  <si>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</si>
  <si>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</si>
  <si>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</si>
  <si>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</si>
  <si>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</si>
  <si>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</si>
  <si>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</si>
  <si>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</si>
  <si>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</si>
  <si>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</si>
  <si>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</si>
  <si>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</si>
  <si>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</si>
  <si>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</si>
  <si>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</si>
  <si>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</si>
  <si>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</si>
  <si>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</si>
  <si>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</si>
  <si>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</si>
  <si>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</si>
  <si>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</si>
  <si>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</si>
  <si>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</si>
  <si>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</si>
  <si>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</si>
  <si>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</si>
  <si>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Clark I (PC)</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</si>
  <si>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</si>
  <si>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</si>
  <si>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</si>
  <si>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</si>
  <si>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</si>
  <si>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</si>
  <si>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</si>
  <si>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</si>
  <si>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</si>
  <si>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</si>
  <si>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</si>
  <si>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</si>
  <si>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</si>
  <si>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</si>
  <si>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</si>
  <si>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</si>
  <si>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</si>
  <si>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</si>
  <si>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</si>
  <si>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</si>
  <si>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</si>
  <si>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</si>
  <si>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</si>
  <si>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</si>
  <si>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</si>
  <si>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</si>
  <si>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</si>
  <si>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</si>
  <si>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</si>
  <si>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</si>
  <si>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</si>
  <si>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</si>
  <si>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</si>
  <si>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</si>
  <si>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</si>
  <si>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</si>
  <si>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</si>
  <si>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</si>
  <si>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</si>
  <si>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</si>
  <si>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</si>
  <si>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</si>
  <si>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</si>
  <si>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</si>
  <si>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Hafstein I (IP)</t>
  </si>
  <si>
    <t>agriarian</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</si>
  <si>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</si>
  <si>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</si>
  <si>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</si>
  <si>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</si>
  <si>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</si>
  <si>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</si>
  <si>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</si>
  <si>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</si>
  <si>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</si>
  <si>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</si>
  <si>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</si>
  <si>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</si>
  <si>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</si>
  <si>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</si>
  <si>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</si>
  <si>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</si>
  <si>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</si>
  <si>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</si>
  <si>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</si>
  <si>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</si>
  <si>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</si>
  <si>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</si>
  <si>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</si>
  <si>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</si>
  <si>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</si>
  <si>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</si>
  <si>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</si>
  <si>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</si>
  <si>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</si>
  <si>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</si>
  <si>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</si>
  <si>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</si>
  <si>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</si>
  <si>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</si>
  <si>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</si>
  <si>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</si>
  <si>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</si>
  <si>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</si>
  <si>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</si>
  <si>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</si>
  <si>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</si>
  <si>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</si>
  <si>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</si>
  <si>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</si>
  <si>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</si>
  <si>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</si>
  <si>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</si>
  <si>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</si>
  <si>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</si>
  <si>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</si>
  <si>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</si>
  <si>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</si>
  <si>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</si>
  <si>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</si>
  <si>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</si>
  <si>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</si>
  <si>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</si>
  <si>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</si>
  <si>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</si>
  <si>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</si>
  <si>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</si>
  <si>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</si>
  <si>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</si>
  <si>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</si>
  <si>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</si>
  <si>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</si>
  <si>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</si>
  <si>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</si>
  <si>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</si>
  <si>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</si>
  <si>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</si>
  <si>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</si>
  <si>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</si>
  <si>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</si>
  <si>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</si>
  <si>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</si>
  <si>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</si>
  <si>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</si>
  <si>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</si>
  <si>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</si>
  <si>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</si>
  <si>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</si>
  <si>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</si>
  <si>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</si>
  <si>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</si>
  <si>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</si>
  <si>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</si>
  <si>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</si>
  <si>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</si>
  <si>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</si>
  <si>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</si>
  <si>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</si>
  <si>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</si>
  <si>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</si>
  <si>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</si>
  <si>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</si>
  <si>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</si>
  <si>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</si>
  <si>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</si>
  <si>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</si>
  <si>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</si>
  <si>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</si>
  <si>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</si>
  <si>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</si>
  <si>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</si>
  <si>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</si>
  <si>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</si>
  <si>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</si>
  <si>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</si>
  <si>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</si>
  <si>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</si>
  <si>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</si>
  <si>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</si>
  <si>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</si>
  <si>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</si>
  <si>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</si>
  <si>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</si>
  <si>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</si>
  <si>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</si>
  <si>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</si>
  <si>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</si>
  <si>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</si>
  <si>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</si>
  <si>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</si>
  <si>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</si>
  <si>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</si>
  <si>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</si>
  <si>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</si>
  <si>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</si>
  <si>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</si>
  <si>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</si>
  <si>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</si>
  <si>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</si>
  <si>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</si>
  <si>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</si>
  <si>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</si>
  <si>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</si>
  <si>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</si>
  <si>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</si>
  <si>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</si>
  <si>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</si>
  <si>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</si>
  <si>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</si>
  <si>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</si>
  <si>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</si>
  <si>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</si>
  <si>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</si>
  <si>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</si>
  <si>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</si>
  <si>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</si>
  <si>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</si>
  <si>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</si>
  <si>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</si>
  <si>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</si>
  <si>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</si>
  <si>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</si>
  <si>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</si>
  <si>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</si>
  <si>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</si>
  <si>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</si>
  <si>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</si>
  <si>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</si>
  <si>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</si>
  <si>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</si>
  <si>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</si>
  <si>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</si>
  <si>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</si>
  <si>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</si>
  <si>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</si>
  <si>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</si>
  <si>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</si>
  <si>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</si>
  <si>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</si>
  <si>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</si>
  <si>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</si>
  <si>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</si>
  <si>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</si>
  <si>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</si>
  <si>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</si>
  <si>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</si>
  <si>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</si>
  <si>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</si>
  <si>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</si>
  <si>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</si>
  <si>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</si>
  <si>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</si>
  <si>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</si>
  <si>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</si>
  <si>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</si>
  <si>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</si>
  <si>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</si>
  <si>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</si>
  <si>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</si>
  <si>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</si>
  <si>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</si>
  <si>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</si>
  <si>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</si>
  <si>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</si>
  <si>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</si>
  <si>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</si>
  <si>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</si>
  <si>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</si>
  <si>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</si>
  <si>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</si>
  <si>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</si>
  <si>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</si>
  <si>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</si>
  <si>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</si>
  <si>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</si>
  <si>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</si>
  <si>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</si>
  <si>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</si>
  <si>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</si>
  <si>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</si>
  <si>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</si>
  <si>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</si>
  <si>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</si>
  <si>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</si>
  <si>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</si>
  <si>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</si>
  <si>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</si>
  <si>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</si>
  <si>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</si>
  <si>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</si>
  <si>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</si>
  <si>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</si>
  <si>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</si>
  <si>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</si>
  <si>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</si>
  <si>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</si>
  <si>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</si>
  <si>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</si>
  <si>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</si>
  <si>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</si>
  <si>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</si>
  <si>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</si>
  <si>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</si>
  <si>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</si>
  <si>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</si>
  <si>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</si>
  <si>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</si>
  <si>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</si>
  <si>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</si>
  <si>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</si>
  <si>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</si>
  <si>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</si>
  <si>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</si>
  <si>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</si>
  <si>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</si>
  <si>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</si>
  <si>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</si>
  <si>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</si>
  <si>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</si>
  <si>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</si>
  <si>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</si>
  <si>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</si>
  <si>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</si>
  <si>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</si>
  <si>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</si>
  <si>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</si>
  <si>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</si>
  <si>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</si>
  <si>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</si>
  <si>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</si>
  <si>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</si>
  <si>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</si>
  <si>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</si>
  <si>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</si>
  <si>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</si>
  <si>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</si>
  <si>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</si>
  <si>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</si>
  <si>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</si>
  <si>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</si>
  <si>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</si>
  <si>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</si>
  <si>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</si>
  <si>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</si>
  <si>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</si>
  <si>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</si>
  <si>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</si>
  <si>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</si>
  <si>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</si>
  <si>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</si>
  <si>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</si>
  <si>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</si>
  <si>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</si>
  <si>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</si>
  <si>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</si>
  <si>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</si>
  <si>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</si>
  <si>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</si>
  <si>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</si>
  <si>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</si>
  <si>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</si>
  <si>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</si>
  <si>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</si>
  <si>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</si>
  <si>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</si>
  <si>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</si>
  <si>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</si>
  <si>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</si>
  <si>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</si>
  <si>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</si>
  <si>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</si>
  <si>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</si>
  <si>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</si>
  <si>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</si>
  <si>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</si>
  <si>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</si>
  <si>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</si>
  <si>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</si>
  <si>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</si>
  <si>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</si>
  <si>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</si>
  <si>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</si>
  <si>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</si>
  <si>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</si>
  <si>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</si>
  <si>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</si>
  <si>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</si>
  <si>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</si>
  <si>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</si>
  <si>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</si>
  <si>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</si>
  <si>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</si>
  <si>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</si>
  <si>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</si>
  <si>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</si>
  <si>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</si>
  <si>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</si>
  <si>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</si>
  <si>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</si>
  <si>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</si>
  <si>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</si>
  <si>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</si>
  <si>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</si>
  <si>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</si>
  <si>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</si>
  <si>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</si>
  <si>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</si>
  <si>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</si>
  <si>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</si>
  <si>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</si>
  <si>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</si>
  <si>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</si>
  <si>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</si>
  <si>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</si>
  <si>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</si>
  <si>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</si>
  <si>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</si>
  <si>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</si>
  <si>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</si>
  <si>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</si>
  <si>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</si>
  <si>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</si>
  <si>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</si>
  <si>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</si>
  <si>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</si>
  <si>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</si>
  <si>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</si>
  <si>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</si>
  <si>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</si>
  <si>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</si>
  <si>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</si>
  <si>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</si>
  <si>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</si>
  <si>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</si>
  <si>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</si>
  <si>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</si>
  <si>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</si>
  <si>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</si>
  <si>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</si>
  <si>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</si>
  <si>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</si>
  <si>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</si>
  <si>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</si>
  <si>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</si>
  <si>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</si>
  <si>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</si>
  <si>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</si>
  <si>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</si>
  <si>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</si>
  <si>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</si>
  <si>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</si>
  <si>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</si>
  <si>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</si>
  <si>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</si>
  <si>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</si>
  <si>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</si>
  <si>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</si>
  <si>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</si>
  <si>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</si>
  <si>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</si>
  <si>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</si>
  <si>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</si>
  <si>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</si>
  <si>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</si>
  <si>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</si>
  <si>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</si>
  <si>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</si>
  <si>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</si>
  <si>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</si>
  <si>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</si>
  <si>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</si>
  <si>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</si>
  <si>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</si>
  <si>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</si>
  <si>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</si>
  <si>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</si>
  <si>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</si>
  <si>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</si>
  <si>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</si>
  <si>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</si>
  <si>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</si>
  <si>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</si>
  <si>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</si>
  <si>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</si>
  <si>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</si>
  <si>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</si>
  <si>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</si>
  <si>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</si>
  <si>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</si>
  <si>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</si>
  <si>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</si>
  <si>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</si>
  <si>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</si>
  <si>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</si>
  <si>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</si>
  <si>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</si>
  <si>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</si>
  <si>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</si>
  <si>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</si>
  <si>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</si>
  <si>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</si>
  <si>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</si>
  <si>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</si>
  <si>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</si>
  <si>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</si>
  <si>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</si>
  <si>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</si>
  <si>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</si>
  <si>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</si>
  <si>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</si>
  <si>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</si>
  <si>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</si>
  <si>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</si>
  <si>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</si>
  <si>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</si>
  <si>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</si>
  <si>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</si>
  <si>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</si>
  <si>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</si>
  <si>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</si>
  <si>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</si>
  <si>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</si>
  <si>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</si>
  <si>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</si>
  <si>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</si>
  <si>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</si>
  <si>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</si>
  <si>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</si>
  <si>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</si>
  <si>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</si>
  <si>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</si>
  <si>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</si>
  <si>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</si>
  <si>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</si>
  <si>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</si>
  <si>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</si>
  <si>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</si>
  <si>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</si>
  <si>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</si>
  <si>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</si>
  <si>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</si>
  <si>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</si>
  <si>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</si>
  <si>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</si>
  <si>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</si>
  <si>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</si>
  <si>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</si>
  <si>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</si>
  <si>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</si>
  <si>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</si>
  <si>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</si>
  <si>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</si>
  <si>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</si>
  <si>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</si>
  <si>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</si>
  <si>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</si>
  <si>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</si>
  <si>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</si>
  <si>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</si>
  <si>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</si>
  <si>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</si>
  <si>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</si>
  <si>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</si>
  <si>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</si>
  <si>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</si>
  <si>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</si>
  <si>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</si>
  <si>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</si>
  <si>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</si>
  <si>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</si>
  <si>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</si>
  <si>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</si>
  <si>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</si>
  <si>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</si>
  <si>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</si>
  <si>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</si>
  <si>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</si>
  <si>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</si>
  <si>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</si>
  <si>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</si>
  <si>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</si>
  <si>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</si>
  <si>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</si>
  <si>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</si>
  <si>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</si>
  <si>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</si>
  <si>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</si>
  <si>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</si>
  <si>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</si>
  <si>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</si>
  <si>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</si>
  <si>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</si>
  <si>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</si>
  <si>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</si>
  <si>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</si>
  <si>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</si>
  <si>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</si>
  <si>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</si>
  <si>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</si>
  <si>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</si>
  <si>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</si>
  <si>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</si>
  <si>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</si>
  <si>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</si>
  <si>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</si>
  <si>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</si>
  <si>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</si>
  <si>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</si>
  <si>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</si>
  <si>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</si>
  <si>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</si>
  <si>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</si>
  <si>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</si>
  <si>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</si>
  <si>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</si>
  <si>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</si>
  <si>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</si>
  <si>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</si>
  <si>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</si>
  <si>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</si>
  <si>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</si>
  <si>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</si>
  <si>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</si>
  <si>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</si>
  <si>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</si>
  <si>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</si>
  <si>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</si>
  <si>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</si>
  <si>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</si>
  <si>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</si>
  <si>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</si>
  <si>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</si>
  <si>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</si>
  <si>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</si>
  <si>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</si>
  <si>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</si>
  <si>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</si>
  <si>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</si>
  <si>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</si>
  <si>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</si>
  <si>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</si>
  <si>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</si>
  <si>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</si>
  <si>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</si>
  <si>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</si>
  <si>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</si>
  <si>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</si>
  <si>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</si>
  <si>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</si>
  <si>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</si>
  <si>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</si>
  <si>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</si>
  <si>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</si>
  <si>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</si>
  <si>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</si>
  <si>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</si>
  <si>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</si>
  <si>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</si>
  <si>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</si>
  <si>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</si>
  <si>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pension</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</si>
  <si>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</si>
  <si>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</si>
  <si>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</si>
  <si>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</si>
  <si>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</si>
  <si>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</si>
  <si>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</si>
  <si>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</si>
  <si>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</si>
  <si>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</si>
  <si>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</si>
  <si>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</si>
  <si>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</si>
  <si>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</si>
  <si>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</si>
  <si>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</si>
  <si>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</si>
  <si>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</si>
  <si>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</si>
  <si>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</si>
  <si>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postco1</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</si>
  <si>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</si>
  <si>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</si>
  <si>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</si>
  <si>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</si>
  <si>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</si>
  <si>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</si>
  <si>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</si>
  <si>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</si>
  <si>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</si>
  <si>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</si>
  <si>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</si>
  <si>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</si>
  <si>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</si>
  <si>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</si>
  <si>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</si>
  <si>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</si>
  <si>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</si>
  <si>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</si>
  <si>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</si>
  <si>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</si>
  <si>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</si>
  <si>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</si>
  <si>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</si>
  <si>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</si>
  <si>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</si>
  <si>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</si>
  <si>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</si>
  <si>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</si>
  <si>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</si>
  <si>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</si>
  <si>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</si>
  <si>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</si>
  <si>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</si>
  <si>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</si>
  <si>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</si>
  <si>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</si>
  <si>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</si>
  <si>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</si>
  <si>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</si>
  <si>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</si>
  <si>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</si>
  <si>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</si>
  <si>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</si>
  <si>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</si>
  <si>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</si>
  <si>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</si>
  <si>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</si>
  <si>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</si>
  <si>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</si>
  <si>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</si>
  <si>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</si>
  <si>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</si>
  <si>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</si>
  <si>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</si>
  <si>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</si>
  <si>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</si>
  <si>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</si>
  <si>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</si>
  <si>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</si>
  <si>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</si>
  <si>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</si>
  <si>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</si>
  <si>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</si>
  <si>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</si>
  <si>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</si>
  <si>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</si>
  <si>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</si>
  <si>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</si>
  <si>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</si>
  <si>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</si>
  <si>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</si>
  <si>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</si>
  <si>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</si>
  <si>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</si>
  <si>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</si>
  <si>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</si>
  <si>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</si>
  <si>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</si>
  <si>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</si>
  <si>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</si>
  <si>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</si>
  <si>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</si>
  <si>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</si>
  <si>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</si>
  <si>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</si>
  <si>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</si>
  <si>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</si>
  <si>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</si>
  <si>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</si>
  <si>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</si>
  <si>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</si>
  <si>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</si>
  <si>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</si>
  <si>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</si>
  <si>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</si>
  <si>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</si>
  <si>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</si>
  <si>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</si>
  <si>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</si>
  <si>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</si>
  <si>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</si>
  <si>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</si>
  <si>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</si>
  <si>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</si>
  <si>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</si>
  <si>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</si>
  <si>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</si>
  <si>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</si>
  <si>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</si>
  <si>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</si>
  <si>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</si>
  <si>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</si>
  <si>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</si>
  <si>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</si>
  <si>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</si>
  <si>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</si>
  <si>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</si>
  <si>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</si>
  <si>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</si>
  <si>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</si>
  <si>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</si>
  <si>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</si>
  <si>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</si>
  <si>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</si>
  <si>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</si>
  <si>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</si>
  <si>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</si>
  <si>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</si>
  <si>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</si>
  <si>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</si>
  <si>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</si>
  <si>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</si>
  <si>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</si>
  <si>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</si>
  <si>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</si>
  <si>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</si>
  <si>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</si>
  <si>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</si>
  <si>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</si>
  <si>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</si>
  <si>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</si>
  <si>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</si>
  <si>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</si>
  <si>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</si>
  <si>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</si>
  <si>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</si>
  <si>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</si>
  <si>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</si>
  <si>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</si>
  <si>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</si>
  <si>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</si>
  <si>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</si>
  <si>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</si>
  <si>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</si>
  <si>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</si>
  <si>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</si>
  <si>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</si>
  <si>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</si>
  <si>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</si>
  <si>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</si>
  <si>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</si>
  <si>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</si>
  <si>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</si>
  <si>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</si>
  <si>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</si>
  <si>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</si>
  <si>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</si>
  <si>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</si>
  <si>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</si>
  <si>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</si>
  <si>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</si>
  <si>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</si>
  <si>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</si>
  <si>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</si>
  <si>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</si>
  <si>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</si>
  <si>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</si>
  <si>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</si>
  <si>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</si>
  <si>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</si>
  <si>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</si>
  <si>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</si>
  <si>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</si>
  <si>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</si>
  <si>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</si>
  <si>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</si>
  <si>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</si>
  <si>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</si>
  <si>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</si>
  <si>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</si>
  <si>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Kallas I (RE)</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</si>
  <si>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</si>
  <si>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</si>
  <si>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</si>
  <si>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</si>
  <si>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</si>
  <si>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</si>
  <si>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</si>
  <si>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</si>
  <si>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</si>
  <si>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</si>
  <si>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</si>
  <si>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</si>
  <si>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</si>
  <si>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</si>
  <si>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</si>
  <si>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</si>
  <si>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</si>
  <si>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</si>
  <si>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</si>
  <si>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</si>
  <si>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</si>
  <si>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</si>
  <si>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</si>
  <si>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</si>
  <si>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</si>
  <si>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</si>
  <si>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</si>
  <si>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</si>
  <si>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</si>
  <si>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</si>
  <si>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</si>
  <si>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</si>
  <si>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</si>
  <si>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</si>
  <si>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</si>
  <si>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</si>
  <si>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</si>
  <si>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</si>
  <si>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</si>
  <si>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</si>
  <si>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</si>
  <si>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</si>
  <si>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</si>
  <si>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</si>
  <si>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</si>
  <si>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</si>
  <si>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</si>
  <si>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</si>
  <si>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</si>
  <si>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</si>
  <si>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</si>
  <si>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</si>
  <si>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</si>
  <si>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</si>
  <si>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</si>
  <si>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</si>
  <si>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</si>
  <si>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</si>
  <si>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</si>
  <si>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</si>
  <si>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</si>
  <si>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</si>
  <si>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</si>
  <si>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</si>
  <si>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</si>
  <si>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</si>
  <si>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</si>
  <si>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</si>
  <si>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</si>
  <si>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</si>
  <si>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</si>
  <si>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</si>
  <si>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</si>
  <si>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</si>
  <si>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</si>
  <si>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</si>
  <si>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</si>
  <si>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</si>
  <si>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</si>
  <si>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</si>
  <si>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</si>
  <si>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</si>
  <si>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</si>
  <si>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</si>
  <si>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</si>
  <si>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</si>
  <si>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</si>
  <si>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</si>
  <si>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</si>
  <si>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</si>
  <si>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</si>
  <si>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</si>
  <si>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</si>
  <si>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</si>
  <si>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</si>
  <si>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</si>
  <si>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</si>
  <si>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</si>
  <si>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</si>
  <si>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</si>
  <si>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</si>
  <si>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</si>
  <si>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</si>
  <si>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</si>
  <si>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</si>
  <si>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</si>
  <si>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</si>
  <si>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</si>
  <si>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</si>
  <si>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</si>
  <si>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</si>
  <si>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</si>
  <si>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</si>
  <si>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</si>
  <si>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</si>
  <si>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</si>
  <si>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</si>
  <si>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</si>
  <si>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</si>
  <si>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</si>
  <si>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</si>
  <si>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</si>
  <si>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</si>
  <si>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</si>
  <si>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</si>
  <si>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</si>
  <si>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</si>
  <si>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</si>
  <si>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</si>
  <si>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</si>
  <si>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</si>
  <si>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</si>
  <si>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</si>
  <si>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</si>
  <si>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</si>
  <si>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</si>
  <si>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</si>
  <si>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</si>
  <si>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</si>
  <si>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</si>
  <si>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</si>
  <si>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</si>
  <si>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</si>
  <si>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</si>
  <si>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</si>
  <si>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</si>
  <si>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</si>
  <si>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</si>
  <si>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</si>
  <si>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</si>
  <si>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</si>
  <si>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</si>
  <si>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</si>
  <si>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</si>
  <si>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</si>
  <si>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</si>
  <si>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</si>
  <si>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</si>
  <si>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</si>
  <si>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</si>
  <si>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</si>
  <si>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</si>
  <si>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</si>
  <si>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</si>
  <si>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</si>
  <si>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</si>
  <si>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</si>
  <si>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</si>
  <si>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</si>
  <si>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</si>
  <si>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</si>
  <si>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</si>
  <si>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</si>
  <si>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</si>
  <si>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</si>
  <si>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</si>
  <si>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</si>
  <si>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</si>
  <si>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</si>
  <si>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</si>
  <si>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</si>
  <si>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</si>
  <si>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</si>
  <si>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</si>
  <si>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</si>
  <si>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</si>
  <si>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</si>
  <si>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</si>
  <si>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</si>
  <si>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</si>
  <si>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</si>
  <si>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</si>
  <si>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</si>
  <si>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</si>
  <si>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</si>
  <si>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</si>
  <si>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</si>
  <si>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</si>
  <si>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</si>
  <si>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</si>
  <si>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</si>
  <si>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</si>
  <si>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</si>
  <si>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</si>
  <si>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</si>
  <si>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</si>
  <si>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</si>
  <si>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</si>
  <si>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</si>
  <si>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</si>
  <si>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</si>
  <si>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</si>
  <si>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</si>
  <si>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</si>
  <si>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</si>
  <si>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</si>
  <si>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</si>
  <si>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</si>
  <si>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</si>
  <si>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</si>
  <si>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</si>
  <si>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</si>
  <si>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</si>
  <si>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</si>
  <si>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</si>
  <si>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</si>
  <si>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</si>
  <si>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</si>
  <si>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</si>
  <si>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</si>
  <si>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</si>
  <si>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</si>
  <si>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</si>
  <si>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</si>
  <si>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</si>
  <si>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</si>
  <si>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</si>
  <si>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</si>
  <si>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</si>
  <si>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</si>
  <si>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</si>
  <si>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</si>
  <si>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</si>
  <si>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</si>
  <si>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</si>
  <si>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</si>
  <si>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</si>
  <si>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</si>
  <si>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</si>
  <si>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</si>
  <si>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</si>
  <si>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</si>
  <si>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</si>
  <si>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</si>
  <si>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</si>
  <si>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</si>
  <si>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</si>
  <si>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</si>
  <si>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</si>
  <si>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</si>
  <si>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</si>
  <si>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</si>
  <si>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</si>
  <si>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</si>
  <si>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</si>
  <si>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</si>
  <si>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</si>
  <si>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</si>
  <si>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</si>
  <si>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</si>
  <si>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</si>
  <si>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</si>
  <si>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</si>
  <si>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</si>
  <si>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</si>
  <si>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</si>
  <si>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</si>
  <si>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</si>
  <si>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</si>
  <si>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</si>
  <si>
    <t>Turnbull II (LIB)</t>
  </si>
  <si>
    <t>Kurz I (ÖVP)</t>
  </si>
  <si>
    <t>Borissov III (GERB)</t>
  </si>
  <si>
    <t>Gerdzhikov I (NDSV)</t>
  </si>
  <si>
    <t>OP</t>
  </si>
  <si>
    <t>Babiš I (ANO)</t>
  </si>
  <si>
    <t>Philippe I (LR)</t>
  </si>
  <si>
    <t>Philippe II (LR)</t>
  </si>
  <si>
    <t>LR</t>
  </si>
  <si>
    <t>MoDem</t>
  </si>
  <si>
    <t>LRM</t>
  </si>
  <si>
    <t>BF</t>
  </si>
  <si>
    <t>Jakobsdóttir I (LG)</t>
  </si>
  <si>
    <t>Varadkar I (FG)</t>
  </si>
  <si>
    <t>Abe IV (LDP)</t>
  </si>
  <si>
    <t>Muscat II (MLP)</t>
  </si>
  <si>
    <t>Rutte III (VVD)</t>
  </si>
  <si>
    <t>Ardern I (LP)</t>
  </si>
  <si>
    <t>Solberg II (H)</t>
  </si>
  <si>
    <t>Morawiecki I (Ind)</t>
  </si>
  <si>
    <t>Grindeanu I (PSD)</t>
  </si>
  <si>
    <t>Tudose I (PSD)</t>
  </si>
  <si>
    <t>ALDE</t>
  </si>
  <si>
    <t>May II (CON)</t>
  </si>
  <si>
    <t>Trump I (RP)</t>
  </si>
  <si>
    <t>Plenković II (HDZ)</t>
  </si>
  <si>
    <t>Morrison I (LIB)</t>
  </si>
  <si>
    <t>Michel II (MR)</t>
  </si>
  <si>
    <t>Anastasiades II (DISY)</t>
  </si>
  <si>
    <t>Babiš II (ANO)</t>
  </si>
  <si>
    <t>SIN</t>
  </si>
  <si>
    <t>Merkel IV (CDU)</t>
  </si>
  <si>
    <t>Orbán IV (FIDESZ)</t>
  </si>
  <si>
    <t>Conte I (Ind)</t>
  </si>
  <si>
    <t>M5S</t>
  </si>
  <si>
    <t>protest2</t>
  </si>
  <si>
    <t>L</t>
  </si>
  <si>
    <t>Bettel II (DP)</t>
  </si>
  <si>
    <t>Solberg III (H)</t>
  </si>
  <si>
    <t>Dăncilă I (PSD)</t>
  </si>
  <si>
    <t>Šarec I (LMŠ)</t>
  </si>
  <si>
    <t>LMS</t>
  </si>
  <si>
    <t>Sánchez I (PSOE)</t>
  </si>
  <si>
    <t xml:space="preserve">Trump I (RP)	</t>
  </si>
  <si>
    <t>Sipilä II (KESK)</t>
  </si>
  <si>
    <t>Morrison II (LIB)</t>
  </si>
  <si>
    <t>Löger (ÖVP)</t>
  </si>
  <si>
    <t>Bierlein (Ind.)</t>
  </si>
  <si>
    <t>Wilmès (MR)</t>
  </si>
  <si>
    <t>Ratas II (KE)</t>
  </si>
  <si>
    <t>Rinne I (SDP)</t>
  </si>
  <si>
    <t>Marin I (SDP)</t>
  </si>
  <si>
    <t>centre</t>
  </si>
  <si>
    <t>SFP</t>
  </si>
  <si>
    <t>Agir</t>
  </si>
  <si>
    <t>Conte II (Ind)</t>
  </si>
  <si>
    <t>LeU</t>
  </si>
  <si>
    <t>leftsoc4</t>
  </si>
  <si>
    <t>IV</t>
  </si>
  <si>
    <t>Karins I (V)</t>
  </si>
  <si>
    <t>KPV</t>
  </si>
  <si>
    <t>JKP</t>
  </si>
  <si>
    <t>conserv9</t>
  </si>
  <si>
    <t>A/P</t>
  </si>
  <si>
    <t>LSDDP</t>
  </si>
  <si>
    <t>Morawiecki II (Ind)</t>
  </si>
  <si>
    <t>Costa II (PS)</t>
  </si>
  <si>
    <t>Orban I (PNL)</t>
  </si>
  <si>
    <t>Löfven II (S)</t>
  </si>
  <si>
    <t>Berset I (SPS)</t>
  </si>
  <si>
    <t>Maurer II (SVP)</t>
  </si>
  <si>
    <t>Sommaruga II (SPS)</t>
  </si>
  <si>
    <t>Johnson I (CON)</t>
  </si>
  <si>
    <t>Johnson II (CON)</t>
  </si>
  <si>
    <t>Mette Frederiksen I (SD)</t>
  </si>
  <si>
    <t>conserv10</t>
  </si>
  <si>
    <t>BZÖ</t>
  </si>
  <si>
    <t>rigth2</t>
  </si>
  <si>
    <t>Leterme III (CD&amp;V)</t>
  </si>
  <si>
    <t>Di Rupo II (PS)</t>
  </si>
  <si>
    <t>Trudeau Pierre I (LIB)</t>
  </si>
  <si>
    <t>Trudeau Pierre II (LIB)</t>
  </si>
  <si>
    <t>Trudeau Pierre III (LIB)</t>
  </si>
  <si>
    <t>Trudeau Pierre IV (LIB)</t>
  </si>
  <si>
    <t>Trudeau Pierre V (LIB)</t>
  </si>
  <si>
    <t>Trudeau Justin I (LIB)</t>
  </si>
  <si>
    <t>Trudeau Justin II (LIB)</t>
  </si>
  <si>
    <t>Tsiparas III (SYRIZA)</t>
  </si>
  <si>
    <t>Benediktsson Bjarni (b. 1970) I (IP)</t>
  </si>
  <si>
    <t>Benediktsson Bjarni (b. 1908) I (IP)</t>
  </si>
  <si>
    <t>Benediktsson Bjarni (b. 1908) I 
(IP)</t>
  </si>
  <si>
    <t>Benediktsson Bjarni (b. 1908) II (IP)</t>
  </si>
  <si>
    <t>Fukuda Yasuo I (LDP)</t>
  </si>
  <si>
    <t>Fukuda Takeo I (LDP)</t>
  </si>
  <si>
    <t>Račan II (SDP)</t>
  </si>
  <si>
    <t>Pellegrini I (Smer-SD)</t>
  </si>
  <si>
    <t>Michel III (MR)</t>
  </si>
  <si>
    <t>Sipilä III (KESK)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</si>
</sst>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yyyy\-mm\-dd;@"/>
  </numFmts>
  <fonts count="23">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rgb="FF000000"/>
      <name val="Tahoma"/>
      <family val="2"/>
    </font>
    <font>
      <b/>
      <sz val="9"/>
      <color rgb="FF000000"/>
      <name val="Tahoma"/>
      <family val="2"/>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
      <patternFill patternType="solid">
        <fgColor rgb="FFD9D9D9"/>
        <bgColor rgb="FF000000"/>
      </patternFill>
    </fill>
  </fills>
  <borders count="21">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974">
    <xf numFmtId="0" fontId="0" fillId="0" borderId="0" xfId="0"/>
    <xf numFmtId="0" fontId="1" fillId="0" borderId="0" xfId="0" applyFont="1" applyAlignment="1">
      <alignment horizontal="center"/>
    </xf>
    <xf numFmtId="0" fontId="1" fillId="0" borderId="0" xfId="0"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Border="1" applyAlignment="1">
      <alignment horizontal="center"/>
    </xf>
    <xf numFmtId="2" fontId="1" fillId="0" borderId="0" xfId="0" applyNumberFormat="1" applyFont="1" applyAlignment="1">
      <alignment horizontal="right"/>
    </xf>
    <xf numFmtId="2" fontId="1" fillId="0" borderId="0" xfId="0" applyNumberFormat="1" applyFont="1" applyBorder="1" applyAlignment="1">
      <alignment horizontal="right"/>
    </xf>
    <xf numFmtId="1" fontId="1" fillId="0" borderId="0" xfId="0" applyNumberFormat="1" applyFont="1" applyBorder="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0" fontId="1" fillId="0" borderId="0" xfId="0" applyFont="1" applyBorder="1" applyAlignment="1">
      <alignment horizontal="right"/>
    </xf>
    <xf numFmtId="2" fontId="1" fillId="0" borderId="0" xfId="0" applyNumberFormat="1" applyFont="1" applyAlignment="1"/>
    <xf numFmtId="0" fontId="1" fillId="0" borderId="0" xfId="0" applyFont="1" applyFill="1" applyAlignment="1">
      <alignment horizontal="center"/>
    </xf>
    <xf numFmtId="0" fontId="1" fillId="0" borderId="0" xfId="0" applyFont="1" applyFill="1" applyBorder="1" applyAlignment="1">
      <alignment horizontal="center"/>
    </xf>
    <xf numFmtId="0" fontId="4" fillId="0" borderId="0" xfId="0" applyFont="1" applyAlignment="1">
      <alignment horizontal="center"/>
    </xf>
    <xf numFmtId="164" fontId="1" fillId="0" borderId="0" xfId="0" applyNumberFormat="1" applyFont="1" applyBorder="1" applyAlignment="1">
      <alignment horizontal="center"/>
    </xf>
    <xf numFmtId="2" fontId="1" fillId="0" borderId="2" xfId="0" applyNumberFormat="1" applyFont="1" applyBorder="1" applyAlignment="1">
      <alignment horizontal="center"/>
    </xf>
    <xf numFmtId="1" fontId="1" fillId="0" borderId="0" xfId="0" applyNumberFormat="1" applyFont="1" applyBorder="1" applyAlignment="1">
      <alignment horizontal="center"/>
    </xf>
    <xf numFmtId="1" fontId="1" fillId="0" borderId="2" xfId="0" applyNumberFormat="1" applyFont="1" applyBorder="1" applyAlignment="1">
      <alignment horizontal="center"/>
    </xf>
    <xf numFmtId="0" fontId="9" fillId="0" borderId="0" xfId="0" applyFont="1" applyBorder="1" applyAlignment="1">
      <alignment horizontal="left"/>
    </xf>
    <xf numFmtId="0" fontId="1" fillId="0" borderId="3" xfId="0" applyFont="1" applyBorder="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164" fontId="8" fillId="0" borderId="0" xfId="0" applyNumberFormat="1" applyFont="1" applyBorder="1" applyAlignment="1">
      <alignment horizontal="center"/>
    </xf>
    <xf numFmtId="0" fontId="1" fillId="0" borderId="2" xfId="0" applyFont="1" applyBorder="1" applyAlignment="1">
      <alignment horizontal="right"/>
    </xf>
    <xf numFmtId="2" fontId="1" fillId="0" borderId="2" xfId="0" applyNumberFormat="1" applyFont="1" applyBorder="1" applyAlignment="1"/>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0" fontId="1" fillId="0" borderId="0" xfId="0" applyFont="1" applyBorder="1" applyAlignment="1">
      <alignment horizontal="left"/>
    </xf>
    <xf numFmtId="0" fontId="1" fillId="0" borderId="0" xfId="0" applyFont="1" applyAlignment="1">
      <alignment horizontal="lef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2"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1" fontId="1" fillId="0" borderId="0" xfId="0" applyNumberFormat="1" applyFont="1" applyFill="1" applyBorder="1" applyAlignment="1">
      <alignment horizontal="center"/>
    </xf>
    <xf numFmtId="164" fontId="8" fillId="0" borderId="0" xfId="0" applyNumberFormat="1" applyFont="1" applyFill="1" applyBorder="1" applyAlignment="1">
      <alignment horizontal="center"/>
    </xf>
    <xf numFmtId="2" fontId="1" fillId="0" borderId="0" xfId="0" applyNumberFormat="1" applyFont="1" applyFill="1" applyAlignment="1">
      <alignment horizontal="right"/>
    </xf>
    <xf numFmtId="2" fontId="13" fillId="0" borderId="0" xfId="0" applyNumberFormat="1" applyFont="1" applyFill="1" applyAlignment="1">
      <alignment horizontal="right"/>
    </xf>
    <xf numFmtId="2" fontId="13" fillId="0" borderId="0" xfId="0" applyNumberFormat="1" applyFont="1" applyBorder="1" applyAlignment="1">
      <alignment horizontal="right"/>
    </xf>
    <xf numFmtId="2" fontId="13" fillId="0" borderId="0" xfId="0" applyNumberFormat="1" applyFont="1" applyAlignment="1">
      <alignment horizontal="right"/>
    </xf>
    <xf numFmtId="2" fontId="13" fillId="0" borderId="0" xfId="0" applyNumberFormat="1" applyFont="1" applyBorder="1" applyAlignment="1">
      <alignment horizontal="right"/>
    </xf>
    <xf numFmtId="2" fontId="14" fillId="0" borderId="0" xfId="0" applyNumberFormat="1" applyFont="1" applyAlignment="1">
      <alignment horizontal="right"/>
    </xf>
    <xf numFmtId="2" fontId="14" fillId="0" borderId="0" xfId="0" applyNumberFormat="1" applyFont="1" applyBorder="1" applyAlignment="1">
      <alignment horizontal="right"/>
    </xf>
    <xf numFmtId="2" fontId="1" fillId="0" borderId="2" xfId="0" applyNumberFormat="1" applyFont="1" applyFill="1" applyBorder="1" applyAlignment="1">
      <alignment horizontal="center"/>
    </xf>
    <xf numFmtId="1" fontId="1" fillId="0" borderId="0" xfId="0" applyNumberFormat="1" applyFont="1" applyFill="1" applyBorder="1" applyAlignment="1">
      <alignment horizontal="right"/>
    </xf>
    <xf numFmtId="1" fontId="1" fillId="0" borderId="2" xfId="0" applyNumberFormat="1" applyFont="1" applyFill="1" applyBorder="1" applyAlignment="1">
      <alignment horizontal="right"/>
    </xf>
    <xf numFmtId="1" fontId="1" fillId="0" borderId="0" xfId="0" applyNumberFormat="1" applyFont="1" applyFill="1" applyAlignment="1">
      <alignment horizontal="center"/>
    </xf>
    <xf numFmtId="1" fontId="1" fillId="0" borderId="0" xfId="0" applyNumberFormat="1" applyFont="1" applyFill="1" applyAlignment="1">
      <alignment horizontal="right"/>
    </xf>
    <xf numFmtId="0" fontId="1" fillId="0" borderId="0" xfId="0" applyNumberFormat="1" applyFont="1" applyFill="1" applyAlignment="1">
      <alignment horizontal="right"/>
    </xf>
    <xf numFmtId="2" fontId="1" fillId="0" borderId="0" xfId="0" applyNumberFormat="1" applyFont="1" applyFill="1" applyAlignment="1">
      <alignment horizontal="center"/>
    </xf>
    <xf numFmtId="1" fontId="1" fillId="0" borderId="0" xfId="0" applyNumberFormat="1" applyFont="1" applyAlignment="1">
      <alignment horizontal="center"/>
    </xf>
    <xf numFmtId="2" fontId="13" fillId="0" borderId="0" xfId="0" applyNumberFormat="1" applyFont="1" applyBorder="1" applyAlignment="1">
      <alignment horizontal="right"/>
    </xf>
    <xf numFmtId="2" fontId="13" fillId="0" borderId="2"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8" fillId="0" borderId="0" xfId="0" applyFont="1" applyBorder="1" applyAlignment="1"/>
    <xf numFmtId="0" fontId="8" fillId="0" borderId="0" xfId="0" applyFont="1" applyAlignment="1">
      <alignment horizontal="center"/>
    </xf>
    <xf numFmtId="0" fontId="8" fillId="0" borderId="0" xfId="0" applyFont="1" applyAlignment="1"/>
    <xf numFmtId="2" fontId="13" fillId="0" borderId="0" xfId="0" applyNumberFormat="1" applyFont="1" applyBorder="1" applyAlignment="1">
      <alignment horizontal="right"/>
    </xf>
    <xf numFmtId="2" fontId="13" fillId="0" borderId="0" xfId="0" applyNumberFormat="1" applyFont="1" applyFill="1" applyBorder="1" applyAlignment="1">
      <alignment horizontal="right"/>
    </xf>
    <xf numFmtId="0" fontId="10" fillId="0" borderId="0" xfId="0" applyFont="1" applyAlignment="1">
      <alignment horizontal="left"/>
    </xf>
    <xf numFmtId="0" fontId="10" fillId="0" borderId="4" xfId="0" applyFont="1" applyBorder="1" applyAlignment="1"/>
    <xf numFmtId="0" fontId="1" fillId="2" borderId="0" xfId="0" applyFont="1" applyFill="1" applyBorder="1" applyAlignment="1">
      <alignment horizontal="center"/>
    </xf>
    <xf numFmtId="0" fontId="1" fillId="2" borderId="5" xfId="0" applyFont="1" applyFill="1" applyBorder="1" applyAlignment="1">
      <alignment horizontal="right"/>
    </xf>
    <xf numFmtId="0" fontId="1" fillId="2" borderId="0" xfId="0" applyFont="1" applyFill="1" applyBorder="1" applyAlignment="1">
      <alignment horizontal="right"/>
    </xf>
    <xf numFmtId="0" fontId="8" fillId="2" borderId="1" xfId="0" applyFont="1" applyFill="1" applyBorder="1" applyAlignment="1">
      <alignment horizontal="right"/>
    </xf>
    <xf numFmtId="164" fontId="1" fillId="2" borderId="0" xfId="0" applyNumberFormat="1" applyFont="1" applyFill="1" applyBorder="1" applyAlignment="1">
      <alignment horizontal="right"/>
    </xf>
    <xf numFmtId="164" fontId="8" fillId="2" borderId="0" xfId="0" applyNumberFormat="1" applyFont="1" applyFill="1" applyBorder="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Border="1" applyAlignment="1">
      <alignment horizontal="center"/>
    </xf>
    <xf numFmtId="0" fontId="1" fillId="2" borderId="0" xfId="0" applyFont="1" applyFill="1" applyBorder="1" applyAlignment="1">
      <alignment horizontal="center"/>
    </xf>
    <xf numFmtId="1" fontId="1" fillId="2" borderId="0" xfId="0" applyNumberFormat="1" applyFont="1" applyFill="1" applyBorder="1" applyAlignment="1">
      <alignment horizontal="right"/>
    </xf>
    <xf numFmtId="14" fontId="1" fillId="2" borderId="0" xfId="0" applyNumberFormat="1" applyFont="1" applyFill="1" applyBorder="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0" fontId="1" fillId="2" borderId="7" xfId="0" applyNumberFormat="1" applyFont="1" applyFill="1" applyBorder="1" applyAlignment="1">
      <alignment horizontal="center"/>
    </xf>
    <xf numFmtId="0" fontId="1" fillId="2" borderId="0" xfId="0" applyNumberFormat="1" applyFont="1" applyFill="1" applyBorder="1" applyAlignment="1">
      <alignment horizontal="center"/>
    </xf>
    <xf numFmtId="0" fontId="1" fillId="2" borderId="3" xfId="0" applyNumberFormat="1" applyFont="1" applyFill="1" applyBorder="1" applyAlignment="1">
      <alignment horizontal="center"/>
    </xf>
    <xf numFmtId="0" fontId="1" fillId="2" borderId="0" xfId="0" applyNumberFormat="1" applyFont="1" applyFill="1" applyAlignment="1">
      <alignment horizontal="center"/>
    </xf>
    <xf numFmtId="2" fontId="1" fillId="2" borderId="0" xfId="0" applyNumberFormat="1" applyFont="1" applyFill="1" applyAlignment="1">
      <alignment horizontal="center"/>
    </xf>
    <xf numFmtId="1" fontId="1" fillId="2" borderId="0" xfId="0" applyNumberFormat="1" applyFont="1" applyFill="1" applyBorder="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 fontId="15" fillId="2" borderId="0" xfId="0" applyNumberFormat="1" applyFont="1" applyFill="1" applyBorder="1" applyAlignment="1">
      <alignment horizontal="right"/>
    </xf>
    <xf numFmtId="1" fontId="1" fillId="2" borderId="0" xfId="0" applyNumberFormat="1" applyFont="1" applyFill="1" applyBorder="1" applyAlignment="1"/>
    <xf numFmtId="1" fontId="1" fillId="2" borderId="5" xfId="0" applyNumberFormat="1" applyFont="1" applyFill="1" applyBorder="1" applyAlignment="1"/>
    <xf numFmtId="1" fontId="8" fillId="2" borderId="1" xfId="0" applyNumberFormat="1" applyFont="1" applyFill="1" applyBorder="1" applyAlignment="1"/>
    <xf numFmtId="0" fontId="1" fillId="2" borderId="7" xfId="0" applyNumberFormat="1" applyFont="1" applyFill="1" applyBorder="1" applyAlignment="1"/>
    <xf numFmtId="0" fontId="1" fillId="2" borderId="0" xfId="0" applyNumberFormat="1" applyFont="1" applyFill="1" applyBorder="1" applyAlignment="1"/>
    <xf numFmtId="0" fontId="1" fillId="2" borderId="3" xfId="0" applyNumberFormat="1" applyFont="1" applyFill="1" applyBorder="1" applyAlignment="1"/>
    <xf numFmtId="0" fontId="1" fillId="2" borderId="0" xfId="0" applyNumberFormat="1" applyFont="1" applyFill="1" applyAlignment="1"/>
    <xf numFmtId="2" fontId="1" fillId="2" borderId="0" xfId="0" applyNumberFormat="1" applyFont="1" applyFill="1" applyAlignment="1"/>
    <xf numFmtId="0" fontId="1" fillId="2" borderId="0" xfId="0" applyFont="1" applyFill="1" applyBorder="1" applyAlignment="1"/>
    <xf numFmtId="0" fontId="1" fillId="2" borderId="0" xfId="0" applyFont="1" applyFill="1" applyAlignment="1"/>
    <xf numFmtId="14" fontId="16" fillId="2" borderId="0" xfId="0" applyNumberFormat="1" applyFont="1" applyFill="1" applyAlignment="1">
      <alignment horizontal="center"/>
    </xf>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Border="1" applyAlignment="1">
      <alignment horizontal="center"/>
    </xf>
    <xf numFmtId="1" fontId="1" fillId="2" borderId="6" xfId="0" applyNumberFormat="1" applyFont="1" applyFill="1" applyBorder="1" applyAlignment="1">
      <alignment horizontal="center"/>
    </xf>
    <xf numFmtId="0" fontId="17" fillId="2" borderId="0" xfId="0" applyFont="1" applyFill="1" applyBorder="1" applyAlignment="1">
      <alignment horizontal="center"/>
    </xf>
    <xf numFmtId="1" fontId="8" fillId="2" borderId="0" xfId="0" applyNumberFormat="1" applyFont="1" applyFill="1" applyBorder="1" applyAlignment="1">
      <alignment horizontal="center"/>
    </xf>
    <xf numFmtId="0"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7" fillId="2" borderId="0" xfId="0" applyNumberFormat="1" applyFont="1" applyFill="1" applyBorder="1" applyAlignment="1">
      <alignment horizontal="center"/>
    </xf>
    <xf numFmtId="0" fontId="1" fillId="2" borderId="2" xfId="0"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2"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0" fontId="15" fillId="2" borderId="0" xfId="0" applyFont="1" applyFill="1" applyBorder="1" applyAlignment="1">
      <alignment horizontal="center"/>
    </xf>
    <xf numFmtId="0" fontId="1" fillId="2" borderId="4" xfId="0" applyFont="1" applyFill="1" applyBorder="1" applyAlignment="1">
      <alignment horizontal="center"/>
    </xf>
    <xf numFmtId="0" fontId="8" fillId="2" borderId="7" xfId="0" applyFont="1" applyFill="1" applyBorder="1" applyAlignment="1"/>
    <xf numFmtId="1" fontId="16" fillId="2" borderId="0" xfId="0" applyNumberFormat="1" applyFont="1" applyFill="1" applyAlignment="1">
      <alignment horizontal="center"/>
    </xf>
    <xf numFmtId="14" fontId="15" fillId="2" borderId="0" xfId="0" applyNumberFormat="1" applyFont="1" applyFill="1" applyAlignment="1">
      <alignment horizontal="center"/>
    </xf>
    <xf numFmtId="164" fontId="1" fillId="2" borderId="3" xfId="0" applyNumberFormat="1" applyFont="1" applyFill="1" applyBorder="1" applyAlignment="1">
      <alignment horizontal="center"/>
    </xf>
    <xf numFmtId="0" fontId="8" fillId="2" borderId="7" xfId="0" applyFont="1" applyFill="1" applyBorder="1" applyAlignment="1">
      <alignment horizontal="left"/>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Border="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Border="1" applyAlignment="1">
      <alignment horizontal="right"/>
    </xf>
    <xf numFmtId="0" fontId="1" fillId="2" borderId="0" xfId="0" applyNumberFormat="1" applyFont="1" applyFill="1" applyBorder="1" applyAlignment="1">
      <alignment horizontal="right"/>
    </xf>
    <xf numFmtId="0" fontId="1" fillId="2" borderId="14" xfId="0" applyFont="1" applyFill="1" applyBorder="1" applyAlignment="1">
      <alignment horizontal="right"/>
    </xf>
    <xf numFmtId="0" fontId="1" fillId="2" borderId="4" xfId="0" applyNumberFormat="1"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0" fontId="1" fillId="2" borderId="2" xfId="0" applyFont="1" applyFill="1" applyBorder="1" applyAlignment="1">
      <alignment horizontal="left"/>
    </xf>
    <xf numFmtId="0" fontId="1" fillId="2" borderId="4" xfId="0" applyFont="1" applyFill="1" applyBorder="1" applyAlignment="1">
      <alignment horizontal="center"/>
    </xf>
    <xf numFmtId="0" fontId="1" fillId="2" borderId="0" xfId="0" applyFont="1" applyFill="1" applyBorder="1" applyAlignment="1">
      <alignment horizontal="center"/>
    </xf>
    <xf numFmtId="0" fontId="8" fillId="2" borderId="15" xfId="0" applyFont="1" applyFill="1" applyBorder="1" applyAlignment="1"/>
    <xf numFmtId="2" fontId="1" fillId="0" borderId="0" xfId="0" applyNumberFormat="1" applyFont="1" applyFill="1" applyBorder="1" applyAlignment="1">
      <alignment horizontal="right"/>
    </xf>
    <xf numFmtId="0" fontId="1" fillId="0" borderId="0" xfId="0" applyFont="1" applyFill="1" applyBorder="1" applyAlignment="1">
      <alignment horizontal="right"/>
    </xf>
    <xf numFmtId="0" fontId="8" fillId="0" borderId="0" xfId="0" applyFont="1" applyFill="1" applyBorder="1" applyAlignment="1">
      <alignment horizontal="right"/>
    </xf>
    <xf numFmtId="1" fontId="1" fillId="3" borderId="0" xfId="0" applyNumberFormat="1" applyFont="1" applyFill="1" applyBorder="1" applyAlignment="1">
      <alignment horizontal="right"/>
    </xf>
    <xf numFmtId="0" fontId="1" fillId="3" borderId="0" xfId="0" applyFont="1" applyFill="1" applyBorder="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0" fontId="1" fillId="0" borderId="0" xfId="0" applyNumberFormat="1" applyFont="1" applyFill="1" applyBorder="1" applyAlignment="1">
      <alignment horizontal="center"/>
    </xf>
    <xf numFmtId="1" fontId="1" fillId="3" borderId="2" xfId="0" applyNumberFormat="1" applyFont="1" applyFill="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2" fontId="13" fillId="0" borderId="0" xfId="0" applyNumberFormat="1" applyFont="1" applyFill="1" applyBorder="1" applyAlignment="1">
      <alignment horizontal="right"/>
    </xf>
    <xf numFmtId="0" fontId="1" fillId="2" borderId="2" xfId="0" applyFont="1" applyFill="1" applyBorder="1" applyAlignment="1">
      <alignment horizontal="center"/>
    </xf>
    <xf numFmtId="0" fontId="8" fillId="2" borderId="7" xfId="0" applyFont="1" applyFill="1" applyBorder="1" applyAlignment="1">
      <alignment horizontal="left"/>
    </xf>
    <xf numFmtId="0" fontId="18" fillId="2" borderId="0" xfId="0" applyFont="1" applyFill="1" applyBorder="1" applyAlignment="1">
      <alignment horizontal="center"/>
    </xf>
    <xf numFmtId="0" fontId="8" fillId="2" borderId="0" xfId="0" applyFont="1" applyFill="1" applyBorder="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0" fontId="1" fillId="2" borderId="0" xfId="0" applyFont="1" applyFill="1" applyBorder="1" applyAlignment="1">
      <alignment horizontal="center"/>
    </xf>
    <xf numFmtId="2" fontId="13" fillId="0" borderId="0" xfId="0" applyNumberFormat="1" applyFont="1" applyFill="1" applyBorder="1" applyAlignment="1">
      <alignment horizontal="right"/>
    </xf>
    <xf numFmtId="0" fontId="10" fillId="0" borderId="0" xfId="0" applyFont="1" applyAlignment="1"/>
    <xf numFmtId="0" fontId="1" fillId="0" borderId="0" xfId="0" applyFont="1" applyFill="1" applyAlignment="1">
      <alignment horizontal="right"/>
    </xf>
    <xf numFmtId="0" fontId="10" fillId="0" borderId="0" xfId="0" applyFont="1" applyFill="1" applyAlignment="1">
      <alignment horizontal="left"/>
    </xf>
    <xf numFmtId="2" fontId="13" fillId="0" borderId="0" xfId="0" applyNumberFormat="1" applyFont="1" applyFill="1" applyBorder="1" applyAlignment="1">
      <alignment horizontal="right"/>
    </xf>
    <xf numFmtId="0" fontId="10" fillId="0" borderId="0" xfId="0" applyFont="1" applyBorder="1" applyAlignment="1"/>
    <xf numFmtId="0" fontId="1" fillId="0" borderId="0" xfId="0" applyNumberFormat="1" applyFont="1" applyFill="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1" fontId="17" fillId="4" borderId="0" xfId="0" applyNumberFormat="1" applyFont="1" applyFill="1" applyBorder="1" applyAlignment="1">
      <alignment horizontal="right"/>
    </xf>
    <xf numFmtId="0" fontId="17" fillId="4" borderId="0" xfId="0" applyFont="1" applyFill="1" applyBorder="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Border="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Border="1" applyAlignment="1">
      <alignment horizontal="right"/>
    </xf>
    <xf numFmtId="164" fontId="14" fillId="4" borderId="0" xfId="0" applyNumberFormat="1" applyFont="1" applyFill="1" applyBorder="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Border="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Border="1" applyAlignment="1">
      <alignment horizontal="center"/>
    </xf>
    <xf numFmtId="0" fontId="17" fillId="4" borderId="7" xfId="0" applyNumberFormat="1" applyFont="1" applyFill="1" applyBorder="1" applyAlignment="1">
      <alignment horizontal="center"/>
    </xf>
    <xf numFmtId="0" fontId="17" fillId="4" borderId="0" xfId="0" applyNumberFormat="1" applyFont="1" applyFill="1" applyBorder="1" applyAlignment="1">
      <alignment horizontal="center"/>
    </xf>
    <xf numFmtId="0" fontId="17" fillId="4" borderId="3" xfId="0" applyNumberFormat="1" applyFont="1" applyFill="1" applyBorder="1" applyAlignment="1">
      <alignment horizontal="center"/>
    </xf>
    <xf numFmtId="0" fontId="17" fillId="4" borderId="7" xfId="0" applyFont="1" applyFill="1" applyBorder="1" applyAlignment="1">
      <alignment horizontal="center"/>
    </xf>
    <xf numFmtId="0" fontId="17" fillId="4" borderId="0" xfId="0" applyFont="1" applyFill="1" applyBorder="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Border="1" applyAlignment="1">
      <alignment horizontal="right"/>
    </xf>
    <xf numFmtId="2" fontId="14" fillId="4" borderId="0" xfId="0" applyNumberFormat="1" applyFont="1" applyFill="1" applyBorder="1" applyAlignment="1">
      <alignment horizontal="right"/>
    </xf>
    <xf numFmtId="2" fontId="17" fillId="4" borderId="0" xfId="0" applyNumberFormat="1" applyFont="1" applyFill="1" applyAlignment="1">
      <alignment horizontal="center"/>
    </xf>
    <xf numFmtId="1" fontId="17" fillId="4" borderId="0" xfId="0" applyNumberFormat="1" applyFont="1" applyFill="1" applyBorder="1" applyAlignment="1">
      <alignment horizontal="center"/>
    </xf>
    <xf numFmtId="14" fontId="17" fillId="4" borderId="0" xfId="0" applyNumberFormat="1" applyFont="1" applyFill="1" applyBorder="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Border="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2" fontId="17" fillId="4" borderId="0" xfId="0" applyNumberFormat="1" applyFont="1" applyFill="1" applyBorder="1" applyAlignment="1">
      <alignment horizontal="center"/>
    </xf>
    <xf numFmtId="0" fontId="17" fillId="4" borderId="0" xfId="0" applyFont="1" applyFill="1" applyBorder="1" applyAlignment="1">
      <alignment horizontal="right"/>
    </xf>
    <xf numFmtId="0" fontId="14" fillId="4" borderId="1" xfId="0" applyFont="1" applyFill="1" applyBorder="1" applyAlignment="1">
      <alignment horizontal="center"/>
    </xf>
    <xf numFmtId="0" fontId="17" fillId="4" borderId="0" xfId="0" applyFont="1" applyFill="1" applyAlignment="1">
      <alignment horizontal="center"/>
    </xf>
    <xf numFmtId="2" fontId="17" fillId="4" borderId="0" xfId="0" applyNumberFormat="1" applyFont="1" applyFill="1" applyAlignment="1">
      <alignment horizontal="right"/>
    </xf>
    <xf numFmtId="0" fontId="17" fillId="4" borderId="0" xfId="0"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0" xfId="0" applyFont="1" applyFill="1" applyBorder="1" applyAlignment="1">
      <alignment horizontal="left"/>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3" fillId="0" borderId="0" xfId="0" applyNumberFormat="1" applyFont="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4" fillId="0" borderId="0" xfId="0" applyNumberFormat="1" applyFont="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3" fillId="0" borderId="0" xfId="0" applyNumberFormat="1" applyFont="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0" xfId="0" applyFont="1" applyFill="1" applyBorder="1" applyAlignment="1">
      <alignment horizontal="center"/>
    </xf>
    <xf numFmtId="0" fontId="8" fillId="2" borderId="7" xfId="0" applyFont="1" applyFill="1" applyBorder="1" applyAlignment="1">
      <alignment horizontal="left"/>
    </xf>
    <xf numFmtId="2" fontId="1" fillId="2" borderId="0" xfId="0" applyNumberFormat="1" applyFont="1" applyFill="1" applyBorder="1" applyAlignment="1">
      <alignment horizontal="center"/>
    </xf>
    <xf numFmtId="0" fontId="1" fillId="2" borderId="0" xfId="0" applyFont="1" applyFill="1" applyBorder="1" applyAlignment="1">
      <alignment horizontal="center"/>
    </xf>
    <xf numFmtId="0" fontId="17" fillId="4" borderId="0" xfId="0" applyFont="1" applyFill="1" applyBorder="1" applyAlignment="1">
      <alignment horizontal="center"/>
    </xf>
    <xf numFmtId="0" fontId="16" fillId="2" borderId="0" xfId="0" applyFont="1" applyFill="1" applyBorder="1" applyAlignment="1">
      <alignment horizontal="center"/>
    </xf>
    <xf numFmtId="0" fontId="1" fillId="2" borderId="0" xfId="0" applyFont="1" applyFill="1" applyBorder="1" applyAlignment="1">
      <alignment horizontal="center"/>
    </xf>
    <xf numFmtId="2" fontId="1" fillId="2" borderId="1" xfId="0" applyNumberFormat="1" applyFont="1" applyFill="1" applyBorder="1" applyAlignment="1">
      <alignment horizontal="center"/>
    </xf>
    <xf numFmtId="2" fontId="1" fillId="2" borderId="0" xfId="0" applyNumberFormat="1" applyFont="1" applyFill="1" applyBorder="1" applyAlignment="1"/>
    <xf numFmtId="2" fontId="1" fillId="2" borderId="1" xfId="0" applyNumberFormat="1" applyFont="1" applyFill="1" applyBorder="1" applyAlignment="1"/>
    <xf numFmtId="0" fontId="1" fillId="2" borderId="1" xfId="0" applyFont="1" applyFill="1" applyBorder="1" applyAlignment="1"/>
    <xf numFmtId="0" fontId="1" fillId="3" borderId="0" xfId="0" applyFont="1" applyFill="1" applyBorder="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Border="1" applyAlignment="1">
      <alignment horizontal="right"/>
    </xf>
    <xf numFmtId="164" fontId="8" fillId="3" borderId="0" xfId="0" applyNumberFormat="1" applyFont="1" applyFill="1" applyBorder="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0" fontId="1" fillId="3" borderId="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0" fontId="17" fillId="3" borderId="0" xfId="0" applyFont="1" applyFill="1" applyBorder="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applyAlignment="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Border="1" applyAlignment="1">
      <alignment horizontal="right"/>
    </xf>
    <xf numFmtId="2" fontId="1" fillId="5" borderId="0" xfId="0" applyNumberFormat="1" applyFont="1" applyFill="1" applyBorder="1" applyAlignment="1"/>
    <xf numFmtId="2" fontId="4" fillId="5" borderId="0" xfId="0" applyNumberFormat="1" applyFont="1" applyFill="1" applyBorder="1" applyAlignment="1"/>
    <xf numFmtId="0" fontId="1" fillId="5" borderId="0" xfId="0" applyFont="1" applyFill="1" applyBorder="1" applyAlignment="1">
      <alignment horizontal="right"/>
    </xf>
    <xf numFmtId="2" fontId="1" fillId="5" borderId="0" xfId="0" applyNumberFormat="1" applyFont="1" applyFill="1" applyBorder="1" applyAlignment="1">
      <alignment horizontal="left"/>
    </xf>
    <xf numFmtId="1" fontId="4" fillId="5" borderId="0" xfId="0" applyNumberFormat="1" applyFont="1" applyFill="1" applyBorder="1" applyAlignment="1">
      <alignment horizontal="right"/>
    </xf>
    <xf numFmtId="2" fontId="4" fillId="5" borderId="0" xfId="0" applyNumberFormat="1" applyFont="1" applyFill="1" applyBorder="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Border="1" applyAlignment="1">
      <alignment horizontal="center"/>
    </xf>
    <xf numFmtId="0" fontId="1" fillId="3" borderId="7" xfId="0" applyNumberFormat="1" applyFont="1" applyFill="1" applyBorder="1" applyAlignment="1">
      <alignment horizontal="center"/>
    </xf>
    <xf numFmtId="0" fontId="1" fillId="3" borderId="0" xfId="0" applyNumberFormat="1" applyFont="1" applyFill="1" applyBorder="1" applyAlignment="1">
      <alignment horizontal="center"/>
    </xf>
    <xf numFmtId="0" fontId="1" fillId="3" borderId="3" xfId="0" applyNumberFormat="1" applyFont="1" applyFill="1" applyBorder="1" applyAlignment="1">
      <alignment horizontal="center"/>
    </xf>
    <xf numFmtId="0"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0" xfId="0" applyNumberFormat="1" applyFont="1" applyFill="1" applyBorder="1" applyAlignment="1">
      <alignment horizontal="center"/>
    </xf>
    <xf numFmtId="2" fontId="1" fillId="3" borderId="1" xfId="0" applyNumberFormat="1" applyFont="1" applyFill="1" applyBorder="1" applyAlignment="1">
      <alignment horizontal="center"/>
    </xf>
    <xf numFmtId="1" fontId="15" fillId="3" borderId="0" xfId="0" applyNumberFormat="1" applyFont="1" applyFill="1" applyBorder="1" applyAlignment="1">
      <alignment horizontal="right"/>
    </xf>
    <xf numFmtId="1" fontId="1" fillId="3" borderId="6" xfId="0" applyNumberFormat="1" applyFont="1" applyFill="1" applyBorder="1" applyAlignment="1">
      <alignment horizontal="center"/>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0" fontId="1" fillId="3" borderId="8" xfId="0" applyNumberFormat="1" applyFont="1" applyFill="1" applyBorder="1" applyAlignment="1">
      <alignment horizontal="center"/>
    </xf>
    <xf numFmtId="0" fontId="1" fillId="3" borderId="2" xfId="0" applyNumberFormat="1" applyFont="1" applyFill="1" applyBorder="1" applyAlignment="1">
      <alignment horizontal="center"/>
    </xf>
    <xf numFmtId="0" fontId="1" fillId="3" borderId="9"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NumberFormat="1" applyFont="1" applyFill="1" applyBorder="1" applyAlignment="1"/>
    <xf numFmtId="0" fontId="1" fillId="3" borderId="7" xfId="0" applyNumberFormat="1" applyFont="1" applyFill="1" applyBorder="1" applyAlignment="1"/>
    <xf numFmtId="0" fontId="1" fillId="3" borderId="3" xfId="0" applyNumberFormat="1" applyFont="1" applyFill="1" applyBorder="1" applyAlignment="1"/>
    <xf numFmtId="0" fontId="1" fillId="3" borderId="0" xfId="0" applyNumberFormat="1" applyFont="1" applyFill="1" applyAlignment="1"/>
    <xf numFmtId="0" fontId="1" fillId="3" borderId="0" xfId="0" applyFont="1" applyFill="1" applyAlignment="1"/>
    <xf numFmtId="0" fontId="1" fillId="3" borderId="0" xfId="0" applyFont="1" applyFill="1" applyBorder="1" applyAlignment="1"/>
    <xf numFmtId="0" fontId="1" fillId="3" borderId="1" xfId="0" applyFont="1" applyFill="1" applyBorder="1" applyAlignment="1"/>
    <xf numFmtId="0" fontId="1" fillId="3" borderId="5" xfId="0" applyFont="1" applyFill="1" applyBorder="1" applyAlignment="1">
      <alignment horizontal="center"/>
    </xf>
    <xf numFmtId="1" fontId="8" fillId="3" borderId="0" xfId="0" applyNumberFormat="1" applyFont="1" applyFill="1" applyBorder="1" applyAlignment="1">
      <alignment horizontal="center"/>
    </xf>
    <xf numFmtId="164" fontId="8" fillId="3" borderId="0" xfId="0" applyNumberFormat="1" applyFont="1" applyFill="1" applyBorder="1" applyAlignment="1">
      <alignment horizontal="center"/>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0" fontId="8" fillId="3" borderId="0" xfId="0" applyNumberFormat="1" applyFont="1" applyFill="1" applyBorder="1" applyAlignment="1">
      <alignment horizontal="center"/>
    </xf>
    <xf numFmtId="0" fontId="1" fillId="3" borderId="7" xfId="0" applyFont="1" applyFill="1" applyBorder="1" applyAlignment="1"/>
    <xf numFmtId="0" fontId="1" fillId="3" borderId="3" xfId="0" applyFont="1" applyFill="1" applyBorder="1" applyAlignment="1"/>
    <xf numFmtId="0" fontId="1" fillId="3" borderId="1" xfId="0" applyNumberFormat="1" applyFont="1" applyFill="1" applyBorder="1" applyAlignment="1">
      <alignment horizontal="center"/>
    </xf>
    <xf numFmtId="0" fontId="8" fillId="3" borderId="1" xfId="0" applyFont="1" applyFill="1" applyBorder="1" applyAlignment="1">
      <alignment horizontal="center"/>
    </xf>
    <xf numFmtId="0" fontId="9" fillId="0" borderId="0" xfId="0" applyFont="1" applyFill="1" applyBorder="1" applyAlignment="1">
      <alignment horizontal="left"/>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0" fontId="15" fillId="3" borderId="0" xfId="0" applyFont="1" applyFill="1" applyBorder="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0" fontId="18" fillId="3" borderId="0" xfId="0" applyFont="1" applyFill="1" applyBorder="1" applyAlignment="1">
      <alignment horizontal="center"/>
    </xf>
    <xf numFmtId="0" fontId="1" fillId="3" borderId="0" xfId="0" applyFont="1" applyFill="1" applyBorder="1" applyAlignment="1">
      <alignment horizontal="left"/>
    </xf>
    <xf numFmtId="2" fontId="1" fillId="3" borderId="0" xfId="0" applyNumberFormat="1" applyFont="1" applyFill="1" applyBorder="1" applyAlignment="1">
      <alignment horizontal="right"/>
    </xf>
    <xf numFmtId="0" fontId="1" fillId="3" borderId="0" xfId="0" applyNumberFormat="1" applyFont="1" applyFill="1" applyBorder="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2" fontId="1" fillId="0" borderId="0" xfId="0" applyNumberFormat="1" applyFont="1" applyBorder="1" applyAlignment="1"/>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164" fontId="1" fillId="2" borderId="3" xfId="0" applyNumberFormat="1"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0" fontId="17" fillId="3" borderId="0"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0" fontId="15" fillId="3" borderId="0" xfId="0" applyFont="1" applyFill="1" applyBorder="1" applyAlignment="1">
      <alignment horizontal="center"/>
    </xf>
    <xf numFmtId="164" fontId="1" fillId="3" borderId="3" xfId="0" applyNumberFormat="1" applyFont="1" applyFill="1" applyBorder="1" applyAlignment="1">
      <alignment horizontal="center"/>
    </xf>
    <xf numFmtId="2" fontId="14" fillId="0" borderId="0" xfId="0" applyNumberFormat="1" applyFont="1" applyBorder="1" applyAlignment="1"/>
    <xf numFmtId="0" fontId="1" fillId="0" borderId="0" xfId="0" applyFont="1"/>
    <xf numFmtId="0" fontId="1" fillId="0" borderId="0" xfId="0" applyFont="1" applyAlignment="1"/>
    <xf numFmtId="2" fontId="1" fillId="3" borderId="0" xfId="0" applyNumberFormat="1" applyFont="1" applyFill="1" applyBorder="1" applyAlignment="1">
      <alignment horizontal="center"/>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8" fillId="2" borderId="7" xfId="0" applyFont="1" applyFill="1" applyBorder="1" applyAlignment="1">
      <alignment horizontal="left"/>
    </xf>
    <xf numFmtId="2" fontId="13"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4" fillId="0" borderId="0" xfId="0" applyNumberFormat="1" applyFont="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7" fillId="4" borderId="0" xfId="0" applyFont="1" applyFill="1" applyBorder="1" applyAlignment="1">
      <alignment horizontal="center"/>
    </xf>
    <xf numFmtId="0" fontId="1" fillId="2" borderId="4" xfId="0" applyFont="1" applyFill="1" applyBorder="1" applyAlignment="1">
      <alignment horizontal="center"/>
    </xf>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6" fillId="3" borderId="0" xfId="0" applyFont="1" applyFill="1" applyBorder="1" applyAlignment="1">
      <alignment horizontal="center"/>
    </xf>
    <xf numFmtId="0" fontId="19" fillId="3" borderId="1"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0" fontId="1" fillId="2" borderId="0" xfId="0" applyFont="1" applyFill="1" applyBorder="1" applyAlignment="1">
      <alignment horizontal="center"/>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0" fontId="1" fillId="2" borderId="5" xfId="0" applyFont="1" applyFill="1" applyBorder="1" applyAlignment="1">
      <alignment horizontal="center"/>
    </xf>
    <xf numFmtId="0" fontId="8" fillId="2" borderId="1" xfId="0" applyFont="1" applyFill="1" applyBorder="1" applyAlignment="1">
      <alignment horizontal="center"/>
    </xf>
    <xf numFmtId="0" fontId="15"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64" fontId="1" fillId="2" borderId="5" xfId="0" applyNumberFormat="1" applyFont="1" applyFill="1" applyBorder="1" applyAlignment="1">
      <alignment horizontal="center"/>
    </xf>
    <xf numFmtId="164" fontId="1" fillId="2" borderId="0" xfId="0" applyNumberFormat="1" applyFont="1" applyFill="1" applyBorder="1" applyAlignment="1">
      <alignment horizontal="center"/>
    </xf>
    <xf numFmtId="164" fontId="8" fillId="2" borderId="1" xfId="0" applyNumberFormat="1" applyFont="1" applyFill="1" applyBorder="1" applyAlignment="1">
      <alignment horizontal="center"/>
    </xf>
    <xf numFmtId="0" fontId="1" fillId="2" borderId="5" xfId="0" applyFont="1" applyFill="1" applyBorder="1" applyAlignment="1">
      <alignment horizontal="center"/>
    </xf>
    <xf numFmtId="164" fontId="8" fillId="2" borderId="0" xfId="0" applyNumberFormat="1" applyFont="1" applyFill="1" applyBorder="1" applyAlignment="1">
      <alignment horizontal="center"/>
    </xf>
    <xf numFmtId="0" fontId="8" fillId="2" borderId="1" xfId="0" applyFont="1" applyFill="1" applyBorder="1" applyAlignment="1">
      <alignment horizontal="center"/>
    </xf>
    <xf numFmtId="14" fontId="15" fillId="2" borderId="0" xfId="0" applyNumberFormat="1" applyFont="1" applyFill="1" applyBorder="1" applyAlignment="1">
      <alignment horizontal="center"/>
    </xf>
    <xf numFmtId="0" fontId="15"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0" fontId="8" fillId="3" borderId="1" xfId="0" applyFont="1" applyFill="1" applyBorder="1" applyAlignment="1">
      <alignment horizontal="center"/>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3" borderId="6" xfId="0" applyFont="1" applyFill="1" applyBorder="1" applyAlignment="1">
      <alignment horizontal="center"/>
    </xf>
    <xf numFmtId="164" fontId="1" fillId="3" borderId="5" xfId="0" applyNumberFormat="1" applyFont="1" applyFill="1" applyBorder="1" applyAlignment="1">
      <alignment horizontal="center"/>
    </xf>
    <xf numFmtId="164" fontId="1" fillId="3" borderId="0" xfId="0" applyNumberFormat="1" applyFont="1" applyFill="1" applyBorder="1" applyAlignment="1">
      <alignment horizontal="center"/>
    </xf>
    <xf numFmtId="164" fontId="8" fillId="3" borderId="1" xfId="0" applyNumberFormat="1" applyFont="1" applyFill="1" applyBorder="1" applyAlignment="1">
      <alignment horizontal="center"/>
    </xf>
    <xf numFmtId="0" fontId="1" fillId="3" borderId="5" xfId="0" applyFont="1" applyFill="1" applyBorder="1" applyAlignment="1">
      <alignment horizontal="center"/>
    </xf>
    <xf numFmtId="164" fontId="8" fillId="3" borderId="0" xfId="0" applyNumberFormat="1" applyFont="1" applyFill="1" applyBorder="1" applyAlignment="1">
      <alignment horizontal="center"/>
    </xf>
    <xf numFmtId="0" fontId="8" fillId="3" borderId="1"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3" fillId="0" borderId="0" xfId="0" applyNumberFormat="1" applyFont="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2" xfId="0" applyNumberFormat="1" applyFont="1" applyBorder="1" applyAlignment="1"/>
    <xf numFmtId="2" fontId="13" fillId="0" borderId="2" xfId="0" applyNumberFormat="1" applyFont="1" applyBorder="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2" xfId="0" applyNumberFormat="1" applyFont="1" applyBorder="1" applyAlignment="1">
      <alignment horizontal="right"/>
    </xf>
    <xf numFmtId="2" fontId="1" fillId="0" borderId="0" xfId="0" applyNumberFormat="1" applyFont="1" applyAlignment="1"/>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6" xfId="0" applyNumberFormat="1" applyFont="1" applyFill="1" applyBorder="1" applyAlignment="1">
      <alignment horizontal="center"/>
    </xf>
    <xf numFmtId="2" fontId="1"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 fillId="0" borderId="0" xfId="0" applyNumberFormat="1" applyFont="1" applyBorder="1" applyAlignment="1"/>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4" fontId="1" fillId="2" borderId="0" xfId="0" applyNumberFormat="1" applyFont="1" applyFill="1" applyBorder="1" applyAlignment="1">
      <alignment horizontal="lef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3" fillId="0" borderId="0" xfId="0" applyNumberFormat="1" applyFont="1" applyAlignment="1">
      <alignment horizontal="right"/>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0" fontId="8" fillId="2" borderId="7" xfId="0" applyFont="1" applyFill="1" applyBorder="1" applyAlignment="1">
      <alignment horizontal="lef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3" borderId="0" xfId="0" applyFont="1" applyFill="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1" fontId="15" fillId="2" borderId="0" xfId="0" applyNumberFormat="1" applyFont="1" applyFill="1" applyBorder="1" applyAlignment="1"/>
    <xf numFmtId="0" fontId="1" fillId="2" borderId="0" xfId="0" applyFont="1" applyFill="1" applyBorder="1" applyAlignment="1">
      <alignment horizontal="center"/>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2" fontId="13" fillId="0" borderId="0" xfId="0" applyNumberFormat="1" applyFont="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14" fontId="15" fillId="0"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2" fontId="14"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8" fillId="3" borderId="7" xfId="0" applyFont="1" applyFill="1" applyBorder="1" applyAlignment="1">
      <alignment horizontal="left"/>
    </xf>
    <xf numFmtId="0" fontId="1" fillId="0" borderId="0" xfId="0" applyFont="1" applyAlignment="1">
      <alignment horizontal="center"/>
    </xf>
    <xf numFmtId="2" fontId="13" fillId="0" borderId="0" xfId="0" applyNumberFormat="1" applyFont="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0" fontId="20" fillId="0" borderId="0" xfId="0" applyFont="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6"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3" borderId="0" xfId="0" applyNumberFormat="1"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0" borderId="0" xfId="0" applyFont="1" applyAlignment="1">
      <alignment horizontal="center"/>
    </xf>
    <xf numFmtId="14" fontId="1" fillId="2"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Alignment="1">
      <alignment horizontal="center"/>
    </xf>
    <xf numFmtId="0" fontId="8" fillId="3" borderId="7" xfId="0" applyFont="1" applyFill="1" applyBorder="1" applyAlignment="1">
      <alignment horizontal="left"/>
    </xf>
    <xf numFmtId="14" fontId="1" fillId="2"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16" fontId="1" fillId="2" borderId="0" xfId="0" applyNumberFormat="1" applyFont="1" applyFill="1" applyBorder="1" applyAlignment="1">
      <alignment horizontal="center"/>
    </xf>
    <xf numFmtId="0" fontId="8" fillId="2" borderId="0" xfId="0" applyFont="1" applyFill="1" applyBorder="1" applyAlignment="1">
      <alignment horizontal="center"/>
    </xf>
    <xf numFmtId="0" fontId="17" fillId="3"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0" borderId="0" xfId="0" applyFont="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0" fontId="1" fillId="0" borderId="0" xfId="0" applyFont="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Alignment="1">
      <alignment horizontal="right"/>
    </xf>
    <xf numFmtId="2" fontId="1" fillId="3" borderId="0" xfId="0" applyNumberFormat="1" applyFont="1" applyFill="1" applyBorder="1" applyAlignment="1">
      <alignment horizontal="center"/>
    </xf>
    <xf numFmtId="14" fontId="1" fillId="2" borderId="0" xfId="0" applyNumberFormat="1"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0" fontId="1" fillId="0" borderId="0" xfId="0" applyFont="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16" fontId="1" fillId="2" borderId="0" xfId="0" applyNumberFormat="1" applyFont="1" applyFill="1" applyBorder="1" applyAlignment="1">
      <alignment horizontal="center"/>
    </xf>
    <xf numFmtId="0" fontId="1" fillId="0" borderId="0" xfId="0" applyFont="1" applyAlignment="1">
      <alignment horizontal="center"/>
    </xf>
    <xf numFmtId="0" fontId="8" fillId="2" borderId="0" xfId="0" applyFont="1" applyFill="1" applyBorder="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3" borderId="0" xfId="0" applyFont="1" applyFill="1" applyBorder="1" applyAlignment="1">
      <alignment horizontal="center"/>
    </xf>
    <xf numFmtId="2" fontId="1" fillId="3" borderId="0" xfId="0" applyNumberFormat="1"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0" fontId="1" fillId="3" borderId="0" xfId="0" applyFont="1" applyFill="1" applyBorder="1" applyAlignment="1">
      <alignment horizontal="center"/>
    </xf>
    <xf numFmtId="0" fontId="1" fillId="0" borderId="0" xfId="0" applyFont="1" applyBorder="1" applyAlignment="1">
      <alignment horizontal="center"/>
    </xf>
    <xf numFmtId="2" fontId="13" fillId="0" borderId="0" xfId="0" applyNumberFormat="1" applyFont="1" applyAlignment="1">
      <alignment horizontal="right"/>
    </xf>
    <xf numFmtId="14" fontId="1" fillId="2"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0" fontId="1" fillId="0" borderId="0" xfId="0" applyFont="1" applyBorder="1" applyAlignment="1">
      <alignment horizontal="center"/>
    </xf>
    <xf numFmtId="2" fontId="1" fillId="0" borderId="0" xfId="0" applyNumberFormat="1" applyFont="1" applyAlignment="1">
      <alignment horizontal="right"/>
    </xf>
    <xf numFmtId="2" fontId="1" fillId="0" borderId="0" xfId="0" applyNumberFormat="1" applyFont="1" applyAlignment="1"/>
    <xf numFmtId="2" fontId="14" fillId="0" borderId="0" xfId="0" applyNumberFormat="1" applyFont="1" applyAlignment="1">
      <alignment horizontal="right"/>
    </xf>
    <xf numFmtId="0" fontId="1" fillId="0" borderId="0" xfId="0" applyFont="1" applyAlignment="1">
      <alignment horizontal="center"/>
    </xf>
    <xf numFmtId="0" fontId="8" fillId="2" borderId="0" xfId="0" applyFont="1" applyFill="1" applyBorder="1" applyAlignment="1">
      <alignment horizontal="left" vertical="center"/>
    </xf>
    <xf numFmtId="2" fontId="1" fillId="0" borderId="0" xfId="0" applyNumberFormat="1" applyFont="1" applyBorder="1" applyAlignment="1"/>
    <xf numFmtId="2" fontId="13" fillId="0" borderId="0" xfId="0" applyNumberFormat="1" applyFont="1" applyBorder="1" applyAlignment="1">
      <alignment horizontal="right"/>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0" xfId="0" applyNumberFormat="1" applyFont="1" applyAlignment="1">
      <alignment horizontal="right"/>
    </xf>
    <xf numFmtId="0" fontId="1" fillId="0" borderId="0" xfId="0" applyFont="1" applyAlignment="1">
      <alignment horizontal="center"/>
    </xf>
    <xf numFmtId="0" fontId="1" fillId="6" borderId="0" xfId="0" applyFont="1" applyFill="1" applyAlignment="1">
      <alignment horizontal="center"/>
    </xf>
    <xf numFmtId="2" fontId="13" fillId="0" borderId="0" xfId="0" applyNumberFormat="1" applyFont="1" applyAlignment="1">
      <alignment horizontal="right"/>
    </xf>
    <xf numFmtId="2" fontId="13" fillId="0" borderId="0" xfId="0" applyNumberFormat="1" applyFont="1" applyBorder="1" applyAlignment="1">
      <alignment horizontal="right"/>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0" borderId="0" xfId="0" applyFont="1" applyAlignment="1">
      <alignment horizontal="center"/>
    </xf>
    <xf numFmtId="0" fontId="1" fillId="3" borderId="0" xfId="0" applyFont="1" applyFill="1" applyBorder="1" applyAlignment="1">
      <alignment horizontal="center"/>
    </xf>
    <xf numFmtId="2" fontId="13" fillId="0" borderId="0" xfId="0" applyNumberFormat="1" applyFont="1" applyBorder="1" applyAlignment="1">
      <alignment horizontal="right"/>
    </xf>
    <xf numFmtId="2" fontId="1" fillId="0" borderId="0" xfId="0" applyNumberFormat="1" applyFont="1" applyBorder="1" applyAlignment="1">
      <alignment horizontal="right"/>
    </xf>
    <xf numFmtId="0" fontId="1" fillId="2" borderId="0" xfId="0" applyFont="1" applyFill="1" applyBorder="1" applyAlignment="1">
      <alignment horizontal="center"/>
    </xf>
    <xf numFmtId="0" fontId="1" fillId="3" borderId="0" xfId="0" applyFont="1" applyFill="1" applyBorder="1" applyAlignment="1">
      <alignment horizontal="center"/>
    </xf>
    <xf numFmtId="2" fontId="1" fillId="0" borderId="0" xfId="0" applyNumberFormat="1" applyFont="1" applyAlignment="1">
      <alignment horizontal="right"/>
    </xf>
    <xf numFmtId="0" fontId="1" fillId="2" borderId="0" xfId="0" applyFont="1" applyFill="1" applyBorder="1" applyAlignment="1">
      <alignment horizontal="center"/>
    </xf>
    <xf numFmtId="2" fontId="13" fillId="0" borderId="0" xfId="0" applyNumberFormat="1" applyFont="1" applyBorder="1" applyAlignment="1">
      <alignment horizontal="right"/>
    </xf>
    <xf numFmtId="0" fontId="1" fillId="2" borderId="0" xfId="0" applyFont="1" applyFill="1" applyBorder="1" applyAlignment="1">
      <alignment horizontal="center"/>
    </xf>
    <xf numFmtId="2" fontId="1" fillId="0" borderId="0" xfId="0" applyNumberFormat="1" applyFont="1" applyAlignment="1">
      <alignment horizontal="right"/>
    </xf>
    <xf numFmtId="2" fontId="13" fillId="0" borderId="0" xfId="0" applyNumberFormat="1" applyFont="1" applyBorder="1" applyAlignment="1">
      <alignment horizontal="right"/>
    </xf>
    <xf numFmtId="2" fontId="1" fillId="0" borderId="0" xfId="0" applyNumberFormat="1" applyFont="1" applyBorder="1" applyAlignment="1">
      <alignment horizontal="right"/>
    </xf>
    <xf numFmtId="0" fontId="1" fillId="3" borderId="0" xfId="0" applyFont="1" applyFill="1" applyBorder="1" applyAlignment="1">
      <alignment horizontal="center"/>
    </xf>
    <xf numFmtId="165" fontId="16" fillId="2" borderId="0" xfId="0" applyNumberFormat="1" applyFont="1" applyFill="1" applyAlignment="1">
      <alignment horizontal="center"/>
    </xf>
    <xf numFmtId="165" fontId="1" fillId="3" borderId="0" xfId="0" applyNumberFormat="1" applyFont="1" applyFill="1" applyBorder="1" applyAlignment="1">
      <alignment horizontal="right"/>
    </xf>
    <xf numFmtId="165" fontId="1" fillId="2" borderId="0" xfId="0" applyNumberFormat="1" applyFont="1" applyFill="1" applyBorder="1" applyAlignment="1">
      <alignment horizontal="right"/>
    </xf>
    <xf numFmtId="165" fontId="15" fillId="2" borderId="0" xfId="0" applyNumberFormat="1" applyFont="1" applyFill="1" applyBorder="1" applyAlignment="1">
      <alignment horizontal="right"/>
    </xf>
    <xf numFmtId="165" fontId="1" fillId="3" borderId="2" xfId="0" applyNumberFormat="1" applyFont="1" applyFill="1" applyBorder="1" applyAlignment="1">
      <alignment horizontal="right"/>
    </xf>
    <xf numFmtId="165" fontId="1" fillId="2" borderId="0" xfId="0" applyNumberFormat="1" applyFont="1" applyFill="1" applyBorder="1" applyAlignment="1"/>
    <xf numFmtId="165" fontId="1" fillId="3" borderId="0" xfId="0" applyNumberFormat="1" applyFont="1" applyFill="1" applyBorder="1" applyAlignment="1">
      <alignment horizontal="center"/>
    </xf>
    <xf numFmtId="165" fontId="15" fillId="3" borderId="0" xfId="0" applyNumberFormat="1" applyFont="1" applyFill="1" applyBorder="1" applyAlignment="1">
      <alignment horizontal="right"/>
    </xf>
    <xf numFmtId="165" fontId="1" fillId="3" borderId="6" xfId="0" applyNumberFormat="1" applyFont="1" applyFill="1" applyBorder="1" applyAlignment="1">
      <alignment horizontal="center"/>
    </xf>
    <xf numFmtId="165" fontId="1" fillId="2" borderId="6" xfId="0" applyNumberFormat="1" applyFont="1" applyFill="1" applyBorder="1" applyAlignment="1">
      <alignment horizontal="center"/>
    </xf>
    <xf numFmtId="165" fontId="1" fillId="3" borderId="13" xfId="0" applyNumberFormat="1" applyFont="1" applyFill="1" applyBorder="1" applyAlignment="1">
      <alignment horizontal="center"/>
    </xf>
    <xf numFmtId="165" fontId="1" fillId="3" borderId="5" xfId="0" applyNumberFormat="1" applyFont="1" applyFill="1" applyBorder="1" applyAlignment="1">
      <alignment horizontal="center"/>
    </xf>
    <xf numFmtId="165" fontId="17" fillId="4" borderId="0" xfId="0" applyNumberFormat="1" applyFont="1" applyFill="1" applyBorder="1" applyAlignment="1">
      <alignment horizontal="right"/>
    </xf>
    <xf numFmtId="165" fontId="17" fillId="2" borderId="0" xfId="0" applyNumberFormat="1" applyFont="1" applyFill="1" applyBorder="1" applyAlignment="1">
      <alignment horizontal="right"/>
    </xf>
    <xf numFmtId="165" fontId="17" fillId="3" borderId="0" xfId="0" applyNumberFormat="1" applyFont="1" applyFill="1" applyBorder="1" applyAlignment="1">
      <alignment horizontal="right"/>
    </xf>
    <xf numFmtId="165" fontId="1" fillId="2" borderId="11" xfId="0" applyNumberFormat="1" applyFont="1" applyFill="1" applyBorder="1" applyAlignment="1">
      <alignment horizontal="center"/>
    </xf>
    <xf numFmtId="165" fontId="1" fillId="3" borderId="2" xfId="0" applyNumberFormat="1" applyFont="1" applyFill="1" applyBorder="1" applyAlignment="1">
      <alignment horizontal="center"/>
    </xf>
    <xf numFmtId="165" fontId="1" fillId="2" borderId="0" xfId="0" applyNumberFormat="1" applyFont="1" applyFill="1" applyAlignment="1">
      <alignment horizontal="right"/>
    </xf>
    <xf numFmtId="165" fontId="1" fillId="3" borderId="0" xfId="0" applyNumberFormat="1" applyFont="1" applyFill="1" applyAlignment="1">
      <alignment horizontal="right"/>
    </xf>
    <xf numFmtId="165" fontId="1" fillId="3" borderId="0" xfId="0" applyNumberFormat="1" applyFont="1" applyFill="1" applyAlignment="1"/>
    <xf numFmtId="165" fontId="1" fillId="3" borderId="0" xfId="0" applyNumberFormat="1" applyFont="1" applyFill="1" applyAlignment="1">
      <alignment horizontal="center"/>
    </xf>
    <xf numFmtId="165" fontId="1" fillId="2" borderId="0" xfId="0" applyNumberFormat="1" applyFont="1" applyFill="1" applyAlignment="1">
      <alignment horizontal="center"/>
    </xf>
    <xf numFmtId="165" fontId="1" fillId="2" borderId="0" xfId="0" applyNumberFormat="1" applyFont="1" applyFill="1" applyBorder="1" applyAlignment="1">
      <alignment horizontal="center"/>
    </xf>
    <xf numFmtId="165" fontId="17" fillId="4" borderId="0" xfId="0" applyNumberFormat="1" applyFont="1" applyFill="1" applyBorder="1" applyAlignment="1">
      <alignment horizontal="center"/>
    </xf>
    <xf numFmtId="165" fontId="17" fillId="4" borderId="11" xfId="0" applyNumberFormat="1" applyFont="1" applyFill="1" applyBorder="1" applyAlignment="1">
      <alignment horizontal="center"/>
    </xf>
    <xf numFmtId="165" fontId="1" fillId="3" borderId="11" xfId="0" applyNumberFormat="1" applyFont="1" applyFill="1" applyBorder="1" applyAlignment="1">
      <alignment horizontal="center"/>
    </xf>
    <xf numFmtId="165" fontId="1" fillId="3" borderId="19" xfId="0" applyNumberFormat="1" applyFont="1" applyFill="1" applyBorder="1" applyAlignment="1">
      <alignment horizontal="center"/>
    </xf>
    <xf numFmtId="165" fontId="17" fillId="2" borderId="0" xfId="0" applyNumberFormat="1" applyFont="1" applyFill="1" applyBorder="1" applyAlignment="1">
      <alignment horizontal="center"/>
    </xf>
    <xf numFmtId="165" fontId="17" fillId="3" borderId="0" xfId="0" applyNumberFormat="1" applyFont="1" applyFill="1" applyBorder="1" applyAlignment="1">
      <alignment horizontal="center"/>
    </xf>
    <xf numFmtId="165" fontId="1" fillId="2" borderId="2" xfId="0" applyNumberFormat="1" applyFont="1" applyFill="1" applyBorder="1" applyAlignment="1">
      <alignment horizontal="center"/>
    </xf>
    <xf numFmtId="165" fontId="15" fillId="2" borderId="0" xfId="0" applyNumberFormat="1" applyFont="1" applyFill="1" applyBorder="1" applyAlignment="1">
      <alignment horizontal="center"/>
    </xf>
    <xf numFmtId="165" fontId="1" fillId="2" borderId="13" xfId="0" applyNumberFormat="1" applyFont="1" applyFill="1" applyBorder="1" applyAlignment="1">
      <alignment horizontal="center"/>
    </xf>
    <xf numFmtId="165" fontId="15" fillId="3" borderId="0" xfId="0" applyNumberFormat="1" applyFont="1" applyFill="1" applyAlignment="1">
      <alignment horizontal="center"/>
    </xf>
    <xf numFmtId="165" fontId="16" fillId="3" borderId="0" xfId="0" applyNumberFormat="1" applyFont="1" applyFill="1" applyAlignment="1">
      <alignment horizontal="center"/>
    </xf>
    <xf numFmtId="165" fontId="15" fillId="2" borderId="0" xfId="0" applyNumberFormat="1" applyFont="1" applyFill="1" applyAlignment="1">
      <alignment horizontal="center"/>
    </xf>
    <xf numFmtId="165" fontId="15" fillId="3" borderId="0" xfId="0" applyNumberFormat="1" applyFont="1" applyFill="1" applyBorder="1" applyAlignment="1">
      <alignment horizontal="center"/>
    </xf>
    <xf numFmtId="165" fontId="18" fillId="2" borderId="0" xfId="0" applyNumberFormat="1" applyFont="1" applyFill="1" applyBorder="1" applyAlignment="1">
      <alignment horizontal="center"/>
    </xf>
    <xf numFmtId="165" fontId="16" fillId="3" borderId="0" xfId="0" applyNumberFormat="1" applyFont="1" applyFill="1" applyBorder="1" applyAlignment="1">
      <alignment horizontal="center"/>
    </xf>
    <xf numFmtId="165" fontId="17" fillId="2" borderId="0" xfId="0" applyNumberFormat="1" applyFont="1" applyFill="1" applyAlignment="1">
      <alignment horizontal="center"/>
    </xf>
    <xf numFmtId="165" fontId="17" fillId="3" borderId="0" xfId="0" applyNumberFormat="1" applyFont="1" applyFill="1" applyAlignment="1">
      <alignment horizontal="center"/>
    </xf>
    <xf numFmtId="165" fontId="17" fillId="4" borderId="6" xfId="0" applyNumberFormat="1" applyFont="1" applyFill="1" applyBorder="1" applyAlignment="1">
      <alignment horizontal="center"/>
    </xf>
    <xf numFmtId="165" fontId="15" fillId="2" borderId="2" xfId="0" applyNumberFormat="1" applyFont="1" applyFill="1" applyBorder="1" applyAlignment="1">
      <alignment horizontal="center"/>
    </xf>
    <xf numFmtId="165" fontId="18" fillId="3" borderId="0" xfId="0" applyNumberFormat="1" applyFont="1" applyFill="1" applyBorder="1" applyAlignment="1">
      <alignment horizontal="center"/>
    </xf>
    <xf numFmtId="165" fontId="15" fillId="0" borderId="0" xfId="0" applyNumberFormat="1" applyFont="1" applyFill="1" applyBorder="1" applyAlignment="1">
      <alignment horizontal="center"/>
    </xf>
    <xf numFmtId="165" fontId="1" fillId="2" borderId="4" xfId="0" applyNumberFormat="1" applyFont="1" applyFill="1" applyBorder="1" applyAlignment="1">
      <alignment horizontal="center"/>
    </xf>
    <xf numFmtId="165" fontId="1" fillId="2" borderId="16" xfId="0" applyNumberFormat="1" applyFont="1" applyFill="1" applyBorder="1" applyAlignment="1">
      <alignment horizontal="center"/>
    </xf>
    <xf numFmtId="165" fontId="1" fillId="2" borderId="0" xfId="0" applyNumberFormat="1" applyFont="1" applyFill="1" applyAlignment="1">
      <alignment horizontal="center" vertical="center"/>
    </xf>
    <xf numFmtId="165" fontId="17" fillId="2" borderId="0" xfId="0" applyNumberFormat="1" applyFont="1" applyFill="1" applyAlignment="1">
      <alignment horizontal="center" vertical="center"/>
    </xf>
    <xf numFmtId="165" fontId="16" fillId="2" borderId="0" xfId="0" applyNumberFormat="1" applyFont="1" applyFill="1" applyAlignment="1">
      <alignment horizontal="center" vertical="center"/>
    </xf>
    <xf numFmtId="165" fontId="1" fillId="2" borderId="0" xfId="0" quotePrefix="1" applyNumberFormat="1" applyFont="1" applyFill="1" applyBorder="1" applyAlignment="1">
      <alignment horizontal="center"/>
    </xf>
    <xf numFmtId="165" fontId="18" fillId="2" borderId="0" xfId="0" applyNumberFormat="1" applyFont="1" applyFill="1" applyAlignment="1">
      <alignment horizontal="center"/>
    </xf>
    <xf numFmtId="165" fontId="18" fillId="3" borderId="0" xfId="0" applyNumberFormat="1" applyFont="1" applyFill="1" applyAlignment="1">
      <alignment horizontal="center"/>
    </xf>
    <xf numFmtId="165" fontId="15" fillId="2" borderId="5" xfId="0" applyNumberFormat="1" applyFont="1" applyFill="1" applyBorder="1" applyAlignment="1">
      <alignment horizontal="center"/>
    </xf>
    <xf numFmtId="0" fontId="1" fillId="2" borderId="0" xfId="0" applyFont="1" applyFill="1" applyBorder="1" applyAlignment="1">
      <alignment horizontal="center"/>
    </xf>
    <xf numFmtId="0" fontId="1" fillId="3" borderId="0" xfId="0" applyFont="1" applyFill="1" applyBorder="1" applyAlignment="1">
      <alignment horizontal="center"/>
    </xf>
    <xf numFmtId="0" fontId="1" fillId="0" borderId="0" xfId="0" applyFont="1" applyAlignment="1">
      <alignment horizontal="center"/>
    </xf>
    <xf numFmtId="2" fontId="1" fillId="0" borderId="0" xfId="0" applyNumberFormat="1" applyFont="1" applyBorder="1" applyAlignment="1"/>
    <xf numFmtId="2" fontId="13" fillId="0" borderId="0" xfId="0" applyNumberFormat="1" applyFont="1" applyAlignment="1">
      <alignment horizontal="right"/>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5" xfId="0" applyFont="1" applyFill="1" applyBorder="1" applyAlignment="1">
      <alignment horizontal="center" vertical="center"/>
    </xf>
    <xf numFmtId="2" fontId="1" fillId="0" borderId="2" xfId="0" applyNumberFormat="1" applyFont="1" applyBorder="1" applyAlignment="1"/>
    <xf numFmtId="2" fontId="13" fillId="0" borderId="2" xfId="0" applyNumberFormat="1" applyFont="1" applyBorder="1" applyAlignment="1">
      <alignment horizontal="right"/>
    </xf>
    <xf numFmtId="2" fontId="1" fillId="0" borderId="4" xfId="0" applyNumberFormat="1" applyFont="1" applyBorder="1" applyAlignment="1"/>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applyAlignment="1"/>
    <xf numFmtId="2" fontId="13" fillId="4" borderId="4" xfId="0" applyNumberFormat="1" applyFont="1" applyFill="1" applyBorder="1" applyAlignment="1">
      <alignment horizontal="right"/>
    </xf>
    <xf numFmtId="2" fontId="1" fillId="0" borderId="2" xfId="0" applyNumberFormat="1" applyFont="1" applyBorder="1" applyAlignment="1">
      <alignment horizontal="center"/>
    </xf>
    <xf numFmtId="14" fontId="1" fillId="2" borderId="0" xfId="0" applyNumberFormat="1" applyFont="1" applyFill="1" applyBorder="1" applyAlignment="1">
      <alignment horizontal="center"/>
    </xf>
    <xf numFmtId="0" fontId="1" fillId="5" borderId="2" xfId="0" applyFont="1" applyFill="1" applyBorder="1" applyAlignment="1">
      <alignment horizontal="center" vertical="center"/>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0" xfId="0" applyFont="1" applyFill="1" applyBorder="1" applyAlignment="1">
      <alignment horizontal="center" vertical="center"/>
    </xf>
    <xf numFmtId="0" fontId="1" fillId="5" borderId="14"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14" fontId="1" fillId="3" borderId="0" xfId="0" applyNumberFormat="1" applyFont="1" applyFill="1" applyBorder="1" applyAlignment="1">
      <alignment horizontal="center"/>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Border="1" applyAlignment="1">
      <alignment horizontal="center"/>
    </xf>
    <xf numFmtId="14" fontId="1" fillId="3" borderId="2" xfId="0" applyNumberFormat="1" applyFont="1" applyFill="1" applyBorder="1" applyAlignment="1">
      <alignment horizontal="center"/>
    </xf>
    <xf numFmtId="2" fontId="1" fillId="3" borderId="0" xfId="0" applyNumberFormat="1" applyFont="1" applyFill="1" applyBorder="1" applyAlignment="1">
      <alignment horizontal="center"/>
    </xf>
    <xf numFmtId="2" fontId="1" fillId="2" borderId="0" xfId="0" applyNumberFormat="1" applyFont="1" applyFill="1" applyBorder="1" applyAlignment="1">
      <alignment horizontal="center"/>
    </xf>
    <xf numFmtId="0" fontId="1" fillId="3" borderId="0" xfId="0" applyFont="1" applyFill="1" applyBorder="1" applyAlignment="1">
      <alignment horizontal="center"/>
    </xf>
    <xf numFmtId="0" fontId="1" fillId="2" borderId="0" xfId="0" applyFont="1" applyFill="1" applyBorder="1" applyAlignment="1">
      <alignment horizontal="center"/>
    </xf>
    <xf numFmtId="2" fontId="1" fillId="0" borderId="0" xfId="0" applyNumberFormat="1" applyFont="1" applyBorder="1" applyAlignment="1">
      <alignment horizontal="right"/>
    </xf>
    <xf numFmtId="2" fontId="13" fillId="0" borderId="0" xfId="0" applyNumberFormat="1" applyFont="1" applyBorder="1" applyAlignment="1">
      <alignment horizontal="right"/>
    </xf>
    <xf numFmtId="2" fontId="1" fillId="0" borderId="2" xfId="0" applyNumberFormat="1" applyFont="1" applyBorder="1" applyAlignment="1">
      <alignment horizontal="right"/>
    </xf>
    <xf numFmtId="0" fontId="1" fillId="2" borderId="0" xfId="0" applyFont="1" applyFill="1" applyAlignment="1">
      <alignment horizontal="center"/>
    </xf>
    <xf numFmtId="0" fontId="1" fillId="3" borderId="0" xfId="0" applyFont="1" applyFill="1" applyAlignment="1">
      <alignment horizontal="center"/>
    </xf>
    <xf numFmtId="0" fontId="1" fillId="3" borderId="2" xfId="0" applyFont="1" applyFill="1" applyBorder="1" applyAlignment="1">
      <alignment horizontal="center"/>
    </xf>
    <xf numFmtId="0" fontId="1" fillId="0" borderId="0" xfId="0" applyFont="1" applyBorder="1" applyAlignment="1">
      <alignment horizontal="center"/>
    </xf>
    <xf numFmtId="0" fontId="17" fillId="4" borderId="0" xfId="0" applyFont="1" applyFill="1" applyBorder="1" applyAlignment="1">
      <alignment horizontal="center"/>
    </xf>
    <xf numFmtId="2" fontId="14" fillId="4" borderId="4" xfId="0" applyNumberFormat="1" applyFont="1" applyFill="1" applyBorder="1" applyAlignment="1">
      <alignment horizontal="right"/>
    </xf>
    <xf numFmtId="2" fontId="17" fillId="4" borderId="4" xfId="0" applyNumberFormat="1" applyFont="1" applyFill="1" applyBorder="1" applyAlignment="1">
      <alignment horizontal="right"/>
    </xf>
    <xf numFmtId="2" fontId="1" fillId="0" borderId="0" xfId="0" applyNumberFormat="1" applyFont="1" applyAlignment="1">
      <alignment horizontal="right"/>
    </xf>
    <xf numFmtId="2" fontId="1" fillId="0" borderId="0" xfId="0" applyNumberFormat="1" applyFont="1" applyAlignment="1"/>
    <xf numFmtId="2" fontId="13" fillId="0" borderId="0" xfId="0" applyNumberFormat="1" applyFont="1" applyFill="1" applyBorder="1" applyAlignment="1">
      <alignment horizontal="right"/>
    </xf>
    <xf numFmtId="2" fontId="1" fillId="0" borderId="0" xfId="0" applyNumberFormat="1" applyFont="1" applyFill="1" applyAlignment="1">
      <alignment horizontal="right"/>
    </xf>
    <xf numFmtId="14" fontId="1" fillId="2" borderId="2" xfId="0" applyNumberFormat="1"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0" fontId="8" fillId="2" borderId="4" xfId="0" applyFont="1" applyFill="1" applyBorder="1" applyAlignment="1">
      <alignment horizontal="center"/>
    </xf>
    <xf numFmtId="2" fontId="17" fillId="4" borderId="0" xfId="0" applyNumberFormat="1" applyFont="1" applyFill="1" applyBorder="1" applyAlignment="1"/>
    <xf numFmtId="2" fontId="14" fillId="4" borderId="0" xfId="0" applyNumberFormat="1" applyFont="1" applyFill="1" applyBorder="1" applyAlignment="1">
      <alignment horizontal="right"/>
    </xf>
    <xf numFmtId="2" fontId="1" fillId="0" borderId="0" xfId="0" applyNumberFormat="1" applyFont="1" applyFill="1" applyBorder="1" applyAlignment="1"/>
    <xf numFmtId="2" fontId="14" fillId="0" borderId="0" xfId="0" applyNumberFormat="1" applyFont="1" applyAlignment="1">
      <alignment horizontal="right"/>
    </xf>
    <xf numFmtId="0" fontId="8" fillId="3" borderId="7" xfId="0" applyFont="1" applyFill="1" applyBorder="1" applyAlignment="1">
      <alignment horizontal="left"/>
    </xf>
    <xf numFmtId="0" fontId="8" fillId="3" borderId="0" xfId="0" applyFont="1" applyFill="1" applyBorder="1" applyAlignment="1">
      <alignment horizontal="left"/>
    </xf>
    <xf numFmtId="0" fontId="8" fillId="3" borderId="3" xfId="0" applyFont="1" applyFill="1" applyBorder="1" applyAlignment="1">
      <alignment horizontal="left"/>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14" fontId="8" fillId="2" borderId="0" xfId="0" applyNumberFormat="1" applyFont="1" applyFill="1" applyBorder="1" applyAlignment="1">
      <alignment horizontal="center" vertical="center"/>
    </xf>
    <xf numFmtId="2" fontId="14" fillId="4" borderId="0" xfId="0" applyNumberFormat="1" applyFont="1" applyFill="1" applyAlignment="1">
      <alignment horizontal="right"/>
    </xf>
    <xf numFmtId="0" fontId="13" fillId="0" borderId="0" xfId="0" applyFont="1" applyBorder="1" applyAlignment="1">
      <alignment horizontal="right"/>
    </xf>
    <xf numFmtId="0" fontId="13" fillId="0" borderId="2" xfId="0" applyFont="1" applyBorder="1" applyAlignment="1">
      <alignment horizontal="right"/>
    </xf>
    <xf numFmtId="0" fontId="14" fillId="4" borderId="4" xfId="0" applyFont="1" applyFill="1" applyBorder="1" applyAlignment="1">
      <alignment horizontal="right"/>
    </xf>
    <xf numFmtId="16" fontId="1" fillId="2" borderId="0" xfId="0" applyNumberFormat="1" applyFont="1" applyFill="1" applyBorder="1" applyAlignment="1">
      <alignment horizontal="center"/>
    </xf>
    <xf numFmtId="2" fontId="1" fillId="0" borderId="0" xfId="0" applyNumberFormat="1" applyFont="1" applyFill="1" applyAlignment="1"/>
    <xf numFmtId="2" fontId="13" fillId="0" borderId="0" xfId="0" applyNumberFormat="1" applyFont="1" applyFill="1" applyAlignment="1">
      <alignment horizontal="right"/>
    </xf>
    <xf numFmtId="2" fontId="15" fillId="0" borderId="0" xfId="0" applyNumberFormat="1" applyFont="1" applyAlignment="1">
      <alignment horizontal="right"/>
    </xf>
    <xf numFmtId="2" fontId="15" fillId="0" borderId="0" xfId="0" applyNumberFormat="1" applyFont="1" applyBorder="1" applyAlignment="1">
      <alignment horizontal="right"/>
    </xf>
    <xf numFmtId="0" fontId="1" fillId="0" borderId="0" xfId="0" applyFont="1" applyAlignment="1">
      <alignment horizontal="center"/>
    </xf>
    <xf numFmtId="0" fontId="8" fillId="3" borderId="0" xfId="0" applyFont="1" applyFill="1" applyBorder="1" applyAlignment="1">
      <alignment horizontal="center"/>
    </xf>
    <xf numFmtId="0" fontId="1" fillId="2" borderId="2" xfId="0" applyFont="1" applyFill="1" applyBorder="1" applyAlignment="1">
      <alignment horizontal="center"/>
    </xf>
    <xf numFmtId="16" fontId="1" fillId="3" borderId="0" xfId="0" applyNumberFormat="1" applyFont="1" applyFill="1" applyBorder="1" applyAlignment="1">
      <alignment horizontal="center"/>
    </xf>
    <xf numFmtId="0" fontId="1" fillId="3" borderId="0" xfId="0" applyFont="1" applyFill="1" applyBorder="1" applyAlignment="1">
      <alignment horizontal="center" wrapText="1"/>
    </xf>
    <xf numFmtId="0" fontId="1" fillId="2" borderId="4" xfId="0" applyFont="1" applyFill="1" applyBorder="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Border="1" applyAlignment="1">
      <alignment horizontal="left"/>
    </xf>
    <xf numFmtId="0" fontId="8" fillId="2" borderId="3" xfId="0" applyFont="1" applyFill="1" applyBorder="1" applyAlignment="1">
      <alignment horizontal="left"/>
    </xf>
    <xf numFmtId="2" fontId="1" fillId="0" borderId="4" xfId="0" applyNumberFormat="1" applyFont="1" applyFill="1" applyBorder="1" applyAlignment="1">
      <alignment horizontal="right"/>
    </xf>
    <xf numFmtId="2" fontId="13" fillId="0" borderId="4" xfId="0" applyNumberFormat="1" applyFont="1" applyFill="1" applyBorder="1" applyAlignment="1">
      <alignment horizontal="right"/>
    </xf>
    <xf numFmtId="2" fontId="1" fillId="0" borderId="0" xfId="0" applyNumberFormat="1" applyFont="1" applyFill="1" applyBorder="1" applyAlignment="1">
      <alignment horizontal="right"/>
    </xf>
    <xf numFmtId="0" fontId="8" fillId="2" borderId="0" xfId="0" applyFont="1" applyFill="1" applyBorder="1" applyAlignment="1">
      <alignment horizontal="center"/>
    </xf>
    <xf numFmtId="49" fontId="1" fillId="3" borderId="0" xfId="0" applyNumberFormat="1" applyFont="1" applyFill="1" applyBorder="1" applyAlignment="1">
      <alignment horizontal="center"/>
    </xf>
    <xf numFmtId="49" fontId="1" fillId="2" borderId="0" xfId="0" applyNumberFormat="1" applyFont="1" applyFill="1" applyBorder="1" applyAlignment="1">
      <alignment horizontal="center"/>
    </xf>
    <xf numFmtId="0" fontId="1" fillId="6" borderId="0" xfId="0" applyFont="1" applyFill="1" applyAlignment="1">
      <alignment horizontal="center"/>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cellXfs>
  <cellStyles count="7">
    <cellStyle name="Normal" xfId="0" builtinId="0"/>
    <cellStyle name="Prozent 2" xfId="1" xr:uid="{00000000-0005-0000-0000-000000000000}"/>
    <cellStyle name="Standard 2" xfId="2" xr:uid="{00000000-0005-0000-0000-000002000000}"/>
    <cellStyle name="Standard 2 2" xfId="3" xr:uid="{00000000-0005-0000-0000-000003000000}"/>
    <cellStyle name="Standard 2 3" xfId="4" xr:uid="{00000000-0005-0000-0000-000004000000}"/>
    <cellStyle name="Standard 3" xfId="5" xr:uid="{00000000-0005-0000-0000-000005000000}"/>
    <cellStyle name="Standard 4"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95249</xdr:rowOff>
    </xdr:from>
    <xdr:to>
      <xdr:col>42</xdr:col>
      <xdr:colOff>119138</xdr:colOff>
      <xdr:row>39</xdr:row>
      <xdr:rowOff>103187</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a:xfrm>
          <a:off x="12890576" y="1412874"/>
          <a:ext cx="3429000" cy="3230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p>
        <a:p>
          <a:r>
            <a:rPr lang="de-DE" sz="800" b="1" baseline="0">
              <a:latin typeface="Arial" panose="020B0604020202020204" pitchFamily="34" charset="0"/>
              <a:cs typeface="Arial" panose="020B0604020202020204" pitchFamily="34" charset="0"/>
            </a:rPr>
            <a:t>OP: </a:t>
          </a:r>
          <a:r>
            <a:rPr lang="de-DE" sz="800" b="0" baseline="0">
              <a:latin typeface="Arial" panose="020B0604020202020204" pitchFamily="34" charset="0"/>
              <a:cs typeface="Arial" panose="020B0604020202020204" pitchFamily="34" charset="0"/>
            </a:rPr>
            <a:t>United Patriots</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a:extLst>
            <a:ext uri="{FF2B5EF4-FFF2-40B4-BE49-F238E27FC236}">
              <a16:creationId xmlns:a16="http://schemas.microsoft.com/office/drawing/2014/main" id="{00000000-0008-0000-0400-000003000000}"/>
            </a:ext>
          </a:extLst>
        </xdr:cNvPr>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a:extLst>
            <a:ext uri="{FF2B5EF4-FFF2-40B4-BE49-F238E27FC236}">
              <a16:creationId xmlns:a16="http://schemas.microsoft.com/office/drawing/2014/main" id="{00000000-0008-0000-0500-000002000000}"/>
            </a:ext>
          </a:extLst>
        </xdr:cNvPr>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15874</xdr:rowOff>
    </xdr:from>
    <xdr:to>
      <xdr:col>38</xdr:col>
      <xdr:colOff>182563</xdr:colOff>
      <xdr:row>24</xdr:row>
      <xdr:rowOff>55562</xdr:rowOff>
    </xdr:to>
    <xdr:sp macro="" textlink="">
      <xdr:nvSpPr>
        <xdr:cNvPr id="2" name="Textfeld 1">
          <a:extLst>
            <a:ext uri="{FF2B5EF4-FFF2-40B4-BE49-F238E27FC236}">
              <a16:creationId xmlns:a16="http://schemas.microsoft.com/office/drawing/2014/main" id="{00000000-0008-0000-0600-000002000000}"/>
            </a:ext>
          </a:extLst>
        </xdr:cNvPr>
        <xdr:cNvSpPr txBox="1"/>
      </xdr:nvSpPr>
      <xdr:spPr>
        <a:xfrm>
          <a:off x="11430001" y="1666874"/>
          <a:ext cx="3429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 (</a:t>
          </a:r>
          <a:r>
            <a:rPr lang="de-CH" sz="800" b="0" i="1" baseline="0">
              <a:latin typeface="Arial" panose="020B0604020202020204" pitchFamily="34" charset="0"/>
              <a:cs typeface="Arial" panose="020B0604020202020204" pitchFamily="34" charset="0"/>
            </a:rPr>
            <a:t>2016: Although EVROKO never formally declared its departure from government, since March 2016 it does not consider itself as part of the government any longer. The EVROKO minister stayed on declaring himself above party politics</a:t>
          </a:r>
          <a:r>
            <a:rPr lang="de-CH" sz="800" b="0" baseline="0">
              <a:latin typeface="Arial" panose="020B0604020202020204" pitchFamily="34" charset="0"/>
              <a:cs typeface="Arial" panose="020B0604020202020204" pitchFamily="34" charset="0"/>
            </a:rPr>
            <a:t>) </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a:extLst>
            <a:ext uri="{FF2B5EF4-FFF2-40B4-BE49-F238E27FC236}">
              <a16:creationId xmlns:a16="http://schemas.microsoft.com/office/drawing/2014/main" id="{00000000-0008-0000-0700-000002000000}"/>
            </a:ext>
          </a:extLst>
        </xdr:cNvPr>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a:extLst>
            <a:ext uri="{FF2B5EF4-FFF2-40B4-BE49-F238E27FC236}">
              <a16:creationId xmlns:a16="http://schemas.microsoft.com/office/drawing/2014/main" id="{00000000-0008-0000-0800-000005000000}"/>
            </a:ext>
          </a:extLst>
        </xdr:cNvPr>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a:extLst>
            <a:ext uri="{FF2B5EF4-FFF2-40B4-BE49-F238E27FC236}">
              <a16:creationId xmlns:a16="http://schemas.microsoft.com/office/drawing/2014/main" id="{00000000-0008-0000-0900-000002000000}"/>
            </a:ext>
          </a:extLst>
        </xdr:cNvPr>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 -&gt; 2012: </a:t>
          </a:r>
          <a:r>
            <a:rPr lang="de-DE" sz="800" b="1" baseline="0">
              <a:latin typeface="Arial" panose="020B0604020202020204" pitchFamily="34" charset="0"/>
              <a:cs typeface="Arial" panose="020B0604020202020204" pitchFamily="34" charset="0"/>
            </a:rPr>
            <a:t>EKRE</a:t>
          </a:r>
          <a:r>
            <a:rPr lang="de-DE" sz="800" b="0" baseline="0">
              <a:latin typeface="Arial" panose="020B0604020202020204" pitchFamily="34" charset="0"/>
              <a:cs typeface="Arial" panose="020B0604020202020204" pitchFamily="34" charset="0"/>
            </a:rPr>
            <a:t>: Conservative People's Party</a:t>
          </a:r>
          <a:endParaRPr lang="de-DE" sz="80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a:extLst>
            <a:ext uri="{FF2B5EF4-FFF2-40B4-BE49-F238E27FC236}">
              <a16:creationId xmlns:a16="http://schemas.microsoft.com/office/drawing/2014/main" id="{00000000-0008-0000-0A00-000002000000}"/>
            </a:ext>
          </a:extLst>
        </xdr:cNvPr>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p>
        <a:p>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True Finns (in 2017 the parliamentary fraction splid into Blue Reform Parliamentyry Group (SIN)). </a:t>
          </a:r>
        </a:p>
        <a:p>
          <a:r>
            <a:rPr lang="de-DE" sz="800" b="1" baseline="0">
              <a:latin typeface="Arial" panose="020B0604020202020204" pitchFamily="34" charset="0"/>
              <a:cs typeface="Arial" panose="020B0604020202020204" pitchFamily="34" charset="0"/>
            </a:rPr>
            <a:t>SIN</a:t>
          </a:r>
          <a:r>
            <a:rPr lang="de-DE" sz="800" baseline="0">
              <a:latin typeface="Arial" panose="020B0604020202020204" pitchFamily="34" charset="0"/>
              <a:cs typeface="Arial" panose="020B0604020202020204" pitchFamily="34" charset="0"/>
            </a:rPr>
            <a:t>: Blue Reform (splinter of the True Finns, PS)</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55574</xdr:colOff>
      <xdr:row>12</xdr:row>
      <xdr:rowOff>71438</xdr:rowOff>
    </xdr:from>
    <xdr:to>
      <xdr:col>45</xdr:col>
      <xdr:colOff>63511</xdr:colOff>
      <xdr:row>39</xdr:row>
      <xdr:rowOff>55563</xdr:rowOff>
    </xdr:to>
    <xdr:sp macro="" textlink="">
      <xdr:nvSpPr>
        <xdr:cNvPr id="4" name="Textfeld 3">
          <a:extLst>
            <a:ext uri="{FF2B5EF4-FFF2-40B4-BE49-F238E27FC236}">
              <a16:creationId xmlns:a16="http://schemas.microsoft.com/office/drawing/2014/main" id="{00000000-0008-0000-0B00-000004000000}"/>
            </a:ext>
          </a:extLst>
        </xdr:cNvPr>
        <xdr:cNvSpPr txBox="1"/>
      </xdr:nvSpPr>
      <xdr:spPr>
        <a:xfrm>
          <a:off x="14351012" y="1611313"/>
          <a:ext cx="3055937" cy="298450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LR</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2015): The Republicans</a:t>
          </a:r>
          <a:endPar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MoDem </a:t>
          </a:r>
          <a:r>
            <a:rPr lang="de-DE" sz="800" b="0" baseline="0">
              <a:latin typeface="Arial" panose="020B0604020202020204" pitchFamily="34" charset="0"/>
              <a:cs typeface="Arial" panose="020B0604020202020204" pitchFamily="34" charset="0"/>
            </a:rPr>
            <a:t>(since 20017): Democratic Movement</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r>
            <a:rPr lang="de-DE" sz="800" b="1" baseline="0">
              <a:latin typeface="Arial" panose="020B0604020202020204" pitchFamily="34" charset="0"/>
              <a:cs typeface="Arial" panose="020B0604020202020204" pitchFamily="34" charset="0"/>
            </a:rPr>
            <a:t>LRM</a:t>
          </a:r>
          <a:r>
            <a:rPr lang="de-DE" sz="800" baseline="0">
              <a:latin typeface="Arial" panose="020B0604020202020204" pitchFamily="34" charset="0"/>
              <a:cs typeface="Arial" panose="020B0604020202020204" pitchFamily="34" charset="0"/>
            </a:rPr>
            <a:t>: Forward</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a:extLst>
            <a:ext uri="{FF2B5EF4-FFF2-40B4-BE49-F238E27FC236}">
              <a16:creationId xmlns:a16="http://schemas.microsoft.com/office/drawing/2014/main" id="{00000000-0008-0000-0C00-000002000000}"/>
            </a:ext>
          </a:extLst>
        </xdr:cNvPr>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a:extLst>
            <a:ext uri="{FF2B5EF4-FFF2-40B4-BE49-F238E27FC236}">
              <a16:creationId xmlns:a16="http://schemas.microsoft.com/office/drawing/2014/main" id="{00000000-0008-0000-0D00-000003000000}"/>
            </a:ext>
          </a:extLst>
        </xdr:cNvPr>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a:extLst>
            <a:ext uri="{FF2B5EF4-FFF2-40B4-BE49-F238E27FC236}">
              <a16:creationId xmlns:a16="http://schemas.microsoft.com/office/drawing/2014/main" id="{00000000-0008-0000-0E00-000002000000}"/>
            </a:ext>
          </a:extLst>
        </xdr:cNvPr>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19</xdr:row>
      <xdr:rowOff>55563</xdr:rowOff>
    </xdr:to>
    <xdr:sp macro="" textlink="">
      <xdr:nvSpPr>
        <xdr:cNvPr id="4" name="Textfeld 3">
          <a:extLst>
            <a:ext uri="{FF2B5EF4-FFF2-40B4-BE49-F238E27FC236}">
              <a16:creationId xmlns:a16="http://schemas.microsoft.com/office/drawing/2014/main" id="{00000000-0008-0000-0F00-000004000000}"/>
            </a:ext>
          </a:extLst>
        </xdr:cNvPr>
        <xdr:cNvSpPr txBox="1"/>
      </xdr:nvSpPr>
      <xdr:spPr>
        <a:xfrm>
          <a:off x="11271249" y="1103312"/>
          <a:ext cx="2024063" cy="127000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Reform</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Bright Future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a:extLst>
            <a:ext uri="{FF2B5EF4-FFF2-40B4-BE49-F238E27FC236}">
              <a16:creationId xmlns:a16="http://schemas.microsoft.com/office/drawing/2014/main" id="{00000000-0008-0000-1000-000003000000}"/>
            </a:ext>
          </a:extLst>
        </xdr:cNvPr>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a:extLst>
            <a:ext uri="{FF2B5EF4-FFF2-40B4-BE49-F238E27FC236}">
              <a16:creationId xmlns:a16="http://schemas.microsoft.com/office/drawing/2014/main" id="{00000000-0008-0000-1100-000004000000}"/>
            </a:ext>
          </a:extLst>
        </xdr:cNvPr>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League (former 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M5S: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Five Stars Movement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a:extLst>
            <a:ext uri="{FF2B5EF4-FFF2-40B4-BE49-F238E27FC236}">
              <a16:creationId xmlns:a16="http://schemas.microsoft.com/office/drawing/2014/main" id="{00000000-0008-0000-1200-000003000000}"/>
            </a:ext>
          </a:extLst>
        </xdr:cNvPr>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a:extLst>
            <a:ext uri="{FF2B5EF4-FFF2-40B4-BE49-F238E27FC236}">
              <a16:creationId xmlns:a16="http://schemas.microsoft.com/office/drawing/2014/main" id="{00000000-0008-0000-1300-000002000000}"/>
            </a:ext>
          </a:extLst>
        </xdr:cNvPr>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KPV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KPV LV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JKP: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Development/For!</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a:extLst>
            <a:ext uri="{FF2B5EF4-FFF2-40B4-BE49-F238E27FC236}">
              <a16:creationId xmlns:a16="http://schemas.microsoft.com/office/drawing/2014/main" id="{00000000-0008-0000-1400-000002000000}"/>
            </a:ext>
          </a:extLst>
        </xdr:cNvPr>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a:extLst>
            <a:ext uri="{FF2B5EF4-FFF2-40B4-BE49-F238E27FC236}">
              <a16:creationId xmlns:a16="http://schemas.microsoft.com/office/drawing/2014/main" id="{00000000-0008-0000-1500-000003000000}"/>
            </a:ext>
          </a:extLst>
        </xdr:cNvPr>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a:extLst>
            <a:ext uri="{FF2B5EF4-FFF2-40B4-BE49-F238E27FC236}">
              <a16:creationId xmlns:a16="http://schemas.microsoft.com/office/drawing/2014/main" id="{00000000-0008-0000-1600-000002000000}"/>
            </a:ext>
          </a:extLst>
        </xdr:cNvPr>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a:extLst>
            <a:ext uri="{FF2B5EF4-FFF2-40B4-BE49-F238E27FC236}">
              <a16:creationId xmlns:a16="http://schemas.microsoft.com/office/drawing/2014/main" id="{00000000-0008-0000-1700-000004000000}"/>
            </a:ext>
          </a:extLst>
        </xdr:cNvPr>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a:extLst>
            <a:ext uri="{FF2B5EF4-FFF2-40B4-BE49-F238E27FC236}">
              <a16:creationId xmlns:a16="http://schemas.microsoft.com/office/drawing/2014/main" id="{00000000-0008-0000-1800-000005000000}"/>
            </a:ext>
          </a:extLst>
        </xdr:cNvPr>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a:extLst>
            <a:ext uri="{FF2B5EF4-FFF2-40B4-BE49-F238E27FC236}">
              <a16:creationId xmlns:a16="http://schemas.microsoft.com/office/drawing/2014/main" id="{00000000-0008-0000-1900-000004000000}"/>
            </a:ext>
          </a:extLst>
        </xdr:cNvPr>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a:extLst>
            <a:ext uri="{FF2B5EF4-FFF2-40B4-BE49-F238E27FC236}">
              <a16:creationId xmlns:a16="http://schemas.microsoft.com/office/drawing/2014/main" id="{00000000-0008-0000-1A00-000005000000}"/>
            </a:ext>
          </a:extLst>
        </xdr:cNvPr>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a:extLst>
            <a:ext uri="{FF2B5EF4-FFF2-40B4-BE49-F238E27FC236}">
              <a16:creationId xmlns:a16="http://schemas.microsoft.com/office/drawing/2014/main" id="{00000000-0008-0000-1B00-000006000000}"/>
            </a:ext>
          </a:extLst>
        </xdr:cNvPr>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a:extLst>
            <a:ext uri="{FF2B5EF4-FFF2-40B4-BE49-F238E27FC236}">
              <a16:creationId xmlns:a16="http://schemas.microsoft.com/office/drawing/2014/main" id="{00000000-0008-0000-1C00-000004000000}"/>
            </a:ext>
          </a:extLst>
        </xdr:cNvPr>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ALDE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 of Liberals and Democrats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103188</xdr:rowOff>
    </xdr:from>
    <xdr:to>
      <xdr:col>48</xdr:col>
      <xdr:colOff>333373</xdr:colOff>
      <xdr:row>45</xdr:row>
      <xdr:rowOff>79377</xdr:rowOff>
    </xdr:to>
    <xdr:sp macro="" textlink="">
      <xdr:nvSpPr>
        <xdr:cNvPr id="6" name="Textfeld 5">
          <a:extLst>
            <a:ext uri="{FF2B5EF4-FFF2-40B4-BE49-F238E27FC236}">
              <a16:creationId xmlns:a16="http://schemas.microsoft.com/office/drawing/2014/main" id="{00000000-0008-0000-1D00-000006000000}"/>
            </a:ext>
          </a:extLst>
        </xdr:cNvPr>
        <xdr:cNvSpPr txBox="1"/>
      </xdr:nvSpPr>
      <xdr:spPr>
        <a:xfrm>
          <a:off x="15927508" y="1865313"/>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a:extLst>
            <a:ext uri="{FF2B5EF4-FFF2-40B4-BE49-F238E27FC236}">
              <a16:creationId xmlns:a16="http://schemas.microsoft.com/office/drawing/2014/main" id="{00000000-0008-0000-1E00-000004000000}"/>
            </a:ext>
          </a:extLst>
        </xdr:cNvPr>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LMŠ: </a:t>
          </a:r>
          <a:r>
            <a:rPr kumimoji="0" lang="en-GB" sz="800" b="0"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List of Marjan Šarec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a:extLst>
            <a:ext uri="{FF2B5EF4-FFF2-40B4-BE49-F238E27FC236}">
              <a16:creationId xmlns:a16="http://schemas.microsoft.com/office/drawing/2014/main" id="{00000000-0008-0000-1F00-000004000000}"/>
            </a:ext>
          </a:extLst>
        </xdr:cNvPr>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a:extLst>
            <a:ext uri="{FF2B5EF4-FFF2-40B4-BE49-F238E27FC236}">
              <a16:creationId xmlns:a16="http://schemas.microsoft.com/office/drawing/2014/main" id="{00000000-0008-0000-2000-000005000000}"/>
            </a:ext>
          </a:extLst>
        </xdr:cNvPr>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a:extLst>
            <a:ext uri="{FF2B5EF4-FFF2-40B4-BE49-F238E27FC236}">
              <a16:creationId xmlns:a16="http://schemas.microsoft.com/office/drawing/2014/main" id="{00000000-0008-0000-2100-000003000000}"/>
            </a:ext>
          </a:extLst>
        </xdr:cNvPr>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a:extLst>
            <a:ext uri="{FF2B5EF4-FFF2-40B4-BE49-F238E27FC236}">
              <a16:creationId xmlns:a16="http://schemas.microsoft.com/office/drawing/2014/main" id="{00000000-0008-0000-2200-000003000000}"/>
            </a:ext>
          </a:extLst>
        </xdr:cNvPr>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a:extLst>
            <a:ext uri="{FF2B5EF4-FFF2-40B4-BE49-F238E27FC236}">
              <a16:creationId xmlns:a16="http://schemas.microsoft.com/office/drawing/2014/main" id="{00000000-0008-0000-2300-000007000000}"/>
            </a:ext>
          </a:extLst>
        </xdr:cNvPr>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V201"/>
  <sheetViews>
    <sheetView tabSelected="1" zoomScale="160" zoomScaleNormal="160" workbookViewId="0">
      <pane xSplit="1" ySplit="5" topLeftCell="B6" activePane="bottomRight" state="frozen"/>
      <selection pane="topRight" activeCell="B1" sqref="B1"/>
      <selection pane="bottomLeft" activeCell="A6" sqref="A6"/>
      <selection pane="bottomRight"/>
    </sheetView>
  </sheetViews>
  <sheetFormatPr baseColWidth="10" defaultColWidth="10.6640625" defaultRowHeight="10"/>
  <cols>
    <col min="1" max="1" width="5.83203125" style="59" customWidth="1"/>
    <col min="2" max="6" width="7.83203125" style="5" customWidth="1"/>
    <col min="7" max="18" width="4.5" style="5" customWidth="1"/>
    <col min="19" max="19" width="7.83203125" style="60" customWidth="1"/>
    <col min="20" max="21" width="7.83203125" style="5" customWidth="1"/>
    <col min="22" max="53" width="5.6640625" style="5" customWidth="1"/>
    <col min="54" max="16384" width="10.6640625" style="5"/>
  </cols>
  <sheetData>
    <row r="1" spans="1:53" s="2" customFormat="1" ht="15" customHeight="1">
      <c r="A1" s="16"/>
      <c r="B1" s="22" t="s">
        <v>14</v>
      </c>
      <c r="S1" s="20"/>
    </row>
    <row r="2" spans="1:53" s="2" customFormat="1" ht="15" customHeight="1">
      <c r="A2" s="16"/>
      <c r="B2" s="22" t="s">
        <v>48</v>
      </c>
      <c r="S2" s="20"/>
    </row>
    <row r="3" spans="1:53" s="19" customFormat="1">
      <c r="A3" s="53"/>
      <c r="G3" s="900"/>
      <c r="H3" s="900"/>
      <c r="I3" s="900"/>
      <c r="J3" s="900"/>
      <c r="K3" s="900"/>
      <c r="L3" s="900"/>
      <c r="M3" s="900"/>
      <c r="O3" s="900"/>
      <c r="P3" s="900"/>
      <c r="Q3" s="900"/>
      <c r="S3" s="21"/>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8" t="s">
        <v>23</v>
      </c>
      <c r="AU5" s="307" t="s">
        <v>24</v>
      </c>
      <c r="AV5" s="307" t="s">
        <v>25</v>
      </c>
      <c r="AW5" s="309" t="s">
        <v>1202</v>
      </c>
      <c r="AX5" s="307" t="s">
        <v>23</v>
      </c>
      <c r="AY5" s="307" t="s">
        <v>24</v>
      </c>
      <c r="AZ5" s="307" t="s">
        <v>25</v>
      </c>
      <c r="BA5" s="310" t="s">
        <v>1202</v>
      </c>
    </row>
    <row r="6" spans="1:53" s="227" customFormat="1">
      <c r="A6" s="210">
        <v>1959</v>
      </c>
      <c r="B6" s="211"/>
      <c r="C6" s="912" t="s">
        <v>148</v>
      </c>
      <c r="D6" s="912"/>
      <c r="E6" s="210">
        <v>0</v>
      </c>
      <c r="F6" s="211"/>
      <c r="G6" s="212">
        <v>12</v>
      </c>
      <c r="H6" s="213"/>
      <c r="I6" s="213"/>
      <c r="J6" s="214">
        <v>12</v>
      </c>
      <c r="K6" s="215">
        <f>G6/J6*100</f>
        <v>100</v>
      </c>
      <c r="L6" s="215">
        <f>H6/J6*100</f>
        <v>0</v>
      </c>
      <c r="M6" s="215">
        <f>I6/J6*100</f>
        <v>0</v>
      </c>
      <c r="N6" s="216">
        <f>SUM(K6:M6)</f>
        <v>100</v>
      </c>
      <c r="O6" s="217">
        <v>63.1</v>
      </c>
      <c r="P6" s="218"/>
      <c r="Q6" s="218"/>
      <c r="R6" s="219">
        <f>SUM(O6:Q6)</f>
        <v>63.1</v>
      </c>
      <c r="S6" s="220">
        <v>2</v>
      </c>
      <c r="T6" s="221"/>
      <c r="U6" s="222"/>
      <c r="V6" s="223" t="s">
        <v>72</v>
      </c>
      <c r="W6" s="224" t="s">
        <v>74</v>
      </c>
      <c r="X6" s="224" t="s">
        <v>11</v>
      </c>
      <c r="Y6" s="225">
        <v>47.5</v>
      </c>
      <c r="Z6" s="224" t="s">
        <v>73</v>
      </c>
      <c r="AA6" s="224" t="s">
        <v>75</v>
      </c>
      <c r="AB6" s="224" t="s">
        <v>11</v>
      </c>
      <c r="AC6" s="224">
        <v>15.6</v>
      </c>
      <c r="AD6" s="226"/>
      <c r="AG6" s="228"/>
      <c r="AL6" s="226"/>
      <c r="AO6" s="228"/>
      <c r="AS6" s="228"/>
      <c r="AW6" s="228"/>
      <c r="AX6" s="285"/>
      <c r="AY6" s="285"/>
      <c r="AZ6" s="285"/>
      <c r="BA6" s="229"/>
    </row>
    <row r="7" spans="1:53" s="227" customFormat="1">
      <c r="A7" s="210">
        <v>1959</v>
      </c>
      <c r="B7" s="211"/>
      <c r="C7" s="912" t="s">
        <v>148</v>
      </c>
      <c r="D7" s="912"/>
      <c r="E7" s="210">
        <v>365</v>
      </c>
      <c r="F7" s="211"/>
      <c r="G7" s="212">
        <v>12</v>
      </c>
      <c r="H7" s="213"/>
      <c r="I7" s="213"/>
      <c r="J7" s="214">
        <v>12</v>
      </c>
      <c r="K7" s="215">
        <f>G7/J7*100</f>
        <v>100</v>
      </c>
      <c r="L7" s="215">
        <f>H7/J7*100</f>
        <v>0</v>
      </c>
      <c r="M7" s="215">
        <f>I7/J7*100</f>
        <v>0</v>
      </c>
      <c r="N7" s="216">
        <f>SUM(K7:M7)</f>
        <v>100</v>
      </c>
      <c r="O7" s="217">
        <v>63.1</v>
      </c>
      <c r="P7" s="218"/>
      <c r="Q7" s="218"/>
      <c r="R7" s="219">
        <f>SUM(O7:Q7)</f>
        <v>63.1</v>
      </c>
      <c r="S7" s="220">
        <v>2</v>
      </c>
      <c r="T7" s="221"/>
      <c r="U7" s="222"/>
      <c r="V7" s="223" t="s">
        <v>72</v>
      </c>
      <c r="W7" s="224" t="s">
        <v>74</v>
      </c>
      <c r="X7" s="224" t="s">
        <v>11</v>
      </c>
      <c r="Y7" s="225">
        <v>47.5</v>
      </c>
      <c r="Z7" s="224" t="s">
        <v>73</v>
      </c>
      <c r="AA7" s="224" t="s">
        <v>75</v>
      </c>
      <c r="AB7" s="224" t="s">
        <v>11</v>
      </c>
      <c r="AC7" s="224">
        <v>15.6</v>
      </c>
      <c r="AD7" s="226"/>
      <c r="AG7" s="228"/>
      <c r="AL7" s="226"/>
      <c r="AO7" s="228"/>
      <c r="AS7" s="228"/>
      <c r="AW7" s="228"/>
      <c r="AX7" s="285"/>
      <c r="AY7" s="285"/>
      <c r="AZ7" s="285"/>
      <c r="BA7" s="229"/>
    </row>
    <row r="8" spans="1:53" s="100" customFormat="1">
      <c r="A8" s="87">
        <v>1960</v>
      </c>
      <c r="B8" s="88"/>
      <c r="C8" s="901" t="s">
        <v>148</v>
      </c>
      <c r="D8" s="901"/>
      <c r="E8" s="87">
        <v>0</v>
      </c>
      <c r="F8" s="87"/>
      <c r="G8" s="89">
        <v>12</v>
      </c>
      <c r="H8" s="87"/>
      <c r="I8" s="87"/>
      <c r="J8" s="90">
        <v>12</v>
      </c>
      <c r="K8" s="77">
        <f>G8/J8*100</f>
        <v>100</v>
      </c>
      <c r="L8" s="77">
        <f>H8/J8*100</f>
        <v>0</v>
      </c>
      <c r="M8" s="77">
        <f>I8/J8*100</f>
        <v>0</v>
      </c>
      <c r="N8" s="78">
        <f>SUM(K8:M8)</f>
        <v>100</v>
      </c>
      <c r="O8" s="91">
        <v>63.1</v>
      </c>
      <c r="P8" s="92"/>
      <c r="Q8" s="92"/>
      <c r="R8" s="93">
        <f>SUM(O8:Q8)</f>
        <v>63.1</v>
      </c>
      <c r="S8" s="94">
        <v>2</v>
      </c>
      <c r="T8" s="95"/>
      <c r="U8" s="85"/>
      <c r="V8" s="96" t="s">
        <v>72</v>
      </c>
      <c r="W8" s="97" t="s">
        <v>74</v>
      </c>
      <c r="X8" s="97" t="s">
        <v>11</v>
      </c>
      <c r="Y8" s="98">
        <v>47.5</v>
      </c>
      <c r="Z8" s="97" t="s">
        <v>73</v>
      </c>
      <c r="AA8" s="97" t="s">
        <v>75</v>
      </c>
      <c r="AB8" s="97" t="s">
        <v>11</v>
      </c>
      <c r="AC8" s="97">
        <v>15.6</v>
      </c>
      <c r="AD8" s="96"/>
      <c r="AE8" s="97"/>
      <c r="AF8" s="97"/>
      <c r="AG8" s="98"/>
      <c r="AH8" s="97"/>
      <c r="AI8" s="97"/>
      <c r="AJ8" s="97"/>
      <c r="AK8" s="97"/>
      <c r="AL8" s="96"/>
      <c r="AM8" s="97"/>
      <c r="AN8" s="97"/>
      <c r="AO8" s="98"/>
      <c r="AP8" s="96"/>
      <c r="AQ8" s="97"/>
      <c r="AR8" s="97"/>
      <c r="AS8" s="98"/>
      <c r="AT8" s="99"/>
      <c r="AW8" s="98"/>
      <c r="AX8" s="283"/>
      <c r="AY8" s="283"/>
      <c r="AZ8" s="283"/>
      <c r="BA8" s="288"/>
    </row>
    <row r="9" spans="1:53" s="100" customFormat="1">
      <c r="A9" s="87">
        <v>1960</v>
      </c>
      <c r="B9" s="88"/>
      <c r="C9" s="901" t="s">
        <v>148</v>
      </c>
      <c r="D9" s="901"/>
      <c r="E9" s="87">
        <v>366</v>
      </c>
      <c r="F9" s="87"/>
      <c r="G9" s="89">
        <v>12</v>
      </c>
      <c r="H9" s="87"/>
      <c r="I9" s="87"/>
      <c r="J9" s="90">
        <v>12</v>
      </c>
      <c r="K9" s="77">
        <f t="shared" ref="K9:K15" si="0">G9/J9*100</f>
        <v>100</v>
      </c>
      <c r="L9" s="77">
        <f t="shared" ref="L9:L15" si="1">H9/J9*100</f>
        <v>0</v>
      </c>
      <c r="M9" s="77">
        <f t="shared" ref="M9:M15" si="2">I9/J9*100</f>
        <v>0</v>
      </c>
      <c r="N9" s="78">
        <f t="shared" ref="N9:N72" si="3">SUM(K9:M9)</f>
        <v>100</v>
      </c>
      <c r="O9" s="91">
        <v>63.1</v>
      </c>
      <c r="P9" s="92"/>
      <c r="Q9" s="92"/>
      <c r="R9" s="93">
        <f t="shared" ref="R9:R72" si="4">SUM(O9:Q9)</f>
        <v>63.1</v>
      </c>
      <c r="S9" s="94">
        <v>2</v>
      </c>
      <c r="T9" s="95"/>
      <c r="U9" s="85"/>
      <c r="V9" s="96" t="s">
        <v>72</v>
      </c>
      <c r="W9" s="97" t="s">
        <v>74</v>
      </c>
      <c r="X9" s="97" t="s">
        <v>11</v>
      </c>
      <c r="Y9" s="98">
        <v>47.5</v>
      </c>
      <c r="Z9" s="97" t="s">
        <v>73</v>
      </c>
      <c r="AA9" s="97" t="s">
        <v>75</v>
      </c>
      <c r="AB9" s="97" t="s">
        <v>11</v>
      </c>
      <c r="AC9" s="97">
        <v>15.6</v>
      </c>
      <c r="AD9" s="96"/>
      <c r="AE9" s="97"/>
      <c r="AF9" s="97"/>
      <c r="AG9" s="98"/>
      <c r="AH9" s="97"/>
      <c r="AI9" s="97"/>
      <c r="AJ9" s="97"/>
      <c r="AK9" s="97"/>
      <c r="AL9" s="96"/>
      <c r="AM9" s="97"/>
      <c r="AN9" s="97"/>
      <c r="AO9" s="98"/>
      <c r="AP9" s="96"/>
      <c r="AQ9" s="97"/>
      <c r="AR9" s="97"/>
      <c r="AS9" s="98"/>
      <c r="AT9" s="99"/>
      <c r="AW9" s="98"/>
      <c r="AX9" s="283"/>
      <c r="AY9" s="283"/>
      <c r="AZ9" s="283"/>
      <c r="BA9" s="288"/>
    </row>
    <row r="10" spans="1:53" s="100" customFormat="1">
      <c r="A10" s="87">
        <v>1961</v>
      </c>
      <c r="B10" s="88"/>
      <c r="C10" s="901" t="s">
        <v>148</v>
      </c>
      <c r="D10" s="901"/>
      <c r="E10" s="87">
        <v>356</v>
      </c>
      <c r="F10" s="87"/>
      <c r="G10" s="89">
        <v>12</v>
      </c>
      <c r="H10" s="87"/>
      <c r="I10" s="87"/>
      <c r="J10" s="90">
        <v>12</v>
      </c>
      <c r="K10" s="77">
        <f t="shared" si="0"/>
        <v>100</v>
      </c>
      <c r="L10" s="77">
        <f t="shared" si="1"/>
        <v>0</v>
      </c>
      <c r="M10" s="77">
        <f t="shared" si="2"/>
        <v>0</v>
      </c>
      <c r="N10" s="78">
        <f t="shared" si="3"/>
        <v>100</v>
      </c>
      <c r="O10" s="91">
        <v>63.1</v>
      </c>
      <c r="P10" s="92"/>
      <c r="Q10" s="92"/>
      <c r="R10" s="93">
        <f t="shared" si="4"/>
        <v>63.1</v>
      </c>
      <c r="S10" s="101">
        <v>2</v>
      </c>
      <c r="T10" s="95"/>
      <c r="U10" s="85"/>
      <c r="V10" s="96" t="s">
        <v>72</v>
      </c>
      <c r="W10" s="97" t="s">
        <v>74</v>
      </c>
      <c r="X10" s="97" t="s">
        <v>11</v>
      </c>
      <c r="Y10" s="98">
        <v>47.5</v>
      </c>
      <c r="Z10" s="97" t="s">
        <v>73</v>
      </c>
      <c r="AA10" s="97" t="s">
        <v>75</v>
      </c>
      <c r="AB10" s="97" t="s">
        <v>11</v>
      </c>
      <c r="AC10" s="97">
        <v>15.6</v>
      </c>
      <c r="AD10" s="96"/>
      <c r="AE10" s="97"/>
      <c r="AF10" s="97"/>
      <c r="AG10" s="98"/>
      <c r="AH10" s="97"/>
      <c r="AI10" s="97"/>
      <c r="AJ10" s="97"/>
      <c r="AK10" s="97"/>
      <c r="AL10" s="96"/>
      <c r="AM10" s="97"/>
      <c r="AN10" s="97"/>
      <c r="AO10" s="98"/>
      <c r="AP10" s="96"/>
      <c r="AQ10" s="97"/>
      <c r="AR10" s="97"/>
      <c r="AS10" s="98"/>
      <c r="AT10" s="99"/>
      <c r="AW10" s="98"/>
      <c r="AX10" s="283"/>
      <c r="AY10" s="283"/>
      <c r="AZ10" s="283"/>
      <c r="BA10" s="288"/>
    </row>
    <row r="11" spans="1:53" s="343" customFormat="1">
      <c r="A11" s="178">
        <v>1961</v>
      </c>
      <c r="B11" s="831">
        <v>22638</v>
      </c>
      <c r="C11" s="909" t="s">
        <v>149</v>
      </c>
      <c r="D11" s="909"/>
      <c r="E11" s="178">
        <f>365-E10</f>
        <v>9</v>
      </c>
      <c r="F11" s="178">
        <v>1</v>
      </c>
      <c r="G11" s="333">
        <v>12</v>
      </c>
      <c r="H11" s="178"/>
      <c r="I11" s="178"/>
      <c r="J11" s="334">
        <v>12</v>
      </c>
      <c r="K11" s="295">
        <f>G11/J11*100</f>
        <v>100</v>
      </c>
      <c r="L11" s="295">
        <f t="shared" si="1"/>
        <v>0</v>
      </c>
      <c r="M11" s="295">
        <f t="shared" si="2"/>
        <v>0</v>
      </c>
      <c r="N11" s="296">
        <f t="shared" si="3"/>
        <v>100</v>
      </c>
      <c r="O11" s="335">
        <v>50.8</v>
      </c>
      <c r="P11" s="336"/>
      <c r="Q11" s="336"/>
      <c r="R11" s="337">
        <f t="shared" si="4"/>
        <v>50.8</v>
      </c>
      <c r="S11" s="338">
        <v>2</v>
      </c>
      <c r="T11" s="838">
        <v>22624</v>
      </c>
      <c r="U11" s="838">
        <v>22638</v>
      </c>
      <c r="V11" s="339" t="s">
        <v>72</v>
      </c>
      <c r="W11" s="340" t="s">
        <v>74</v>
      </c>
      <c r="X11" s="340" t="s">
        <v>11</v>
      </c>
      <c r="Y11" s="341">
        <v>36.9</v>
      </c>
      <c r="Z11" s="340" t="s">
        <v>73</v>
      </c>
      <c r="AA11" s="340" t="s">
        <v>75</v>
      </c>
      <c r="AB11" s="340" t="s">
        <v>11</v>
      </c>
      <c r="AC11" s="340">
        <v>13.9</v>
      </c>
      <c r="AD11" s="339"/>
      <c r="AE11" s="340"/>
      <c r="AF11" s="340"/>
      <c r="AG11" s="341"/>
      <c r="AH11" s="340"/>
      <c r="AI11" s="340"/>
      <c r="AJ11" s="340"/>
      <c r="AK11" s="340"/>
      <c r="AL11" s="339"/>
      <c r="AM11" s="340"/>
      <c r="AN11" s="340"/>
      <c r="AO11" s="341"/>
      <c r="AP11" s="339"/>
      <c r="AQ11" s="340"/>
      <c r="AR11" s="340"/>
      <c r="AS11" s="341"/>
      <c r="AT11" s="342"/>
      <c r="AW11" s="341"/>
      <c r="AX11" s="344"/>
      <c r="AY11" s="344"/>
      <c r="AZ11" s="344"/>
      <c r="BA11" s="345"/>
    </row>
    <row r="12" spans="1:53" s="343" customFormat="1">
      <c r="A12" s="178">
        <v>1962</v>
      </c>
      <c r="B12" s="831"/>
      <c r="C12" s="909" t="s">
        <v>149</v>
      </c>
      <c r="D12" s="909"/>
      <c r="E12" s="178">
        <v>0</v>
      </c>
      <c r="F12" s="178"/>
      <c r="G12" s="333">
        <v>12</v>
      </c>
      <c r="H12" s="178"/>
      <c r="I12" s="178"/>
      <c r="J12" s="334">
        <v>12</v>
      </c>
      <c r="K12" s="295">
        <f t="shared" si="0"/>
        <v>100</v>
      </c>
      <c r="L12" s="295">
        <f t="shared" si="1"/>
        <v>0</v>
      </c>
      <c r="M12" s="295">
        <f t="shared" si="2"/>
        <v>0</v>
      </c>
      <c r="N12" s="296">
        <f t="shared" si="3"/>
        <v>100</v>
      </c>
      <c r="O12" s="335">
        <v>50.8</v>
      </c>
      <c r="P12" s="336"/>
      <c r="Q12" s="336"/>
      <c r="R12" s="337">
        <f t="shared" si="4"/>
        <v>50.8</v>
      </c>
      <c r="S12" s="338">
        <v>2</v>
      </c>
      <c r="T12" s="838"/>
      <c r="U12" s="838"/>
      <c r="V12" s="339" t="s">
        <v>72</v>
      </c>
      <c r="W12" s="340" t="s">
        <v>74</v>
      </c>
      <c r="X12" s="340" t="s">
        <v>11</v>
      </c>
      <c r="Y12" s="341">
        <v>36.9</v>
      </c>
      <c r="Z12" s="340" t="s">
        <v>73</v>
      </c>
      <c r="AA12" s="340" t="s">
        <v>75</v>
      </c>
      <c r="AB12" s="340" t="s">
        <v>11</v>
      </c>
      <c r="AC12" s="340">
        <v>13.9</v>
      </c>
      <c r="AD12" s="339"/>
      <c r="AE12" s="340"/>
      <c r="AF12" s="340"/>
      <c r="AG12" s="341"/>
      <c r="AH12" s="340"/>
      <c r="AI12" s="340"/>
      <c r="AJ12" s="340"/>
      <c r="AK12" s="340"/>
      <c r="AL12" s="339"/>
      <c r="AM12" s="340"/>
      <c r="AN12" s="340"/>
      <c r="AO12" s="341"/>
      <c r="AP12" s="339"/>
      <c r="AQ12" s="340"/>
      <c r="AR12" s="340"/>
      <c r="AS12" s="341"/>
      <c r="AT12" s="342"/>
      <c r="AW12" s="341"/>
      <c r="AX12" s="344"/>
      <c r="AY12" s="344"/>
      <c r="AZ12" s="344"/>
      <c r="BA12" s="345"/>
    </row>
    <row r="13" spans="1:53" s="343" customFormat="1">
      <c r="A13" s="178">
        <v>1962</v>
      </c>
      <c r="B13" s="831"/>
      <c r="C13" s="909" t="s">
        <v>149</v>
      </c>
      <c r="D13" s="909"/>
      <c r="E13" s="178">
        <f>365-E12</f>
        <v>365</v>
      </c>
      <c r="F13" s="178"/>
      <c r="G13" s="333">
        <v>12</v>
      </c>
      <c r="H13" s="178"/>
      <c r="I13" s="178"/>
      <c r="J13" s="334">
        <v>12</v>
      </c>
      <c r="K13" s="295">
        <f t="shared" si="0"/>
        <v>100</v>
      </c>
      <c r="L13" s="295">
        <f t="shared" si="1"/>
        <v>0</v>
      </c>
      <c r="M13" s="295">
        <f t="shared" si="2"/>
        <v>0</v>
      </c>
      <c r="N13" s="296">
        <f t="shared" si="3"/>
        <v>100</v>
      </c>
      <c r="O13" s="335">
        <v>50.8</v>
      </c>
      <c r="P13" s="336"/>
      <c r="Q13" s="336"/>
      <c r="R13" s="337">
        <f t="shared" si="4"/>
        <v>50.8</v>
      </c>
      <c r="S13" s="338">
        <v>2</v>
      </c>
      <c r="T13" s="838"/>
      <c r="U13" s="838"/>
      <c r="V13" s="339" t="s">
        <v>72</v>
      </c>
      <c r="W13" s="340" t="s">
        <v>74</v>
      </c>
      <c r="X13" s="340" t="s">
        <v>11</v>
      </c>
      <c r="Y13" s="341">
        <v>36.9</v>
      </c>
      <c r="Z13" s="340" t="s">
        <v>73</v>
      </c>
      <c r="AA13" s="340" t="s">
        <v>75</v>
      </c>
      <c r="AB13" s="340" t="s">
        <v>11</v>
      </c>
      <c r="AC13" s="340">
        <v>13.9</v>
      </c>
      <c r="AD13" s="339"/>
      <c r="AE13" s="340"/>
      <c r="AF13" s="340"/>
      <c r="AG13" s="341"/>
      <c r="AH13" s="340"/>
      <c r="AI13" s="340"/>
      <c r="AJ13" s="340"/>
      <c r="AK13" s="340"/>
      <c r="AL13" s="339"/>
      <c r="AM13" s="340"/>
      <c r="AN13" s="340"/>
      <c r="AO13" s="341"/>
      <c r="AP13" s="339"/>
      <c r="AQ13" s="340"/>
      <c r="AR13" s="340"/>
      <c r="AS13" s="341"/>
      <c r="AT13" s="342"/>
      <c r="AW13" s="341"/>
      <c r="AX13" s="344"/>
      <c r="AY13" s="344"/>
      <c r="AZ13" s="344"/>
      <c r="BA13" s="345"/>
    </row>
    <row r="14" spans="1:53" s="343" customFormat="1">
      <c r="A14" s="178">
        <v>1962.6</v>
      </c>
      <c r="B14" s="831"/>
      <c r="C14" s="909" t="s">
        <v>149</v>
      </c>
      <c r="D14" s="909"/>
      <c r="E14" s="178">
        <v>350</v>
      </c>
      <c r="F14" s="178"/>
      <c r="G14" s="333">
        <v>12</v>
      </c>
      <c r="H14" s="178"/>
      <c r="I14" s="178"/>
      <c r="J14" s="334">
        <v>12</v>
      </c>
      <c r="K14" s="295">
        <f t="shared" si="0"/>
        <v>100</v>
      </c>
      <c r="L14" s="295">
        <f t="shared" si="1"/>
        <v>0</v>
      </c>
      <c r="M14" s="295">
        <f t="shared" si="2"/>
        <v>0</v>
      </c>
      <c r="N14" s="296">
        <f t="shared" si="3"/>
        <v>100</v>
      </c>
      <c r="O14" s="335">
        <v>50.8</v>
      </c>
      <c r="P14" s="336"/>
      <c r="Q14" s="336"/>
      <c r="R14" s="337">
        <f t="shared" si="4"/>
        <v>50.8</v>
      </c>
      <c r="S14" s="338">
        <v>2</v>
      </c>
      <c r="T14" s="838"/>
      <c r="U14" s="838"/>
      <c r="V14" s="339" t="s">
        <v>72</v>
      </c>
      <c r="W14" s="340" t="s">
        <v>74</v>
      </c>
      <c r="X14" s="340" t="s">
        <v>11</v>
      </c>
      <c r="Y14" s="341">
        <v>36.9</v>
      </c>
      <c r="Z14" s="340" t="s">
        <v>73</v>
      </c>
      <c r="AA14" s="340" t="s">
        <v>75</v>
      </c>
      <c r="AB14" s="340" t="s">
        <v>11</v>
      </c>
      <c r="AC14" s="340">
        <v>13.9</v>
      </c>
      <c r="AD14" s="339"/>
      <c r="AE14" s="340"/>
      <c r="AF14" s="340"/>
      <c r="AG14" s="341"/>
      <c r="AH14" s="340"/>
      <c r="AI14" s="340"/>
      <c r="AJ14" s="340"/>
      <c r="AK14" s="340"/>
      <c r="AL14" s="339"/>
      <c r="AM14" s="340"/>
      <c r="AN14" s="340"/>
      <c r="AO14" s="341"/>
      <c r="AP14" s="339"/>
      <c r="AQ14" s="340"/>
      <c r="AR14" s="340"/>
      <c r="AS14" s="341"/>
      <c r="AT14" s="342"/>
      <c r="AW14" s="341"/>
      <c r="AX14" s="344"/>
      <c r="AY14" s="344"/>
      <c r="AZ14" s="344"/>
      <c r="BA14" s="345"/>
    </row>
    <row r="15" spans="1:53" s="100" customFormat="1">
      <c r="A15" s="87">
        <v>1963.05714285714</v>
      </c>
      <c r="B15" s="832">
        <v>23362</v>
      </c>
      <c r="C15" s="901" t="s">
        <v>150</v>
      </c>
      <c r="D15" s="901"/>
      <c r="E15" s="87">
        <f>365-E14</f>
        <v>15</v>
      </c>
      <c r="F15" s="87">
        <v>1</v>
      </c>
      <c r="G15" s="89">
        <v>12</v>
      </c>
      <c r="H15" s="87"/>
      <c r="I15" s="87"/>
      <c r="J15" s="90">
        <v>12</v>
      </c>
      <c r="K15" s="77">
        <f t="shared" si="0"/>
        <v>100</v>
      </c>
      <c r="L15" s="77">
        <f t="shared" si="1"/>
        <v>0</v>
      </c>
      <c r="M15" s="77">
        <f t="shared" si="2"/>
        <v>0</v>
      </c>
      <c r="N15" s="78">
        <f t="shared" si="3"/>
        <v>100</v>
      </c>
      <c r="O15" s="91">
        <v>59</v>
      </c>
      <c r="P15" s="92"/>
      <c r="Q15" s="92"/>
      <c r="R15" s="93">
        <f t="shared" si="4"/>
        <v>59</v>
      </c>
      <c r="S15" s="101">
        <v>2</v>
      </c>
      <c r="T15" s="839">
        <v>23345</v>
      </c>
      <c r="U15" s="839">
        <v>23362</v>
      </c>
      <c r="V15" s="96" t="s">
        <v>72</v>
      </c>
      <c r="W15" s="97" t="s">
        <v>74</v>
      </c>
      <c r="X15" s="97" t="s">
        <v>11</v>
      </c>
      <c r="Y15" s="98">
        <v>42.6</v>
      </c>
      <c r="Z15" s="97" t="s">
        <v>73</v>
      </c>
      <c r="AA15" s="97" t="s">
        <v>75</v>
      </c>
      <c r="AB15" s="97" t="s">
        <v>11</v>
      </c>
      <c r="AC15" s="97">
        <v>16.399999999999999</v>
      </c>
      <c r="AD15" s="96"/>
      <c r="AE15" s="97"/>
      <c r="AF15" s="97"/>
      <c r="AG15" s="98"/>
      <c r="AH15" s="97"/>
      <c r="AI15" s="97"/>
      <c r="AJ15" s="97"/>
      <c r="AK15" s="97"/>
      <c r="AL15" s="96"/>
      <c r="AM15" s="97"/>
      <c r="AN15" s="97"/>
      <c r="AO15" s="98"/>
      <c r="AP15" s="96"/>
      <c r="AQ15" s="97"/>
      <c r="AR15" s="97"/>
      <c r="AS15" s="98"/>
      <c r="AT15" s="99"/>
      <c r="AW15" s="98"/>
      <c r="AX15" s="283"/>
      <c r="AY15" s="283"/>
      <c r="AZ15" s="283"/>
      <c r="BA15" s="288"/>
    </row>
    <row r="16" spans="1:53" s="100" customFormat="1">
      <c r="A16" s="87">
        <v>1963.5142857142901</v>
      </c>
      <c r="B16" s="832"/>
      <c r="C16" s="901" t="s">
        <v>150</v>
      </c>
      <c r="D16" s="901"/>
      <c r="E16" s="87">
        <v>0</v>
      </c>
      <c r="F16" s="87"/>
      <c r="G16" s="89">
        <v>12</v>
      </c>
      <c r="H16" s="87"/>
      <c r="I16" s="87"/>
      <c r="J16" s="90">
        <v>12</v>
      </c>
      <c r="K16" s="77">
        <f>G16/J16*100</f>
        <v>100</v>
      </c>
      <c r="L16" s="77">
        <f>H16/J16*100</f>
        <v>0</v>
      </c>
      <c r="M16" s="77">
        <f>I16/J16*100</f>
        <v>0</v>
      </c>
      <c r="N16" s="78">
        <f t="shared" si="3"/>
        <v>100</v>
      </c>
      <c r="O16" s="91">
        <v>59</v>
      </c>
      <c r="P16" s="92"/>
      <c r="Q16" s="92"/>
      <c r="R16" s="93">
        <f t="shared" si="4"/>
        <v>59</v>
      </c>
      <c r="S16" s="101">
        <v>2</v>
      </c>
      <c r="T16" s="839"/>
      <c r="U16" s="839"/>
      <c r="V16" s="96" t="s">
        <v>72</v>
      </c>
      <c r="W16" s="97" t="s">
        <v>74</v>
      </c>
      <c r="X16" s="97" t="s">
        <v>11</v>
      </c>
      <c r="Y16" s="98">
        <v>42.6</v>
      </c>
      <c r="Z16" s="97" t="s">
        <v>73</v>
      </c>
      <c r="AA16" s="97" t="s">
        <v>75</v>
      </c>
      <c r="AB16" s="97" t="s">
        <v>11</v>
      </c>
      <c r="AC16" s="97">
        <v>16.399999999999999</v>
      </c>
      <c r="AD16" s="96"/>
      <c r="AE16" s="97"/>
      <c r="AF16" s="97"/>
      <c r="AG16" s="98"/>
      <c r="AH16" s="97"/>
      <c r="AI16" s="97"/>
      <c r="AJ16" s="97"/>
      <c r="AK16" s="97"/>
      <c r="AL16" s="96"/>
      <c r="AM16" s="97"/>
      <c r="AN16" s="97"/>
      <c r="AO16" s="98"/>
      <c r="AP16" s="96"/>
      <c r="AQ16" s="97"/>
      <c r="AR16" s="97"/>
      <c r="AS16" s="98"/>
      <c r="AT16" s="99"/>
      <c r="AW16" s="98"/>
      <c r="AX16" s="283"/>
      <c r="AY16" s="283"/>
      <c r="AZ16" s="283"/>
      <c r="BA16" s="288"/>
    </row>
    <row r="17" spans="1:53" s="100" customFormat="1">
      <c r="A17" s="87">
        <v>1963.9714285714299</v>
      </c>
      <c r="B17" s="832"/>
      <c r="C17" s="901" t="s">
        <v>150</v>
      </c>
      <c r="D17" s="901"/>
      <c r="E17" s="87">
        <v>366</v>
      </c>
      <c r="F17" s="87"/>
      <c r="G17" s="89">
        <v>12</v>
      </c>
      <c r="H17" s="87"/>
      <c r="I17" s="87"/>
      <c r="J17" s="90">
        <v>12</v>
      </c>
      <c r="K17" s="77">
        <f t="shared" ref="K17:K24" si="5">G17/J17*100</f>
        <v>100</v>
      </c>
      <c r="L17" s="77">
        <f t="shared" ref="L17:L24" si="6">H17/J17*100</f>
        <v>0</v>
      </c>
      <c r="M17" s="77">
        <f t="shared" ref="M17:M24" si="7">I17/J17*100</f>
        <v>0</v>
      </c>
      <c r="N17" s="78">
        <f t="shared" si="3"/>
        <v>100</v>
      </c>
      <c r="O17" s="91">
        <v>59</v>
      </c>
      <c r="P17" s="92"/>
      <c r="Q17" s="92"/>
      <c r="R17" s="93">
        <f t="shared" si="4"/>
        <v>59</v>
      </c>
      <c r="S17" s="101">
        <v>2</v>
      </c>
      <c r="T17" s="839"/>
      <c r="U17" s="839"/>
      <c r="V17" s="96" t="s">
        <v>72</v>
      </c>
      <c r="W17" s="97" t="s">
        <v>74</v>
      </c>
      <c r="X17" s="97" t="s">
        <v>11</v>
      </c>
      <c r="Y17" s="98">
        <v>42.6</v>
      </c>
      <c r="Z17" s="97" t="s">
        <v>73</v>
      </c>
      <c r="AA17" s="97" t="s">
        <v>75</v>
      </c>
      <c r="AB17" s="97" t="s">
        <v>11</v>
      </c>
      <c r="AC17" s="97">
        <v>16.399999999999999</v>
      </c>
      <c r="AD17" s="96"/>
      <c r="AE17" s="97"/>
      <c r="AF17" s="97"/>
      <c r="AG17" s="98"/>
      <c r="AH17" s="97"/>
      <c r="AI17" s="97"/>
      <c r="AJ17" s="97"/>
      <c r="AK17" s="97"/>
      <c r="AL17" s="96"/>
      <c r="AM17" s="97"/>
      <c r="AN17" s="97"/>
      <c r="AO17" s="98"/>
      <c r="AP17" s="96"/>
      <c r="AQ17" s="97"/>
      <c r="AR17" s="97"/>
      <c r="AS17" s="98"/>
      <c r="AT17" s="99"/>
      <c r="AW17" s="98"/>
      <c r="AX17" s="283"/>
      <c r="AY17" s="283"/>
      <c r="AZ17" s="283"/>
      <c r="BA17" s="288"/>
    </row>
    <row r="18" spans="1:53" s="100" customFormat="1">
      <c r="A18" s="87">
        <v>1965</v>
      </c>
      <c r="B18" s="832"/>
      <c r="C18" s="901" t="s">
        <v>150</v>
      </c>
      <c r="D18" s="901"/>
      <c r="E18" s="87">
        <v>0</v>
      </c>
      <c r="F18" s="87"/>
      <c r="G18" s="89">
        <v>12</v>
      </c>
      <c r="H18" s="87"/>
      <c r="I18" s="87"/>
      <c r="J18" s="90">
        <v>12</v>
      </c>
      <c r="K18" s="77">
        <f t="shared" si="5"/>
        <v>100</v>
      </c>
      <c r="L18" s="77">
        <f t="shared" si="6"/>
        <v>0</v>
      </c>
      <c r="M18" s="77">
        <f t="shared" si="7"/>
        <v>0</v>
      </c>
      <c r="N18" s="78">
        <f t="shared" si="3"/>
        <v>100</v>
      </c>
      <c r="O18" s="91">
        <v>59</v>
      </c>
      <c r="P18" s="92"/>
      <c r="Q18" s="92"/>
      <c r="R18" s="93">
        <f t="shared" si="4"/>
        <v>59</v>
      </c>
      <c r="S18" s="101">
        <v>2</v>
      </c>
      <c r="T18" s="839"/>
      <c r="U18" s="839"/>
      <c r="V18" s="96" t="s">
        <v>72</v>
      </c>
      <c r="W18" s="97" t="s">
        <v>74</v>
      </c>
      <c r="X18" s="97" t="s">
        <v>11</v>
      </c>
      <c r="Y18" s="98">
        <v>42.6</v>
      </c>
      <c r="Z18" s="97" t="s">
        <v>73</v>
      </c>
      <c r="AA18" s="97" t="s">
        <v>75</v>
      </c>
      <c r="AB18" s="97" t="s">
        <v>11</v>
      </c>
      <c r="AC18" s="97">
        <v>16.399999999999999</v>
      </c>
      <c r="AD18" s="96"/>
      <c r="AE18" s="97"/>
      <c r="AF18" s="97"/>
      <c r="AG18" s="98"/>
      <c r="AH18" s="97"/>
      <c r="AI18" s="97"/>
      <c r="AJ18" s="97"/>
      <c r="AK18" s="97"/>
      <c r="AL18" s="96"/>
      <c r="AM18" s="97"/>
      <c r="AN18" s="97"/>
      <c r="AO18" s="98"/>
      <c r="AP18" s="96"/>
      <c r="AQ18" s="97"/>
      <c r="AR18" s="97"/>
      <c r="AS18" s="98"/>
      <c r="AT18" s="99"/>
      <c r="AW18" s="98"/>
      <c r="AX18" s="283"/>
      <c r="AY18" s="283"/>
      <c r="AZ18" s="283"/>
      <c r="BA18" s="288"/>
    </row>
    <row r="19" spans="1:53" s="100" customFormat="1">
      <c r="A19" s="87">
        <v>1964.88571428572</v>
      </c>
      <c r="B19" s="832"/>
      <c r="C19" s="901" t="s">
        <v>150</v>
      </c>
      <c r="D19" s="901"/>
      <c r="E19" s="87">
        <f>365-E18</f>
        <v>365</v>
      </c>
      <c r="F19" s="87"/>
      <c r="G19" s="89">
        <v>12</v>
      </c>
      <c r="H19" s="87"/>
      <c r="I19" s="87"/>
      <c r="J19" s="90">
        <v>12</v>
      </c>
      <c r="K19" s="77">
        <f t="shared" si="5"/>
        <v>100</v>
      </c>
      <c r="L19" s="77">
        <f t="shared" si="6"/>
        <v>0</v>
      </c>
      <c r="M19" s="77">
        <f t="shared" si="7"/>
        <v>0</v>
      </c>
      <c r="N19" s="78">
        <f t="shared" si="3"/>
        <v>100</v>
      </c>
      <c r="O19" s="91">
        <v>59</v>
      </c>
      <c r="P19" s="92"/>
      <c r="Q19" s="92"/>
      <c r="R19" s="93">
        <f t="shared" si="4"/>
        <v>59</v>
      </c>
      <c r="S19" s="101">
        <v>2</v>
      </c>
      <c r="T19" s="839"/>
      <c r="U19" s="839"/>
      <c r="V19" s="96" t="s">
        <v>72</v>
      </c>
      <c r="W19" s="97" t="s">
        <v>74</v>
      </c>
      <c r="X19" s="97" t="s">
        <v>11</v>
      </c>
      <c r="Y19" s="98">
        <v>42.6</v>
      </c>
      <c r="Z19" s="97" t="s">
        <v>73</v>
      </c>
      <c r="AA19" s="97" t="s">
        <v>75</v>
      </c>
      <c r="AB19" s="97" t="s">
        <v>11</v>
      </c>
      <c r="AC19" s="97">
        <v>16.399999999999999</v>
      </c>
      <c r="AD19" s="96"/>
      <c r="AE19" s="97"/>
      <c r="AF19" s="97"/>
      <c r="AG19" s="98"/>
      <c r="AH19" s="97"/>
      <c r="AI19" s="97"/>
      <c r="AJ19" s="97"/>
      <c r="AK19" s="97"/>
      <c r="AL19" s="96"/>
      <c r="AM19" s="97"/>
      <c r="AN19" s="97"/>
      <c r="AO19" s="98"/>
      <c r="AP19" s="96"/>
      <c r="AQ19" s="97"/>
      <c r="AR19" s="97"/>
      <c r="AS19" s="98"/>
      <c r="AT19" s="99"/>
      <c r="AW19" s="98"/>
      <c r="AX19" s="283"/>
      <c r="AY19" s="283"/>
      <c r="AZ19" s="283"/>
      <c r="BA19" s="288"/>
    </row>
    <row r="20" spans="1:53" s="100" customFormat="1">
      <c r="A20" s="87">
        <v>1966</v>
      </c>
      <c r="B20" s="832"/>
      <c r="C20" s="901" t="s">
        <v>150</v>
      </c>
      <c r="D20" s="901"/>
      <c r="E20" s="87">
        <v>25</v>
      </c>
      <c r="F20" s="87"/>
      <c r="G20" s="89">
        <v>12</v>
      </c>
      <c r="H20" s="87"/>
      <c r="I20" s="87"/>
      <c r="J20" s="90">
        <v>12</v>
      </c>
      <c r="K20" s="77">
        <f t="shared" si="5"/>
        <v>100</v>
      </c>
      <c r="L20" s="77">
        <f t="shared" si="6"/>
        <v>0</v>
      </c>
      <c r="M20" s="77">
        <f t="shared" si="7"/>
        <v>0</v>
      </c>
      <c r="N20" s="78">
        <f t="shared" si="3"/>
        <v>100</v>
      </c>
      <c r="O20" s="91">
        <v>59</v>
      </c>
      <c r="P20" s="92"/>
      <c r="Q20" s="92"/>
      <c r="R20" s="93">
        <f t="shared" si="4"/>
        <v>59</v>
      </c>
      <c r="S20" s="101">
        <v>2</v>
      </c>
      <c r="T20" s="839"/>
      <c r="U20" s="839"/>
      <c r="V20" s="96" t="s">
        <v>72</v>
      </c>
      <c r="W20" s="97" t="s">
        <v>74</v>
      </c>
      <c r="X20" s="97" t="s">
        <v>11</v>
      </c>
      <c r="Y20" s="98">
        <v>42.6</v>
      </c>
      <c r="Z20" s="97" t="s">
        <v>73</v>
      </c>
      <c r="AA20" s="97" t="s">
        <v>75</v>
      </c>
      <c r="AB20" s="97" t="s">
        <v>11</v>
      </c>
      <c r="AC20" s="97">
        <v>16.399999999999999</v>
      </c>
      <c r="AD20" s="96"/>
      <c r="AE20" s="97"/>
      <c r="AF20" s="97"/>
      <c r="AG20" s="98"/>
      <c r="AH20" s="97"/>
      <c r="AI20" s="97"/>
      <c r="AJ20" s="97"/>
      <c r="AK20" s="97"/>
      <c r="AL20" s="96"/>
      <c r="AM20" s="97"/>
      <c r="AN20" s="97"/>
      <c r="AO20" s="98"/>
      <c r="AP20" s="96"/>
      <c r="AQ20" s="97"/>
      <c r="AR20" s="97"/>
      <c r="AS20" s="98"/>
      <c r="AT20" s="99"/>
      <c r="AW20" s="98"/>
      <c r="AX20" s="283"/>
      <c r="AY20" s="283"/>
      <c r="AZ20" s="283"/>
      <c r="BA20" s="288"/>
    </row>
    <row r="21" spans="1:53" s="343" customFormat="1">
      <c r="A21" s="178">
        <v>1965.8</v>
      </c>
      <c r="B21" s="831">
        <v>24133</v>
      </c>
      <c r="C21" s="909" t="s">
        <v>151</v>
      </c>
      <c r="D21" s="909"/>
      <c r="E21" s="178">
        <v>322</v>
      </c>
      <c r="F21" s="178">
        <v>2</v>
      </c>
      <c r="G21" s="333">
        <v>12</v>
      </c>
      <c r="H21" s="178"/>
      <c r="I21" s="178"/>
      <c r="J21" s="334">
        <v>12</v>
      </c>
      <c r="K21" s="295">
        <f>G21/J21*100</f>
        <v>100</v>
      </c>
      <c r="L21" s="295">
        <f>H21/J21*100</f>
        <v>0</v>
      </c>
      <c r="M21" s="295">
        <f>I21/J21*100</f>
        <v>0</v>
      </c>
      <c r="N21" s="296">
        <f t="shared" si="3"/>
        <v>100</v>
      </c>
      <c r="O21" s="335">
        <v>59</v>
      </c>
      <c r="P21" s="336"/>
      <c r="Q21" s="336"/>
      <c r="R21" s="337">
        <f t="shared" si="4"/>
        <v>59</v>
      </c>
      <c r="S21" s="338">
        <v>2</v>
      </c>
      <c r="T21" s="838"/>
      <c r="U21" s="838">
        <v>24130</v>
      </c>
      <c r="V21" s="339" t="s">
        <v>72</v>
      </c>
      <c r="W21" s="340" t="s">
        <v>74</v>
      </c>
      <c r="X21" s="340" t="s">
        <v>11</v>
      </c>
      <c r="Y21" s="341">
        <v>42.6</v>
      </c>
      <c r="Z21" s="340" t="s">
        <v>73</v>
      </c>
      <c r="AA21" s="340" t="s">
        <v>75</v>
      </c>
      <c r="AB21" s="340" t="s">
        <v>11</v>
      </c>
      <c r="AC21" s="340">
        <v>16.399999999999999</v>
      </c>
      <c r="AD21" s="339"/>
      <c r="AE21" s="340"/>
      <c r="AF21" s="340"/>
      <c r="AG21" s="341"/>
      <c r="AH21" s="340"/>
      <c r="AI21" s="340"/>
      <c r="AJ21" s="340"/>
      <c r="AK21" s="340"/>
      <c r="AL21" s="339"/>
      <c r="AM21" s="340"/>
      <c r="AN21" s="340"/>
      <c r="AO21" s="341"/>
      <c r="AP21" s="339"/>
      <c r="AQ21" s="340"/>
      <c r="AR21" s="340"/>
      <c r="AS21" s="341"/>
      <c r="AT21" s="342"/>
      <c r="AW21" s="341"/>
      <c r="AX21" s="344"/>
      <c r="AY21" s="344"/>
      <c r="AZ21" s="344"/>
      <c r="BA21" s="345"/>
    </row>
    <row r="22" spans="1:53" s="100" customFormat="1">
      <c r="A22" s="87">
        <v>1965.8</v>
      </c>
      <c r="B22" s="832">
        <v>24455</v>
      </c>
      <c r="C22" s="901" t="s">
        <v>152</v>
      </c>
      <c r="D22" s="901"/>
      <c r="E22" s="87">
        <v>18</v>
      </c>
      <c r="F22" s="87">
        <v>1</v>
      </c>
      <c r="G22" s="89">
        <v>12</v>
      </c>
      <c r="H22" s="87"/>
      <c r="I22" s="87"/>
      <c r="J22" s="90">
        <v>12</v>
      </c>
      <c r="K22" s="77">
        <f t="shared" si="5"/>
        <v>100</v>
      </c>
      <c r="L22" s="77">
        <f t="shared" si="6"/>
        <v>0</v>
      </c>
      <c r="M22" s="77">
        <f t="shared" si="7"/>
        <v>0</v>
      </c>
      <c r="N22" s="78">
        <f t="shared" si="3"/>
        <v>100</v>
      </c>
      <c r="O22" s="91">
        <v>66.099999999999994</v>
      </c>
      <c r="P22" s="92"/>
      <c r="Q22" s="92"/>
      <c r="R22" s="93">
        <f t="shared" si="4"/>
        <v>66.099999999999994</v>
      </c>
      <c r="S22" s="101">
        <v>2</v>
      </c>
      <c r="T22" s="839">
        <v>24437</v>
      </c>
      <c r="U22" s="839">
        <v>24455</v>
      </c>
      <c r="V22" s="96" t="s">
        <v>72</v>
      </c>
      <c r="W22" s="97" t="s">
        <v>74</v>
      </c>
      <c r="X22" s="97" t="s">
        <v>11</v>
      </c>
      <c r="Y22" s="98">
        <v>49.2</v>
      </c>
      <c r="Z22" s="97" t="s">
        <v>73</v>
      </c>
      <c r="AA22" s="97" t="s">
        <v>75</v>
      </c>
      <c r="AB22" s="97" t="s">
        <v>11</v>
      </c>
      <c r="AC22" s="97">
        <v>16.899999999999999</v>
      </c>
      <c r="AD22" s="96"/>
      <c r="AE22" s="97"/>
      <c r="AF22" s="97"/>
      <c r="AG22" s="98"/>
      <c r="AH22" s="97"/>
      <c r="AI22" s="97"/>
      <c r="AJ22" s="97"/>
      <c r="AK22" s="97"/>
      <c r="AL22" s="96"/>
      <c r="AM22" s="97"/>
      <c r="AN22" s="97"/>
      <c r="AO22" s="98"/>
      <c r="AP22" s="96"/>
      <c r="AQ22" s="97"/>
      <c r="AR22" s="97"/>
      <c r="AS22" s="98"/>
      <c r="AT22" s="99"/>
      <c r="AW22" s="98"/>
      <c r="AX22" s="283"/>
      <c r="AY22" s="283"/>
      <c r="AZ22" s="283"/>
      <c r="BA22" s="288"/>
    </row>
    <row r="23" spans="1:53" s="100" customFormat="1">
      <c r="A23" s="87">
        <v>1967</v>
      </c>
      <c r="B23" s="832"/>
      <c r="C23" s="901" t="s">
        <v>152</v>
      </c>
      <c r="D23" s="901"/>
      <c r="E23" s="87">
        <v>351</v>
      </c>
      <c r="F23" s="87"/>
      <c r="G23" s="89">
        <v>12</v>
      </c>
      <c r="H23" s="87"/>
      <c r="I23" s="87"/>
      <c r="J23" s="90">
        <v>12</v>
      </c>
      <c r="K23" s="77">
        <f t="shared" si="5"/>
        <v>100</v>
      </c>
      <c r="L23" s="77">
        <f t="shared" si="6"/>
        <v>0</v>
      </c>
      <c r="M23" s="77">
        <f t="shared" si="7"/>
        <v>0</v>
      </c>
      <c r="N23" s="78">
        <f t="shared" si="3"/>
        <v>100</v>
      </c>
      <c r="O23" s="91">
        <v>66.099999999999994</v>
      </c>
      <c r="P23" s="92"/>
      <c r="Q23" s="92"/>
      <c r="R23" s="93">
        <f t="shared" si="4"/>
        <v>66.099999999999994</v>
      </c>
      <c r="S23" s="101">
        <v>2</v>
      </c>
      <c r="T23" s="839"/>
      <c r="U23" s="839"/>
      <c r="V23" s="96" t="s">
        <v>72</v>
      </c>
      <c r="W23" s="97" t="s">
        <v>74</v>
      </c>
      <c r="X23" s="97" t="s">
        <v>11</v>
      </c>
      <c r="Y23" s="98">
        <v>49.2</v>
      </c>
      <c r="Z23" s="97" t="s">
        <v>73</v>
      </c>
      <c r="AA23" s="97" t="s">
        <v>75</v>
      </c>
      <c r="AB23" s="97" t="s">
        <v>11</v>
      </c>
      <c r="AC23" s="97">
        <v>16.899999999999999</v>
      </c>
      <c r="AD23" s="96"/>
      <c r="AE23" s="97"/>
      <c r="AF23" s="97"/>
      <c r="AG23" s="98"/>
      <c r="AH23" s="97"/>
      <c r="AI23" s="97"/>
      <c r="AJ23" s="97"/>
      <c r="AK23" s="97"/>
      <c r="AL23" s="96"/>
      <c r="AM23" s="97"/>
      <c r="AN23" s="97"/>
      <c r="AO23" s="98"/>
      <c r="AP23" s="96"/>
      <c r="AQ23" s="97"/>
      <c r="AR23" s="97"/>
      <c r="AS23" s="98"/>
      <c r="AT23" s="99"/>
      <c r="AW23" s="98"/>
      <c r="AX23" s="283"/>
      <c r="AY23" s="283"/>
      <c r="AZ23" s="283"/>
      <c r="BA23" s="288"/>
    </row>
    <row r="24" spans="1:53" s="343" customFormat="1">
      <c r="A24" s="178">
        <v>1966.7142857142901</v>
      </c>
      <c r="B24" s="831">
        <v>24824</v>
      </c>
      <c r="C24" s="909" t="s">
        <v>153</v>
      </c>
      <c r="D24" s="909"/>
      <c r="E24" s="178">
        <f>365-E23</f>
        <v>14</v>
      </c>
      <c r="F24" s="178">
        <v>3</v>
      </c>
      <c r="G24" s="333">
        <v>11</v>
      </c>
      <c r="H24" s="178"/>
      <c r="I24" s="178"/>
      <c r="J24" s="334">
        <v>11</v>
      </c>
      <c r="K24" s="295">
        <f t="shared" si="5"/>
        <v>100</v>
      </c>
      <c r="L24" s="295">
        <f t="shared" si="6"/>
        <v>0</v>
      </c>
      <c r="M24" s="295">
        <f t="shared" si="7"/>
        <v>0</v>
      </c>
      <c r="N24" s="296">
        <f t="shared" si="3"/>
        <v>100</v>
      </c>
      <c r="O24" s="335">
        <v>66.099999999999994</v>
      </c>
      <c r="P24" s="336"/>
      <c r="Q24" s="336"/>
      <c r="R24" s="337">
        <f t="shared" si="4"/>
        <v>66.099999999999994</v>
      </c>
      <c r="S24" s="338">
        <v>2</v>
      </c>
      <c r="T24" s="838"/>
      <c r="U24" s="838">
        <v>24824</v>
      </c>
      <c r="V24" s="339" t="s">
        <v>72</v>
      </c>
      <c r="W24" s="340" t="s">
        <v>74</v>
      </c>
      <c r="X24" s="340" t="s">
        <v>11</v>
      </c>
      <c r="Y24" s="341">
        <v>49.2</v>
      </c>
      <c r="Z24" s="340" t="s">
        <v>73</v>
      </c>
      <c r="AA24" s="340" t="s">
        <v>75</v>
      </c>
      <c r="AB24" s="340" t="s">
        <v>11</v>
      </c>
      <c r="AC24" s="340">
        <v>16.899999999999999</v>
      </c>
      <c r="AD24" s="339"/>
      <c r="AE24" s="340"/>
      <c r="AF24" s="340"/>
      <c r="AG24" s="341"/>
      <c r="AH24" s="340"/>
      <c r="AI24" s="340"/>
      <c r="AJ24" s="340"/>
      <c r="AK24" s="340"/>
      <c r="AL24" s="339"/>
      <c r="AM24" s="340"/>
      <c r="AN24" s="340"/>
      <c r="AO24" s="341"/>
      <c r="AP24" s="339"/>
      <c r="AQ24" s="340"/>
      <c r="AR24" s="340"/>
      <c r="AS24" s="341"/>
      <c r="AT24" s="342"/>
      <c r="AW24" s="341"/>
      <c r="AX24" s="344"/>
      <c r="AY24" s="344"/>
      <c r="AZ24" s="344"/>
      <c r="BA24" s="345"/>
    </row>
    <row r="25" spans="1:53" s="343" customFormat="1">
      <c r="A25" s="178">
        <v>1968</v>
      </c>
      <c r="B25" s="831"/>
      <c r="C25" s="909" t="s">
        <v>153</v>
      </c>
      <c r="D25" s="909"/>
      <c r="E25" s="178">
        <v>9</v>
      </c>
      <c r="F25" s="178"/>
      <c r="G25" s="333">
        <v>11</v>
      </c>
      <c r="H25" s="178"/>
      <c r="I25" s="178"/>
      <c r="J25" s="334">
        <v>11</v>
      </c>
      <c r="K25" s="295">
        <f>G25/J25*100</f>
        <v>100</v>
      </c>
      <c r="L25" s="295">
        <f>H25/J25*100</f>
        <v>0</v>
      </c>
      <c r="M25" s="295">
        <f>I25/J25*100</f>
        <v>0</v>
      </c>
      <c r="N25" s="296">
        <f t="shared" si="3"/>
        <v>100</v>
      </c>
      <c r="O25" s="335">
        <v>66.099999999999994</v>
      </c>
      <c r="P25" s="336"/>
      <c r="Q25" s="336"/>
      <c r="R25" s="337">
        <f t="shared" si="4"/>
        <v>66.099999999999994</v>
      </c>
      <c r="S25" s="338">
        <v>2</v>
      </c>
      <c r="T25" s="838"/>
      <c r="U25" s="838"/>
      <c r="V25" s="339" t="s">
        <v>72</v>
      </c>
      <c r="W25" s="340" t="s">
        <v>74</v>
      </c>
      <c r="X25" s="340" t="s">
        <v>11</v>
      </c>
      <c r="Y25" s="341">
        <v>49.2</v>
      </c>
      <c r="Z25" s="340" t="s">
        <v>73</v>
      </c>
      <c r="AA25" s="340" t="s">
        <v>75</v>
      </c>
      <c r="AB25" s="340" t="s">
        <v>11</v>
      </c>
      <c r="AC25" s="340">
        <v>16.899999999999999</v>
      </c>
      <c r="AD25" s="339"/>
      <c r="AE25" s="340"/>
      <c r="AF25" s="340"/>
      <c r="AG25" s="341"/>
      <c r="AH25" s="340"/>
      <c r="AI25" s="340"/>
      <c r="AJ25" s="340"/>
      <c r="AK25" s="340"/>
      <c r="AL25" s="339"/>
      <c r="AM25" s="340"/>
      <c r="AN25" s="340"/>
      <c r="AO25" s="341"/>
      <c r="AP25" s="339"/>
      <c r="AQ25" s="340"/>
      <c r="AR25" s="340"/>
      <c r="AS25" s="341"/>
      <c r="AT25" s="342"/>
      <c r="AW25" s="341"/>
      <c r="AX25" s="344"/>
      <c r="AY25" s="344"/>
      <c r="AZ25" s="344"/>
      <c r="BA25" s="345"/>
    </row>
    <row r="26" spans="1:53" s="100" customFormat="1">
      <c r="A26" s="87">
        <v>1967.62857142857</v>
      </c>
      <c r="B26" s="832">
        <v>24847</v>
      </c>
      <c r="C26" s="901" t="s">
        <v>154</v>
      </c>
      <c r="D26" s="901"/>
      <c r="E26" s="87">
        <v>49</v>
      </c>
      <c r="F26" s="87">
        <v>2</v>
      </c>
      <c r="G26" s="89">
        <v>12</v>
      </c>
      <c r="H26" s="87"/>
      <c r="I26" s="87"/>
      <c r="J26" s="90">
        <v>12</v>
      </c>
      <c r="K26" s="77">
        <f>G26/J26*100</f>
        <v>100</v>
      </c>
      <c r="L26" s="77">
        <f>H26/J26*100</f>
        <v>0</v>
      </c>
      <c r="M26" s="77">
        <f>I26/J26*100</f>
        <v>0</v>
      </c>
      <c r="N26" s="78">
        <f t="shared" si="3"/>
        <v>100</v>
      </c>
      <c r="O26" s="91">
        <v>66.099999999999994</v>
      </c>
      <c r="P26" s="92"/>
      <c r="Q26" s="92"/>
      <c r="R26" s="93">
        <f t="shared" si="4"/>
        <v>66.099999999999994</v>
      </c>
      <c r="S26" s="101">
        <v>2</v>
      </c>
      <c r="T26" s="839"/>
      <c r="U26" s="839">
        <v>24847</v>
      </c>
      <c r="V26" s="96" t="s">
        <v>72</v>
      </c>
      <c r="W26" s="97" t="s">
        <v>74</v>
      </c>
      <c r="X26" s="97" t="s">
        <v>11</v>
      </c>
      <c r="Y26" s="98">
        <v>49.2</v>
      </c>
      <c r="Z26" s="97" t="s">
        <v>73</v>
      </c>
      <c r="AA26" s="97" t="s">
        <v>75</v>
      </c>
      <c r="AB26" s="97" t="s">
        <v>11</v>
      </c>
      <c r="AC26" s="97">
        <v>16.899999999999999</v>
      </c>
      <c r="AD26" s="96"/>
      <c r="AE26" s="97"/>
      <c r="AF26" s="97"/>
      <c r="AG26" s="98"/>
      <c r="AH26" s="97"/>
      <c r="AI26" s="97"/>
      <c r="AJ26" s="97"/>
      <c r="AK26" s="97"/>
      <c r="AL26" s="96"/>
      <c r="AM26" s="97"/>
      <c r="AN26" s="97"/>
      <c r="AO26" s="98"/>
      <c r="AP26" s="96"/>
      <c r="AQ26" s="97"/>
      <c r="AR26" s="97"/>
      <c r="AS26" s="98"/>
      <c r="AT26" s="99"/>
      <c r="AW26" s="98"/>
      <c r="AX26" s="283"/>
      <c r="AY26" s="283"/>
      <c r="AZ26" s="283"/>
      <c r="BA26" s="288"/>
    </row>
    <row r="27" spans="1:53" s="100" customFormat="1">
      <c r="A27" s="87">
        <v>1967.62857142857</v>
      </c>
      <c r="B27" s="833">
        <v>24896</v>
      </c>
      <c r="C27" s="901" t="s">
        <v>154</v>
      </c>
      <c r="D27" s="901"/>
      <c r="E27" s="87">
        <v>308</v>
      </c>
      <c r="F27" s="107">
        <v>0</v>
      </c>
      <c r="G27" s="89">
        <v>12</v>
      </c>
      <c r="H27" s="87"/>
      <c r="I27" s="87"/>
      <c r="J27" s="90">
        <v>12</v>
      </c>
      <c r="K27" s="77">
        <f t="shared" ref="K27:K33" si="8">G27/J27*100</f>
        <v>100</v>
      </c>
      <c r="L27" s="77">
        <f t="shared" ref="L27:L33" si="9">H27/J27*100</f>
        <v>0</v>
      </c>
      <c r="M27" s="77">
        <f t="shared" ref="M27:M33" si="10">I27/J27*100</f>
        <v>0</v>
      </c>
      <c r="N27" s="78">
        <f t="shared" si="3"/>
        <v>100</v>
      </c>
      <c r="O27" s="91">
        <v>66.099999999999994</v>
      </c>
      <c r="P27" s="92"/>
      <c r="Q27" s="92"/>
      <c r="R27" s="93">
        <f t="shared" si="4"/>
        <v>66.099999999999994</v>
      </c>
      <c r="S27" s="101">
        <v>2</v>
      </c>
      <c r="T27" s="839"/>
      <c r="U27" s="839"/>
      <c r="V27" s="96" t="s">
        <v>72</v>
      </c>
      <c r="W27" s="97" t="s">
        <v>74</v>
      </c>
      <c r="X27" s="97" t="s">
        <v>11</v>
      </c>
      <c r="Y27" s="98">
        <v>49.2</v>
      </c>
      <c r="Z27" s="97" t="s">
        <v>73</v>
      </c>
      <c r="AA27" s="97" t="s">
        <v>75</v>
      </c>
      <c r="AB27" s="97" t="s">
        <v>11</v>
      </c>
      <c r="AC27" s="97">
        <v>16.899999999999999</v>
      </c>
      <c r="AD27" s="96"/>
      <c r="AE27" s="97"/>
      <c r="AF27" s="97"/>
      <c r="AG27" s="98"/>
      <c r="AH27" s="97"/>
      <c r="AI27" s="97"/>
      <c r="AJ27" s="97"/>
      <c r="AK27" s="97"/>
      <c r="AL27" s="96"/>
      <c r="AM27" s="97"/>
      <c r="AN27" s="97"/>
      <c r="AO27" s="98"/>
      <c r="AP27" s="96"/>
      <c r="AQ27" s="97"/>
      <c r="AR27" s="97"/>
      <c r="AS27" s="98"/>
      <c r="AT27" s="99"/>
      <c r="AW27" s="98"/>
      <c r="AX27" s="283"/>
      <c r="AY27" s="283"/>
      <c r="AZ27" s="283"/>
      <c r="BA27" s="288"/>
    </row>
    <row r="28" spans="1:53" s="100" customFormat="1">
      <c r="A28" s="87">
        <v>1969</v>
      </c>
      <c r="B28" s="832"/>
      <c r="C28" s="901" t="s">
        <v>154</v>
      </c>
      <c r="D28" s="901"/>
      <c r="E28" s="87">
        <v>314</v>
      </c>
      <c r="F28" s="87"/>
      <c r="G28" s="89">
        <v>12</v>
      </c>
      <c r="H28" s="87"/>
      <c r="I28" s="87"/>
      <c r="J28" s="90">
        <v>12</v>
      </c>
      <c r="K28" s="77">
        <f t="shared" si="8"/>
        <v>100</v>
      </c>
      <c r="L28" s="77">
        <f t="shared" si="9"/>
        <v>0</v>
      </c>
      <c r="M28" s="77">
        <f t="shared" si="10"/>
        <v>0</v>
      </c>
      <c r="N28" s="78">
        <f t="shared" si="3"/>
        <v>100</v>
      </c>
      <c r="O28" s="91">
        <v>66.099999999999994</v>
      </c>
      <c r="P28" s="92"/>
      <c r="Q28" s="92"/>
      <c r="R28" s="93">
        <f t="shared" si="4"/>
        <v>66.099999999999994</v>
      </c>
      <c r="S28" s="101">
        <v>2</v>
      </c>
      <c r="T28" s="839"/>
      <c r="U28" s="839"/>
      <c r="V28" s="96" t="s">
        <v>72</v>
      </c>
      <c r="W28" s="97" t="s">
        <v>74</v>
      </c>
      <c r="X28" s="97" t="s">
        <v>11</v>
      </c>
      <c r="Y28" s="98">
        <v>49.2</v>
      </c>
      <c r="Z28" s="97" t="s">
        <v>73</v>
      </c>
      <c r="AA28" s="97" t="s">
        <v>75</v>
      </c>
      <c r="AB28" s="97" t="s">
        <v>11</v>
      </c>
      <c r="AC28" s="97">
        <v>16.899999999999999</v>
      </c>
      <c r="AD28" s="96"/>
      <c r="AE28" s="97"/>
      <c r="AF28" s="97"/>
      <c r="AG28" s="98"/>
      <c r="AH28" s="97"/>
      <c r="AI28" s="97"/>
      <c r="AJ28" s="97"/>
      <c r="AK28" s="97"/>
      <c r="AL28" s="96"/>
      <c r="AM28" s="97"/>
      <c r="AN28" s="97"/>
      <c r="AO28" s="98"/>
      <c r="AP28" s="96"/>
      <c r="AQ28" s="97"/>
      <c r="AR28" s="97"/>
      <c r="AS28" s="98"/>
      <c r="AT28" s="99"/>
      <c r="AW28" s="98"/>
      <c r="AX28" s="283"/>
      <c r="AY28" s="283"/>
      <c r="AZ28" s="283"/>
      <c r="BA28" s="288"/>
    </row>
    <row r="29" spans="1:53" s="343" customFormat="1">
      <c r="A29" s="178">
        <v>1968.5428571428599</v>
      </c>
      <c r="B29" s="831">
        <v>25518</v>
      </c>
      <c r="C29" s="909" t="s">
        <v>155</v>
      </c>
      <c r="D29" s="909"/>
      <c r="E29" s="178">
        <f>365-E28</f>
        <v>51</v>
      </c>
      <c r="F29" s="178">
        <v>1</v>
      </c>
      <c r="G29" s="333">
        <v>13</v>
      </c>
      <c r="H29" s="178"/>
      <c r="I29" s="178"/>
      <c r="J29" s="334">
        <v>13</v>
      </c>
      <c r="K29" s="295">
        <f>G29/J29*100</f>
        <v>100</v>
      </c>
      <c r="L29" s="295">
        <f t="shared" si="9"/>
        <v>0</v>
      </c>
      <c r="M29" s="295">
        <f t="shared" si="10"/>
        <v>0</v>
      </c>
      <c r="N29" s="296">
        <f t="shared" si="3"/>
        <v>100</v>
      </c>
      <c r="O29" s="335">
        <v>52.8</v>
      </c>
      <c r="P29" s="336"/>
      <c r="Q29" s="336"/>
      <c r="R29" s="337">
        <f t="shared" si="4"/>
        <v>52.8</v>
      </c>
      <c r="S29" s="338">
        <v>2</v>
      </c>
      <c r="T29" s="838">
        <v>25501</v>
      </c>
      <c r="U29" s="838">
        <v>25518</v>
      </c>
      <c r="V29" s="339" t="s">
        <v>72</v>
      </c>
      <c r="W29" s="340" t="s">
        <v>74</v>
      </c>
      <c r="X29" s="340" t="s">
        <v>11</v>
      </c>
      <c r="Y29" s="341">
        <v>36.799999999999997</v>
      </c>
      <c r="Z29" s="340" t="s">
        <v>73</v>
      </c>
      <c r="AA29" s="340" t="s">
        <v>75</v>
      </c>
      <c r="AB29" s="340" t="s">
        <v>11</v>
      </c>
      <c r="AC29" s="340">
        <v>16</v>
      </c>
      <c r="AD29" s="339"/>
      <c r="AE29" s="340"/>
      <c r="AF29" s="340"/>
      <c r="AG29" s="341"/>
      <c r="AH29" s="340"/>
      <c r="AI29" s="340"/>
      <c r="AJ29" s="340"/>
      <c r="AK29" s="340"/>
      <c r="AL29" s="339"/>
      <c r="AM29" s="340"/>
      <c r="AN29" s="340"/>
      <c r="AO29" s="341"/>
      <c r="AP29" s="339"/>
      <c r="AQ29" s="340"/>
      <c r="AR29" s="340"/>
      <c r="AS29" s="341"/>
      <c r="AT29" s="342"/>
      <c r="AW29" s="341"/>
      <c r="AX29" s="344"/>
      <c r="AY29" s="344"/>
      <c r="AZ29" s="344"/>
      <c r="BA29" s="345"/>
    </row>
    <row r="30" spans="1:53" s="343" customFormat="1">
      <c r="A30" s="178">
        <v>1970</v>
      </c>
      <c r="B30" s="831"/>
      <c r="C30" s="909" t="s">
        <v>155</v>
      </c>
      <c r="D30" s="909"/>
      <c r="E30" s="178">
        <v>0</v>
      </c>
      <c r="F30" s="178"/>
      <c r="G30" s="333">
        <v>13</v>
      </c>
      <c r="H30" s="178"/>
      <c r="I30" s="178"/>
      <c r="J30" s="334">
        <v>13</v>
      </c>
      <c r="K30" s="295">
        <f t="shared" si="8"/>
        <v>100</v>
      </c>
      <c r="L30" s="295">
        <f t="shared" si="9"/>
        <v>0</v>
      </c>
      <c r="M30" s="295">
        <f t="shared" si="10"/>
        <v>0</v>
      </c>
      <c r="N30" s="296">
        <f t="shared" si="3"/>
        <v>100</v>
      </c>
      <c r="O30" s="335">
        <v>52.8</v>
      </c>
      <c r="P30" s="336"/>
      <c r="Q30" s="336"/>
      <c r="R30" s="337">
        <f t="shared" si="4"/>
        <v>52.8</v>
      </c>
      <c r="S30" s="338">
        <v>2</v>
      </c>
      <c r="T30" s="838"/>
      <c r="U30" s="838"/>
      <c r="V30" s="339" t="s">
        <v>72</v>
      </c>
      <c r="W30" s="340" t="s">
        <v>74</v>
      </c>
      <c r="X30" s="340" t="s">
        <v>11</v>
      </c>
      <c r="Y30" s="341">
        <v>36.799999999999997</v>
      </c>
      <c r="Z30" s="340" t="s">
        <v>73</v>
      </c>
      <c r="AA30" s="340" t="s">
        <v>75</v>
      </c>
      <c r="AB30" s="340" t="s">
        <v>11</v>
      </c>
      <c r="AC30" s="340">
        <v>16</v>
      </c>
      <c r="AD30" s="339"/>
      <c r="AE30" s="340"/>
      <c r="AF30" s="340"/>
      <c r="AG30" s="341"/>
      <c r="AH30" s="340"/>
      <c r="AI30" s="340"/>
      <c r="AJ30" s="340"/>
      <c r="AK30" s="340"/>
      <c r="AL30" s="339"/>
      <c r="AM30" s="340"/>
      <c r="AN30" s="340"/>
      <c r="AO30" s="341"/>
      <c r="AP30" s="339"/>
      <c r="AQ30" s="340"/>
      <c r="AR30" s="340"/>
      <c r="AS30" s="341"/>
      <c r="AT30" s="342"/>
      <c r="AW30" s="341"/>
      <c r="AX30" s="344"/>
      <c r="AY30" s="344"/>
      <c r="AZ30" s="344"/>
      <c r="BA30" s="345"/>
    </row>
    <row r="31" spans="1:53" s="343" customFormat="1">
      <c r="A31" s="178">
        <v>1970</v>
      </c>
      <c r="B31" s="831"/>
      <c r="C31" s="909" t="s">
        <v>155</v>
      </c>
      <c r="D31" s="909"/>
      <c r="E31" s="178">
        <f>365-E30</f>
        <v>365</v>
      </c>
      <c r="F31" s="178"/>
      <c r="G31" s="333">
        <v>13</v>
      </c>
      <c r="H31" s="178"/>
      <c r="I31" s="178"/>
      <c r="J31" s="334">
        <v>13</v>
      </c>
      <c r="K31" s="295">
        <f t="shared" si="8"/>
        <v>100</v>
      </c>
      <c r="L31" s="295">
        <f t="shared" si="9"/>
        <v>0</v>
      </c>
      <c r="M31" s="295">
        <f t="shared" si="10"/>
        <v>0</v>
      </c>
      <c r="N31" s="296">
        <f t="shared" si="3"/>
        <v>100</v>
      </c>
      <c r="O31" s="335">
        <v>52.8</v>
      </c>
      <c r="P31" s="336"/>
      <c r="Q31" s="336"/>
      <c r="R31" s="337">
        <f t="shared" si="4"/>
        <v>52.8</v>
      </c>
      <c r="S31" s="338">
        <v>2</v>
      </c>
      <c r="T31" s="838"/>
      <c r="U31" s="838"/>
      <c r="V31" s="339" t="s">
        <v>72</v>
      </c>
      <c r="W31" s="340" t="s">
        <v>74</v>
      </c>
      <c r="X31" s="340" t="s">
        <v>11</v>
      </c>
      <c r="Y31" s="341">
        <v>36.799999999999997</v>
      </c>
      <c r="Z31" s="340" t="s">
        <v>73</v>
      </c>
      <c r="AA31" s="340" t="s">
        <v>75</v>
      </c>
      <c r="AB31" s="340" t="s">
        <v>11</v>
      </c>
      <c r="AC31" s="340">
        <v>16</v>
      </c>
      <c r="AD31" s="339"/>
      <c r="AE31" s="340"/>
      <c r="AF31" s="340"/>
      <c r="AG31" s="341"/>
      <c r="AH31" s="340"/>
      <c r="AI31" s="340"/>
      <c r="AJ31" s="340"/>
      <c r="AK31" s="340"/>
      <c r="AL31" s="339"/>
      <c r="AM31" s="340"/>
      <c r="AN31" s="340"/>
      <c r="AO31" s="341"/>
      <c r="AP31" s="339"/>
      <c r="AQ31" s="340"/>
      <c r="AR31" s="340"/>
      <c r="AS31" s="341"/>
      <c r="AT31" s="342"/>
      <c r="AW31" s="341"/>
      <c r="AX31" s="344"/>
      <c r="AY31" s="344"/>
      <c r="AZ31" s="344"/>
      <c r="BA31" s="345"/>
    </row>
    <row r="32" spans="1:53" s="343" customFormat="1">
      <c r="A32" s="178">
        <v>1971</v>
      </c>
      <c r="B32" s="831"/>
      <c r="C32" s="909" t="s">
        <v>155</v>
      </c>
      <c r="D32" s="909"/>
      <c r="E32" s="178">
        <v>79</v>
      </c>
      <c r="F32" s="178"/>
      <c r="G32" s="333">
        <v>13</v>
      </c>
      <c r="H32" s="178"/>
      <c r="I32" s="178"/>
      <c r="J32" s="334">
        <v>13</v>
      </c>
      <c r="K32" s="295">
        <f t="shared" si="8"/>
        <v>100</v>
      </c>
      <c r="L32" s="295">
        <f t="shared" si="9"/>
        <v>0</v>
      </c>
      <c r="M32" s="295">
        <f t="shared" si="10"/>
        <v>0</v>
      </c>
      <c r="N32" s="296">
        <f t="shared" si="3"/>
        <v>100</v>
      </c>
      <c r="O32" s="335">
        <v>52.8</v>
      </c>
      <c r="P32" s="336"/>
      <c r="Q32" s="336"/>
      <c r="R32" s="337">
        <f t="shared" si="4"/>
        <v>52.8</v>
      </c>
      <c r="S32" s="338">
        <v>2</v>
      </c>
      <c r="T32" s="838"/>
      <c r="U32" s="838"/>
      <c r="V32" s="339" t="s">
        <v>72</v>
      </c>
      <c r="W32" s="340" t="s">
        <v>74</v>
      </c>
      <c r="X32" s="340" t="s">
        <v>11</v>
      </c>
      <c r="Y32" s="341">
        <v>36.799999999999997</v>
      </c>
      <c r="Z32" s="340" t="s">
        <v>73</v>
      </c>
      <c r="AA32" s="340" t="s">
        <v>75</v>
      </c>
      <c r="AB32" s="340" t="s">
        <v>11</v>
      </c>
      <c r="AC32" s="340">
        <v>16</v>
      </c>
      <c r="AD32" s="339"/>
      <c r="AE32" s="340"/>
      <c r="AF32" s="340"/>
      <c r="AG32" s="341"/>
      <c r="AH32" s="340"/>
      <c r="AI32" s="340"/>
      <c r="AJ32" s="340"/>
      <c r="AK32" s="340"/>
      <c r="AL32" s="339"/>
      <c r="AM32" s="340"/>
      <c r="AN32" s="340"/>
      <c r="AO32" s="341"/>
      <c r="AP32" s="339"/>
      <c r="AQ32" s="340"/>
      <c r="AR32" s="340"/>
      <c r="AS32" s="341"/>
      <c r="AT32" s="342"/>
      <c r="AW32" s="341"/>
      <c r="AX32" s="344"/>
      <c r="AY32" s="344"/>
      <c r="AZ32" s="344"/>
      <c r="BA32" s="345"/>
    </row>
    <row r="33" spans="1:53" s="100" customFormat="1">
      <c r="A33" s="87">
        <v>1971</v>
      </c>
      <c r="B33" s="832">
        <v>26013</v>
      </c>
      <c r="C33" s="901" t="s">
        <v>156</v>
      </c>
      <c r="D33" s="901"/>
      <c r="E33" s="87">
        <v>286</v>
      </c>
      <c r="F33" s="87">
        <v>2</v>
      </c>
      <c r="G33" s="89">
        <v>13</v>
      </c>
      <c r="H33" s="87"/>
      <c r="I33" s="87"/>
      <c r="J33" s="90">
        <v>13</v>
      </c>
      <c r="K33" s="77">
        <f t="shared" si="8"/>
        <v>100</v>
      </c>
      <c r="L33" s="77">
        <f t="shared" si="9"/>
        <v>0</v>
      </c>
      <c r="M33" s="77">
        <f t="shared" si="10"/>
        <v>0</v>
      </c>
      <c r="N33" s="78">
        <f t="shared" si="3"/>
        <v>100</v>
      </c>
      <c r="O33" s="91">
        <v>52.8</v>
      </c>
      <c r="P33" s="92"/>
      <c r="Q33" s="92"/>
      <c r="R33" s="93">
        <f t="shared" si="4"/>
        <v>52.8</v>
      </c>
      <c r="S33" s="101">
        <v>2</v>
      </c>
      <c r="T33" s="839"/>
      <c r="U33" s="839">
        <v>26013</v>
      </c>
      <c r="V33" s="96" t="s">
        <v>72</v>
      </c>
      <c r="W33" s="97" t="s">
        <v>74</v>
      </c>
      <c r="X33" s="97" t="s">
        <v>11</v>
      </c>
      <c r="Y33" s="98">
        <v>36.799999999999997</v>
      </c>
      <c r="Z33" s="97" t="s">
        <v>73</v>
      </c>
      <c r="AA33" s="97" t="s">
        <v>75</v>
      </c>
      <c r="AB33" s="97" t="s">
        <v>11</v>
      </c>
      <c r="AC33" s="97">
        <v>16</v>
      </c>
      <c r="AD33" s="96"/>
      <c r="AE33" s="97"/>
      <c r="AF33" s="97"/>
      <c r="AG33" s="98"/>
      <c r="AH33" s="97"/>
      <c r="AI33" s="97"/>
      <c r="AJ33" s="97"/>
      <c r="AK33" s="97"/>
      <c r="AL33" s="96"/>
      <c r="AM33" s="97"/>
      <c r="AN33" s="97"/>
      <c r="AO33" s="98"/>
      <c r="AP33" s="96"/>
      <c r="AQ33" s="97"/>
      <c r="AR33" s="97"/>
      <c r="AS33" s="98"/>
      <c r="AT33" s="99"/>
      <c r="AW33" s="98"/>
      <c r="AX33" s="283"/>
      <c r="AY33" s="283"/>
      <c r="AZ33" s="283"/>
      <c r="BA33" s="288"/>
    </row>
    <row r="34" spans="1:53" s="100" customFormat="1">
      <c r="A34" s="87">
        <v>1972</v>
      </c>
      <c r="B34" s="832"/>
      <c r="C34" s="901" t="s">
        <v>156</v>
      </c>
      <c r="D34" s="901"/>
      <c r="E34" s="87">
        <v>353</v>
      </c>
      <c r="F34" s="87"/>
      <c r="G34" s="89">
        <v>13</v>
      </c>
      <c r="H34" s="87"/>
      <c r="I34" s="87"/>
      <c r="J34" s="90">
        <v>13</v>
      </c>
      <c r="K34" s="77">
        <f t="shared" ref="K34:K41" si="11">G34/J34*100</f>
        <v>100</v>
      </c>
      <c r="L34" s="77">
        <f t="shared" ref="L34:L41" si="12">H34/J34*100</f>
        <v>0</v>
      </c>
      <c r="M34" s="77">
        <f t="shared" ref="M34:M41" si="13">I34/J34*100</f>
        <v>0</v>
      </c>
      <c r="N34" s="78">
        <f t="shared" si="3"/>
        <v>100</v>
      </c>
      <c r="O34" s="91">
        <v>52.8</v>
      </c>
      <c r="P34" s="92"/>
      <c r="Q34" s="92"/>
      <c r="R34" s="93">
        <f t="shared" si="4"/>
        <v>52.8</v>
      </c>
      <c r="S34" s="101">
        <v>2</v>
      </c>
      <c r="T34" s="839"/>
      <c r="U34" s="839"/>
      <c r="V34" s="96" t="s">
        <v>72</v>
      </c>
      <c r="W34" s="97" t="s">
        <v>74</v>
      </c>
      <c r="X34" s="97" t="s">
        <v>11</v>
      </c>
      <c r="Y34" s="98">
        <v>36.799999999999997</v>
      </c>
      <c r="Z34" s="97" t="s">
        <v>73</v>
      </c>
      <c r="AA34" s="97" t="s">
        <v>75</v>
      </c>
      <c r="AB34" s="97" t="s">
        <v>11</v>
      </c>
      <c r="AC34" s="97">
        <v>16</v>
      </c>
      <c r="AD34" s="96"/>
      <c r="AE34" s="97"/>
      <c r="AF34" s="97"/>
      <c r="AG34" s="98"/>
      <c r="AH34" s="97"/>
      <c r="AI34" s="97"/>
      <c r="AJ34" s="97"/>
      <c r="AK34" s="97"/>
      <c r="AL34" s="96"/>
      <c r="AM34" s="97"/>
      <c r="AN34" s="97"/>
      <c r="AO34" s="98"/>
      <c r="AP34" s="96"/>
      <c r="AQ34" s="97"/>
      <c r="AR34" s="97"/>
      <c r="AS34" s="98"/>
      <c r="AT34" s="99"/>
      <c r="AW34" s="98"/>
      <c r="AX34" s="283"/>
      <c r="AY34" s="283"/>
      <c r="AZ34" s="283"/>
      <c r="BA34" s="288"/>
    </row>
    <row r="35" spans="1:53" s="343" customFormat="1">
      <c r="A35" s="178">
        <v>1972</v>
      </c>
      <c r="B35" s="831">
        <v>26652</v>
      </c>
      <c r="C35" s="909" t="s">
        <v>157</v>
      </c>
      <c r="D35" s="909"/>
      <c r="E35" s="178">
        <v>13</v>
      </c>
      <c r="F35" s="178">
        <v>1</v>
      </c>
      <c r="G35" s="333"/>
      <c r="H35" s="178"/>
      <c r="I35" s="178">
        <v>27</v>
      </c>
      <c r="J35" s="334">
        <v>27</v>
      </c>
      <c r="K35" s="295">
        <f t="shared" si="11"/>
        <v>0</v>
      </c>
      <c r="L35" s="295">
        <f t="shared" si="12"/>
        <v>0</v>
      </c>
      <c r="M35" s="295">
        <f t="shared" si="13"/>
        <v>100</v>
      </c>
      <c r="N35" s="296">
        <f t="shared" si="3"/>
        <v>100</v>
      </c>
      <c r="O35" s="335"/>
      <c r="P35" s="336"/>
      <c r="Q35" s="336">
        <v>53.6</v>
      </c>
      <c r="R35" s="337">
        <f t="shared" si="4"/>
        <v>53.6</v>
      </c>
      <c r="S35" s="338">
        <v>1</v>
      </c>
      <c r="T35" s="838">
        <v>26635</v>
      </c>
      <c r="U35" s="838">
        <v>26652</v>
      </c>
      <c r="V35" s="339" t="s">
        <v>78</v>
      </c>
      <c r="W35" s="340" t="s">
        <v>20</v>
      </c>
      <c r="X35" s="340" t="s">
        <v>12</v>
      </c>
      <c r="Y35" s="341">
        <v>53.6</v>
      </c>
      <c r="Z35" s="340"/>
      <c r="AA35" s="340"/>
      <c r="AB35" s="340"/>
      <c r="AC35" s="340"/>
      <c r="AD35" s="339"/>
      <c r="AE35" s="340"/>
      <c r="AF35" s="340"/>
      <c r="AG35" s="341"/>
      <c r="AH35" s="340"/>
      <c r="AI35" s="340"/>
      <c r="AJ35" s="340"/>
      <c r="AK35" s="340"/>
      <c r="AL35" s="339"/>
      <c r="AM35" s="340"/>
      <c r="AN35" s="340"/>
      <c r="AO35" s="341"/>
      <c r="AP35" s="339"/>
      <c r="AQ35" s="340"/>
      <c r="AR35" s="340"/>
      <c r="AS35" s="341"/>
      <c r="AT35" s="342"/>
      <c r="AW35" s="341"/>
      <c r="AX35" s="344"/>
      <c r="AY35" s="344"/>
      <c r="AZ35" s="344"/>
      <c r="BA35" s="345"/>
    </row>
    <row r="36" spans="1:53" s="343" customFormat="1">
      <c r="A36" s="178">
        <v>1973</v>
      </c>
      <c r="B36" s="831"/>
      <c r="C36" s="909" t="s">
        <v>157</v>
      </c>
      <c r="D36" s="909"/>
      <c r="E36" s="178">
        <v>0</v>
      </c>
      <c r="F36" s="178"/>
      <c r="G36" s="333"/>
      <c r="H36" s="178"/>
      <c r="I36" s="178">
        <v>27</v>
      </c>
      <c r="J36" s="334">
        <v>27</v>
      </c>
      <c r="K36" s="295">
        <f t="shared" si="11"/>
        <v>0</v>
      </c>
      <c r="L36" s="295">
        <f t="shared" si="12"/>
        <v>0</v>
      </c>
      <c r="M36" s="295">
        <f t="shared" si="13"/>
        <v>100</v>
      </c>
      <c r="N36" s="296">
        <f t="shared" si="3"/>
        <v>100</v>
      </c>
      <c r="O36" s="335"/>
      <c r="P36" s="336"/>
      <c r="Q36" s="336">
        <v>53.6</v>
      </c>
      <c r="R36" s="337">
        <f t="shared" si="4"/>
        <v>53.6</v>
      </c>
      <c r="S36" s="338">
        <v>1</v>
      </c>
      <c r="T36" s="838"/>
      <c r="U36" s="838"/>
      <c r="V36" s="339" t="s">
        <v>78</v>
      </c>
      <c r="W36" s="340" t="s">
        <v>20</v>
      </c>
      <c r="X36" s="340" t="s">
        <v>12</v>
      </c>
      <c r="Y36" s="341">
        <v>53.6</v>
      </c>
      <c r="Z36" s="340"/>
      <c r="AA36" s="340"/>
      <c r="AB36" s="340"/>
      <c r="AC36" s="340"/>
      <c r="AD36" s="339"/>
      <c r="AE36" s="340"/>
      <c r="AF36" s="340"/>
      <c r="AG36" s="341"/>
      <c r="AH36" s="340"/>
      <c r="AI36" s="340"/>
      <c r="AJ36" s="340"/>
      <c r="AK36" s="340"/>
      <c r="AL36" s="339"/>
      <c r="AM36" s="340"/>
      <c r="AN36" s="340"/>
      <c r="AO36" s="341"/>
      <c r="AP36" s="339"/>
      <c r="AQ36" s="340"/>
      <c r="AR36" s="340"/>
      <c r="AS36" s="341"/>
      <c r="AT36" s="342"/>
      <c r="AW36" s="341"/>
      <c r="AX36" s="344"/>
      <c r="AY36" s="344"/>
      <c r="AZ36" s="344"/>
      <c r="BA36" s="345"/>
    </row>
    <row r="37" spans="1:53" s="343" customFormat="1">
      <c r="A37" s="178">
        <v>1973</v>
      </c>
      <c r="B37" s="831"/>
      <c r="C37" s="909" t="s">
        <v>157</v>
      </c>
      <c r="D37" s="909"/>
      <c r="E37" s="178">
        <f>365-E36</f>
        <v>365</v>
      </c>
      <c r="F37" s="178"/>
      <c r="G37" s="333"/>
      <c r="H37" s="178"/>
      <c r="I37" s="178">
        <v>27</v>
      </c>
      <c r="J37" s="334">
        <v>27</v>
      </c>
      <c r="K37" s="295">
        <f t="shared" si="11"/>
        <v>0</v>
      </c>
      <c r="L37" s="295">
        <f t="shared" si="12"/>
        <v>0</v>
      </c>
      <c r="M37" s="295">
        <f t="shared" si="13"/>
        <v>100</v>
      </c>
      <c r="N37" s="296">
        <f t="shared" si="3"/>
        <v>100</v>
      </c>
      <c r="O37" s="335"/>
      <c r="P37" s="336"/>
      <c r="Q37" s="336">
        <v>53.6</v>
      </c>
      <c r="R37" s="337">
        <f t="shared" si="4"/>
        <v>53.6</v>
      </c>
      <c r="S37" s="338">
        <v>1</v>
      </c>
      <c r="T37" s="838"/>
      <c r="U37" s="838"/>
      <c r="V37" s="339" t="s">
        <v>78</v>
      </c>
      <c r="W37" s="340" t="s">
        <v>20</v>
      </c>
      <c r="X37" s="340" t="s">
        <v>12</v>
      </c>
      <c r="Y37" s="341">
        <v>53.6</v>
      </c>
      <c r="Z37" s="340"/>
      <c r="AA37" s="340"/>
      <c r="AB37" s="340"/>
      <c r="AC37" s="340"/>
      <c r="AD37" s="339"/>
      <c r="AE37" s="340"/>
      <c r="AF37" s="340"/>
      <c r="AG37" s="341"/>
      <c r="AH37" s="340"/>
      <c r="AI37" s="340"/>
      <c r="AJ37" s="340"/>
      <c r="AK37" s="340"/>
      <c r="AL37" s="339"/>
      <c r="AM37" s="340"/>
      <c r="AN37" s="340"/>
      <c r="AO37" s="341"/>
      <c r="AP37" s="339"/>
      <c r="AQ37" s="340"/>
      <c r="AR37" s="340"/>
      <c r="AS37" s="341"/>
      <c r="AT37" s="342"/>
      <c r="AW37" s="341"/>
      <c r="AX37" s="344"/>
      <c r="AY37" s="344"/>
      <c r="AZ37" s="344"/>
      <c r="BA37" s="345"/>
    </row>
    <row r="38" spans="1:53" s="343" customFormat="1">
      <c r="A38" s="178">
        <v>1974</v>
      </c>
      <c r="B38" s="831"/>
      <c r="C38" s="909" t="s">
        <v>157</v>
      </c>
      <c r="D38" s="909"/>
      <c r="E38" s="178">
        <v>162</v>
      </c>
      <c r="F38" s="178"/>
      <c r="G38" s="333"/>
      <c r="H38" s="178"/>
      <c r="I38" s="178">
        <v>27</v>
      </c>
      <c r="J38" s="334">
        <v>27</v>
      </c>
      <c r="K38" s="295">
        <f t="shared" si="11"/>
        <v>0</v>
      </c>
      <c r="L38" s="295">
        <f t="shared" si="12"/>
        <v>0</v>
      </c>
      <c r="M38" s="295">
        <f t="shared" si="13"/>
        <v>100</v>
      </c>
      <c r="N38" s="296">
        <f t="shared" si="3"/>
        <v>100</v>
      </c>
      <c r="O38" s="335"/>
      <c r="P38" s="336"/>
      <c r="Q38" s="336">
        <v>53.6</v>
      </c>
      <c r="R38" s="337">
        <f t="shared" si="4"/>
        <v>53.6</v>
      </c>
      <c r="S38" s="338">
        <v>1</v>
      </c>
      <c r="T38" s="838"/>
      <c r="U38" s="838"/>
      <c r="V38" s="339" t="s">
        <v>78</v>
      </c>
      <c r="W38" s="340" t="s">
        <v>20</v>
      </c>
      <c r="X38" s="340" t="s">
        <v>12</v>
      </c>
      <c r="Y38" s="341">
        <v>53.6</v>
      </c>
      <c r="Z38" s="340"/>
      <c r="AA38" s="340"/>
      <c r="AB38" s="340"/>
      <c r="AC38" s="340"/>
      <c r="AD38" s="339"/>
      <c r="AE38" s="340"/>
      <c r="AF38" s="340"/>
      <c r="AG38" s="341"/>
      <c r="AH38" s="340"/>
      <c r="AI38" s="340"/>
      <c r="AJ38" s="340"/>
      <c r="AK38" s="340"/>
      <c r="AL38" s="339"/>
      <c r="AM38" s="340"/>
      <c r="AN38" s="340"/>
      <c r="AO38" s="341"/>
      <c r="AP38" s="339"/>
      <c r="AQ38" s="340"/>
      <c r="AR38" s="340"/>
      <c r="AS38" s="341"/>
      <c r="AT38" s="342"/>
      <c r="AW38" s="341"/>
      <c r="AX38" s="344"/>
      <c r="AY38" s="344"/>
      <c r="AZ38" s="344"/>
      <c r="BA38" s="345"/>
    </row>
    <row r="39" spans="1:53" s="100" customFormat="1">
      <c r="A39" s="87">
        <v>1974</v>
      </c>
      <c r="B39" s="832">
        <v>27192</v>
      </c>
      <c r="C39" s="901" t="s">
        <v>158</v>
      </c>
      <c r="D39" s="901"/>
      <c r="E39" s="87">
        <f>365-E38</f>
        <v>203</v>
      </c>
      <c r="F39" s="87">
        <v>1</v>
      </c>
      <c r="G39" s="89"/>
      <c r="H39" s="87"/>
      <c r="I39" s="87">
        <v>27</v>
      </c>
      <c r="J39" s="90">
        <v>27</v>
      </c>
      <c r="K39" s="77">
        <f t="shared" si="11"/>
        <v>0</v>
      </c>
      <c r="L39" s="77">
        <f t="shared" si="12"/>
        <v>0</v>
      </c>
      <c r="M39" s="77">
        <f t="shared" si="13"/>
        <v>100</v>
      </c>
      <c r="N39" s="78">
        <f t="shared" si="3"/>
        <v>100</v>
      </c>
      <c r="O39" s="91"/>
      <c r="P39" s="92"/>
      <c r="Q39" s="92">
        <v>52</v>
      </c>
      <c r="R39" s="93">
        <f t="shared" si="4"/>
        <v>52</v>
      </c>
      <c r="S39" s="101">
        <v>1</v>
      </c>
      <c r="T39" s="839">
        <v>27167</v>
      </c>
      <c r="U39" s="839">
        <v>27192</v>
      </c>
      <c r="V39" s="96" t="s">
        <v>78</v>
      </c>
      <c r="W39" s="97" t="s">
        <v>20</v>
      </c>
      <c r="X39" s="97" t="s">
        <v>12</v>
      </c>
      <c r="Y39" s="98">
        <v>52</v>
      </c>
      <c r="Z39" s="97"/>
      <c r="AA39" s="97"/>
      <c r="AB39" s="97"/>
      <c r="AC39" s="97"/>
      <c r="AD39" s="96"/>
      <c r="AE39" s="97"/>
      <c r="AF39" s="97"/>
      <c r="AG39" s="98"/>
      <c r="AH39" s="97"/>
      <c r="AI39" s="97"/>
      <c r="AJ39" s="97"/>
      <c r="AK39" s="97"/>
      <c r="AL39" s="96"/>
      <c r="AM39" s="97"/>
      <c r="AN39" s="97"/>
      <c r="AO39" s="98"/>
      <c r="AP39" s="96"/>
      <c r="AQ39" s="97"/>
      <c r="AR39" s="97"/>
      <c r="AS39" s="98"/>
      <c r="AT39" s="99"/>
      <c r="AW39" s="98"/>
      <c r="AX39" s="283"/>
      <c r="AY39" s="283"/>
      <c r="AZ39" s="283"/>
      <c r="BA39" s="288"/>
    </row>
    <row r="40" spans="1:53" s="100" customFormat="1">
      <c r="A40" s="87">
        <v>1975</v>
      </c>
      <c r="B40" s="832"/>
      <c r="C40" s="901" t="s">
        <v>158</v>
      </c>
      <c r="D40" s="901"/>
      <c r="E40" s="87">
        <v>315</v>
      </c>
      <c r="F40" s="87"/>
      <c r="G40" s="89"/>
      <c r="H40" s="87"/>
      <c r="I40" s="87">
        <v>27</v>
      </c>
      <c r="J40" s="90">
        <v>27</v>
      </c>
      <c r="K40" s="77">
        <f t="shared" si="11"/>
        <v>0</v>
      </c>
      <c r="L40" s="77">
        <f t="shared" si="12"/>
        <v>0</v>
      </c>
      <c r="M40" s="77">
        <f t="shared" si="13"/>
        <v>100</v>
      </c>
      <c r="N40" s="78">
        <f t="shared" si="3"/>
        <v>100</v>
      </c>
      <c r="O40" s="91"/>
      <c r="P40" s="92"/>
      <c r="Q40" s="92">
        <v>52</v>
      </c>
      <c r="R40" s="93">
        <f t="shared" si="4"/>
        <v>52</v>
      </c>
      <c r="S40" s="101">
        <v>1</v>
      </c>
      <c r="T40" s="839"/>
      <c r="U40" s="839"/>
      <c r="V40" s="96" t="s">
        <v>78</v>
      </c>
      <c r="W40" s="97" t="s">
        <v>20</v>
      </c>
      <c r="X40" s="97" t="s">
        <v>12</v>
      </c>
      <c r="Y40" s="98">
        <v>52</v>
      </c>
      <c r="Z40" s="97"/>
      <c r="AA40" s="97"/>
      <c r="AB40" s="97"/>
      <c r="AC40" s="97"/>
      <c r="AD40" s="96"/>
      <c r="AE40" s="97"/>
      <c r="AF40" s="97"/>
      <c r="AG40" s="98"/>
      <c r="AH40" s="97"/>
      <c r="AI40" s="97"/>
      <c r="AJ40" s="97"/>
      <c r="AK40" s="97"/>
      <c r="AL40" s="96"/>
      <c r="AM40" s="97"/>
      <c r="AN40" s="97"/>
      <c r="AO40" s="98"/>
      <c r="AP40" s="96"/>
      <c r="AQ40" s="97"/>
      <c r="AR40" s="97"/>
      <c r="AS40" s="98"/>
      <c r="AT40" s="99"/>
      <c r="AW40" s="98"/>
      <c r="AX40" s="283"/>
      <c r="AY40" s="283"/>
      <c r="AZ40" s="283"/>
      <c r="BA40" s="288"/>
    </row>
    <row r="41" spans="1:53" s="343" customFormat="1">
      <c r="A41" s="178">
        <v>1975</v>
      </c>
      <c r="B41" s="831">
        <v>27710</v>
      </c>
      <c r="C41" s="909" t="s">
        <v>159</v>
      </c>
      <c r="D41" s="909"/>
      <c r="E41" s="178">
        <v>36</v>
      </c>
      <c r="F41" s="178">
        <v>6</v>
      </c>
      <c r="G41" s="333">
        <v>15</v>
      </c>
      <c r="H41" s="178"/>
      <c r="I41" s="178"/>
      <c r="J41" s="334">
        <v>15</v>
      </c>
      <c r="K41" s="295">
        <f t="shared" si="11"/>
        <v>100</v>
      </c>
      <c r="L41" s="295">
        <f t="shared" si="12"/>
        <v>0</v>
      </c>
      <c r="M41" s="295">
        <f t="shared" si="13"/>
        <v>0</v>
      </c>
      <c r="N41" s="296">
        <f t="shared" si="3"/>
        <v>100</v>
      </c>
      <c r="O41" s="335">
        <v>48</v>
      </c>
      <c r="P41" s="336"/>
      <c r="Q41" s="336"/>
      <c r="R41" s="337">
        <f>SUM(O41:Q41)</f>
        <v>48</v>
      </c>
      <c r="S41" s="338">
        <v>5</v>
      </c>
      <c r="T41" s="838"/>
      <c r="U41" s="838">
        <v>27710</v>
      </c>
      <c r="V41" s="339" t="s">
        <v>72</v>
      </c>
      <c r="W41" s="340" t="s">
        <v>74</v>
      </c>
      <c r="X41" s="340" t="s">
        <v>11</v>
      </c>
      <c r="Y41" s="341">
        <v>31.5</v>
      </c>
      <c r="Z41" s="340" t="s">
        <v>73</v>
      </c>
      <c r="AA41" s="340" t="s">
        <v>75</v>
      </c>
      <c r="AB41" s="340" t="s">
        <v>11</v>
      </c>
      <c r="AC41" s="340">
        <v>16.5</v>
      </c>
      <c r="AD41" s="339"/>
      <c r="AE41" s="340"/>
      <c r="AF41" s="340"/>
      <c r="AG41" s="341"/>
      <c r="AH41" s="340"/>
      <c r="AI41" s="340"/>
      <c r="AJ41" s="340"/>
      <c r="AK41" s="340"/>
      <c r="AL41" s="339"/>
      <c r="AM41" s="340"/>
      <c r="AN41" s="340"/>
      <c r="AO41" s="341"/>
      <c r="AP41" s="339"/>
      <c r="AQ41" s="340"/>
      <c r="AR41" s="340"/>
      <c r="AS41" s="341"/>
      <c r="AT41" s="342"/>
      <c r="AW41" s="341"/>
      <c r="AX41" s="344"/>
      <c r="AY41" s="344"/>
      <c r="AZ41" s="344"/>
      <c r="BA41" s="345"/>
    </row>
    <row r="42" spans="1:53" s="100" customFormat="1">
      <c r="A42" s="87">
        <v>1975</v>
      </c>
      <c r="B42" s="832">
        <v>27746</v>
      </c>
      <c r="C42" s="901" t="s">
        <v>160</v>
      </c>
      <c r="D42" s="901"/>
      <c r="E42" s="87">
        <v>14</v>
      </c>
      <c r="F42" s="87">
        <v>1</v>
      </c>
      <c r="G42" s="89">
        <v>12</v>
      </c>
      <c r="H42" s="87"/>
      <c r="I42" s="87"/>
      <c r="J42" s="90">
        <v>12</v>
      </c>
      <c r="K42" s="77">
        <f t="shared" ref="K42:K48" si="14">G42/J42*100</f>
        <v>100</v>
      </c>
      <c r="L42" s="77">
        <f t="shared" ref="L42:L48" si="15">H42/J42*100</f>
        <v>0</v>
      </c>
      <c r="M42" s="77">
        <f t="shared" ref="M42:M48" si="16">I42/J42*100</f>
        <v>0</v>
      </c>
      <c r="N42" s="78">
        <f t="shared" si="3"/>
        <v>100</v>
      </c>
      <c r="O42" s="91">
        <v>71.599999999999994</v>
      </c>
      <c r="P42" s="92"/>
      <c r="Q42" s="92"/>
      <c r="R42" s="93">
        <f t="shared" si="4"/>
        <v>71.599999999999994</v>
      </c>
      <c r="S42" s="101">
        <v>2</v>
      </c>
      <c r="T42" s="839">
        <v>27741</v>
      </c>
      <c r="U42" s="839">
        <v>27746</v>
      </c>
      <c r="V42" s="96" t="s">
        <v>72</v>
      </c>
      <c r="W42" s="97" t="s">
        <v>74</v>
      </c>
      <c r="X42" s="97" t="s">
        <v>11</v>
      </c>
      <c r="Y42" s="98">
        <v>53.5</v>
      </c>
      <c r="Z42" s="97" t="s">
        <v>73</v>
      </c>
      <c r="AA42" s="97" t="s">
        <v>75</v>
      </c>
      <c r="AB42" s="97" t="s">
        <v>11</v>
      </c>
      <c r="AC42" s="97">
        <v>18.100000000000001</v>
      </c>
      <c r="AD42" s="96"/>
      <c r="AE42" s="97"/>
      <c r="AF42" s="97"/>
      <c r="AG42" s="98"/>
      <c r="AH42" s="97"/>
      <c r="AI42" s="97"/>
      <c r="AJ42" s="97"/>
      <c r="AK42" s="97"/>
      <c r="AL42" s="96"/>
      <c r="AM42" s="97"/>
      <c r="AN42" s="97"/>
      <c r="AO42" s="98"/>
      <c r="AP42" s="96"/>
      <c r="AQ42" s="97"/>
      <c r="AR42" s="97"/>
      <c r="AS42" s="98"/>
      <c r="AT42" s="99"/>
      <c r="AW42" s="98"/>
      <c r="AX42" s="283"/>
      <c r="AY42" s="283"/>
      <c r="AZ42" s="283"/>
      <c r="BA42" s="288"/>
    </row>
    <row r="43" spans="1:53" s="100" customFormat="1">
      <c r="A43" s="87">
        <v>1976</v>
      </c>
      <c r="B43" s="832"/>
      <c r="C43" s="901" t="s">
        <v>160</v>
      </c>
      <c r="D43" s="901"/>
      <c r="E43" s="87">
        <v>0</v>
      </c>
      <c r="F43" s="87"/>
      <c r="G43" s="89">
        <v>12</v>
      </c>
      <c r="H43" s="87"/>
      <c r="I43" s="87"/>
      <c r="J43" s="90">
        <v>12</v>
      </c>
      <c r="K43" s="77">
        <f t="shared" si="14"/>
        <v>100</v>
      </c>
      <c r="L43" s="77">
        <f t="shared" si="15"/>
        <v>0</v>
      </c>
      <c r="M43" s="77">
        <f t="shared" si="16"/>
        <v>0</v>
      </c>
      <c r="N43" s="78">
        <f t="shared" si="3"/>
        <v>100</v>
      </c>
      <c r="O43" s="91">
        <v>71.599999999999994</v>
      </c>
      <c r="P43" s="92"/>
      <c r="Q43" s="92"/>
      <c r="R43" s="93">
        <f t="shared" si="4"/>
        <v>71.599999999999994</v>
      </c>
      <c r="S43" s="101">
        <v>2</v>
      </c>
      <c r="T43" s="839"/>
      <c r="U43" s="839"/>
      <c r="V43" s="96" t="s">
        <v>72</v>
      </c>
      <c r="W43" s="97" t="s">
        <v>74</v>
      </c>
      <c r="X43" s="97" t="s">
        <v>11</v>
      </c>
      <c r="Y43" s="98">
        <v>53.5</v>
      </c>
      <c r="Z43" s="97" t="s">
        <v>73</v>
      </c>
      <c r="AA43" s="97" t="s">
        <v>75</v>
      </c>
      <c r="AB43" s="97" t="s">
        <v>11</v>
      </c>
      <c r="AC43" s="97">
        <v>18.100000000000001</v>
      </c>
      <c r="AD43" s="96"/>
      <c r="AE43" s="97"/>
      <c r="AF43" s="97"/>
      <c r="AG43" s="98"/>
      <c r="AH43" s="97"/>
      <c r="AI43" s="97"/>
      <c r="AJ43" s="97"/>
      <c r="AK43" s="97"/>
      <c r="AL43" s="96"/>
      <c r="AM43" s="97"/>
      <c r="AN43" s="97"/>
      <c r="AO43" s="98"/>
      <c r="AP43" s="96"/>
      <c r="AQ43" s="97"/>
      <c r="AR43" s="97"/>
      <c r="AS43" s="98"/>
      <c r="AT43" s="99"/>
      <c r="AW43" s="98"/>
      <c r="AX43" s="283"/>
      <c r="AY43" s="283"/>
      <c r="AZ43" s="283"/>
      <c r="BA43" s="288"/>
    </row>
    <row r="44" spans="1:53" s="100" customFormat="1">
      <c r="A44" s="87">
        <v>1976</v>
      </c>
      <c r="B44" s="832"/>
      <c r="C44" s="901" t="s">
        <v>160</v>
      </c>
      <c r="D44" s="901"/>
      <c r="E44" s="87">
        <v>366</v>
      </c>
      <c r="F44" s="87"/>
      <c r="G44" s="89">
        <v>12</v>
      </c>
      <c r="H44" s="87"/>
      <c r="I44" s="87"/>
      <c r="J44" s="90">
        <v>12</v>
      </c>
      <c r="K44" s="77">
        <f t="shared" si="14"/>
        <v>100</v>
      </c>
      <c r="L44" s="77">
        <f t="shared" si="15"/>
        <v>0</v>
      </c>
      <c r="M44" s="77">
        <f t="shared" si="16"/>
        <v>0</v>
      </c>
      <c r="N44" s="78">
        <f t="shared" si="3"/>
        <v>100</v>
      </c>
      <c r="O44" s="91">
        <v>71.599999999999994</v>
      </c>
      <c r="P44" s="92"/>
      <c r="Q44" s="92"/>
      <c r="R44" s="93">
        <f t="shared" si="4"/>
        <v>71.599999999999994</v>
      </c>
      <c r="S44" s="101">
        <v>2</v>
      </c>
      <c r="T44" s="839"/>
      <c r="U44" s="839"/>
      <c r="V44" s="96" t="s">
        <v>72</v>
      </c>
      <c r="W44" s="97" t="s">
        <v>74</v>
      </c>
      <c r="X44" s="97" t="s">
        <v>11</v>
      </c>
      <c r="Y44" s="98">
        <v>53.5</v>
      </c>
      <c r="Z44" s="97" t="s">
        <v>73</v>
      </c>
      <c r="AA44" s="97" t="s">
        <v>75</v>
      </c>
      <c r="AB44" s="97" t="s">
        <v>11</v>
      </c>
      <c r="AC44" s="97">
        <v>18.100000000000001</v>
      </c>
      <c r="AD44" s="96"/>
      <c r="AE44" s="97"/>
      <c r="AF44" s="97"/>
      <c r="AG44" s="98"/>
      <c r="AH44" s="97"/>
      <c r="AI44" s="97"/>
      <c r="AJ44" s="97"/>
      <c r="AK44" s="97"/>
      <c r="AL44" s="96"/>
      <c r="AM44" s="97"/>
      <c r="AN44" s="97"/>
      <c r="AO44" s="98"/>
      <c r="AP44" s="96"/>
      <c r="AQ44" s="97"/>
      <c r="AR44" s="97"/>
      <c r="AS44" s="98"/>
      <c r="AT44" s="99"/>
      <c r="AW44" s="98"/>
      <c r="AX44" s="283"/>
      <c r="AY44" s="283"/>
      <c r="AZ44" s="283"/>
      <c r="BA44" s="288"/>
    </row>
    <row r="45" spans="1:53" s="100" customFormat="1">
      <c r="A45" s="87">
        <v>1977</v>
      </c>
      <c r="B45" s="832"/>
      <c r="C45" s="901" t="s">
        <v>160</v>
      </c>
      <c r="D45" s="901"/>
      <c r="E45" s="87">
        <v>353</v>
      </c>
      <c r="F45" s="87"/>
      <c r="G45" s="89">
        <v>12</v>
      </c>
      <c r="H45" s="87"/>
      <c r="I45" s="87"/>
      <c r="J45" s="90">
        <v>12</v>
      </c>
      <c r="K45" s="77">
        <f t="shared" si="14"/>
        <v>100</v>
      </c>
      <c r="L45" s="77">
        <f t="shared" si="15"/>
        <v>0</v>
      </c>
      <c r="M45" s="77">
        <f t="shared" si="16"/>
        <v>0</v>
      </c>
      <c r="N45" s="78">
        <f t="shared" si="3"/>
        <v>100</v>
      </c>
      <c r="O45" s="91">
        <v>71.599999999999994</v>
      </c>
      <c r="P45" s="92"/>
      <c r="Q45" s="92"/>
      <c r="R45" s="93">
        <f t="shared" si="4"/>
        <v>71.599999999999994</v>
      </c>
      <c r="S45" s="101">
        <v>2</v>
      </c>
      <c r="T45" s="839"/>
      <c r="U45" s="839"/>
      <c r="V45" s="96" t="s">
        <v>72</v>
      </c>
      <c r="W45" s="97" t="s">
        <v>74</v>
      </c>
      <c r="X45" s="97" t="s">
        <v>11</v>
      </c>
      <c r="Y45" s="98">
        <v>53.5</v>
      </c>
      <c r="Z45" s="97" t="s">
        <v>73</v>
      </c>
      <c r="AA45" s="97" t="s">
        <v>75</v>
      </c>
      <c r="AB45" s="97" t="s">
        <v>11</v>
      </c>
      <c r="AC45" s="97">
        <v>18.100000000000001</v>
      </c>
      <c r="AD45" s="96"/>
      <c r="AE45" s="97"/>
      <c r="AF45" s="97"/>
      <c r="AG45" s="98"/>
      <c r="AH45" s="97"/>
      <c r="AI45" s="97"/>
      <c r="AJ45" s="97"/>
      <c r="AK45" s="97"/>
      <c r="AL45" s="96"/>
      <c r="AM45" s="97"/>
      <c r="AN45" s="97"/>
      <c r="AO45" s="98"/>
      <c r="AP45" s="96"/>
      <c r="AQ45" s="97"/>
      <c r="AR45" s="97"/>
      <c r="AS45" s="98"/>
      <c r="AT45" s="99"/>
      <c r="AW45" s="98"/>
      <c r="AX45" s="283"/>
      <c r="AY45" s="283"/>
      <c r="AZ45" s="283"/>
      <c r="BA45" s="288"/>
    </row>
    <row r="46" spans="1:53" s="343" customFormat="1">
      <c r="A46" s="178">
        <v>1977</v>
      </c>
      <c r="B46" s="831">
        <v>28479</v>
      </c>
      <c r="C46" s="909" t="s">
        <v>161</v>
      </c>
      <c r="D46" s="909"/>
      <c r="E46" s="178">
        <v>12</v>
      </c>
      <c r="F46" s="178">
        <v>1</v>
      </c>
      <c r="G46" s="333">
        <v>14</v>
      </c>
      <c r="H46" s="178"/>
      <c r="I46" s="178"/>
      <c r="J46" s="334">
        <v>14</v>
      </c>
      <c r="K46" s="295">
        <f t="shared" si="14"/>
        <v>100</v>
      </c>
      <c r="L46" s="295">
        <f t="shared" si="15"/>
        <v>0</v>
      </c>
      <c r="M46" s="295">
        <f t="shared" si="16"/>
        <v>0</v>
      </c>
      <c r="N46" s="296">
        <f t="shared" si="3"/>
        <v>100</v>
      </c>
      <c r="O46" s="335">
        <v>69.3</v>
      </c>
      <c r="P46" s="336"/>
      <c r="Q46" s="336"/>
      <c r="R46" s="337">
        <f t="shared" si="4"/>
        <v>69.3</v>
      </c>
      <c r="S46" s="338">
        <v>3</v>
      </c>
      <c r="T46" s="838">
        <v>28469</v>
      </c>
      <c r="U46" s="838">
        <v>28479</v>
      </c>
      <c r="V46" s="339" t="s">
        <v>72</v>
      </c>
      <c r="W46" s="340" t="s">
        <v>74</v>
      </c>
      <c r="X46" s="340" t="s">
        <v>11</v>
      </c>
      <c r="Y46" s="341">
        <v>54</v>
      </c>
      <c r="Z46" s="340" t="s">
        <v>73</v>
      </c>
      <c r="AA46" s="340" t="s">
        <v>75</v>
      </c>
      <c r="AB46" s="340" t="s">
        <v>11</v>
      </c>
      <c r="AC46" s="340">
        <v>15.3</v>
      </c>
      <c r="AD46" s="339"/>
      <c r="AE46" s="340"/>
      <c r="AF46" s="340"/>
      <c r="AG46" s="341"/>
      <c r="AH46" s="340"/>
      <c r="AI46" s="340"/>
      <c r="AJ46" s="340"/>
      <c r="AK46" s="340"/>
      <c r="AL46" s="339"/>
      <c r="AM46" s="340"/>
      <c r="AN46" s="340"/>
      <c r="AO46" s="341"/>
      <c r="AP46" s="339"/>
      <c r="AQ46" s="340"/>
      <c r="AR46" s="340"/>
      <c r="AS46" s="341"/>
      <c r="AT46" s="342"/>
      <c r="AW46" s="341"/>
      <c r="AX46" s="344"/>
      <c r="AY46" s="344"/>
      <c r="AZ46" s="344"/>
      <c r="BA46" s="345"/>
    </row>
    <row r="47" spans="1:53" s="343" customFormat="1">
      <c r="A47" s="178">
        <v>1978</v>
      </c>
      <c r="B47" s="831"/>
      <c r="C47" s="909" t="s">
        <v>161</v>
      </c>
      <c r="D47" s="909"/>
      <c r="E47" s="178">
        <v>0</v>
      </c>
      <c r="F47" s="178"/>
      <c r="G47" s="333">
        <v>14</v>
      </c>
      <c r="H47" s="178"/>
      <c r="I47" s="178"/>
      <c r="J47" s="334">
        <v>14</v>
      </c>
      <c r="K47" s="295">
        <f t="shared" si="14"/>
        <v>100</v>
      </c>
      <c r="L47" s="295">
        <f t="shared" si="15"/>
        <v>0</v>
      </c>
      <c r="M47" s="295">
        <f t="shared" si="16"/>
        <v>0</v>
      </c>
      <c r="N47" s="296">
        <f t="shared" si="3"/>
        <v>100</v>
      </c>
      <c r="O47" s="335">
        <v>69.3</v>
      </c>
      <c r="P47" s="336"/>
      <c r="Q47" s="336"/>
      <c r="R47" s="337">
        <f t="shared" si="4"/>
        <v>69.3</v>
      </c>
      <c r="S47" s="338">
        <v>3</v>
      </c>
      <c r="T47" s="838"/>
      <c r="U47" s="838"/>
      <c r="V47" s="339" t="s">
        <v>72</v>
      </c>
      <c r="W47" s="340" t="s">
        <v>74</v>
      </c>
      <c r="X47" s="340" t="s">
        <v>11</v>
      </c>
      <c r="Y47" s="341">
        <v>54</v>
      </c>
      <c r="Z47" s="340" t="s">
        <v>73</v>
      </c>
      <c r="AA47" s="340" t="s">
        <v>75</v>
      </c>
      <c r="AB47" s="340" t="s">
        <v>11</v>
      </c>
      <c r="AC47" s="340">
        <v>15.3</v>
      </c>
      <c r="AD47" s="339"/>
      <c r="AE47" s="340"/>
      <c r="AF47" s="340"/>
      <c r="AG47" s="341"/>
      <c r="AH47" s="340"/>
      <c r="AI47" s="340"/>
      <c r="AJ47" s="340"/>
      <c r="AK47" s="340"/>
      <c r="AL47" s="339"/>
      <c r="AM47" s="340"/>
      <c r="AN47" s="340"/>
      <c r="AO47" s="341"/>
      <c r="AP47" s="339"/>
      <c r="AQ47" s="340"/>
      <c r="AR47" s="340"/>
      <c r="AS47" s="341"/>
      <c r="AT47" s="342"/>
      <c r="AW47" s="341"/>
      <c r="AX47" s="344"/>
      <c r="AY47" s="344"/>
      <c r="AZ47" s="344"/>
      <c r="BA47" s="345"/>
    </row>
    <row r="48" spans="1:53" s="343" customFormat="1">
      <c r="A48" s="178">
        <v>1978</v>
      </c>
      <c r="B48" s="831"/>
      <c r="C48" s="909" t="s">
        <v>161</v>
      </c>
      <c r="D48" s="909"/>
      <c r="E48" s="178">
        <f>365-E47</f>
        <v>365</v>
      </c>
      <c r="F48" s="178"/>
      <c r="G48" s="333">
        <v>14</v>
      </c>
      <c r="H48" s="178"/>
      <c r="I48" s="178"/>
      <c r="J48" s="334">
        <v>14</v>
      </c>
      <c r="K48" s="295">
        <f t="shared" si="14"/>
        <v>100</v>
      </c>
      <c r="L48" s="295">
        <f t="shared" si="15"/>
        <v>0</v>
      </c>
      <c r="M48" s="295">
        <f t="shared" si="16"/>
        <v>0</v>
      </c>
      <c r="N48" s="296">
        <f t="shared" si="3"/>
        <v>100</v>
      </c>
      <c r="O48" s="335">
        <v>69.3</v>
      </c>
      <c r="P48" s="336"/>
      <c r="Q48" s="336"/>
      <c r="R48" s="337">
        <f t="shared" si="4"/>
        <v>69.3</v>
      </c>
      <c r="S48" s="338">
        <v>3</v>
      </c>
      <c r="T48" s="838"/>
      <c r="U48" s="838"/>
      <c r="V48" s="339" t="s">
        <v>72</v>
      </c>
      <c r="W48" s="340" t="s">
        <v>74</v>
      </c>
      <c r="X48" s="340" t="s">
        <v>11</v>
      </c>
      <c r="Y48" s="341">
        <v>54</v>
      </c>
      <c r="Z48" s="340" t="s">
        <v>73</v>
      </c>
      <c r="AA48" s="340" t="s">
        <v>75</v>
      </c>
      <c r="AB48" s="340" t="s">
        <v>11</v>
      </c>
      <c r="AC48" s="340">
        <v>15.3</v>
      </c>
      <c r="AD48" s="339"/>
      <c r="AE48" s="340"/>
      <c r="AF48" s="340"/>
      <c r="AG48" s="341"/>
      <c r="AH48" s="340"/>
      <c r="AI48" s="340"/>
      <c r="AJ48" s="340"/>
      <c r="AK48" s="340"/>
      <c r="AL48" s="339"/>
      <c r="AM48" s="340"/>
      <c r="AN48" s="340"/>
      <c r="AO48" s="341"/>
      <c r="AP48" s="339"/>
      <c r="AQ48" s="340"/>
      <c r="AR48" s="340"/>
      <c r="AS48" s="341"/>
      <c r="AT48" s="342"/>
      <c r="AW48" s="341"/>
      <c r="AX48" s="344"/>
      <c r="AY48" s="344"/>
      <c r="AZ48" s="344"/>
      <c r="BA48" s="345"/>
    </row>
    <row r="49" spans="1:53" s="343" customFormat="1">
      <c r="A49" s="178">
        <v>1979</v>
      </c>
      <c r="B49" s="831"/>
      <c r="C49" s="909" t="s">
        <v>161</v>
      </c>
      <c r="D49" s="909"/>
      <c r="E49" s="178">
        <v>0</v>
      </c>
      <c r="F49" s="178"/>
      <c r="G49" s="333">
        <v>14</v>
      </c>
      <c r="H49" s="178"/>
      <c r="I49" s="178"/>
      <c r="J49" s="334">
        <v>14</v>
      </c>
      <c r="K49" s="295">
        <f>G49/J49*100</f>
        <v>100</v>
      </c>
      <c r="L49" s="295">
        <f>H49/J49*100</f>
        <v>0</v>
      </c>
      <c r="M49" s="295">
        <f>I49/J49*100</f>
        <v>0</v>
      </c>
      <c r="N49" s="296">
        <f t="shared" si="3"/>
        <v>100</v>
      </c>
      <c r="O49" s="335">
        <v>69.3</v>
      </c>
      <c r="P49" s="336"/>
      <c r="Q49" s="336"/>
      <c r="R49" s="337">
        <f t="shared" si="4"/>
        <v>69.3</v>
      </c>
      <c r="S49" s="338">
        <v>3</v>
      </c>
      <c r="T49" s="838"/>
      <c r="U49" s="838"/>
      <c r="V49" s="339" t="s">
        <v>72</v>
      </c>
      <c r="W49" s="340" t="s">
        <v>74</v>
      </c>
      <c r="X49" s="340" t="s">
        <v>11</v>
      </c>
      <c r="Y49" s="341">
        <v>54</v>
      </c>
      <c r="Z49" s="340" t="s">
        <v>73</v>
      </c>
      <c r="AA49" s="340" t="s">
        <v>75</v>
      </c>
      <c r="AB49" s="340" t="s">
        <v>11</v>
      </c>
      <c r="AC49" s="340">
        <v>15.3</v>
      </c>
      <c r="AD49" s="339"/>
      <c r="AE49" s="340"/>
      <c r="AF49" s="340"/>
      <c r="AG49" s="341"/>
      <c r="AH49" s="340"/>
      <c r="AI49" s="340"/>
      <c r="AJ49" s="340"/>
      <c r="AK49" s="340"/>
      <c r="AL49" s="339"/>
      <c r="AM49" s="340"/>
      <c r="AN49" s="340"/>
      <c r="AO49" s="341"/>
      <c r="AP49" s="339"/>
      <c r="AQ49" s="340"/>
      <c r="AR49" s="340"/>
      <c r="AS49" s="341"/>
      <c r="AT49" s="342"/>
      <c r="AW49" s="341"/>
      <c r="AX49" s="344"/>
      <c r="AY49" s="344"/>
      <c r="AZ49" s="344"/>
      <c r="BA49" s="345"/>
    </row>
    <row r="50" spans="1:53" s="343" customFormat="1">
      <c r="A50" s="178">
        <v>1979</v>
      </c>
      <c r="B50" s="831"/>
      <c r="C50" s="909" t="s">
        <v>161</v>
      </c>
      <c r="D50" s="909"/>
      <c r="E50" s="178">
        <f>365-E49</f>
        <v>365</v>
      </c>
      <c r="F50" s="178"/>
      <c r="G50" s="333">
        <v>14</v>
      </c>
      <c r="H50" s="178"/>
      <c r="I50" s="178"/>
      <c r="J50" s="334">
        <v>14</v>
      </c>
      <c r="K50" s="295">
        <f t="shared" ref="K50:K56" si="17">G50/J50*100</f>
        <v>100</v>
      </c>
      <c r="L50" s="295">
        <f t="shared" ref="L50:L56" si="18">H50/J50*100</f>
        <v>0</v>
      </c>
      <c r="M50" s="295">
        <f t="shared" ref="M50:M56" si="19">I50/J50*100</f>
        <v>0</v>
      </c>
      <c r="N50" s="296">
        <f t="shared" si="3"/>
        <v>100</v>
      </c>
      <c r="O50" s="335">
        <v>69.3</v>
      </c>
      <c r="P50" s="336"/>
      <c r="Q50" s="336"/>
      <c r="R50" s="337">
        <f t="shared" si="4"/>
        <v>69.3</v>
      </c>
      <c r="S50" s="338">
        <v>3</v>
      </c>
      <c r="T50" s="838"/>
      <c r="U50" s="838"/>
      <c r="V50" s="339" t="s">
        <v>72</v>
      </c>
      <c r="W50" s="340" t="s">
        <v>74</v>
      </c>
      <c r="X50" s="340" t="s">
        <v>11</v>
      </c>
      <c r="Y50" s="341">
        <v>54</v>
      </c>
      <c r="Z50" s="340" t="s">
        <v>73</v>
      </c>
      <c r="AA50" s="340" t="s">
        <v>75</v>
      </c>
      <c r="AB50" s="340" t="s">
        <v>11</v>
      </c>
      <c r="AC50" s="340">
        <v>15.3</v>
      </c>
      <c r="AD50" s="339"/>
      <c r="AE50" s="340"/>
      <c r="AF50" s="340"/>
      <c r="AG50" s="341"/>
      <c r="AH50" s="340"/>
      <c r="AI50" s="340"/>
      <c r="AJ50" s="340"/>
      <c r="AK50" s="340"/>
      <c r="AL50" s="339"/>
      <c r="AM50" s="340"/>
      <c r="AN50" s="340"/>
      <c r="AO50" s="341"/>
      <c r="AP50" s="339"/>
      <c r="AQ50" s="340"/>
      <c r="AR50" s="340"/>
      <c r="AS50" s="341"/>
      <c r="AT50" s="342"/>
      <c r="AW50" s="341"/>
      <c r="AX50" s="344"/>
      <c r="AY50" s="344"/>
      <c r="AZ50" s="344"/>
      <c r="BA50" s="345"/>
    </row>
    <row r="51" spans="1:53" s="343" customFormat="1">
      <c r="A51" s="178">
        <v>1980</v>
      </c>
      <c r="B51" s="831"/>
      <c r="C51" s="909" t="s">
        <v>161</v>
      </c>
      <c r="D51" s="909"/>
      <c r="E51" s="178">
        <v>306</v>
      </c>
      <c r="F51" s="178"/>
      <c r="G51" s="333">
        <v>14</v>
      </c>
      <c r="H51" s="178"/>
      <c r="I51" s="178"/>
      <c r="J51" s="334">
        <v>14</v>
      </c>
      <c r="K51" s="295">
        <f t="shared" si="17"/>
        <v>100</v>
      </c>
      <c r="L51" s="295">
        <f t="shared" si="18"/>
        <v>0</v>
      </c>
      <c r="M51" s="295">
        <f t="shared" si="19"/>
        <v>0</v>
      </c>
      <c r="N51" s="296">
        <f t="shared" si="3"/>
        <v>100</v>
      </c>
      <c r="O51" s="335">
        <v>69.3</v>
      </c>
      <c r="P51" s="336"/>
      <c r="Q51" s="336"/>
      <c r="R51" s="337">
        <f t="shared" si="4"/>
        <v>69.3</v>
      </c>
      <c r="S51" s="338">
        <v>3</v>
      </c>
      <c r="T51" s="838"/>
      <c r="U51" s="838"/>
      <c r="V51" s="339" t="s">
        <v>72</v>
      </c>
      <c r="W51" s="340" t="s">
        <v>74</v>
      </c>
      <c r="X51" s="340" t="s">
        <v>11</v>
      </c>
      <c r="Y51" s="341">
        <v>54</v>
      </c>
      <c r="Z51" s="340" t="s">
        <v>73</v>
      </c>
      <c r="AA51" s="340" t="s">
        <v>75</v>
      </c>
      <c r="AB51" s="340" t="s">
        <v>11</v>
      </c>
      <c r="AC51" s="340">
        <v>15.3</v>
      </c>
      <c r="AD51" s="339"/>
      <c r="AE51" s="340"/>
      <c r="AF51" s="340"/>
      <c r="AG51" s="341"/>
      <c r="AH51" s="340"/>
      <c r="AI51" s="340"/>
      <c r="AJ51" s="340"/>
      <c r="AK51" s="340"/>
      <c r="AL51" s="339"/>
      <c r="AM51" s="340"/>
      <c r="AN51" s="340"/>
      <c r="AO51" s="341"/>
      <c r="AP51" s="339"/>
      <c r="AQ51" s="340"/>
      <c r="AR51" s="340"/>
      <c r="AS51" s="341"/>
      <c r="AT51" s="342"/>
      <c r="AW51" s="341"/>
      <c r="AX51" s="344"/>
      <c r="AY51" s="344"/>
      <c r="AZ51" s="344"/>
      <c r="BA51" s="345"/>
    </row>
    <row r="52" spans="1:53" s="100" customFormat="1">
      <c r="A52" s="87">
        <v>1980</v>
      </c>
      <c r="B52" s="832">
        <v>29527</v>
      </c>
      <c r="C52" s="901" t="s">
        <v>162</v>
      </c>
      <c r="D52" s="901"/>
      <c r="E52" s="87">
        <v>60</v>
      </c>
      <c r="F52" s="87">
        <v>1</v>
      </c>
      <c r="G52" s="89">
        <v>14</v>
      </c>
      <c r="H52" s="87"/>
      <c r="I52" s="87"/>
      <c r="J52" s="90">
        <v>14</v>
      </c>
      <c r="K52" s="77">
        <f t="shared" si="17"/>
        <v>100</v>
      </c>
      <c r="L52" s="77">
        <f t="shared" si="18"/>
        <v>0</v>
      </c>
      <c r="M52" s="77">
        <f t="shared" si="19"/>
        <v>0</v>
      </c>
      <c r="N52" s="78">
        <f t="shared" si="3"/>
        <v>100</v>
      </c>
      <c r="O52" s="91">
        <v>59.2</v>
      </c>
      <c r="P52" s="92"/>
      <c r="Q52" s="92"/>
      <c r="R52" s="93">
        <f t="shared" si="4"/>
        <v>59.2</v>
      </c>
      <c r="S52" s="101">
        <v>2</v>
      </c>
      <c r="T52" s="839">
        <v>29512</v>
      </c>
      <c r="U52" s="839">
        <v>29527</v>
      </c>
      <c r="V52" s="96" t="s">
        <v>72</v>
      </c>
      <c r="W52" s="97" t="s">
        <v>74</v>
      </c>
      <c r="X52" s="97" t="s">
        <v>11</v>
      </c>
      <c r="Y52" s="98">
        <v>43.2</v>
      </c>
      <c r="Z52" s="97" t="s">
        <v>73</v>
      </c>
      <c r="AA52" s="97" t="s">
        <v>75</v>
      </c>
      <c r="AB52" s="97" t="s">
        <v>11</v>
      </c>
      <c r="AC52" s="97">
        <v>16</v>
      </c>
      <c r="AD52" s="96"/>
      <c r="AE52" s="97"/>
      <c r="AF52" s="97"/>
      <c r="AG52" s="98"/>
      <c r="AH52" s="97"/>
      <c r="AI52" s="97"/>
      <c r="AJ52" s="97"/>
      <c r="AK52" s="97"/>
      <c r="AL52" s="96"/>
      <c r="AM52" s="97"/>
      <c r="AN52" s="97"/>
      <c r="AO52" s="98"/>
      <c r="AP52" s="96"/>
      <c r="AQ52" s="97"/>
      <c r="AR52" s="97"/>
      <c r="AS52" s="98"/>
      <c r="AT52" s="99"/>
      <c r="AW52" s="98"/>
      <c r="AX52" s="283"/>
      <c r="AY52" s="283"/>
      <c r="AZ52" s="283"/>
      <c r="BA52" s="288"/>
    </row>
    <row r="53" spans="1:53" s="100" customFormat="1">
      <c r="A53" s="87">
        <v>1981</v>
      </c>
      <c r="B53" s="832"/>
      <c r="C53" s="901" t="s">
        <v>162</v>
      </c>
      <c r="D53" s="901"/>
      <c r="E53" s="87">
        <v>0</v>
      </c>
      <c r="F53" s="87"/>
      <c r="G53" s="89">
        <v>14</v>
      </c>
      <c r="H53" s="87"/>
      <c r="I53" s="87"/>
      <c r="J53" s="90">
        <v>14</v>
      </c>
      <c r="K53" s="77">
        <f t="shared" si="17"/>
        <v>100</v>
      </c>
      <c r="L53" s="77">
        <f t="shared" si="18"/>
        <v>0</v>
      </c>
      <c r="M53" s="77">
        <f t="shared" si="19"/>
        <v>0</v>
      </c>
      <c r="N53" s="78">
        <f t="shared" si="3"/>
        <v>100</v>
      </c>
      <c r="O53" s="91">
        <v>59.2</v>
      </c>
      <c r="P53" s="92"/>
      <c r="Q53" s="92"/>
      <c r="R53" s="93">
        <f t="shared" si="4"/>
        <v>59.2</v>
      </c>
      <c r="S53" s="101">
        <v>2</v>
      </c>
      <c r="T53" s="839"/>
      <c r="U53" s="839"/>
      <c r="V53" s="96" t="s">
        <v>72</v>
      </c>
      <c r="W53" s="97" t="s">
        <v>74</v>
      </c>
      <c r="X53" s="97" t="s">
        <v>11</v>
      </c>
      <c r="Y53" s="98">
        <v>43.2</v>
      </c>
      <c r="Z53" s="97" t="s">
        <v>73</v>
      </c>
      <c r="AA53" s="97" t="s">
        <v>75</v>
      </c>
      <c r="AB53" s="97" t="s">
        <v>11</v>
      </c>
      <c r="AC53" s="97">
        <v>16</v>
      </c>
      <c r="AD53" s="96"/>
      <c r="AE53" s="97"/>
      <c r="AF53" s="97"/>
      <c r="AG53" s="98"/>
      <c r="AH53" s="97"/>
      <c r="AI53" s="97"/>
      <c r="AJ53" s="97"/>
      <c r="AK53" s="97"/>
      <c r="AL53" s="96"/>
      <c r="AM53" s="97"/>
      <c r="AN53" s="97"/>
      <c r="AO53" s="98"/>
      <c r="AP53" s="96"/>
      <c r="AQ53" s="97"/>
      <c r="AR53" s="97"/>
      <c r="AS53" s="98"/>
      <c r="AT53" s="99"/>
      <c r="AW53" s="98"/>
      <c r="AX53" s="283"/>
      <c r="AY53" s="283"/>
      <c r="AZ53" s="283"/>
      <c r="BA53" s="288"/>
    </row>
    <row r="54" spans="1:53" s="100" customFormat="1">
      <c r="A54" s="87">
        <v>1981</v>
      </c>
      <c r="B54" s="832"/>
      <c r="C54" s="901" t="s">
        <v>162</v>
      </c>
      <c r="D54" s="901"/>
      <c r="E54" s="87">
        <f>365-E53</f>
        <v>365</v>
      </c>
      <c r="F54" s="87"/>
      <c r="G54" s="89">
        <v>14</v>
      </c>
      <c r="H54" s="87"/>
      <c r="I54" s="87"/>
      <c r="J54" s="90">
        <v>14</v>
      </c>
      <c r="K54" s="77">
        <f t="shared" si="17"/>
        <v>100</v>
      </c>
      <c r="L54" s="77">
        <f t="shared" si="18"/>
        <v>0</v>
      </c>
      <c r="M54" s="77">
        <f t="shared" si="19"/>
        <v>0</v>
      </c>
      <c r="N54" s="78">
        <f t="shared" si="3"/>
        <v>100</v>
      </c>
      <c r="O54" s="91">
        <v>59.2</v>
      </c>
      <c r="P54" s="92"/>
      <c r="Q54" s="92"/>
      <c r="R54" s="93">
        <f t="shared" si="4"/>
        <v>59.2</v>
      </c>
      <c r="S54" s="101">
        <v>2</v>
      </c>
      <c r="T54" s="839"/>
      <c r="U54" s="839"/>
      <c r="V54" s="96" t="s">
        <v>72</v>
      </c>
      <c r="W54" s="97" t="s">
        <v>74</v>
      </c>
      <c r="X54" s="97" t="s">
        <v>11</v>
      </c>
      <c r="Y54" s="98">
        <v>43.2</v>
      </c>
      <c r="Z54" s="97" t="s">
        <v>73</v>
      </c>
      <c r="AA54" s="97" t="s">
        <v>75</v>
      </c>
      <c r="AB54" s="97" t="s">
        <v>11</v>
      </c>
      <c r="AC54" s="97">
        <v>16</v>
      </c>
      <c r="AD54" s="96"/>
      <c r="AE54" s="97"/>
      <c r="AF54" s="97"/>
      <c r="AG54" s="98"/>
      <c r="AH54" s="97"/>
      <c r="AI54" s="97"/>
      <c r="AJ54" s="97"/>
      <c r="AK54" s="97"/>
      <c r="AL54" s="96"/>
      <c r="AM54" s="97"/>
      <c r="AN54" s="97"/>
      <c r="AO54" s="98"/>
      <c r="AP54" s="96"/>
      <c r="AQ54" s="97"/>
      <c r="AR54" s="97"/>
      <c r="AS54" s="98"/>
      <c r="AT54" s="99"/>
      <c r="AW54" s="98"/>
      <c r="AX54" s="283"/>
      <c r="AY54" s="283"/>
      <c r="AZ54" s="283"/>
      <c r="BA54" s="288"/>
    </row>
    <row r="55" spans="1:53" s="100" customFormat="1">
      <c r="A55" s="87">
        <v>1982</v>
      </c>
      <c r="B55" s="832"/>
      <c r="C55" s="901" t="s">
        <v>162</v>
      </c>
      <c r="D55" s="901"/>
      <c r="E55" s="87">
        <v>0</v>
      </c>
      <c r="F55" s="87"/>
      <c r="G55" s="89">
        <v>14</v>
      </c>
      <c r="H55" s="87"/>
      <c r="I55" s="87"/>
      <c r="J55" s="90">
        <v>14</v>
      </c>
      <c r="K55" s="77">
        <f t="shared" si="17"/>
        <v>100</v>
      </c>
      <c r="L55" s="77">
        <f t="shared" si="18"/>
        <v>0</v>
      </c>
      <c r="M55" s="77">
        <f t="shared" si="19"/>
        <v>0</v>
      </c>
      <c r="N55" s="78">
        <f t="shared" si="3"/>
        <v>100</v>
      </c>
      <c r="O55" s="91">
        <v>59.2</v>
      </c>
      <c r="P55" s="92"/>
      <c r="Q55" s="92"/>
      <c r="R55" s="93">
        <f t="shared" si="4"/>
        <v>59.2</v>
      </c>
      <c r="S55" s="101">
        <v>2</v>
      </c>
      <c r="T55" s="839"/>
      <c r="U55" s="839"/>
      <c r="V55" s="96" t="s">
        <v>72</v>
      </c>
      <c r="W55" s="97" t="s">
        <v>74</v>
      </c>
      <c r="X55" s="97" t="s">
        <v>11</v>
      </c>
      <c r="Y55" s="98">
        <v>43.2</v>
      </c>
      <c r="Z55" s="97" t="s">
        <v>73</v>
      </c>
      <c r="AA55" s="97" t="s">
        <v>75</v>
      </c>
      <c r="AB55" s="97" t="s">
        <v>11</v>
      </c>
      <c r="AC55" s="97">
        <v>16</v>
      </c>
      <c r="AD55" s="96"/>
      <c r="AE55" s="97"/>
      <c r="AF55" s="97"/>
      <c r="AG55" s="98"/>
      <c r="AH55" s="97"/>
      <c r="AI55" s="97"/>
      <c r="AJ55" s="97"/>
      <c r="AK55" s="97"/>
      <c r="AL55" s="96"/>
      <c r="AM55" s="97"/>
      <c r="AN55" s="97"/>
      <c r="AO55" s="98"/>
      <c r="AP55" s="96"/>
      <c r="AQ55" s="97"/>
      <c r="AR55" s="97"/>
      <c r="AS55" s="98"/>
      <c r="AT55" s="99"/>
      <c r="AW55" s="98"/>
      <c r="AX55" s="283"/>
      <c r="AY55" s="283"/>
      <c r="AZ55" s="283"/>
      <c r="BA55" s="288"/>
    </row>
    <row r="56" spans="1:53" s="100" customFormat="1">
      <c r="A56" s="87">
        <v>1982</v>
      </c>
      <c r="B56" s="832"/>
      <c r="C56" s="901" t="s">
        <v>162</v>
      </c>
      <c r="D56" s="901"/>
      <c r="E56" s="87">
        <f>365-E55</f>
        <v>365</v>
      </c>
      <c r="F56" s="87"/>
      <c r="G56" s="89">
        <v>14</v>
      </c>
      <c r="H56" s="87"/>
      <c r="I56" s="87"/>
      <c r="J56" s="90">
        <v>14</v>
      </c>
      <c r="K56" s="77">
        <f t="shared" si="17"/>
        <v>100</v>
      </c>
      <c r="L56" s="77">
        <f t="shared" si="18"/>
        <v>0</v>
      </c>
      <c r="M56" s="77">
        <f t="shared" si="19"/>
        <v>0</v>
      </c>
      <c r="N56" s="78">
        <f t="shared" si="3"/>
        <v>100</v>
      </c>
      <c r="O56" s="91">
        <v>59.2</v>
      </c>
      <c r="P56" s="92"/>
      <c r="Q56" s="92"/>
      <c r="R56" s="93">
        <f t="shared" si="4"/>
        <v>59.2</v>
      </c>
      <c r="S56" s="101">
        <v>2</v>
      </c>
      <c r="T56" s="839"/>
      <c r="U56" s="839"/>
      <c r="V56" s="96" t="s">
        <v>72</v>
      </c>
      <c r="W56" s="97" t="s">
        <v>74</v>
      </c>
      <c r="X56" s="97" t="s">
        <v>11</v>
      </c>
      <c r="Y56" s="98">
        <v>43.2</v>
      </c>
      <c r="Z56" s="97" t="s">
        <v>73</v>
      </c>
      <c r="AA56" s="97" t="s">
        <v>75</v>
      </c>
      <c r="AB56" s="97" t="s">
        <v>11</v>
      </c>
      <c r="AC56" s="97">
        <v>16</v>
      </c>
      <c r="AD56" s="96"/>
      <c r="AE56" s="97"/>
      <c r="AF56" s="97"/>
      <c r="AG56" s="98"/>
      <c r="AH56" s="97"/>
      <c r="AI56" s="97"/>
      <c r="AJ56" s="97"/>
      <c r="AK56" s="97"/>
      <c r="AL56" s="96"/>
      <c r="AM56" s="97"/>
      <c r="AN56" s="97"/>
      <c r="AO56" s="98"/>
      <c r="AP56" s="96"/>
      <c r="AQ56" s="97"/>
      <c r="AR56" s="97"/>
      <c r="AS56" s="98"/>
      <c r="AT56" s="99"/>
      <c r="AW56" s="98"/>
      <c r="AX56" s="283"/>
      <c r="AY56" s="283"/>
      <c r="AZ56" s="283"/>
      <c r="BA56" s="288"/>
    </row>
    <row r="57" spans="1:53" s="100" customFormat="1">
      <c r="A57" s="87">
        <v>1983</v>
      </c>
      <c r="B57" s="832"/>
      <c r="C57" s="901" t="s">
        <v>162</v>
      </c>
      <c r="D57" s="901"/>
      <c r="E57" s="87">
        <v>69</v>
      </c>
      <c r="F57" s="87"/>
      <c r="G57" s="89">
        <v>14</v>
      </c>
      <c r="H57" s="87"/>
      <c r="I57" s="87"/>
      <c r="J57" s="90">
        <v>14</v>
      </c>
      <c r="K57" s="77">
        <f>G57/J57*100</f>
        <v>100</v>
      </c>
      <c r="L57" s="77">
        <f>H57/J57*100</f>
        <v>0</v>
      </c>
      <c r="M57" s="77">
        <f>I57/J57*100</f>
        <v>0</v>
      </c>
      <c r="N57" s="78">
        <f>SUM(K57:M57)</f>
        <v>100</v>
      </c>
      <c r="O57" s="91">
        <v>59.2</v>
      </c>
      <c r="P57" s="92"/>
      <c r="Q57" s="92"/>
      <c r="R57" s="93">
        <f t="shared" si="4"/>
        <v>59.2</v>
      </c>
      <c r="S57" s="101">
        <v>2</v>
      </c>
      <c r="T57" s="839"/>
      <c r="U57" s="839"/>
      <c r="V57" s="96" t="s">
        <v>72</v>
      </c>
      <c r="W57" s="97" t="s">
        <v>74</v>
      </c>
      <c r="X57" s="97" t="s">
        <v>11</v>
      </c>
      <c r="Y57" s="98">
        <v>43.2</v>
      </c>
      <c r="Z57" s="97" t="s">
        <v>73</v>
      </c>
      <c r="AA57" s="97" t="s">
        <v>75</v>
      </c>
      <c r="AB57" s="97" t="s">
        <v>11</v>
      </c>
      <c r="AC57" s="97">
        <v>16</v>
      </c>
      <c r="AD57" s="96"/>
      <c r="AE57" s="97"/>
      <c r="AF57" s="97"/>
      <c r="AG57" s="98"/>
      <c r="AH57" s="97"/>
      <c r="AI57" s="97"/>
      <c r="AJ57" s="97"/>
      <c r="AK57" s="97"/>
      <c r="AL57" s="96"/>
      <c r="AM57" s="97"/>
      <c r="AN57" s="97"/>
      <c r="AO57" s="98"/>
      <c r="AP57" s="96"/>
      <c r="AQ57" s="97"/>
      <c r="AR57" s="97"/>
      <c r="AS57" s="98"/>
      <c r="AT57" s="99"/>
      <c r="AW57" s="98"/>
      <c r="AX57" s="283"/>
      <c r="AY57" s="283"/>
      <c r="AZ57" s="283"/>
      <c r="BA57" s="288"/>
    </row>
    <row r="58" spans="1:53" s="343" customFormat="1">
      <c r="A58" s="178">
        <v>1983</v>
      </c>
      <c r="B58" s="831">
        <v>30386</v>
      </c>
      <c r="C58" s="909" t="s">
        <v>163</v>
      </c>
      <c r="D58" s="909"/>
      <c r="E58" s="178">
        <f>365-E57</f>
        <v>296</v>
      </c>
      <c r="F58" s="178">
        <v>1</v>
      </c>
      <c r="G58" s="333"/>
      <c r="H58" s="178"/>
      <c r="I58" s="178">
        <v>13</v>
      </c>
      <c r="J58" s="334">
        <v>13</v>
      </c>
      <c r="K58" s="295">
        <f t="shared" ref="K58:K64" si="20">G58/J58*100</f>
        <v>0</v>
      </c>
      <c r="L58" s="295">
        <f t="shared" ref="L58:L64" si="21">H58/J58*100</f>
        <v>0</v>
      </c>
      <c r="M58" s="295">
        <f t="shared" ref="M58:M64" si="22">I58/J58*100</f>
        <v>100</v>
      </c>
      <c r="N58" s="296">
        <f t="shared" si="3"/>
        <v>100</v>
      </c>
      <c r="O58" s="335"/>
      <c r="P58" s="336"/>
      <c r="Q58" s="336">
        <v>60</v>
      </c>
      <c r="R58" s="337">
        <f t="shared" si="4"/>
        <v>60</v>
      </c>
      <c r="S58" s="338">
        <v>1</v>
      </c>
      <c r="T58" s="838">
        <v>30380</v>
      </c>
      <c r="U58" s="838">
        <v>30386</v>
      </c>
      <c r="V58" s="339" t="s">
        <v>78</v>
      </c>
      <c r="W58" s="340" t="s">
        <v>20</v>
      </c>
      <c r="X58" s="340" t="s">
        <v>12</v>
      </c>
      <c r="Y58" s="341">
        <v>60</v>
      </c>
      <c r="Z58" s="340"/>
      <c r="AA58" s="340"/>
      <c r="AB58" s="340"/>
      <c r="AC58" s="340"/>
      <c r="AD58" s="339"/>
      <c r="AE58" s="340"/>
      <c r="AF58" s="340"/>
      <c r="AG58" s="341"/>
      <c r="AH58" s="340"/>
      <c r="AI58" s="340"/>
      <c r="AJ58" s="340"/>
      <c r="AK58" s="340"/>
      <c r="AL58" s="339"/>
      <c r="AM58" s="340"/>
      <c r="AN58" s="340"/>
      <c r="AO58" s="341"/>
      <c r="AP58" s="339"/>
      <c r="AQ58" s="340"/>
      <c r="AR58" s="340"/>
      <c r="AS58" s="341"/>
      <c r="AT58" s="342"/>
      <c r="AW58" s="341"/>
      <c r="AX58" s="344"/>
      <c r="AY58" s="344"/>
      <c r="AZ58" s="344"/>
      <c r="BA58" s="345"/>
    </row>
    <row r="59" spans="1:53" s="343" customFormat="1">
      <c r="A59" s="178">
        <v>1984</v>
      </c>
      <c r="B59" s="831"/>
      <c r="C59" s="909" t="s">
        <v>163</v>
      </c>
      <c r="D59" s="909"/>
      <c r="E59" s="178">
        <v>347</v>
      </c>
      <c r="F59" s="178"/>
      <c r="G59" s="333"/>
      <c r="H59" s="178"/>
      <c r="I59" s="178">
        <v>13</v>
      </c>
      <c r="J59" s="334">
        <v>13</v>
      </c>
      <c r="K59" s="295">
        <f t="shared" si="20"/>
        <v>0</v>
      </c>
      <c r="L59" s="295">
        <f t="shared" si="21"/>
        <v>0</v>
      </c>
      <c r="M59" s="295">
        <f t="shared" si="22"/>
        <v>100</v>
      </c>
      <c r="N59" s="296">
        <f t="shared" si="3"/>
        <v>100</v>
      </c>
      <c r="O59" s="335"/>
      <c r="P59" s="336"/>
      <c r="Q59" s="336">
        <v>60</v>
      </c>
      <c r="R59" s="337">
        <f t="shared" si="4"/>
        <v>60</v>
      </c>
      <c r="S59" s="338">
        <v>1</v>
      </c>
      <c r="T59" s="838"/>
      <c r="U59" s="838"/>
      <c r="V59" s="339" t="s">
        <v>78</v>
      </c>
      <c r="W59" s="340" t="s">
        <v>20</v>
      </c>
      <c r="X59" s="340" t="s">
        <v>12</v>
      </c>
      <c r="Y59" s="341">
        <v>60</v>
      </c>
      <c r="Z59" s="340"/>
      <c r="AA59" s="340"/>
      <c r="AB59" s="340"/>
      <c r="AC59" s="340"/>
      <c r="AD59" s="339"/>
      <c r="AE59" s="340"/>
      <c r="AF59" s="340"/>
      <c r="AG59" s="341"/>
      <c r="AH59" s="340"/>
      <c r="AI59" s="340"/>
      <c r="AJ59" s="340"/>
      <c r="AK59" s="340"/>
      <c r="AL59" s="339"/>
      <c r="AM59" s="340"/>
      <c r="AN59" s="340"/>
      <c r="AO59" s="341"/>
      <c r="AP59" s="339"/>
      <c r="AQ59" s="340"/>
      <c r="AR59" s="340"/>
      <c r="AS59" s="341"/>
      <c r="AT59" s="342"/>
      <c r="AW59" s="341"/>
      <c r="AX59" s="344"/>
      <c r="AY59" s="344"/>
      <c r="AZ59" s="344"/>
      <c r="BA59" s="345"/>
    </row>
    <row r="60" spans="1:53" s="100" customFormat="1">
      <c r="A60" s="87">
        <v>1984</v>
      </c>
      <c r="B60" s="832">
        <v>31029</v>
      </c>
      <c r="C60" s="901" t="s">
        <v>164</v>
      </c>
      <c r="D60" s="901"/>
      <c r="E60" s="87">
        <v>19</v>
      </c>
      <c r="F60" s="87">
        <v>1</v>
      </c>
      <c r="G60" s="89"/>
      <c r="H60" s="87"/>
      <c r="I60" s="87">
        <v>17</v>
      </c>
      <c r="J60" s="90">
        <v>17</v>
      </c>
      <c r="K60" s="77">
        <f t="shared" si="20"/>
        <v>0</v>
      </c>
      <c r="L60" s="77">
        <f t="shared" si="21"/>
        <v>0</v>
      </c>
      <c r="M60" s="77">
        <f t="shared" si="22"/>
        <v>100</v>
      </c>
      <c r="N60" s="78">
        <f t="shared" si="3"/>
        <v>100</v>
      </c>
      <c r="O60" s="91"/>
      <c r="P60" s="92"/>
      <c r="Q60" s="92">
        <v>55.4</v>
      </c>
      <c r="R60" s="93">
        <f t="shared" si="4"/>
        <v>55.4</v>
      </c>
      <c r="S60" s="101">
        <v>1</v>
      </c>
      <c r="T60" s="839">
        <v>31017</v>
      </c>
      <c r="U60" s="839">
        <v>31029</v>
      </c>
      <c r="V60" s="96" t="s">
        <v>78</v>
      </c>
      <c r="W60" s="97" t="s">
        <v>20</v>
      </c>
      <c r="X60" s="97" t="s">
        <v>12</v>
      </c>
      <c r="Y60" s="98">
        <v>55.4</v>
      </c>
      <c r="Z60" s="97"/>
      <c r="AA60" s="97"/>
      <c r="AB60" s="97"/>
      <c r="AC60" s="97"/>
      <c r="AD60" s="96"/>
      <c r="AE60" s="97"/>
      <c r="AF60" s="97"/>
      <c r="AG60" s="98"/>
      <c r="AH60" s="97"/>
      <c r="AI60" s="97"/>
      <c r="AJ60" s="97"/>
      <c r="AK60" s="97"/>
      <c r="AL60" s="96"/>
      <c r="AM60" s="97"/>
      <c r="AN60" s="97"/>
      <c r="AO60" s="98"/>
      <c r="AP60" s="96"/>
      <c r="AQ60" s="97"/>
      <c r="AR60" s="97"/>
      <c r="AS60" s="98"/>
      <c r="AT60" s="99"/>
      <c r="AW60" s="98"/>
      <c r="AX60" s="283"/>
      <c r="AY60" s="283"/>
      <c r="AZ60" s="283"/>
      <c r="BA60" s="288"/>
    </row>
    <row r="61" spans="1:53" s="100" customFormat="1">
      <c r="A61" s="87">
        <v>1985</v>
      </c>
      <c r="B61" s="832"/>
      <c r="C61" s="901" t="s">
        <v>164</v>
      </c>
      <c r="D61" s="901"/>
      <c r="E61" s="87">
        <v>0</v>
      </c>
      <c r="F61" s="87"/>
      <c r="G61" s="89"/>
      <c r="H61" s="87"/>
      <c r="I61" s="87">
        <v>17</v>
      </c>
      <c r="J61" s="90">
        <v>17</v>
      </c>
      <c r="K61" s="77">
        <f t="shared" si="20"/>
        <v>0</v>
      </c>
      <c r="L61" s="77">
        <f t="shared" si="21"/>
        <v>0</v>
      </c>
      <c r="M61" s="77">
        <f t="shared" si="22"/>
        <v>100</v>
      </c>
      <c r="N61" s="78">
        <f t="shared" si="3"/>
        <v>100</v>
      </c>
      <c r="O61" s="91"/>
      <c r="P61" s="92"/>
      <c r="Q61" s="92">
        <v>55.4</v>
      </c>
      <c r="R61" s="93">
        <f t="shared" si="4"/>
        <v>55.4</v>
      </c>
      <c r="S61" s="101">
        <v>1</v>
      </c>
      <c r="T61" s="839"/>
      <c r="U61" s="839"/>
      <c r="V61" s="96" t="s">
        <v>78</v>
      </c>
      <c r="W61" s="97" t="s">
        <v>20</v>
      </c>
      <c r="X61" s="97" t="s">
        <v>12</v>
      </c>
      <c r="Y61" s="98">
        <v>55.4</v>
      </c>
      <c r="Z61" s="97"/>
      <c r="AA61" s="97"/>
      <c r="AB61" s="97"/>
      <c r="AC61" s="97"/>
      <c r="AD61" s="96"/>
      <c r="AE61" s="97"/>
      <c r="AF61" s="97"/>
      <c r="AG61" s="98"/>
      <c r="AH61" s="97"/>
      <c r="AI61" s="97"/>
      <c r="AJ61" s="97"/>
      <c r="AK61" s="97"/>
      <c r="AL61" s="96"/>
      <c r="AM61" s="97"/>
      <c r="AN61" s="97"/>
      <c r="AO61" s="98"/>
      <c r="AP61" s="96"/>
      <c r="AQ61" s="97"/>
      <c r="AR61" s="97"/>
      <c r="AS61" s="98"/>
      <c r="AT61" s="99"/>
      <c r="AW61" s="98"/>
      <c r="AX61" s="283"/>
      <c r="AY61" s="283"/>
      <c r="AZ61" s="283"/>
      <c r="BA61" s="288"/>
    </row>
    <row r="62" spans="1:53" s="100" customFormat="1">
      <c r="A62" s="87">
        <v>1985</v>
      </c>
      <c r="B62" s="832"/>
      <c r="C62" s="901" t="s">
        <v>164</v>
      </c>
      <c r="D62" s="901"/>
      <c r="E62" s="87">
        <f>365-E61</f>
        <v>365</v>
      </c>
      <c r="F62" s="87"/>
      <c r="G62" s="89"/>
      <c r="H62" s="87"/>
      <c r="I62" s="87">
        <v>17</v>
      </c>
      <c r="J62" s="90">
        <v>17</v>
      </c>
      <c r="K62" s="77">
        <f t="shared" si="20"/>
        <v>0</v>
      </c>
      <c r="L62" s="77">
        <f t="shared" si="21"/>
        <v>0</v>
      </c>
      <c r="M62" s="77">
        <f t="shared" si="22"/>
        <v>100</v>
      </c>
      <c r="N62" s="78">
        <f t="shared" si="3"/>
        <v>100</v>
      </c>
      <c r="O62" s="91"/>
      <c r="P62" s="92"/>
      <c r="Q62" s="92">
        <v>55.4</v>
      </c>
      <c r="R62" s="93">
        <f t="shared" si="4"/>
        <v>55.4</v>
      </c>
      <c r="S62" s="101">
        <v>1</v>
      </c>
      <c r="T62" s="839"/>
      <c r="U62" s="839"/>
      <c r="V62" s="96" t="s">
        <v>78</v>
      </c>
      <c r="W62" s="97" t="s">
        <v>20</v>
      </c>
      <c r="X62" s="97" t="s">
        <v>12</v>
      </c>
      <c r="Y62" s="98">
        <v>55.4</v>
      </c>
      <c r="Z62" s="97"/>
      <c r="AA62" s="97"/>
      <c r="AB62" s="97"/>
      <c r="AC62" s="97"/>
      <c r="AD62" s="96"/>
      <c r="AE62" s="97"/>
      <c r="AF62" s="97"/>
      <c r="AG62" s="98"/>
      <c r="AH62" s="97"/>
      <c r="AI62" s="97"/>
      <c r="AJ62" s="97"/>
      <c r="AK62" s="97"/>
      <c r="AL62" s="96"/>
      <c r="AM62" s="97"/>
      <c r="AN62" s="97"/>
      <c r="AO62" s="98"/>
      <c r="AP62" s="96"/>
      <c r="AQ62" s="97"/>
      <c r="AR62" s="97"/>
      <c r="AS62" s="98"/>
      <c r="AT62" s="99"/>
      <c r="AW62" s="98"/>
      <c r="AX62" s="283"/>
      <c r="AY62" s="283"/>
      <c r="AZ62" s="283"/>
      <c r="BA62" s="288"/>
    </row>
    <row r="63" spans="1:53" s="100" customFormat="1">
      <c r="A63" s="87">
        <v>1986</v>
      </c>
      <c r="B63" s="832"/>
      <c r="C63" s="901" t="s">
        <v>164</v>
      </c>
      <c r="D63" s="901"/>
      <c r="E63" s="87">
        <v>0</v>
      </c>
      <c r="F63" s="87"/>
      <c r="G63" s="89"/>
      <c r="H63" s="87"/>
      <c r="I63" s="87">
        <v>17</v>
      </c>
      <c r="J63" s="90">
        <v>17</v>
      </c>
      <c r="K63" s="77">
        <f t="shared" si="20"/>
        <v>0</v>
      </c>
      <c r="L63" s="77">
        <f t="shared" si="21"/>
        <v>0</v>
      </c>
      <c r="M63" s="77">
        <f t="shared" si="22"/>
        <v>100</v>
      </c>
      <c r="N63" s="78">
        <f t="shared" si="3"/>
        <v>100</v>
      </c>
      <c r="O63" s="91"/>
      <c r="P63" s="92"/>
      <c r="Q63" s="92">
        <v>55.4</v>
      </c>
      <c r="R63" s="93">
        <f t="shared" si="4"/>
        <v>55.4</v>
      </c>
      <c r="S63" s="101">
        <v>1</v>
      </c>
      <c r="T63" s="839"/>
      <c r="U63" s="839"/>
      <c r="V63" s="96" t="s">
        <v>78</v>
      </c>
      <c r="W63" s="97" t="s">
        <v>20</v>
      </c>
      <c r="X63" s="97" t="s">
        <v>12</v>
      </c>
      <c r="Y63" s="98">
        <v>55.4</v>
      </c>
      <c r="Z63" s="97"/>
      <c r="AA63" s="97"/>
      <c r="AB63" s="97"/>
      <c r="AC63" s="97"/>
      <c r="AD63" s="96"/>
      <c r="AE63" s="97"/>
      <c r="AF63" s="97"/>
      <c r="AG63" s="98"/>
      <c r="AH63" s="97"/>
      <c r="AI63" s="97"/>
      <c r="AJ63" s="97"/>
      <c r="AK63" s="97"/>
      <c r="AL63" s="96"/>
      <c r="AM63" s="97"/>
      <c r="AN63" s="97"/>
      <c r="AO63" s="98"/>
      <c r="AP63" s="96"/>
      <c r="AQ63" s="97"/>
      <c r="AR63" s="97"/>
      <c r="AS63" s="98"/>
      <c r="AT63" s="99"/>
      <c r="AW63" s="98"/>
      <c r="AX63" s="283"/>
      <c r="AY63" s="283"/>
      <c r="AZ63" s="283"/>
      <c r="BA63" s="288"/>
    </row>
    <row r="64" spans="1:53" s="100" customFormat="1">
      <c r="A64" s="87">
        <v>1986</v>
      </c>
      <c r="B64" s="832"/>
      <c r="C64" s="901" t="s">
        <v>164</v>
      </c>
      <c r="D64" s="901"/>
      <c r="E64" s="87">
        <f>365-E63</f>
        <v>365</v>
      </c>
      <c r="F64" s="87"/>
      <c r="G64" s="89"/>
      <c r="H64" s="87"/>
      <c r="I64" s="87">
        <v>17</v>
      </c>
      <c r="J64" s="90">
        <v>17</v>
      </c>
      <c r="K64" s="77">
        <f t="shared" si="20"/>
        <v>0</v>
      </c>
      <c r="L64" s="77">
        <f t="shared" si="21"/>
        <v>0</v>
      </c>
      <c r="M64" s="77">
        <f t="shared" si="22"/>
        <v>100</v>
      </c>
      <c r="N64" s="78">
        <f t="shared" si="3"/>
        <v>100</v>
      </c>
      <c r="O64" s="91"/>
      <c r="P64" s="92"/>
      <c r="Q64" s="92">
        <v>55.4</v>
      </c>
      <c r="R64" s="93">
        <f t="shared" si="4"/>
        <v>55.4</v>
      </c>
      <c r="S64" s="101">
        <v>1</v>
      </c>
      <c r="T64" s="839"/>
      <c r="U64" s="839"/>
      <c r="V64" s="96" t="s">
        <v>78</v>
      </c>
      <c r="W64" s="97" t="s">
        <v>20</v>
      </c>
      <c r="X64" s="97" t="s">
        <v>12</v>
      </c>
      <c r="Y64" s="98">
        <v>55.4</v>
      </c>
      <c r="Z64" s="97"/>
      <c r="AA64" s="97"/>
      <c r="AB64" s="97"/>
      <c r="AC64" s="97"/>
      <c r="AD64" s="96"/>
      <c r="AE64" s="97"/>
      <c r="AF64" s="97"/>
      <c r="AG64" s="98"/>
      <c r="AH64" s="97"/>
      <c r="AI64" s="97"/>
      <c r="AJ64" s="97"/>
      <c r="AK64" s="97"/>
      <c r="AL64" s="96"/>
      <c r="AM64" s="97"/>
      <c r="AN64" s="97"/>
      <c r="AO64" s="98"/>
      <c r="AP64" s="96"/>
      <c r="AQ64" s="97"/>
      <c r="AR64" s="97"/>
      <c r="AS64" s="98"/>
      <c r="AT64" s="99"/>
      <c r="AW64" s="98"/>
      <c r="AX64" s="283"/>
      <c r="AY64" s="283"/>
      <c r="AZ64" s="283"/>
      <c r="BA64" s="288"/>
    </row>
    <row r="65" spans="1:53" s="100" customFormat="1">
      <c r="A65" s="87">
        <v>1987</v>
      </c>
      <c r="B65" s="832"/>
      <c r="C65" s="901" t="s">
        <v>164</v>
      </c>
      <c r="D65" s="901"/>
      <c r="E65" s="87">
        <v>202</v>
      </c>
      <c r="F65" s="87"/>
      <c r="G65" s="89"/>
      <c r="H65" s="87"/>
      <c r="I65" s="87">
        <v>17</v>
      </c>
      <c r="J65" s="90">
        <v>17</v>
      </c>
      <c r="K65" s="77">
        <f t="shared" ref="K65:K76" si="23">G65/J65*100</f>
        <v>0</v>
      </c>
      <c r="L65" s="77">
        <f t="shared" ref="L65:L76" si="24">H65/J65*100</f>
        <v>0</v>
      </c>
      <c r="M65" s="77">
        <f t="shared" ref="M65:M76" si="25">I65/J65*100</f>
        <v>100</v>
      </c>
      <c r="N65" s="78">
        <f t="shared" si="3"/>
        <v>100</v>
      </c>
      <c r="O65" s="91"/>
      <c r="P65" s="92"/>
      <c r="Q65" s="92">
        <v>55.4</v>
      </c>
      <c r="R65" s="93">
        <f t="shared" si="4"/>
        <v>55.4</v>
      </c>
      <c r="S65" s="101">
        <v>1</v>
      </c>
      <c r="T65" s="839"/>
      <c r="U65" s="839"/>
      <c r="V65" s="96" t="s">
        <v>78</v>
      </c>
      <c r="W65" s="97" t="s">
        <v>20</v>
      </c>
      <c r="X65" s="97" t="s">
        <v>12</v>
      </c>
      <c r="Y65" s="98">
        <v>55.4</v>
      </c>
      <c r="Z65" s="97"/>
      <c r="AA65" s="97"/>
      <c r="AB65" s="97"/>
      <c r="AC65" s="97"/>
      <c r="AD65" s="96"/>
      <c r="AE65" s="97"/>
      <c r="AF65" s="97"/>
      <c r="AG65" s="98"/>
      <c r="AH65" s="97"/>
      <c r="AI65" s="97"/>
      <c r="AJ65" s="97"/>
      <c r="AK65" s="97"/>
      <c r="AL65" s="96"/>
      <c r="AM65" s="97"/>
      <c r="AN65" s="97"/>
      <c r="AO65" s="98"/>
      <c r="AP65" s="96"/>
      <c r="AQ65" s="97"/>
      <c r="AR65" s="97"/>
      <c r="AS65" s="98"/>
      <c r="AT65" s="99"/>
      <c r="AW65" s="98"/>
      <c r="AX65" s="283"/>
      <c r="AY65" s="283"/>
      <c r="AZ65" s="283"/>
      <c r="BA65" s="288"/>
    </row>
    <row r="66" spans="1:53" s="343" customFormat="1">
      <c r="A66" s="178">
        <v>1987</v>
      </c>
      <c r="B66" s="831">
        <v>31980</v>
      </c>
      <c r="C66" s="909" t="s">
        <v>165</v>
      </c>
      <c r="D66" s="909"/>
      <c r="E66" s="178">
        <f>365-E65</f>
        <v>163</v>
      </c>
      <c r="F66" s="178">
        <v>1</v>
      </c>
      <c r="G66" s="333"/>
      <c r="H66" s="178"/>
      <c r="I66" s="178">
        <v>16</v>
      </c>
      <c r="J66" s="334">
        <v>16</v>
      </c>
      <c r="K66" s="295">
        <f t="shared" si="23"/>
        <v>0</v>
      </c>
      <c r="L66" s="295">
        <f t="shared" si="24"/>
        <v>0</v>
      </c>
      <c r="M66" s="295">
        <f t="shared" si="25"/>
        <v>100</v>
      </c>
      <c r="N66" s="296">
        <f t="shared" si="3"/>
        <v>100</v>
      </c>
      <c r="O66" s="335"/>
      <c r="P66" s="336"/>
      <c r="Q66" s="336">
        <v>58.1</v>
      </c>
      <c r="R66" s="337">
        <f t="shared" si="4"/>
        <v>58.1</v>
      </c>
      <c r="S66" s="338">
        <v>1</v>
      </c>
      <c r="T66" s="838">
        <v>31969</v>
      </c>
      <c r="U66" s="838">
        <v>31980</v>
      </c>
      <c r="V66" s="339" t="s">
        <v>78</v>
      </c>
      <c r="W66" s="340" t="s">
        <v>20</v>
      </c>
      <c r="X66" s="340" t="s">
        <v>12</v>
      </c>
      <c r="Y66" s="341">
        <v>58.1</v>
      </c>
      <c r="Z66" s="340"/>
      <c r="AA66" s="340"/>
      <c r="AB66" s="340"/>
      <c r="AC66" s="340"/>
      <c r="AD66" s="339"/>
      <c r="AE66" s="340"/>
      <c r="AF66" s="340"/>
      <c r="AG66" s="341"/>
      <c r="AH66" s="340"/>
      <c r="AI66" s="340"/>
      <c r="AJ66" s="340"/>
      <c r="AK66" s="340"/>
      <c r="AL66" s="339"/>
      <c r="AM66" s="340"/>
      <c r="AN66" s="340"/>
      <c r="AO66" s="341"/>
      <c r="AP66" s="339"/>
      <c r="AQ66" s="340"/>
      <c r="AR66" s="340"/>
      <c r="AS66" s="341"/>
      <c r="AT66" s="342"/>
      <c r="AW66" s="341"/>
      <c r="AX66" s="344"/>
      <c r="AY66" s="344"/>
      <c r="AZ66" s="344"/>
      <c r="BA66" s="345"/>
    </row>
    <row r="67" spans="1:53" s="343" customFormat="1">
      <c r="A67" s="178">
        <v>1988</v>
      </c>
      <c r="B67" s="831"/>
      <c r="C67" s="909" t="s">
        <v>165</v>
      </c>
      <c r="D67" s="909"/>
      <c r="E67" s="178">
        <v>0</v>
      </c>
      <c r="F67" s="178"/>
      <c r="G67" s="333"/>
      <c r="H67" s="178"/>
      <c r="I67" s="178">
        <v>16</v>
      </c>
      <c r="J67" s="334">
        <v>16</v>
      </c>
      <c r="K67" s="295">
        <f t="shared" si="23"/>
        <v>0</v>
      </c>
      <c r="L67" s="295">
        <f t="shared" si="24"/>
        <v>0</v>
      </c>
      <c r="M67" s="295">
        <f t="shared" si="25"/>
        <v>100</v>
      </c>
      <c r="N67" s="296">
        <f t="shared" si="3"/>
        <v>100</v>
      </c>
      <c r="O67" s="335"/>
      <c r="P67" s="336"/>
      <c r="Q67" s="336">
        <v>58.1</v>
      </c>
      <c r="R67" s="337">
        <f t="shared" si="4"/>
        <v>58.1</v>
      </c>
      <c r="S67" s="338">
        <v>1</v>
      </c>
      <c r="T67" s="838"/>
      <c r="U67" s="838"/>
      <c r="V67" s="339" t="s">
        <v>78</v>
      </c>
      <c r="W67" s="340" t="s">
        <v>20</v>
      </c>
      <c r="X67" s="340" t="s">
        <v>12</v>
      </c>
      <c r="Y67" s="341">
        <v>58.1</v>
      </c>
      <c r="Z67" s="340"/>
      <c r="AA67" s="340"/>
      <c r="AB67" s="340"/>
      <c r="AC67" s="340"/>
      <c r="AD67" s="339"/>
      <c r="AE67" s="340"/>
      <c r="AF67" s="340"/>
      <c r="AG67" s="341"/>
      <c r="AH67" s="340"/>
      <c r="AI67" s="340"/>
      <c r="AJ67" s="340"/>
      <c r="AK67" s="340"/>
      <c r="AL67" s="339"/>
      <c r="AM67" s="340"/>
      <c r="AN67" s="340"/>
      <c r="AO67" s="341"/>
      <c r="AP67" s="339"/>
      <c r="AQ67" s="340"/>
      <c r="AR67" s="340"/>
      <c r="AS67" s="341"/>
      <c r="AT67" s="342"/>
      <c r="AW67" s="341"/>
      <c r="AX67" s="344"/>
      <c r="AY67" s="344"/>
      <c r="AZ67" s="344"/>
      <c r="BA67" s="345"/>
    </row>
    <row r="68" spans="1:53" s="343" customFormat="1">
      <c r="A68" s="178">
        <v>1988</v>
      </c>
      <c r="B68" s="831"/>
      <c r="C68" s="909" t="s">
        <v>165</v>
      </c>
      <c r="D68" s="909"/>
      <c r="E68" s="178">
        <v>366</v>
      </c>
      <c r="F68" s="178"/>
      <c r="G68" s="333"/>
      <c r="H68" s="178"/>
      <c r="I68" s="178">
        <v>16</v>
      </c>
      <c r="J68" s="334">
        <v>16</v>
      </c>
      <c r="K68" s="295">
        <f t="shared" si="23"/>
        <v>0</v>
      </c>
      <c r="L68" s="295">
        <f t="shared" si="24"/>
        <v>0</v>
      </c>
      <c r="M68" s="295">
        <f t="shared" si="25"/>
        <v>100</v>
      </c>
      <c r="N68" s="296">
        <f t="shared" si="3"/>
        <v>100</v>
      </c>
      <c r="O68" s="335"/>
      <c r="P68" s="336"/>
      <c r="Q68" s="336">
        <v>58.1</v>
      </c>
      <c r="R68" s="337">
        <f t="shared" si="4"/>
        <v>58.1</v>
      </c>
      <c r="S68" s="338">
        <v>1</v>
      </c>
      <c r="T68" s="838"/>
      <c r="U68" s="838"/>
      <c r="V68" s="339" t="s">
        <v>78</v>
      </c>
      <c r="W68" s="340" t="s">
        <v>20</v>
      </c>
      <c r="X68" s="340" t="s">
        <v>12</v>
      </c>
      <c r="Y68" s="341">
        <v>58.1</v>
      </c>
      <c r="Z68" s="340"/>
      <c r="AA68" s="340"/>
      <c r="AB68" s="340"/>
      <c r="AC68" s="340"/>
      <c r="AD68" s="339"/>
      <c r="AE68" s="340"/>
      <c r="AF68" s="340"/>
      <c r="AG68" s="341"/>
      <c r="AH68" s="340"/>
      <c r="AI68" s="340"/>
      <c r="AJ68" s="340"/>
      <c r="AK68" s="340"/>
      <c r="AL68" s="339"/>
      <c r="AM68" s="340"/>
      <c r="AN68" s="340"/>
      <c r="AO68" s="341"/>
      <c r="AP68" s="339"/>
      <c r="AQ68" s="340"/>
      <c r="AR68" s="340"/>
      <c r="AS68" s="341"/>
      <c r="AT68" s="342"/>
      <c r="AW68" s="341"/>
      <c r="AX68" s="344"/>
      <c r="AY68" s="344"/>
      <c r="AZ68" s="344"/>
      <c r="BA68" s="345"/>
    </row>
    <row r="69" spans="1:53" s="343" customFormat="1">
      <c r="A69" s="178">
        <v>1989</v>
      </c>
      <c r="B69" s="831"/>
      <c r="C69" s="909" t="s">
        <v>165</v>
      </c>
      <c r="D69" s="909"/>
      <c r="E69" s="178">
        <v>0</v>
      </c>
      <c r="F69" s="178"/>
      <c r="G69" s="333"/>
      <c r="H69" s="178"/>
      <c r="I69" s="178">
        <v>16</v>
      </c>
      <c r="J69" s="334">
        <v>16</v>
      </c>
      <c r="K69" s="295">
        <f t="shared" si="23"/>
        <v>0</v>
      </c>
      <c r="L69" s="295">
        <f t="shared" si="24"/>
        <v>0</v>
      </c>
      <c r="M69" s="295">
        <f t="shared" si="25"/>
        <v>100</v>
      </c>
      <c r="N69" s="296">
        <f t="shared" si="3"/>
        <v>100</v>
      </c>
      <c r="O69" s="335"/>
      <c r="P69" s="336"/>
      <c r="Q69" s="336">
        <v>58.1</v>
      </c>
      <c r="R69" s="337">
        <f t="shared" si="4"/>
        <v>58.1</v>
      </c>
      <c r="S69" s="338">
        <v>1</v>
      </c>
      <c r="T69" s="838"/>
      <c r="U69" s="838"/>
      <c r="V69" s="339" t="s">
        <v>78</v>
      </c>
      <c r="W69" s="340" t="s">
        <v>20</v>
      </c>
      <c r="X69" s="340" t="s">
        <v>12</v>
      </c>
      <c r="Y69" s="341">
        <v>58.1</v>
      </c>
      <c r="Z69" s="340"/>
      <c r="AA69" s="340"/>
      <c r="AB69" s="340"/>
      <c r="AC69" s="340"/>
      <c r="AD69" s="339"/>
      <c r="AE69" s="340"/>
      <c r="AF69" s="340"/>
      <c r="AG69" s="341"/>
      <c r="AH69" s="340"/>
      <c r="AI69" s="340"/>
      <c r="AJ69" s="340"/>
      <c r="AK69" s="340"/>
      <c r="AL69" s="339"/>
      <c r="AM69" s="340"/>
      <c r="AN69" s="340"/>
      <c r="AO69" s="341"/>
      <c r="AP69" s="339"/>
      <c r="AQ69" s="340"/>
      <c r="AR69" s="340"/>
      <c r="AS69" s="341"/>
      <c r="AT69" s="342"/>
      <c r="AW69" s="341"/>
      <c r="AX69" s="344"/>
      <c r="AY69" s="344"/>
      <c r="AZ69" s="344"/>
      <c r="BA69" s="345"/>
    </row>
    <row r="70" spans="1:53" s="181" customFormat="1">
      <c r="A70" s="183">
        <v>1989</v>
      </c>
      <c r="B70" s="834"/>
      <c r="C70" s="913" t="s">
        <v>165</v>
      </c>
      <c r="D70" s="913"/>
      <c r="E70" s="183">
        <f>365-E69</f>
        <v>365</v>
      </c>
      <c r="F70" s="183"/>
      <c r="G70" s="348"/>
      <c r="H70" s="183"/>
      <c r="I70" s="183">
        <v>16</v>
      </c>
      <c r="J70" s="349">
        <v>16</v>
      </c>
      <c r="K70" s="350">
        <f t="shared" si="23"/>
        <v>0</v>
      </c>
      <c r="L70" s="350">
        <f t="shared" si="24"/>
        <v>0</v>
      </c>
      <c r="M70" s="350">
        <f t="shared" si="25"/>
        <v>100</v>
      </c>
      <c r="N70" s="351">
        <f t="shared" si="3"/>
        <v>100</v>
      </c>
      <c r="O70" s="352"/>
      <c r="P70" s="353"/>
      <c r="Q70" s="353">
        <v>58.1</v>
      </c>
      <c r="R70" s="354">
        <f t="shared" si="4"/>
        <v>58.1</v>
      </c>
      <c r="S70" s="180">
        <v>1</v>
      </c>
      <c r="T70" s="840"/>
      <c r="U70" s="840"/>
      <c r="V70" s="355" t="s">
        <v>78</v>
      </c>
      <c r="W70" s="356" t="s">
        <v>20</v>
      </c>
      <c r="X70" s="356" t="s">
        <v>12</v>
      </c>
      <c r="Y70" s="357">
        <v>58.1</v>
      </c>
      <c r="Z70" s="356"/>
      <c r="AA70" s="356"/>
      <c r="AB70" s="356"/>
      <c r="AC70" s="356"/>
      <c r="AD70" s="355"/>
      <c r="AE70" s="356"/>
      <c r="AF70" s="356"/>
      <c r="AG70" s="357"/>
      <c r="AH70" s="356"/>
      <c r="AI70" s="356"/>
      <c r="AJ70" s="356"/>
      <c r="AK70" s="356"/>
      <c r="AL70" s="355"/>
      <c r="AM70" s="356"/>
      <c r="AN70" s="356"/>
      <c r="AO70" s="357"/>
      <c r="AP70" s="355"/>
      <c r="AQ70" s="356"/>
      <c r="AR70" s="356"/>
      <c r="AS70" s="357"/>
      <c r="AT70" s="356"/>
      <c r="AW70" s="357"/>
      <c r="BA70" s="358"/>
    </row>
    <row r="71" spans="1:53" s="343" customFormat="1">
      <c r="A71" s="178">
        <v>1990</v>
      </c>
      <c r="B71" s="831"/>
      <c r="C71" s="909" t="s">
        <v>165</v>
      </c>
      <c r="D71" s="909"/>
      <c r="E71" s="178">
        <v>93</v>
      </c>
      <c r="F71" s="178"/>
      <c r="G71" s="333"/>
      <c r="H71" s="178"/>
      <c r="I71" s="178">
        <v>16</v>
      </c>
      <c r="J71" s="334">
        <v>16</v>
      </c>
      <c r="K71" s="295">
        <f t="shared" si="23"/>
        <v>0</v>
      </c>
      <c r="L71" s="295">
        <f t="shared" si="24"/>
        <v>0</v>
      </c>
      <c r="M71" s="295">
        <f t="shared" si="25"/>
        <v>100</v>
      </c>
      <c r="N71" s="296">
        <f t="shared" si="3"/>
        <v>100</v>
      </c>
      <c r="O71" s="335"/>
      <c r="P71" s="336"/>
      <c r="Q71" s="336">
        <v>58.1</v>
      </c>
      <c r="R71" s="337">
        <f>SUM(O71:Q71)</f>
        <v>58.1</v>
      </c>
      <c r="S71" s="338">
        <v>1</v>
      </c>
      <c r="T71" s="838"/>
      <c r="U71" s="838"/>
      <c r="V71" s="339" t="s">
        <v>78</v>
      </c>
      <c r="W71" s="340" t="s">
        <v>20</v>
      </c>
      <c r="X71" s="340" t="s">
        <v>12</v>
      </c>
      <c r="Y71" s="341">
        <v>58.1</v>
      </c>
      <c r="Z71" s="340"/>
      <c r="AA71" s="340"/>
      <c r="AB71" s="340"/>
      <c r="AC71" s="340"/>
      <c r="AD71" s="339"/>
      <c r="AE71" s="340"/>
      <c r="AF71" s="340"/>
      <c r="AG71" s="341"/>
      <c r="AH71" s="340"/>
      <c r="AI71" s="340"/>
      <c r="AJ71" s="340"/>
      <c r="AK71" s="340"/>
      <c r="AL71" s="339"/>
      <c r="AM71" s="340"/>
      <c r="AN71" s="340"/>
      <c r="AO71" s="341"/>
      <c r="AP71" s="339"/>
      <c r="AQ71" s="340"/>
      <c r="AR71" s="340"/>
      <c r="AS71" s="341"/>
      <c r="AT71" s="342"/>
      <c r="AW71" s="341"/>
      <c r="AX71" s="344"/>
      <c r="AY71" s="344"/>
      <c r="AZ71" s="344"/>
      <c r="BA71" s="345"/>
    </row>
    <row r="72" spans="1:53" s="100" customFormat="1">
      <c r="A72" s="87">
        <v>1990</v>
      </c>
      <c r="B72" s="832">
        <v>32967</v>
      </c>
      <c r="C72" s="901" t="s">
        <v>166</v>
      </c>
      <c r="D72" s="901"/>
      <c r="E72" s="87">
        <f>365-E71</f>
        <v>272</v>
      </c>
      <c r="F72" s="87">
        <v>1</v>
      </c>
      <c r="G72" s="89"/>
      <c r="H72" s="87"/>
      <c r="I72" s="87">
        <v>17</v>
      </c>
      <c r="J72" s="90">
        <v>17</v>
      </c>
      <c r="K72" s="77">
        <f t="shared" si="23"/>
        <v>0</v>
      </c>
      <c r="L72" s="77">
        <f t="shared" si="24"/>
        <v>0</v>
      </c>
      <c r="M72" s="77">
        <f t="shared" si="25"/>
        <v>100</v>
      </c>
      <c r="N72" s="78">
        <f t="shared" si="3"/>
        <v>100</v>
      </c>
      <c r="O72" s="91"/>
      <c r="P72" s="92"/>
      <c r="Q72" s="92">
        <v>52.7</v>
      </c>
      <c r="R72" s="93">
        <f t="shared" si="4"/>
        <v>52.7</v>
      </c>
      <c r="S72" s="101">
        <v>1</v>
      </c>
      <c r="T72" s="839">
        <v>32956</v>
      </c>
      <c r="U72" s="839">
        <v>32967</v>
      </c>
      <c r="V72" s="96" t="s">
        <v>78</v>
      </c>
      <c r="W72" s="97" t="s">
        <v>20</v>
      </c>
      <c r="X72" s="97" t="s">
        <v>12</v>
      </c>
      <c r="Y72" s="98">
        <v>52.7</v>
      </c>
      <c r="Z72" s="97"/>
      <c r="AA72" s="97"/>
      <c r="AB72" s="97"/>
      <c r="AC72" s="97"/>
      <c r="AD72" s="96"/>
      <c r="AE72" s="97"/>
      <c r="AF72" s="97"/>
      <c r="AG72" s="98"/>
      <c r="AH72" s="97"/>
      <c r="AI72" s="97"/>
      <c r="AJ72" s="97"/>
      <c r="AK72" s="97"/>
      <c r="AL72" s="96"/>
      <c r="AM72" s="97"/>
      <c r="AN72" s="97"/>
      <c r="AO72" s="98"/>
      <c r="AP72" s="96"/>
      <c r="AQ72" s="97"/>
      <c r="AR72" s="97"/>
      <c r="AS72" s="98"/>
      <c r="AT72" s="99"/>
      <c r="AW72" s="98"/>
      <c r="AX72" s="283"/>
      <c r="AY72" s="283"/>
      <c r="AZ72" s="283"/>
      <c r="BA72" s="288"/>
    </row>
    <row r="73" spans="1:53" s="100" customFormat="1">
      <c r="A73" s="87">
        <v>1991</v>
      </c>
      <c r="B73" s="832"/>
      <c r="C73" s="901" t="s">
        <v>166</v>
      </c>
      <c r="D73" s="901"/>
      <c r="E73" s="87">
        <v>360</v>
      </c>
      <c r="F73" s="87"/>
      <c r="G73" s="89"/>
      <c r="H73" s="87"/>
      <c r="I73" s="87">
        <v>17</v>
      </c>
      <c r="J73" s="90">
        <v>17</v>
      </c>
      <c r="K73" s="77">
        <f t="shared" si="23"/>
        <v>0</v>
      </c>
      <c r="L73" s="77">
        <f t="shared" si="24"/>
        <v>0</v>
      </c>
      <c r="M73" s="77">
        <f t="shared" si="25"/>
        <v>100</v>
      </c>
      <c r="N73" s="78">
        <f t="shared" ref="N73:N126" si="26">SUM(K73:M73)</f>
        <v>100</v>
      </c>
      <c r="O73" s="91"/>
      <c r="P73" s="92"/>
      <c r="Q73" s="92">
        <v>52.7</v>
      </c>
      <c r="R73" s="93">
        <f t="shared" ref="R73:R123" si="27">SUM(O73:Q73)</f>
        <v>52.7</v>
      </c>
      <c r="S73" s="101">
        <v>1</v>
      </c>
      <c r="T73" s="839"/>
      <c r="U73" s="839"/>
      <c r="V73" s="96" t="s">
        <v>78</v>
      </c>
      <c r="W73" s="97" t="s">
        <v>20</v>
      </c>
      <c r="X73" s="97" t="s">
        <v>12</v>
      </c>
      <c r="Y73" s="98">
        <v>52.7</v>
      </c>
      <c r="Z73" s="97"/>
      <c r="AA73" s="97"/>
      <c r="AB73" s="97"/>
      <c r="AC73" s="97"/>
      <c r="AD73" s="96"/>
      <c r="AE73" s="97"/>
      <c r="AF73" s="97"/>
      <c r="AG73" s="98"/>
      <c r="AH73" s="97"/>
      <c r="AI73" s="97"/>
      <c r="AJ73" s="97"/>
      <c r="AK73" s="97"/>
      <c r="AL73" s="96"/>
      <c r="AM73" s="97"/>
      <c r="AN73" s="97"/>
      <c r="AO73" s="98"/>
      <c r="AP73" s="96"/>
      <c r="AQ73" s="97"/>
      <c r="AR73" s="97"/>
      <c r="AS73" s="98"/>
      <c r="AT73" s="99"/>
      <c r="AW73" s="98"/>
      <c r="AX73" s="283"/>
      <c r="AY73" s="283"/>
      <c r="AZ73" s="283"/>
      <c r="BA73" s="288"/>
    </row>
    <row r="74" spans="1:53" s="343" customFormat="1">
      <c r="A74" s="178">
        <v>1991</v>
      </c>
      <c r="B74" s="831">
        <v>33599</v>
      </c>
      <c r="C74" s="914" t="s">
        <v>168</v>
      </c>
      <c r="D74" s="914"/>
      <c r="E74" s="178">
        <f>365-E73</f>
        <v>5</v>
      </c>
      <c r="F74" s="178">
        <v>2</v>
      </c>
      <c r="G74" s="333"/>
      <c r="H74" s="178"/>
      <c r="I74" s="178">
        <v>18</v>
      </c>
      <c r="J74" s="334">
        <v>18</v>
      </c>
      <c r="K74" s="295">
        <f t="shared" si="23"/>
        <v>0</v>
      </c>
      <c r="L74" s="295">
        <f t="shared" si="24"/>
        <v>0</v>
      </c>
      <c r="M74" s="295">
        <f t="shared" si="25"/>
        <v>100</v>
      </c>
      <c r="N74" s="296">
        <f t="shared" si="26"/>
        <v>100</v>
      </c>
      <c r="O74" s="335"/>
      <c r="P74" s="336"/>
      <c r="Q74" s="336">
        <v>52.7</v>
      </c>
      <c r="R74" s="337">
        <f t="shared" si="27"/>
        <v>52.7</v>
      </c>
      <c r="S74" s="338">
        <v>1</v>
      </c>
      <c r="T74" s="838"/>
      <c r="U74" s="838">
        <v>33599</v>
      </c>
      <c r="V74" s="339" t="s">
        <v>78</v>
      </c>
      <c r="W74" s="340" t="s">
        <v>20</v>
      </c>
      <c r="X74" s="340" t="s">
        <v>12</v>
      </c>
      <c r="Y74" s="341">
        <v>52.7</v>
      </c>
      <c r="Z74" s="340"/>
      <c r="AA74" s="340"/>
      <c r="AB74" s="340"/>
      <c r="AC74" s="340"/>
      <c r="AD74" s="339"/>
      <c r="AE74" s="340"/>
      <c r="AF74" s="340"/>
      <c r="AG74" s="341"/>
      <c r="AH74" s="340"/>
      <c r="AI74" s="340"/>
      <c r="AJ74" s="340"/>
      <c r="AK74" s="340"/>
      <c r="AL74" s="339"/>
      <c r="AM74" s="340"/>
      <c r="AN74" s="340"/>
      <c r="AO74" s="341"/>
      <c r="AP74" s="339"/>
      <c r="AQ74" s="340"/>
      <c r="AR74" s="340"/>
      <c r="AS74" s="341"/>
      <c r="AT74" s="342"/>
      <c r="AW74" s="341"/>
      <c r="AX74" s="344"/>
      <c r="AY74" s="344"/>
      <c r="AZ74" s="344"/>
      <c r="BA74" s="345"/>
    </row>
    <row r="75" spans="1:53" s="343" customFormat="1">
      <c r="A75" s="178">
        <v>1992</v>
      </c>
      <c r="B75" s="831"/>
      <c r="C75" s="914" t="s">
        <v>168</v>
      </c>
      <c r="D75" s="914"/>
      <c r="E75" s="178">
        <v>0</v>
      </c>
      <c r="F75" s="178"/>
      <c r="G75" s="333"/>
      <c r="H75" s="178"/>
      <c r="I75" s="178">
        <v>19</v>
      </c>
      <c r="J75" s="334">
        <v>19</v>
      </c>
      <c r="K75" s="295">
        <f t="shared" si="23"/>
        <v>0</v>
      </c>
      <c r="L75" s="295">
        <f t="shared" si="24"/>
        <v>0</v>
      </c>
      <c r="M75" s="295">
        <f t="shared" si="25"/>
        <v>100</v>
      </c>
      <c r="N75" s="296">
        <f t="shared" si="26"/>
        <v>100</v>
      </c>
      <c r="O75" s="335"/>
      <c r="P75" s="336"/>
      <c r="Q75" s="336">
        <v>52.7</v>
      </c>
      <c r="R75" s="337">
        <f t="shared" si="27"/>
        <v>52.7</v>
      </c>
      <c r="S75" s="338">
        <v>1</v>
      </c>
      <c r="T75" s="838"/>
      <c r="U75" s="838"/>
      <c r="V75" s="339" t="s">
        <v>78</v>
      </c>
      <c r="W75" s="340" t="s">
        <v>20</v>
      </c>
      <c r="X75" s="340" t="s">
        <v>12</v>
      </c>
      <c r="Y75" s="341">
        <v>52.7</v>
      </c>
      <c r="Z75" s="340"/>
      <c r="AA75" s="340"/>
      <c r="AB75" s="340"/>
      <c r="AC75" s="340"/>
      <c r="AD75" s="339"/>
      <c r="AE75" s="340"/>
      <c r="AF75" s="340"/>
      <c r="AG75" s="341"/>
      <c r="AH75" s="340"/>
      <c r="AI75" s="340"/>
      <c r="AJ75" s="340"/>
      <c r="AK75" s="340"/>
      <c r="AL75" s="339"/>
      <c r="AM75" s="340"/>
      <c r="AN75" s="340"/>
      <c r="AO75" s="341"/>
      <c r="AP75" s="339"/>
      <c r="AQ75" s="340"/>
      <c r="AR75" s="340"/>
      <c r="AS75" s="341"/>
      <c r="AT75" s="342"/>
      <c r="AW75" s="341"/>
      <c r="AX75" s="344"/>
      <c r="AY75" s="344"/>
      <c r="AZ75" s="344"/>
      <c r="BA75" s="345"/>
    </row>
    <row r="76" spans="1:53" s="343" customFormat="1">
      <c r="A76" s="178">
        <v>1992</v>
      </c>
      <c r="B76" s="831"/>
      <c r="C76" s="914" t="s">
        <v>168</v>
      </c>
      <c r="D76" s="914"/>
      <c r="E76" s="178">
        <v>366</v>
      </c>
      <c r="F76" s="178"/>
      <c r="G76" s="333"/>
      <c r="H76" s="178"/>
      <c r="I76" s="178">
        <v>19</v>
      </c>
      <c r="J76" s="334">
        <v>19</v>
      </c>
      <c r="K76" s="295">
        <f t="shared" si="23"/>
        <v>0</v>
      </c>
      <c r="L76" s="295">
        <f t="shared" si="24"/>
        <v>0</v>
      </c>
      <c r="M76" s="295">
        <f t="shared" si="25"/>
        <v>100</v>
      </c>
      <c r="N76" s="296">
        <f t="shared" si="26"/>
        <v>100</v>
      </c>
      <c r="O76" s="335"/>
      <c r="P76" s="336"/>
      <c r="Q76" s="336">
        <v>52.7</v>
      </c>
      <c r="R76" s="337">
        <f t="shared" si="27"/>
        <v>52.7</v>
      </c>
      <c r="S76" s="338">
        <v>1</v>
      </c>
      <c r="T76" s="838"/>
      <c r="U76" s="838"/>
      <c r="V76" s="339" t="s">
        <v>78</v>
      </c>
      <c r="W76" s="340" t="s">
        <v>20</v>
      </c>
      <c r="X76" s="340" t="s">
        <v>12</v>
      </c>
      <c r="Y76" s="341">
        <v>52.7</v>
      </c>
      <c r="Z76" s="340"/>
      <c r="AA76" s="340"/>
      <c r="AB76" s="340"/>
      <c r="AC76" s="340"/>
      <c r="AD76" s="339"/>
      <c r="AE76" s="340"/>
      <c r="AF76" s="340"/>
      <c r="AG76" s="341"/>
      <c r="AH76" s="340"/>
      <c r="AI76" s="340"/>
      <c r="AJ76" s="340"/>
      <c r="AK76" s="340"/>
      <c r="AL76" s="339"/>
      <c r="AM76" s="340"/>
      <c r="AN76" s="340"/>
      <c r="AO76" s="341"/>
      <c r="AP76" s="339"/>
      <c r="AQ76" s="340"/>
      <c r="AR76" s="340"/>
      <c r="AS76" s="341"/>
      <c r="AT76" s="342"/>
      <c r="AW76" s="341"/>
      <c r="AX76" s="344"/>
      <c r="AY76" s="344"/>
      <c r="AZ76" s="344"/>
      <c r="BA76" s="345"/>
    </row>
    <row r="77" spans="1:53" s="343" customFormat="1">
      <c r="A77" s="178">
        <v>1993</v>
      </c>
      <c r="B77" s="831"/>
      <c r="C77" s="914" t="s">
        <v>168</v>
      </c>
      <c r="D77" s="914"/>
      <c r="E77" s="178">
        <v>357</v>
      </c>
      <c r="F77" s="178"/>
      <c r="G77" s="333"/>
      <c r="H77" s="178"/>
      <c r="I77" s="178">
        <v>19</v>
      </c>
      <c r="J77" s="334">
        <v>19</v>
      </c>
      <c r="K77" s="295">
        <f t="shared" ref="K77:K98" si="28">G77/J77*100</f>
        <v>0</v>
      </c>
      <c r="L77" s="295">
        <f t="shared" ref="L77:L98" si="29">H77/J77*100</f>
        <v>0</v>
      </c>
      <c r="M77" s="295">
        <f t="shared" ref="M77:M98" si="30">I77/J77*100</f>
        <v>100</v>
      </c>
      <c r="N77" s="296">
        <f t="shared" si="26"/>
        <v>100</v>
      </c>
      <c r="O77" s="335"/>
      <c r="P77" s="336"/>
      <c r="Q77" s="336">
        <v>52.7</v>
      </c>
      <c r="R77" s="337">
        <f t="shared" si="27"/>
        <v>52.7</v>
      </c>
      <c r="S77" s="338">
        <v>1</v>
      </c>
      <c r="T77" s="838"/>
      <c r="U77" s="838"/>
      <c r="V77" s="339" t="s">
        <v>78</v>
      </c>
      <c r="W77" s="340" t="s">
        <v>20</v>
      </c>
      <c r="X77" s="340" t="s">
        <v>12</v>
      </c>
      <c r="Y77" s="341">
        <v>52.7</v>
      </c>
      <c r="Z77" s="340"/>
      <c r="AA77" s="340"/>
      <c r="AB77" s="340"/>
      <c r="AC77" s="340"/>
      <c r="AD77" s="339"/>
      <c r="AE77" s="340"/>
      <c r="AF77" s="340"/>
      <c r="AG77" s="341"/>
      <c r="AH77" s="340"/>
      <c r="AI77" s="340"/>
      <c r="AJ77" s="340"/>
      <c r="AK77" s="340"/>
      <c r="AL77" s="339"/>
      <c r="AM77" s="340"/>
      <c r="AN77" s="340"/>
      <c r="AO77" s="341"/>
      <c r="AP77" s="339"/>
      <c r="AQ77" s="340"/>
      <c r="AR77" s="340"/>
      <c r="AS77" s="341"/>
      <c r="AT77" s="342"/>
      <c r="AW77" s="341"/>
      <c r="AX77" s="344"/>
      <c r="AY77" s="344"/>
      <c r="AZ77" s="344"/>
      <c r="BA77" s="345"/>
    </row>
    <row r="78" spans="1:53" s="100" customFormat="1">
      <c r="A78" s="87">
        <v>1993</v>
      </c>
      <c r="B78" s="832">
        <v>34327</v>
      </c>
      <c r="C78" s="915" t="s">
        <v>167</v>
      </c>
      <c r="D78" s="915"/>
      <c r="E78" s="87">
        <f>365-E77</f>
        <v>8</v>
      </c>
      <c r="F78" s="87">
        <v>1</v>
      </c>
      <c r="G78" s="89"/>
      <c r="H78" s="87"/>
      <c r="I78" s="87">
        <v>18</v>
      </c>
      <c r="J78" s="90">
        <v>18</v>
      </c>
      <c r="K78" s="77">
        <f t="shared" si="28"/>
        <v>0</v>
      </c>
      <c r="L78" s="77">
        <f t="shared" si="29"/>
        <v>0</v>
      </c>
      <c r="M78" s="77">
        <f t="shared" si="30"/>
        <v>100</v>
      </c>
      <c r="N78" s="78">
        <f t="shared" si="26"/>
        <v>100</v>
      </c>
      <c r="O78" s="91"/>
      <c r="P78" s="92"/>
      <c r="Q78" s="92">
        <v>54.4</v>
      </c>
      <c r="R78" s="93">
        <f t="shared" si="27"/>
        <v>54.4</v>
      </c>
      <c r="S78" s="101">
        <v>1</v>
      </c>
      <c r="T78" s="839">
        <v>34041</v>
      </c>
      <c r="U78" s="839">
        <v>34327</v>
      </c>
      <c r="V78" s="96" t="s">
        <v>78</v>
      </c>
      <c r="W78" s="97" t="s">
        <v>20</v>
      </c>
      <c r="X78" s="97" t="s">
        <v>12</v>
      </c>
      <c r="Y78" s="98">
        <v>54.4</v>
      </c>
      <c r="Z78" s="97"/>
      <c r="AA78" s="97"/>
      <c r="AB78" s="97"/>
      <c r="AC78" s="97"/>
      <c r="AD78" s="96"/>
      <c r="AE78" s="97"/>
      <c r="AF78" s="97"/>
      <c r="AG78" s="98"/>
      <c r="AH78" s="97"/>
      <c r="AI78" s="97"/>
      <c r="AJ78" s="97"/>
      <c r="AK78" s="97"/>
      <c r="AL78" s="96"/>
      <c r="AM78" s="97"/>
      <c r="AN78" s="97"/>
      <c r="AO78" s="98"/>
      <c r="AP78" s="96"/>
      <c r="AQ78" s="97"/>
      <c r="AR78" s="97"/>
      <c r="AS78" s="98"/>
      <c r="AT78" s="99"/>
      <c r="AW78" s="98"/>
      <c r="AX78" s="283"/>
      <c r="AY78" s="283"/>
      <c r="AZ78" s="283"/>
      <c r="BA78" s="288"/>
    </row>
    <row r="79" spans="1:53" s="100" customFormat="1">
      <c r="A79" s="87">
        <v>1994</v>
      </c>
      <c r="B79" s="832"/>
      <c r="C79" s="915" t="s">
        <v>167</v>
      </c>
      <c r="D79" s="915"/>
      <c r="E79" s="87">
        <v>0</v>
      </c>
      <c r="F79" s="87"/>
      <c r="G79" s="89"/>
      <c r="H79" s="87"/>
      <c r="I79" s="87">
        <v>17</v>
      </c>
      <c r="J79" s="90">
        <v>17</v>
      </c>
      <c r="K79" s="77">
        <f t="shared" si="28"/>
        <v>0</v>
      </c>
      <c r="L79" s="77">
        <f t="shared" si="29"/>
        <v>0</v>
      </c>
      <c r="M79" s="77">
        <f t="shared" si="30"/>
        <v>100</v>
      </c>
      <c r="N79" s="78">
        <f t="shared" si="26"/>
        <v>100</v>
      </c>
      <c r="O79" s="91"/>
      <c r="P79" s="92"/>
      <c r="Q79" s="92">
        <v>54.4</v>
      </c>
      <c r="R79" s="93">
        <f t="shared" si="27"/>
        <v>54.4</v>
      </c>
      <c r="S79" s="101">
        <v>1</v>
      </c>
      <c r="T79" s="839"/>
      <c r="U79" s="839"/>
      <c r="V79" s="96" t="s">
        <v>78</v>
      </c>
      <c r="W79" s="97" t="s">
        <v>20</v>
      </c>
      <c r="X79" s="97" t="s">
        <v>12</v>
      </c>
      <c r="Y79" s="98">
        <v>54.4</v>
      </c>
      <c r="Z79" s="97"/>
      <c r="AA79" s="97"/>
      <c r="AB79" s="97"/>
      <c r="AC79" s="97"/>
      <c r="AD79" s="96"/>
      <c r="AE79" s="97"/>
      <c r="AF79" s="97"/>
      <c r="AG79" s="98"/>
      <c r="AH79" s="97"/>
      <c r="AI79" s="97"/>
      <c r="AJ79" s="97"/>
      <c r="AK79" s="97"/>
      <c r="AL79" s="96"/>
      <c r="AM79" s="97"/>
      <c r="AN79" s="97"/>
      <c r="AO79" s="98"/>
      <c r="AP79" s="96"/>
      <c r="AQ79" s="97"/>
      <c r="AR79" s="97"/>
      <c r="AS79" s="98"/>
      <c r="AT79" s="99"/>
      <c r="AW79" s="98"/>
      <c r="AX79" s="283"/>
      <c r="AY79" s="283"/>
      <c r="AZ79" s="283"/>
      <c r="BA79" s="288"/>
    </row>
    <row r="80" spans="1:53" s="100" customFormat="1">
      <c r="A80" s="87">
        <v>1994</v>
      </c>
      <c r="B80" s="832"/>
      <c r="C80" s="915" t="s">
        <v>167</v>
      </c>
      <c r="D80" s="915"/>
      <c r="E80" s="87">
        <f>365-E79</f>
        <v>365</v>
      </c>
      <c r="F80" s="87"/>
      <c r="G80" s="89"/>
      <c r="H80" s="87"/>
      <c r="I80" s="87">
        <v>17</v>
      </c>
      <c r="J80" s="90">
        <v>17</v>
      </c>
      <c r="K80" s="77">
        <f t="shared" si="28"/>
        <v>0</v>
      </c>
      <c r="L80" s="77">
        <f t="shared" si="29"/>
        <v>0</v>
      </c>
      <c r="M80" s="77">
        <f t="shared" si="30"/>
        <v>100</v>
      </c>
      <c r="N80" s="78">
        <f t="shared" si="26"/>
        <v>100</v>
      </c>
      <c r="O80" s="91"/>
      <c r="P80" s="92"/>
      <c r="Q80" s="92">
        <v>54.4</v>
      </c>
      <c r="R80" s="93">
        <f t="shared" si="27"/>
        <v>54.4</v>
      </c>
      <c r="S80" s="101">
        <v>1</v>
      </c>
      <c r="T80" s="839"/>
      <c r="U80" s="839"/>
      <c r="V80" s="96" t="s">
        <v>78</v>
      </c>
      <c r="W80" s="97" t="s">
        <v>20</v>
      </c>
      <c r="X80" s="97" t="s">
        <v>12</v>
      </c>
      <c r="Y80" s="98">
        <v>54.4</v>
      </c>
      <c r="Z80" s="97"/>
      <c r="AA80" s="97"/>
      <c r="AB80" s="97"/>
      <c r="AC80" s="97"/>
      <c r="AD80" s="96"/>
      <c r="AE80" s="97"/>
      <c r="AF80" s="97"/>
      <c r="AG80" s="98"/>
      <c r="AH80" s="97"/>
      <c r="AI80" s="97"/>
      <c r="AJ80" s="97"/>
      <c r="AK80" s="97"/>
      <c r="AL80" s="96"/>
      <c r="AM80" s="97"/>
      <c r="AN80" s="97"/>
      <c r="AO80" s="98"/>
      <c r="AP80" s="96"/>
      <c r="AQ80" s="97"/>
      <c r="AR80" s="97"/>
      <c r="AS80" s="98"/>
      <c r="AT80" s="99"/>
      <c r="AW80" s="98"/>
      <c r="AX80" s="283"/>
      <c r="AY80" s="283"/>
      <c r="AZ80" s="283"/>
      <c r="BA80" s="288"/>
    </row>
    <row r="81" spans="1:53" s="100" customFormat="1">
      <c r="A81" s="87">
        <v>1995</v>
      </c>
      <c r="B81" s="832"/>
      <c r="C81" s="915" t="s">
        <v>167</v>
      </c>
      <c r="D81" s="915"/>
      <c r="E81" s="87">
        <v>0</v>
      </c>
      <c r="F81" s="87"/>
      <c r="G81" s="89"/>
      <c r="H81" s="87"/>
      <c r="I81" s="87">
        <v>17</v>
      </c>
      <c r="J81" s="90">
        <v>17</v>
      </c>
      <c r="K81" s="77">
        <f t="shared" si="28"/>
        <v>0</v>
      </c>
      <c r="L81" s="77">
        <f t="shared" si="29"/>
        <v>0</v>
      </c>
      <c r="M81" s="77">
        <f t="shared" si="30"/>
        <v>100</v>
      </c>
      <c r="N81" s="78">
        <f t="shared" si="26"/>
        <v>100</v>
      </c>
      <c r="O81" s="91"/>
      <c r="P81" s="92"/>
      <c r="Q81" s="92">
        <v>54.4</v>
      </c>
      <c r="R81" s="93">
        <f t="shared" si="27"/>
        <v>54.4</v>
      </c>
      <c r="S81" s="101">
        <v>1</v>
      </c>
      <c r="T81" s="839"/>
      <c r="U81" s="839"/>
      <c r="V81" s="96" t="s">
        <v>78</v>
      </c>
      <c r="W81" s="97" t="s">
        <v>20</v>
      </c>
      <c r="X81" s="97" t="s">
        <v>12</v>
      </c>
      <c r="Y81" s="98">
        <v>54.4</v>
      </c>
      <c r="Z81" s="97"/>
      <c r="AA81" s="97"/>
      <c r="AB81" s="97"/>
      <c r="AC81" s="97"/>
      <c r="AD81" s="96"/>
      <c r="AE81" s="97"/>
      <c r="AF81" s="97"/>
      <c r="AG81" s="98"/>
      <c r="AH81" s="97"/>
      <c r="AI81" s="97"/>
      <c r="AJ81" s="97"/>
      <c r="AK81" s="97"/>
      <c r="AL81" s="96"/>
      <c r="AM81" s="97"/>
      <c r="AN81" s="97"/>
      <c r="AO81" s="98"/>
      <c r="AP81" s="96"/>
      <c r="AQ81" s="97"/>
      <c r="AR81" s="97"/>
      <c r="AS81" s="98"/>
      <c r="AT81" s="99"/>
      <c r="AW81" s="98"/>
      <c r="AX81" s="283"/>
      <c r="AY81" s="283"/>
      <c r="AZ81" s="283"/>
      <c r="BA81" s="288"/>
    </row>
    <row r="82" spans="1:53" s="100" customFormat="1">
      <c r="A82" s="87">
        <v>1995</v>
      </c>
      <c r="B82" s="832"/>
      <c r="C82" s="915" t="s">
        <v>167</v>
      </c>
      <c r="D82" s="915"/>
      <c r="E82" s="87">
        <f>365-E81</f>
        <v>365</v>
      </c>
      <c r="F82" s="87"/>
      <c r="G82" s="89"/>
      <c r="H82" s="87"/>
      <c r="I82" s="87">
        <v>17</v>
      </c>
      <c r="J82" s="90">
        <v>17</v>
      </c>
      <c r="K82" s="77">
        <f t="shared" si="28"/>
        <v>0</v>
      </c>
      <c r="L82" s="77">
        <f t="shared" si="29"/>
        <v>0</v>
      </c>
      <c r="M82" s="77">
        <f t="shared" si="30"/>
        <v>100</v>
      </c>
      <c r="N82" s="78">
        <f t="shared" si="26"/>
        <v>100</v>
      </c>
      <c r="O82" s="91"/>
      <c r="P82" s="92"/>
      <c r="Q82" s="92">
        <v>54.4</v>
      </c>
      <c r="R82" s="93">
        <f t="shared" si="27"/>
        <v>54.4</v>
      </c>
      <c r="S82" s="101">
        <v>1</v>
      </c>
      <c r="T82" s="839"/>
      <c r="U82" s="839"/>
      <c r="V82" s="96" t="s">
        <v>78</v>
      </c>
      <c r="W82" s="97" t="s">
        <v>20</v>
      </c>
      <c r="X82" s="97" t="s">
        <v>12</v>
      </c>
      <c r="Y82" s="98">
        <v>54.4</v>
      </c>
      <c r="Z82" s="97"/>
      <c r="AA82" s="97"/>
      <c r="AB82" s="97"/>
      <c r="AC82" s="97"/>
      <c r="AD82" s="96"/>
      <c r="AE82" s="97"/>
      <c r="AF82" s="97"/>
      <c r="AG82" s="98"/>
      <c r="AH82" s="97"/>
      <c r="AI82" s="97"/>
      <c r="AJ82" s="97"/>
      <c r="AK82" s="97"/>
      <c r="AL82" s="96"/>
      <c r="AM82" s="97"/>
      <c r="AN82" s="97"/>
      <c r="AO82" s="98"/>
      <c r="AP82" s="96"/>
      <c r="AQ82" s="97"/>
      <c r="AR82" s="97"/>
      <c r="AS82" s="98"/>
      <c r="AT82" s="99"/>
      <c r="AW82" s="98"/>
      <c r="AX82" s="283"/>
      <c r="AY82" s="283"/>
      <c r="AZ82" s="283"/>
      <c r="BA82" s="288"/>
    </row>
    <row r="83" spans="1:53" s="100" customFormat="1">
      <c r="A83" s="87">
        <v>1996</v>
      </c>
      <c r="B83" s="832"/>
      <c r="C83" s="915" t="s">
        <v>167</v>
      </c>
      <c r="D83" s="915"/>
      <c r="E83" s="87">
        <v>70</v>
      </c>
      <c r="F83" s="87"/>
      <c r="G83" s="89"/>
      <c r="H83" s="87"/>
      <c r="I83" s="87">
        <v>17</v>
      </c>
      <c r="J83" s="90">
        <v>17</v>
      </c>
      <c r="K83" s="77">
        <f t="shared" si="28"/>
        <v>0</v>
      </c>
      <c r="L83" s="77">
        <f t="shared" si="29"/>
        <v>0</v>
      </c>
      <c r="M83" s="77">
        <f t="shared" si="30"/>
        <v>100</v>
      </c>
      <c r="N83" s="78">
        <f t="shared" si="26"/>
        <v>100</v>
      </c>
      <c r="O83" s="91"/>
      <c r="P83" s="92"/>
      <c r="Q83" s="92">
        <v>54.4</v>
      </c>
      <c r="R83" s="93">
        <f t="shared" si="27"/>
        <v>54.4</v>
      </c>
      <c r="S83" s="101">
        <v>1</v>
      </c>
      <c r="T83" s="839"/>
      <c r="U83" s="839"/>
      <c r="V83" s="96" t="s">
        <v>78</v>
      </c>
      <c r="W83" s="97" t="s">
        <v>20</v>
      </c>
      <c r="X83" s="97" t="s">
        <v>12</v>
      </c>
      <c r="Y83" s="98">
        <v>54.4</v>
      </c>
      <c r="Z83" s="97"/>
      <c r="AA83" s="97"/>
      <c r="AB83" s="97"/>
      <c r="AC83" s="97"/>
      <c r="AD83" s="96"/>
      <c r="AE83" s="97"/>
      <c r="AF83" s="97"/>
      <c r="AG83" s="98"/>
      <c r="AH83" s="97"/>
      <c r="AI83" s="97"/>
      <c r="AJ83" s="97"/>
      <c r="AK83" s="97"/>
      <c r="AL83" s="96"/>
      <c r="AM83" s="97"/>
      <c r="AN83" s="97"/>
      <c r="AO83" s="98"/>
      <c r="AP83" s="96"/>
      <c r="AQ83" s="97"/>
      <c r="AR83" s="97"/>
      <c r="AS83" s="98"/>
      <c r="AT83" s="99"/>
      <c r="AW83" s="98"/>
      <c r="AX83" s="283"/>
      <c r="AY83" s="283"/>
      <c r="AZ83" s="283"/>
      <c r="BA83" s="288"/>
    </row>
    <row r="84" spans="1:53" s="343" customFormat="1">
      <c r="A84" s="178">
        <v>1996</v>
      </c>
      <c r="B84" s="831">
        <v>35135</v>
      </c>
      <c r="C84" s="914" t="s">
        <v>169</v>
      </c>
      <c r="D84" s="914"/>
      <c r="E84" s="178">
        <v>296</v>
      </c>
      <c r="F84" s="178">
        <v>1</v>
      </c>
      <c r="G84" s="333">
        <v>15</v>
      </c>
      <c r="H84" s="178"/>
      <c r="I84" s="178"/>
      <c r="J84" s="334">
        <v>15</v>
      </c>
      <c r="K84" s="295">
        <f t="shared" si="28"/>
        <v>100</v>
      </c>
      <c r="L84" s="295">
        <f t="shared" si="29"/>
        <v>0</v>
      </c>
      <c r="M84" s="295">
        <f t="shared" si="30"/>
        <v>0</v>
      </c>
      <c r="N84" s="296">
        <f t="shared" si="26"/>
        <v>100</v>
      </c>
      <c r="O84" s="335">
        <v>63.5</v>
      </c>
      <c r="P84" s="336"/>
      <c r="Q84" s="336"/>
      <c r="R84" s="337">
        <f t="shared" si="27"/>
        <v>63.5</v>
      </c>
      <c r="S84" s="338">
        <v>3</v>
      </c>
      <c r="T84" s="838">
        <v>35126</v>
      </c>
      <c r="U84" s="838">
        <v>35135</v>
      </c>
      <c r="V84" s="339" t="s">
        <v>72</v>
      </c>
      <c r="W84" s="340" t="s">
        <v>74</v>
      </c>
      <c r="X84" s="340" t="s">
        <v>11</v>
      </c>
      <c r="Y84" s="341">
        <v>51.3</v>
      </c>
      <c r="Z84" s="340" t="s">
        <v>73</v>
      </c>
      <c r="AA84" s="340" t="s">
        <v>75</v>
      </c>
      <c r="AB84" s="340" t="s">
        <v>11</v>
      </c>
      <c r="AC84" s="340">
        <v>12.2</v>
      </c>
      <c r="AD84" s="339"/>
      <c r="AE84" s="340"/>
      <c r="AF84" s="340"/>
      <c r="AG84" s="341"/>
      <c r="AH84" s="340"/>
      <c r="AI84" s="340"/>
      <c r="AJ84" s="340"/>
      <c r="AK84" s="340"/>
      <c r="AL84" s="339"/>
      <c r="AM84" s="340"/>
      <c r="AN84" s="340"/>
      <c r="AO84" s="341"/>
      <c r="AP84" s="339"/>
      <c r="AQ84" s="340"/>
      <c r="AR84" s="340"/>
      <c r="AS84" s="341"/>
      <c r="AT84" s="342"/>
      <c r="AW84" s="341"/>
      <c r="AX84" s="344"/>
      <c r="AY84" s="344"/>
      <c r="AZ84" s="344"/>
      <c r="BA84" s="345"/>
    </row>
    <row r="85" spans="1:53" s="343" customFormat="1">
      <c r="A85" s="178">
        <v>1997</v>
      </c>
      <c r="B85" s="831"/>
      <c r="C85" s="914" t="s">
        <v>169</v>
      </c>
      <c r="D85" s="914"/>
      <c r="E85" s="178">
        <v>0</v>
      </c>
      <c r="F85" s="178"/>
      <c r="G85" s="333">
        <v>16</v>
      </c>
      <c r="H85" s="178"/>
      <c r="I85" s="178"/>
      <c r="J85" s="334">
        <v>16</v>
      </c>
      <c r="K85" s="295">
        <f t="shared" si="28"/>
        <v>100</v>
      </c>
      <c r="L85" s="295">
        <f t="shared" si="29"/>
        <v>0</v>
      </c>
      <c r="M85" s="295">
        <f t="shared" si="30"/>
        <v>0</v>
      </c>
      <c r="N85" s="296">
        <f t="shared" si="26"/>
        <v>100</v>
      </c>
      <c r="O85" s="335">
        <v>63.5</v>
      </c>
      <c r="P85" s="336"/>
      <c r="Q85" s="336"/>
      <c r="R85" s="337">
        <f t="shared" si="27"/>
        <v>63.5</v>
      </c>
      <c r="S85" s="338">
        <v>3</v>
      </c>
      <c r="T85" s="838"/>
      <c r="U85" s="838"/>
      <c r="V85" s="339" t="s">
        <v>72</v>
      </c>
      <c r="W85" s="340" t="s">
        <v>74</v>
      </c>
      <c r="X85" s="340" t="s">
        <v>11</v>
      </c>
      <c r="Y85" s="341">
        <v>51.3</v>
      </c>
      <c r="Z85" s="340" t="s">
        <v>73</v>
      </c>
      <c r="AA85" s="340" t="s">
        <v>75</v>
      </c>
      <c r="AB85" s="340" t="s">
        <v>11</v>
      </c>
      <c r="AC85" s="340">
        <v>12.2</v>
      </c>
      <c r="AD85" s="339"/>
      <c r="AE85" s="340"/>
      <c r="AF85" s="340"/>
      <c r="AG85" s="341"/>
      <c r="AH85" s="340"/>
      <c r="AI85" s="340"/>
      <c r="AJ85" s="340"/>
      <c r="AK85" s="340"/>
      <c r="AL85" s="339"/>
      <c r="AM85" s="340"/>
      <c r="AN85" s="340"/>
      <c r="AO85" s="341"/>
      <c r="AP85" s="339"/>
      <c r="AQ85" s="340"/>
      <c r="AR85" s="340"/>
      <c r="AS85" s="341"/>
      <c r="AT85" s="342"/>
      <c r="AW85" s="341"/>
      <c r="AX85" s="344"/>
      <c r="AY85" s="344"/>
      <c r="AZ85" s="344"/>
      <c r="BA85" s="345"/>
    </row>
    <row r="86" spans="1:53" s="343" customFormat="1">
      <c r="A86" s="178">
        <v>1997</v>
      </c>
      <c r="B86" s="831"/>
      <c r="C86" s="914" t="s">
        <v>169</v>
      </c>
      <c r="D86" s="914"/>
      <c r="E86" s="178">
        <f>365-E85</f>
        <v>365</v>
      </c>
      <c r="F86" s="178"/>
      <c r="G86" s="333">
        <v>16</v>
      </c>
      <c r="H86" s="178"/>
      <c r="I86" s="178"/>
      <c r="J86" s="334">
        <v>16</v>
      </c>
      <c r="K86" s="295">
        <f t="shared" si="28"/>
        <v>100</v>
      </c>
      <c r="L86" s="295">
        <f t="shared" si="29"/>
        <v>0</v>
      </c>
      <c r="M86" s="295">
        <f t="shared" si="30"/>
        <v>0</v>
      </c>
      <c r="N86" s="296">
        <f t="shared" si="26"/>
        <v>100</v>
      </c>
      <c r="O86" s="335">
        <v>63.5</v>
      </c>
      <c r="P86" s="336"/>
      <c r="Q86" s="336"/>
      <c r="R86" s="337">
        <f t="shared" si="27"/>
        <v>63.5</v>
      </c>
      <c r="S86" s="338">
        <v>3</v>
      </c>
      <c r="T86" s="838"/>
      <c r="U86" s="838"/>
      <c r="V86" s="339" t="s">
        <v>72</v>
      </c>
      <c r="W86" s="340" t="s">
        <v>74</v>
      </c>
      <c r="X86" s="340" t="s">
        <v>11</v>
      </c>
      <c r="Y86" s="341">
        <v>51.3</v>
      </c>
      <c r="Z86" s="340" t="s">
        <v>73</v>
      </c>
      <c r="AA86" s="340" t="s">
        <v>75</v>
      </c>
      <c r="AB86" s="340" t="s">
        <v>11</v>
      </c>
      <c r="AC86" s="340">
        <v>12.2</v>
      </c>
      <c r="AD86" s="339"/>
      <c r="AE86" s="340"/>
      <c r="AF86" s="340"/>
      <c r="AG86" s="341"/>
      <c r="AH86" s="340"/>
      <c r="AI86" s="340"/>
      <c r="AJ86" s="340"/>
      <c r="AK86" s="340"/>
      <c r="AL86" s="339"/>
      <c r="AM86" s="340"/>
      <c r="AN86" s="340"/>
      <c r="AO86" s="341"/>
      <c r="AP86" s="339"/>
      <c r="AQ86" s="340"/>
      <c r="AR86" s="340"/>
      <c r="AS86" s="341"/>
      <c r="AT86" s="342"/>
      <c r="AW86" s="341"/>
      <c r="AX86" s="344"/>
      <c r="AY86" s="344"/>
      <c r="AZ86" s="344"/>
      <c r="BA86" s="345"/>
    </row>
    <row r="87" spans="1:53" s="343" customFormat="1">
      <c r="A87" s="178">
        <v>1998</v>
      </c>
      <c r="B87" s="831"/>
      <c r="C87" s="914" t="s">
        <v>169</v>
      </c>
      <c r="D87" s="914"/>
      <c r="E87" s="178">
        <v>293</v>
      </c>
      <c r="F87" s="178"/>
      <c r="G87" s="333">
        <v>16</v>
      </c>
      <c r="H87" s="178"/>
      <c r="I87" s="178"/>
      <c r="J87" s="334">
        <v>16</v>
      </c>
      <c r="K87" s="295">
        <f t="shared" si="28"/>
        <v>100</v>
      </c>
      <c r="L87" s="295">
        <f t="shared" si="29"/>
        <v>0</v>
      </c>
      <c r="M87" s="295">
        <f t="shared" si="30"/>
        <v>0</v>
      </c>
      <c r="N87" s="296">
        <f t="shared" si="26"/>
        <v>100</v>
      </c>
      <c r="O87" s="335">
        <v>63.5</v>
      </c>
      <c r="P87" s="336"/>
      <c r="Q87" s="336"/>
      <c r="R87" s="337">
        <f t="shared" si="27"/>
        <v>63.5</v>
      </c>
      <c r="S87" s="338">
        <v>3</v>
      </c>
      <c r="T87" s="838"/>
      <c r="U87" s="838"/>
      <c r="V87" s="339" t="s">
        <v>72</v>
      </c>
      <c r="W87" s="340" t="s">
        <v>74</v>
      </c>
      <c r="X87" s="340" t="s">
        <v>11</v>
      </c>
      <c r="Y87" s="341">
        <v>51.3</v>
      </c>
      <c r="Z87" s="340" t="s">
        <v>73</v>
      </c>
      <c r="AA87" s="340" t="s">
        <v>75</v>
      </c>
      <c r="AB87" s="340" t="s">
        <v>11</v>
      </c>
      <c r="AC87" s="340">
        <v>12.2</v>
      </c>
      <c r="AD87" s="339"/>
      <c r="AE87" s="340"/>
      <c r="AF87" s="340"/>
      <c r="AG87" s="341"/>
      <c r="AH87" s="340"/>
      <c r="AI87" s="340"/>
      <c r="AJ87" s="340"/>
      <c r="AK87" s="340"/>
      <c r="AL87" s="339"/>
      <c r="AM87" s="340"/>
      <c r="AN87" s="340"/>
      <c r="AO87" s="341"/>
      <c r="AP87" s="339"/>
      <c r="AQ87" s="340"/>
      <c r="AR87" s="340"/>
      <c r="AS87" s="341"/>
      <c r="AT87" s="342"/>
      <c r="AW87" s="341"/>
      <c r="AX87" s="344"/>
      <c r="AY87" s="344"/>
      <c r="AZ87" s="344"/>
      <c r="BA87" s="345"/>
    </row>
    <row r="88" spans="1:53" s="100" customFormat="1">
      <c r="A88" s="87">
        <v>1998</v>
      </c>
      <c r="B88" s="832">
        <v>36089</v>
      </c>
      <c r="C88" s="915" t="s">
        <v>170</v>
      </c>
      <c r="D88" s="915"/>
      <c r="E88" s="87">
        <f>365-E87</f>
        <v>72</v>
      </c>
      <c r="F88" s="87">
        <v>1</v>
      </c>
      <c r="G88" s="89">
        <v>16</v>
      </c>
      <c r="H88" s="87"/>
      <c r="I88" s="87"/>
      <c r="J88" s="90">
        <v>16</v>
      </c>
      <c r="K88" s="77">
        <f t="shared" si="28"/>
        <v>100</v>
      </c>
      <c r="L88" s="77">
        <f t="shared" si="29"/>
        <v>0</v>
      </c>
      <c r="M88" s="77">
        <f t="shared" si="30"/>
        <v>0</v>
      </c>
      <c r="N88" s="78">
        <f t="shared" si="26"/>
        <v>100</v>
      </c>
      <c r="O88" s="91">
        <v>54</v>
      </c>
      <c r="P88" s="92"/>
      <c r="Q88" s="92"/>
      <c r="R88" s="93">
        <f t="shared" si="27"/>
        <v>54</v>
      </c>
      <c r="S88" s="101">
        <v>2</v>
      </c>
      <c r="T88" s="839">
        <v>36071</v>
      </c>
      <c r="U88" s="839">
        <v>36089</v>
      </c>
      <c r="V88" s="96" t="s">
        <v>72</v>
      </c>
      <c r="W88" s="97" t="s">
        <v>74</v>
      </c>
      <c r="X88" s="97" t="s">
        <v>11</v>
      </c>
      <c r="Y88" s="98">
        <v>43.2</v>
      </c>
      <c r="Z88" s="97" t="s">
        <v>73</v>
      </c>
      <c r="AA88" s="97" t="s">
        <v>75</v>
      </c>
      <c r="AB88" s="97" t="s">
        <v>11</v>
      </c>
      <c r="AC88" s="97">
        <v>10.8</v>
      </c>
      <c r="AD88" s="96"/>
      <c r="AE88" s="97"/>
      <c r="AF88" s="97"/>
      <c r="AG88" s="98"/>
      <c r="AH88" s="97"/>
      <c r="AI88" s="97"/>
      <c r="AJ88" s="97"/>
      <c r="AK88" s="97"/>
      <c r="AL88" s="96"/>
      <c r="AM88" s="97"/>
      <c r="AN88" s="97"/>
      <c r="AO88" s="98"/>
      <c r="AP88" s="96"/>
      <c r="AQ88" s="97"/>
      <c r="AR88" s="97"/>
      <c r="AS88" s="98"/>
      <c r="AT88" s="99"/>
      <c r="AW88" s="98"/>
      <c r="AX88" s="283"/>
      <c r="AY88" s="283"/>
      <c r="AZ88" s="283"/>
      <c r="BA88" s="288"/>
    </row>
    <row r="89" spans="1:53" s="100" customFormat="1">
      <c r="A89" s="87">
        <v>1999</v>
      </c>
      <c r="B89" s="832"/>
      <c r="C89" s="915" t="s">
        <v>170</v>
      </c>
      <c r="D89" s="915"/>
      <c r="E89" s="87">
        <v>0</v>
      </c>
      <c r="F89" s="87"/>
      <c r="G89" s="89">
        <v>16</v>
      </c>
      <c r="H89" s="87"/>
      <c r="I89" s="87"/>
      <c r="J89" s="90">
        <v>16</v>
      </c>
      <c r="K89" s="77">
        <f t="shared" si="28"/>
        <v>100</v>
      </c>
      <c r="L89" s="77">
        <f t="shared" si="29"/>
        <v>0</v>
      </c>
      <c r="M89" s="77">
        <f t="shared" si="30"/>
        <v>0</v>
      </c>
      <c r="N89" s="78">
        <f t="shared" si="26"/>
        <v>100</v>
      </c>
      <c r="O89" s="91">
        <v>54</v>
      </c>
      <c r="P89" s="92"/>
      <c r="Q89" s="92"/>
      <c r="R89" s="93">
        <f t="shared" si="27"/>
        <v>54</v>
      </c>
      <c r="S89" s="101">
        <v>2</v>
      </c>
      <c r="T89" s="839"/>
      <c r="U89" s="839"/>
      <c r="V89" s="96" t="s">
        <v>72</v>
      </c>
      <c r="W89" s="97" t="s">
        <v>74</v>
      </c>
      <c r="X89" s="97" t="s">
        <v>11</v>
      </c>
      <c r="Y89" s="98">
        <v>43.2</v>
      </c>
      <c r="Z89" s="97" t="s">
        <v>73</v>
      </c>
      <c r="AA89" s="97" t="s">
        <v>75</v>
      </c>
      <c r="AB89" s="97" t="s">
        <v>11</v>
      </c>
      <c r="AC89" s="97">
        <v>10.8</v>
      </c>
      <c r="AD89" s="96"/>
      <c r="AE89" s="97"/>
      <c r="AF89" s="97"/>
      <c r="AG89" s="98"/>
      <c r="AH89" s="97"/>
      <c r="AI89" s="97"/>
      <c r="AJ89" s="97"/>
      <c r="AK89" s="97"/>
      <c r="AL89" s="96"/>
      <c r="AM89" s="97"/>
      <c r="AN89" s="97"/>
      <c r="AO89" s="98"/>
      <c r="AP89" s="96"/>
      <c r="AQ89" s="97"/>
      <c r="AR89" s="97"/>
      <c r="AS89" s="98"/>
      <c r="AT89" s="99"/>
      <c r="AW89" s="98"/>
      <c r="AX89" s="283"/>
      <c r="AY89" s="283"/>
      <c r="AZ89" s="283"/>
      <c r="BA89" s="288"/>
    </row>
    <row r="90" spans="1:53" s="100" customFormat="1">
      <c r="A90" s="87">
        <v>1999</v>
      </c>
      <c r="B90" s="832"/>
      <c r="C90" s="915" t="s">
        <v>170</v>
      </c>
      <c r="D90" s="915"/>
      <c r="E90" s="87">
        <f>365-E89</f>
        <v>365</v>
      </c>
      <c r="F90" s="87"/>
      <c r="G90" s="89">
        <v>16</v>
      </c>
      <c r="H90" s="87"/>
      <c r="I90" s="87"/>
      <c r="J90" s="90">
        <v>16</v>
      </c>
      <c r="K90" s="77">
        <f t="shared" si="28"/>
        <v>100</v>
      </c>
      <c r="L90" s="77">
        <f t="shared" si="29"/>
        <v>0</v>
      </c>
      <c r="M90" s="77">
        <f t="shared" si="30"/>
        <v>0</v>
      </c>
      <c r="N90" s="78">
        <f t="shared" si="26"/>
        <v>100</v>
      </c>
      <c r="O90" s="91">
        <v>54</v>
      </c>
      <c r="P90" s="92"/>
      <c r="Q90" s="92"/>
      <c r="R90" s="93">
        <f t="shared" si="27"/>
        <v>54</v>
      </c>
      <c r="S90" s="101">
        <v>2</v>
      </c>
      <c r="T90" s="839"/>
      <c r="U90" s="839"/>
      <c r="V90" s="96" t="s">
        <v>72</v>
      </c>
      <c r="W90" s="97" t="s">
        <v>74</v>
      </c>
      <c r="X90" s="97" t="s">
        <v>11</v>
      </c>
      <c r="Y90" s="98">
        <v>43.2</v>
      </c>
      <c r="Z90" s="97" t="s">
        <v>73</v>
      </c>
      <c r="AA90" s="97" t="s">
        <v>75</v>
      </c>
      <c r="AB90" s="97" t="s">
        <v>11</v>
      </c>
      <c r="AC90" s="97">
        <v>10.8</v>
      </c>
      <c r="AD90" s="96"/>
      <c r="AE90" s="97"/>
      <c r="AF90" s="97"/>
      <c r="AG90" s="98"/>
      <c r="AH90" s="97"/>
      <c r="AI90" s="97"/>
      <c r="AJ90" s="97"/>
      <c r="AK90" s="97"/>
      <c r="AL90" s="96"/>
      <c r="AM90" s="97"/>
      <c r="AN90" s="97"/>
      <c r="AO90" s="98"/>
      <c r="AP90" s="96"/>
      <c r="AQ90" s="97"/>
      <c r="AR90" s="97"/>
      <c r="AS90" s="98"/>
      <c r="AT90" s="99"/>
      <c r="AW90" s="98"/>
      <c r="AX90" s="283"/>
      <c r="AY90" s="283"/>
      <c r="AZ90" s="283"/>
      <c r="BA90" s="288"/>
    </row>
    <row r="91" spans="1:53" s="100" customFormat="1">
      <c r="A91" s="87">
        <v>2000</v>
      </c>
      <c r="B91" s="832"/>
      <c r="C91" s="915" t="s">
        <v>170</v>
      </c>
      <c r="D91" s="915"/>
      <c r="E91" s="87">
        <v>0</v>
      </c>
      <c r="F91" s="87"/>
      <c r="G91" s="89">
        <v>16</v>
      </c>
      <c r="H91" s="87"/>
      <c r="I91" s="87"/>
      <c r="J91" s="90">
        <v>16</v>
      </c>
      <c r="K91" s="77">
        <f t="shared" si="28"/>
        <v>100</v>
      </c>
      <c r="L91" s="77">
        <f t="shared" si="29"/>
        <v>0</v>
      </c>
      <c r="M91" s="77">
        <f t="shared" si="30"/>
        <v>0</v>
      </c>
      <c r="N91" s="78">
        <f t="shared" si="26"/>
        <v>100</v>
      </c>
      <c r="O91" s="91">
        <v>54</v>
      </c>
      <c r="P91" s="92"/>
      <c r="Q91" s="92"/>
      <c r="R91" s="93">
        <f t="shared" si="27"/>
        <v>54</v>
      </c>
      <c r="S91" s="101">
        <v>2</v>
      </c>
      <c r="T91" s="839"/>
      <c r="U91" s="839"/>
      <c r="V91" s="96" t="s">
        <v>72</v>
      </c>
      <c r="W91" s="97" t="s">
        <v>74</v>
      </c>
      <c r="X91" s="97" t="s">
        <v>11</v>
      </c>
      <c r="Y91" s="98">
        <v>43.2</v>
      </c>
      <c r="Z91" s="97" t="s">
        <v>73</v>
      </c>
      <c r="AA91" s="97" t="s">
        <v>75</v>
      </c>
      <c r="AB91" s="97" t="s">
        <v>11</v>
      </c>
      <c r="AC91" s="97">
        <v>10.8</v>
      </c>
      <c r="AD91" s="96"/>
      <c r="AE91" s="97"/>
      <c r="AF91" s="97"/>
      <c r="AG91" s="98"/>
      <c r="AH91" s="97"/>
      <c r="AI91" s="97"/>
      <c r="AJ91" s="97"/>
      <c r="AK91" s="97"/>
      <c r="AL91" s="96"/>
      <c r="AM91" s="97"/>
      <c r="AN91" s="97"/>
      <c r="AO91" s="98"/>
      <c r="AP91" s="96"/>
      <c r="AQ91" s="97"/>
      <c r="AR91" s="97"/>
      <c r="AS91" s="98"/>
      <c r="AT91" s="99"/>
      <c r="AW91" s="98"/>
      <c r="AX91" s="283"/>
      <c r="AY91" s="283"/>
      <c r="AZ91" s="283"/>
      <c r="BA91" s="288"/>
    </row>
    <row r="92" spans="1:53" s="100" customFormat="1">
      <c r="A92" s="87">
        <v>2000</v>
      </c>
      <c r="B92" s="832"/>
      <c r="C92" s="915" t="s">
        <v>170</v>
      </c>
      <c r="D92" s="915"/>
      <c r="E92" s="87">
        <v>366</v>
      </c>
      <c r="F92" s="87"/>
      <c r="G92" s="89">
        <v>16</v>
      </c>
      <c r="H92" s="87"/>
      <c r="I92" s="87"/>
      <c r="J92" s="90">
        <v>16</v>
      </c>
      <c r="K92" s="77">
        <f t="shared" si="28"/>
        <v>100</v>
      </c>
      <c r="L92" s="77">
        <f t="shared" si="29"/>
        <v>0</v>
      </c>
      <c r="M92" s="77">
        <f t="shared" si="30"/>
        <v>0</v>
      </c>
      <c r="N92" s="78">
        <f t="shared" si="26"/>
        <v>100</v>
      </c>
      <c r="O92" s="91">
        <v>54</v>
      </c>
      <c r="P92" s="92"/>
      <c r="Q92" s="92"/>
      <c r="R92" s="93">
        <f t="shared" si="27"/>
        <v>54</v>
      </c>
      <c r="S92" s="101">
        <v>2</v>
      </c>
      <c r="T92" s="839"/>
      <c r="U92" s="839"/>
      <c r="V92" s="96" t="s">
        <v>72</v>
      </c>
      <c r="W92" s="97" t="s">
        <v>74</v>
      </c>
      <c r="X92" s="97" t="s">
        <v>11</v>
      </c>
      <c r="Y92" s="98">
        <v>43.2</v>
      </c>
      <c r="Z92" s="97" t="s">
        <v>73</v>
      </c>
      <c r="AA92" s="97" t="s">
        <v>75</v>
      </c>
      <c r="AB92" s="97" t="s">
        <v>11</v>
      </c>
      <c r="AC92" s="97">
        <v>10.8</v>
      </c>
      <c r="AD92" s="96"/>
      <c r="AE92" s="97"/>
      <c r="AF92" s="97"/>
      <c r="AG92" s="98"/>
      <c r="AH92" s="97"/>
      <c r="AI92" s="97"/>
      <c r="AJ92" s="97"/>
      <c r="AK92" s="97"/>
      <c r="AL92" s="96"/>
      <c r="AM92" s="97"/>
      <c r="AN92" s="97"/>
      <c r="AO92" s="98"/>
      <c r="AP92" s="96"/>
      <c r="AQ92" s="97"/>
      <c r="AR92" s="97"/>
      <c r="AS92" s="98"/>
      <c r="AT92" s="99"/>
      <c r="AW92" s="98"/>
      <c r="AX92" s="283"/>
      <c r="AY92" s="283"/>
      <c r="AZ92" s="283"/>
      <c r="BA92" s="288"/>
    </row>
    <row r="93" spans="1:53" s="100" customFormat="1">
      <c r="A93" s="87">
        <v>2001</v>
      </c>
      <c r="B93" s="832"/>
      <c r="C93" s="915" t="s">
        <v>170</v>
      </c>
      <c r="D93" s="915"/>
      <c r="E93" s="87">
        <v>329</v>
      </c>
      <c r="F93" s="87"/>
      <c r="G93" s="89">
        <v>16</v>
      </c>
      <c r="H93" s="87"/>
      <c r="I93" s="87"/>
      <c r="J93" s="90">
        <v>16</v>
      </c>
      <c r="K93" s="77">
        <f t="shared" si="28"/>
        <v>100</v>
      </c>
      <c r="L93" s="77">
        <f t="shared" si="29"/>
        <v>0</v>
      </c>
      <c r="M93" s="77">
        <f t="shared" si="30"/>
        <v>0</v>
      </c>
      <c r="N93" s="78">
        <f t="shared" si="26"/>
        <v>100</v>
      </c>
      <c r="O93" s="91">
        <v>54</v>
      </c>
      <c r="P93" s="92"/>
      <c r="Q93" s="92"/>
      <c r="R93" s="93">
        <f t="shared" si="27"/>
        <v>54</v>
      </c>
      <c r="S93" s="101">
        <v>2</v>
      </c>
      <c r="T93" s="839"/>
      <c r="U93" s="839"/>
      <c r="V93" s="96" t="s">
        <v>72</v>
      </c>
      <c r="W93" s="97" t="s">
        <v>74</v>
      </c>
      <c r="X93" s="97" t="s">
        <v>11</v>
      </c>
      <c r="Y93" s="98">
        <v>43.2</v>
      </c>
      <c r="Z93" s="97" t="s">
        <v>73</v>
      </c>
      <c r="AA93" s="97" t="s">
        <v>75</v>
      </c>
      <c r="AB93" s="97" t="s">
        <v>11</v>
      </c>
      <c r="AC93" s="97">
        <v>10.8</v>
      </c>
      <c r="AD93" s="96"/>
      <c r="AE93" s="97"/>
      <c r="AF93" s="97"/>
      <c r="AG93" s="98"/>
      <c r="AH93" s="97"/>
      <c r="AI93" s="97"/>
      <c r="AJ93" s="97"/>
      <c r="AK93" s="97"/>
      <c r="AL93" s="96"/>
      <c r="AM93" s="97"/>
      <c r="AN93" s="97"/>
      <c r="AO93" s="98"/>
      <c r="AP93" s="96"/>
      <c r="AQ93" s="97"/>
      <c r="AR93" s="97"/>
      <c r="AS93" s="98"/>
      <c r="AT93" s="99"/>
      <c r="AW93" s="98"/>
      <c r="AX93" s="283"/>
      <c r="AY93" s="283"/>
      <c r="AZ93" s="283"/>
      <c r="BA93" s="288"/>
    </row>
    <row r="94" spans="1:53" s="343" customFormat="1">
      <c r="A94" s="178">
        <v>2001</v>
      </c>
      <c r="B94" s="831">
        <v>37221</v>
      </c>
      <c r="C94" s="914" t="s">
        <v>171</v>
      </c>
      <c r="D94" s="914"/>
      <c r="E94" s="178">
        <f>365-E93</f>
        <v>36</v>
      </c>
      <c r="F94" s="178">
        <v>1</v>
      </c>
      <c r="G94" s="333">
        <v>16</v>
      </c>
      <c r="H94" s="178"/>
      <c r="I94" s="178"/>
      <c r="J94" s="334">
        <v>16</v>
      </c>
      <c r="K94" s="295">
        <f t="shared" si="28"/>
        <v>100</v>
      </c>
      <c r="L94" s="295">
        <f t="shared" si="29"/>
        <v>0</v>
      </c>
      <c r="M94" s="295">
        <f t="shared" si="30"/>
        <v>0</v>
      </c>
      <c r="N94" s="296">
        <f t="shared" si="26"/>
        <v>100</v>
      </c>
      <c r="O94" s="335">
        <v>54.7</v>
      </c>
      <c r="P94" s="336"/>
      <c r="Q94" s="336"/>
      <c r="R94" s="337">
        <f t="shared" si="27"/>
        <v>54.7</v>
      </c>
      <c r="S94" s="338">
        <v>2</v>
      </c>
      <c r="T94" s="838">
        <v>37205</v>
      </c>
      <c r="U94" s="838">
        <v>37221</v>
      </c>
      <c r="V94" s="339" t="s">
        <v>72</v>
      </c>
      <c r="W94" s="340" t="s">
        <v>74</v>
      </c>
      <c r="X94" s="340" t="s">
        <v>11</v>
      </c>
      <c r="Y94" s="341">
        <v>46</v>
      </c>
      <c r="Z94" s="340" t="s">
        <v>73</v>
      </c>
      <c r="AA94" s="340" t="s">
        <v>75</v>
      </c>
      <c r="AB94" s="340" t="s">
        <v>11</v>
      </c>
      <c r="AC94" s="340">
        <v>8.6999999999999993</v>
      </c>
      <c r="AD94" s="339"/>
      <c r="AE94" s="340"/>
      <c r="AF94" s="340"/>
      <c r="AG94" s="341"/>
      <c r="AH94" s="340"/>
      <c r="AI94" s="340"/>
      <c r="AJ94" s="340"/>
      <c r="AK94" s="340"/>
      <c r="AL94" s="339"/>
      <c r="AM94" s="340"/>
      <c r="AN94" s="340"/>
      <c r="AO94" s="341"/>
      <c r="AP94" s="339"/>
      <c r="AQ94" s="340"/>
      <c r="AR94" s="340"/>
      <c r="AS94" s="341"/>
      <c r="AT94" s="342"/>
      <c r="AW94" s="341"/>
      <c r="AX94" s="344"/>
      <c r="AY94" s="344"/>
      <c r="AZ94" s="344"/>
      <c r="BA94" s="345"/>
    </row>
    <row r="95" spans="1:53" s="343" customFormat="1">
      <c r="A95" s="178">
        <v>2002</v>
      </c>
      <c r="B95" s="831"/>
      <c r="C95" s="914" t="s">
        <v>171</v>
      </c>
      <c r="D95" s="914"/>
      <c r="E95" s="178">
        <v>0</v>
      </c>
      <c r="F95" s="178"/>
      <c r="G95" s="333">
        <v>16</v>
      </c>
      <c r="H95" s="178"/>
      <c r="I95" s="178"/>
      <c r="J95" s="334">
        <v>16</v>
      </c>
      <c r="K95" s="295">
        <f t="shared" si="28"/>
        <v>100</v>
      </c>
      <c r="L95" s="295">
        <f t="shared" si="29"/>
        <v>0</v>
      </c>
      <c r="M95" s="295">
        <f t="shared" si="30"/>
        <v>0</v>
      </c>
      <c r="N95" s="296">
        <f t="shared" si="26"/>
        <v>100</v>
      </c>
      <c r="O95" s="335">
        <v>54.7</v>
      </c>
      <c r="P95" s="336"/>
      <c r="Q95" s="336"/>
      <c r="R95" s="337">
        <f t="shared" si="27"/>
        <v>54.7</v>
      </c>
      <c r="S95" s="338">
        <v>2</v>
      </c>
      <c r="T95" s="838"/>
      <c r="U95" s="838"/>
      <c r="V95" s="339" t="s">
        <v>72</v>
      </c>
      <c r="W95" s="340" t="s">
        <v>74</v>
      </c>
      <c r="X95" s="340" t="s">
        <v>11</v>
      </c>
      <c r="Y95" s="341">
        <v>46</v>
      </c>
      <c r="Z95" s="340" t="s">
        <v>73</v>
      </c>
      <c r="AA95" s="340" t="s">
        <v>75</v>
      </c>
      <c r="AB95" s="340" t="s">
        <v>11</v>
      </c>
      <c r="AC95" s="340">
        <v>8.6999999999999993</v>
      </c>
      <c r="AD95" s="339"/>
      <c r="AE95" s="340"/>
      <c r="AF95" s="340"/>
      <c r="AG95" s="341"/>
      <c r="AH95" s="340"/>
      <c r="AI95" s="340"/>
      <c r="AJ95" s="340"/>
      <c r="AK95" s="340"/>
      <c r="AL95" s="339"/>
      <c r="AM95" s="340"/>
      <c r="AN95" s="340"/>
      <c r="AO95" s="341"/>
      <c r="AP95" s="339"/>
      <c r="AQ95" s="340"/>
      <c r="AR95" s="340"/>
      <c r="AS95" s="341"/>
      <c r="AT95" s="342"/>
      <c r="AW95" s="341"/>
      <c r="AX95" s="344"/>
      <c r="AY95" s="344"/>
      <c r="AZ95" s="344"/>
      <c r="BA95" s="345"/>
    </row>
    <row r="96" spans="1:53" s="343" customFormat="1">
      <c r="A96" s="178">
        <v>2002</v>
      </c>
      <c r="B96" s="831"/>
      <c r="C96" s="914" t="s">
        <v>171</v>
      </c>
      <c r="D96" s="914"/>
      <c r="E96" s="178">
        <f>365-E95</f>
        <v>365</v>
      </c>
      <c r="F96" s="178"/>
      <c r="G96" s="333">
        <v>16</v>
      </c>
      <c r="H96" s="178"/>
      <c r="I96" s="178"/>
      <c r="J96" s="334">
        <v>16</v>
      </c>
      <c r="K96" s="295">
        <f t="shared" si="28"/>
        <v>100</v>
      </c>
      <c r="L96" s="295">
        <f t="shared" si="29"/>
        <v>0</v>
      </c>
      <c r="M96" s="295">
        <f t="shared" si="30"/>
        <v>0</v>
      </c>
      <c r="N96" s="296">
        <f t="shared" si="26"/>
        <v>100</v>
      </c>
      <c r="O96" s="335">
        <v>54.7</v>
      </c>
      <c r="P96" s="336"/>
      <c r="Q96" s="336"/>
      <c r="R96" s="337">
        <f t="shared" si="27"/>
        <v>54.7</v>
      </c>
      <c r="S96" s="338">
        <v>2</v>
      </c>
      <c r="T96" s="838"/>
      <c r="U96" s="838"/>
      <c r="V96" s="339" t="s">
        <v>72</v>
      </c>
      <c r="W96" s="340" t="s">
        <v>74</v>
      </c>
      <c r="X96" s="340" t="s">
        <v>11</v>
      </c>
      <c r="Y96" s="341">
        <v>46</v>
      </c>
      <c r="Z96" s="340" t="s">
        <v>73</v>
      </c>
      <c r="AA96" s="340" t="s">
        <v>75</v>
      </c>
      <c r="AB96" s="340" t="s">
        <v>11</v>
      </c>
      <c r="AC96" s="340">
        <v>8.6999999999999993</v>
      </c>
      <c r="AD96" s="339"/>
      <c r="AE96" s="340"/>
      <c r="AF96" s="340"/>
      <c r="AG96" s="341"/>
      <c r="AH96" s="340"/>
      <c r="AI96" s="340"/>
      <c r="AJ96" s="340"/>
      <c r="AK96" s="340"/>
      <c r="AL96" s="339"/>
      <c r="AM96" s="340"/>
      <c r="AN96" s="340"/>
      <c r="AO96" s="341"/>
      <c r="AP96" s="339"/>
      <c r="AQ96" s="340"/>
      <c r="AR96" s="340"/>
      <c r="AS96" s="341"/>
      <c r="AT96" s="342"/>
      <c r="AW96" s="341"/>
      <c r="AX96" s="344"/>
      <c r="AY96" s="344"/>
      <c r="AZ96" s="344"/>
      <c r="BA96" s="345"/>
    </row>
    <row r="97" spans="1:53" s="343" customFormat="1">
      <c r="A97" s="178">
        <v>2003</v>
      </c>
      <c r="B97" s="831"/>
      <c r="C97" s="914" t="s">
        <v>171</v>
      </c>
      <c r="D97" s="914"/>
      <c r="E97" s="178">
        <v>0</v>
      </c>
      <c r="F97" s="178"/>
      <c r="G97" s="333">
        <v>16</v>
      </c>
      <c r="H97" s="178"/>
      <c r="I97" s="178"/>
      <c r="J97" s="334">
        <v>16</v>
      </c>
      <c r="K97" s="295">
        <f t="shared" si="28"/>
        <v>100</v>
      </c>
      <c r="L97" s="295">
        <f t="shared" si="29"/>
        <v>0</v>
      </c>
      <c r="M97" s="295">
        <f t="shared" si="30"/>
        <v>0</v>
      </c>
      <c r="N97" s="296">
        <f t="shared" si="26"/>
        <v>100</v>
      </c>
      <c r="O97" s="335">
        <v>54.7</v>
      </c>
      <c r="P97" s="336"/>
      <c r="Q97" s="336"/>
      <c r="R97" s="337">
        <f t="shared" si="27"/>
        <v>54.7</v>
      </c>
      <c r="S97" s="338">
        <v>2</v>
      </c>
      <c r="T97" s="838"/>
      <c r="U97" s="838"/>
      <c r="V97" s="339" t="s">
        <v>72</v>
      </c>
      <c r="W97" s="340" t="s">
        <v>74</v>
      </c>
      <c r="X97" s="340" t="s">
        <v>11</v>
      </c>
      <c r="Y97" s="341">
        <v>46</v>
      </c>
      <c r="Z97" s="340" t="s">
        <v>73</v>
      </c>
      <c r="AA97" s="340" t="s">
        <v>75</v>
      </c>
      <c r="AB97" s="340" t="s">
        <v>11</v>
      </c>
      <c r="AC97" s="340">
        <v>8.6999999999999993</v>
      </c>
      <c r="AD97" s="339"/>
      <c r="AE97" s="340"/>
      <c r="AF97" s="340"/>
      <c r="AG97" s="341"/>
      <c r="AH97" s="340"/>
      <c r="AI97" s="340"/>
      <c r="AJ97" s="340"/>
      <c r="AK97" s="340"/>
      <c r="AL97" s="339"/>
      <c r="AM97" s="340"/>
      <c r="AN97" s="340"/>
      <c r="AO97" s="341"/>
      <c r="AP97" s="339"/>
      <c r="AQ97" s="340"/>
      <c r="AR97" s="340"/>
      <c r="AS97" s="341"/>
      <c r="AT97" s="342"/>
      <c r="AW97" s="341"/>
      <c r="AX97" s="344"/>
      <c r="AY97" s="344"/>
      <c r="AZ97" s="344"/>
      <c r="BA97" s="345"/>
    </row>
    <row r="98" spans="1:53" s="343" customFormat="1">
      <c r="A98" s="178">
        <v>2003</v>
      </c>
      <c r="B98" s="831"/>
      <c r="C98" s="914" t="s">
        <v>171</v>
      </c>
      <c r="D98" s="914"/>
      <c r="E98" s="178">
        <f>365-E97</f>
        <v>365</v>
      </c>
      <c r="F98" s="178"/>
      <c r="G98" s="333">
        <v>16</v>
      </c>
      <c r="H98" s="178"/>
      <c r="I98" s="178"/>
      <c r="J98" s="334">
        <v>16</v>
      </c>
      <c r="K98" s="295">
        <f t="shared" si="28"/>
        <v>100</v>
      </c>
      <c r="L98" s="295">
        <f t="shared" si="29"/>
        <v>0</v>
      </c>
      <c r="M98" s="295">
        <f t="shared" si="30"/>
        <v>0</v>
      </c>
      <c r="N98" s="296">
        <f t="shared" si="26"/>
        <v>100</v>
      </c>
      <c r="O98" s="335">
        <v>54.7</v>
      </c>
      <c r="P98" s="336"/>
      <c r="Q98" s="336"/>
      <c r="R98" s="337">
        <f t="shared" si="27"/>
        <v>54.7</v>
      </c>
      <c r="S98" s="338">
        <v>2</v>
      </c>
      <c r="T98" s="838"/>
      <c r="U98" s="838"/>
      <c r="V98" s="339" t="s">
        <v>72</v>
      </c>
      <c r="W98" s="340" t="s">
        <v>74</v>
      </c>
      <c r="X98" s="340" t="s">
        <v>11</v>
      </c>
      <c r="Y98" s="341">
        <v>46</v>
      </c>
      <c r="Z98" s="340" t="s">
        <v>73</v>
      </c>
      <c r="AA98" s="340" t="s">
        <v>75</v>
      </c>
      <c r="AB98" s="340" t="s">
        <v>11</v>
      </c>
      <c r="AC98" s="340">
        <v>8.6999999999999993</v>
      </c>
      <c r="AD98" s="339"/>
      <c r="AE98" s="340"/>
      <c r="AF98" s="340"/>
      <c r="AG98" s="341"/>
      <c r="AH98" s="340"/>
      <c r="AI98" s="340"/>
      <c r="AJ98" s="340"/>
      <c r="AK98" s="340"/>
      <c r="AL98" s="339"/>
      <c r="AM98" s="340"/>
      <c r="AN98" s="340"/>
      <c r="AO98" s="341"/>
      <c r="AP98" s="339"/>
      <c r="AQ98" s="340"/>
      <c r="AR98" s="340"/>
      <c r="AS98" s="341"/>
      <c r="AT98" s="342"/>
      <c r="AW98" s="341"/>
      <c r="AX98" s="344"/>
      <c r="AY98" s="344"/>
      <c r="AZ98" s="344"/>
      <c r="BA98" s="345"/>
    </row>
    <row r="99" spans="1:53" s="343" customFormat="1">
      <c r="A99" s="178">
        <v>2004</v>
      </c>
      <c r="B99" s="831"/>
      <c r="C99" s="914" t="s">
        <v>171</v>
      </c>
      <c r="D99" s="914"/>
      <c r="E99" s="178">
        <v>299</v>
      </c>
      <c r="F99" s="178"/>
      <c r="G99" s="333">
        <v>17</v>
      </c>
      <c r="H99" s="178"/>
      <c r="I99" s="178"/>
      <c r="J99" s="334">
        <v>17</v>
      </c>
      <c r="K99" s="295">
        <f t="shared" ref="K99:K104" si="31">G99/J99*100</f>
        <v>100</v>
      </c>
      <c r="L99" s="295">
        <f t="shared" ref="L99:L104" si="32">H99/J99*100</f>
        <v>0</v>
      </c>
      <c r="M99" s="295">
        <f t="shared" ref="M99:M104" si="33">I99/J99*100</f>
        <v>0</v>
      </c>
      <c r="N99" s="296">
        <f t="shared" si="26"/>
        <v>100</v>
      </c>
      <c r="O99" s="335">
        <v>54.7</v>
      </c>
      <c r="P99" s="336"/>
      <c r="Q99" s="336"/>
      <c r="R99" s="337">
        <f t="shared" si="27"/>
        <v>54.7</v>
      </c>
      <c r="S99" s="338">
        <v>2</v>
      </c>
      <c r="T99" s="838"/>
      <c r="U99" s="838"/>
      <c r="V99" s="339" t="s">
        <v>72</v>
      </c>
      <c r="W99" s="340" t="s">
        <v>74</v>
      </c>
      <c r="X99" s="340" t="s">
        <v>11</v>
      </c>
      <c r="Y99" s="341">
        <v>46</v>
      </c>
      <c r="Z99" s="340" t="s">
        <v>73</v>
      </c>
      <c r="AA99" s="340" t="s">
        <v>75</v>
      </c>
      <c r="AB99" s="340" t="s">
        <v>11</v>
      </c>
      <c r="AC99" s="340">
        <v>8.6999999999999993</v>
      </c>
      <c r="AD99" s="339"/>
      <c r="AE99" s="340"/>
      <c r="AF99" s="340"/>
      <c r="AG99" s="341"/>
      <c r="AH99" s="340"/>
      <c r="AI99" s="340"/>
      <c r="AJ99" s="340"/>
      <c r="AK99" s="340"/>
      <c r="AL99" s="339"/>
      <c r="AM99" s="340"/>
      <c r="AN99" s="340"/>
      <c r="AO99" s="341"/>
      <c r="AP99" s="339"/>
      <c r="AQ99" s="340"/>
      <c r="AR99" s="340"/>
      <c r="AS99" s="341"/>
      <c r="AT99" s="342"/>
      <c r="AW99" s="341"/>
      <c r="AX99" s="344"/>
      <c r="AY99" s="344"/>
      <c r="AZ99" s="344"/>
      <c r="BA99" s="345"/>
    </row>
    <row r="100" spans="1:53" s="100" customFormat="1">
      <c r="A100" s="87">
        <v>2004</v>
      </c>
      <c r="B100" s="832">
        <v>38286</v>
      </c>
      <c r="C100" s="915" t="s">
        <v>172</v>
      </c>
      <c r="D100" s="915"/>
      <c r="E100" s="87">
        <v>67</v>
      </c>
      <c r="F100" s="87">
        <v>1</v>
      </c>
      <c r="G100" s="89">
        <v>17</v>
      </c>
      <c r="H100" s="87"/>
      <c r="I100" s="87"/>
      <c r="J100" s="90">
        <v>17</v>
      </c>
      <c r="K100" s="77">
        <f t="shared" si="31"/>
        <v>100</v>
      </c>
      <c r="L100" s="77">
        <f t="shared" si="32"/>
        <v>0</v>
      </c>
      <c r="M100" s="77">
        <f t="shared" si="33"/>
        <v>0</v>
      </c>
      <c r="N100" s="78">
        <f t="shared" si="26"/>
        <v>100</v>
      </c>
      <c r="O100" s="91">
        <v>58</v>
      </c>
      <c r="P100" s="92"/>
      <c r="Q100" s="92"/>
      <c r="R100" s="93">
        <f t="shared" si="27"/>
        <v>58</v>
      </c>
      <c r="S100" s="101">
        <v>2</v>
      </c>
      <c r="T100" s="839">
        <v>38269</v>
      </c>
      <c r="U100" s="839">
        <v>38286</v>
      </c>
      <c r="V100" s="96" t="s">
        <v>72</v>
      </c>
      <c r="W100" s="97" t="s">
        <v>74</v>
      </c>
      <c r="X100" s="97" t="s">
        <v>11</v>
      </c>
      <c r="Y100" s="98">
        <v>50</v>
      </c>
      <c r="Z100" s="97" t="s">
        <v>73</v>
      </c>
      <c r="AA100" s="97" t="s">
        <v>75</v>
      </c>
      <c r="AB100" s="97" t="s">
        <v>11</v>
      </c>
      <c r="AC100" s="97">
        <v>8</v>
      </c>
      <c r="AD100" s="96"/>
      <c r="AE100" s="97"/>
      <c r="AF100" s="97"/>
      <c r="AG100" s="98"/>
      <c r="AH100" s="97"/>
      <c r="AI100" s="97"/>
      <c r="AJ100" s="97"/>
      <c r="AK100" s="97"/>
      <c r="AL100" s="96"/>
      <c r="AM100" s="97"/>
      <c r="AN100" s="97"/>
      <c r="AO100" s="98"/>
      <c r="AP100" s="96"/>
      <c r="AQ100" s="97"/>
      <c r="AR100" s="97"/>
      <c r="AS100" s="98"/>
      <c r="AT100" s="99"/>
      <c r="AW100" s="98"/>
      <c r="AX100" s="283"/>
      <c r="AY100" s="283"/>
      <c r="AZ100" s="283"/>
      <c r="BA100" s="288"/>
    </row>
    <row r="101" spans="1:53" s="115" customFormat="1">
      <c r="A101" s="108">
        <v>2005</v>
      </c>
      <c r="B101" s="835"/>
      <c r="C101" s="915" t="s">
        <v>172</v>
      </c>
      <c r="D101" s="915"/>
      <c r="E101" s="108">
        <v>0</v>
      </c>
      <c r="F101" s="108"/>
      <c r="G101" s="109">
        <v>17</v>
      </c>
      <c r="H101" s="108"/>
      <c r="I101" s="108"/>
      <c r="J101" s="110">
        <v>17</v>
      </c>
      <c r="K101" s="77">
        <f t="shared" si="31"/>
        <v>100</v>
      </c>
      <c r="L101" s="77">
        <f t="shared" si="32"/>
        <v>0</v>
      </c>
      <c r="M101" s="77">
        <f t="shared" si="33"/>
        <v>0</v>
      </c>
      <c r="N101" s="78">
        <f t="shared" si="26"/>
        <v>100</v>
      </c>
      <c r="O101" s="91">
        <v>58</v>
      </c>
      <c r="P101" s="92"/>
      <c r="Q101" s="92"/>
      <c r="R101" s="93">
        <f t="shared" si="27"/>
        <v>58</v>
      </c>
      <c r="S101" s="101">
        <v>2</v>
      </c>
      <c r="T101" s="839"/>
      <c r="U101" s="839"/>
      <c r="V101" s="96" t="s">
        <v>72</v>
      </c>
      <c r="W101" s="97" t="s">
        <v>74</v>
      </c>
      <c r="X101" s="97" t="s">
        <v>11</v>
      </c>
      <c r="Y101" s="98">
        <v>50</v>
      </c>
      <c r="Z101" s="97" t="s">
        <v>73</v>
      </c>
      <c r="AA101" s="97" t="s">
        <v>75</v>
      </c>
      <c r="AB101" s="97" t="s">
        <v>11</v>
      </c>
      <c r="AC101" s="97">
        <v>8</v>
      </c>
      <c r="AD101" s="111"/>
      <c r="AE101" s="112"/>
      <c r="AF101" s="112"/>
      <c r="AG101" s="113"/>
      <c r="AH101" s="112"/>
      <c r="AI101" s="112"/>
      <c r="AJ101" s="112"/>
      <c r="AK101" s="112"/>
      <c r="AL101" s="111"/>
      <c r="AM101" s="112"/>
      <c r="AN101" s="112"/>
      <c r="AO101" s="113"/>
      <c r="AP101" s="111"/>
      <c r="AQ101" s="112"/>
      <c r="AR101" s="112"/>
      <c r="AS101" s="113"/>
      <c r="AT101" s="114"/>
      <c r="AW101" s="113"/>
      <c r="AX101" s="289"/>
      <c r="AY101" s="289"/>
      <c r="AZ101" s="289"/>
      <c r="BA101" s="290"/>
    </row>
    <row r="102" spans="1:53" s="115" customFormat="1">
      <c r="A102" s="108">
        <v>2005</v>
      </c>
      <c r="B102" s="835"/>
      <c r="C102" s="915" t="s">
        <v>172</v>
      </c>
      <c r="D102" s="915"/>
      <c r="E102" s="108">
        <v>365</v>
      </c>
      <c r="F102" s="108"/>
      <c r="G102" s="109">
        <v>17</v>
      </c>
      <c r="H102" s="108"/>
      <c r="I102" s="108"/>
      <c r="J102" s="110">
        <v>17</v>
      </c>
      <c r="K102" s="77">
        <f t="shared" si="31"/>
        <v>100</v>
      </c>
      <c r="L102" s="77">
        <f t="shared" si="32"/>
        <v>0</v>
      </c>
      <c r="M102" s="77">
        <f t="shared" si="33"/>
        <v>0</v>
      </c>
      <c r="N102" s="78">
        <f t="shared" si="26"/>
        <v>100</v>
      </c>
      <c r="O102" s="91">
        <v>58</v>
      </c>
      <c r="P102" s="92"/>
      <c r="Q102" s="92"/>
      <c r="R102" s="93">
        <f t="shared" si="27"/>
        <v>58</v>
      </c>
      <c r="S102" s="101">
        <v>2</v>
      </c>
      <c r="T102" s="839"/>
      <c r="U102" s="839"/>
      <c r="V102" s="96" t="s">
        <v>72</v>
      </c>
      <c r="W102" s="97" t="s">
        <v>74</v>
      </c>
      <c r="X102" s="97" t="s">
        <v>11</v>
      </c>
      <c r="Y102" s="98">
        <v>50</v>
      </c>
      <c r="Z102" s="97" t="s">
        <v>73</v>
      </c>
      <c r="AA102" s="97" t="s">
        <v>75</v>
      </c>
      <c r="AB102" s="97" t="s">
        <v>11</v>
      </c>
      <c r="AC102" s="97">
        <v>8</v>
      </c>
      <c r="AD102" s="111"/>
      <c r="AE102" s="112"/>
      <c r="AF102" s="112"/>
      <c r="AG102" s="113"/>
      <c r="AH102" s="112"/>
      <c r="AI102" s="112"/>
      <c r="AJ102" s="112"/>
      <c r="AK102" s="112"/>
      <c r="AL102" s="111"/>
      <c r="AM102" s="112"/>
      <c r="AN102" s="112"/>
      <c r="AO102" s="113"/>
      <c r="AP102" s="111"/>
      <c r="AQ102" s="112"/>
      <c r="AR102" s="112"/>
      <c r="AS102" s="113"/>
      <c r="AT102" s="114"/>
      <c r="AW102" s="113"/>
      <c r="AX102" s="289"/>
      <c r="AY102" s="289"/>
      <c r="AZ102" s="289"/>
      <c r="BA102" s="290"/>
    </row>
    <row r="103" spans="1:53" s="117" customFormat="1">
      <c r="A103" s="116">
        <v>2006</v>
      </c>
      <c r="B103" s="835"/>
      <c r="C103" s="915" t="s">
        <v>172</v>
      </c>
      <c r="D103" s="915"/>
      <c r="E103" s="108">
        <v>0</v>
      </c>
      <c r="F103" s="108"/>
      <c r="G103" s="109">
        <v>17</v>
      </c>
      <c r="H103" s="108"/>
      <c r="I103" s="108"/>
      <c r="J103" s="110">
        <v>17</v>
      </c>
      <c r="K103" s="77">
        <f t="shared" si="31"/>
        <v>100</v>
      </c>
      <c r="L103" s="77">
        <f t="shared" si="32"/>
        <v>0</v>
      </c>
      <c r="M103" s="77">
        <f t="shared" si="33"/>
        <v>0</v>
      </c>
      <c r="N103" s="78">
        <f t="shared" si="26"/>
        <v>100</v>
      </c>
      <c r="O103" s="91">
        <v>58</v>
      </c>
      <c r="P103" s="92"/>
      <c r="Q103" s="92"/>
      <c r="R103" s="93">
        <f t="shared" si="27"/>
        <v>58</v>
      </c>
      <c r="S103" s="101">
        <v>2</v>
      </c>
      <c r="T103" s="839"/>
      <c r="U103" s="839"/>
      <c r="V103" s="96" t="s">
        <v>72</v>
      </c>
      <c r="W103" s="97" t="s">
        <v>74</v>
      </c>
      <c r="X103" s="97" t="s">
        <v>11</v>
      </c>
      <c r="Y103" s="98">
        <v>50</v>
      </c>
      <c r="Z103" s="97" t="s">
        <v>73</v>
      </c>
      <c r="AA103" s="97" t="s">
        <v>75</v>
      </c>
      <c r="AB103" s="97" t="s">
        <v>11</v>
      </c>
      <c r="AC103" s="97">
        <v>8</v>
      </c>
      <c r="AD103" s="111"/>
      <c r="AE103" s="112"/>
      <c r="AF103" s="112"/>
      <c r="AG103" s="113"/>
      <c r="AH103" s="112"/>
      <c r="AI103" s="112"/>
      <c r="AJ103" s="112"/>
      <c r="AK103" s="112"/>
      <c r="AL103" s="111"/>
      <c r="AM103" s="112"/>
      <c r="AN103" s="112"/>
      <c r="AO103" s="113"/>
      <c r="AP103" s="111"/>
      <c r="AQ103" s="112"/>
      <c r="AR103" s="112"/>
      <c r="AS103" s="113"/>
      <c r="AT103" s="114"/>
      <c r="AW103" s="113"/>
      <c r="AX103" s="116"/>
      <c r="AY103" s="116"/>
      <c r="AZ103" s="116"/>
      <c r="BA103" s="291"/>
    </row>
    <row r="104" spans="1:53" s="117" customFormat="1">
      <c r="A104" s="116">
        <v>2006</v>
      </c>
      <c r="B104" s="835"/>
      <c r="C104" s="915" t="s">
        <v>172</v>
      </c>
      <c r="D104" s="915"/>
      <c r="E104" s="108">
        <v>365</v>
      </c>
      <c r="F104" s="108"/>
      <c r="G104" s="109">
        <v>17</v>
      </c>
      <c r="H104" s="108"/>
      <c r="I104" s="108"/>
      <c r="J104" s="110">
        <v>17</v>
      </c>
      <c r="K104" s="77">
        <f t="shared" si="31"/>
        <v>100</v>
      </c>
      <c r="L104" s="77">
        <f t="shared" si="32"/>
        <v>0</v>
      </c>
      <c r="M104" s="77">
        <f t="shared" si="33"/>
        <v>0</v>
      </c>
      <c r="N104" s="78">
        <f t="shared" si="26"/>
        <v>100</v>
      </c>
      <c r="O104" s="91">
        <v>58</v>
      </c>
      <c r="P104" s="92"/>
      <c r="Q104" s="92"/>
      <c r="R104" s="93">
        <f>SUM(O104:Q104)</f>
        <v>58</v>
      </c>
      <c r="S104" s="101">
        <v>2</v>
      </c>
      <c r="T104" s="839"/>
      <c r="U104" s="839"/>
      <c r="V104" s="96" t="s">
        <v>72</v>
      </c>
      <c r="W104" s="97" t="s">
        <v>74</v>
      </c>
      <c r="X104" s="97" t="s">
        <v>11</v>
      </c>
      <c r="Y104" s="98">
        <v>50</v>
      </c>
      <c r="Z104" s="97" t="s">
        <v>73</v>
      </c>
      <c r="AA104" s="97" t="s">
        <v>75</v>
      </c>
      <c r="AB104" s="97" t="s">
        <v>11</v>
      </c>
      <c r="AC104" s="97">
        <v>8</v>
      </c>
      <c r="AD104" s="111"/>
      <c r="AE104" s="112"/>
      <c r="AF104" s="112"/>
      <c r="AG104" s="113"/>
      <c r="AH104" s="112"/>
      <c r="AI104" s="112"/>
      <c r="AJ104" s="112"/>
      <c r="AK104" s="112"/>
      <c r="AL104" s="111"/>
      <c r="AM104" s="112"/>
      <c r="AN104" s="112"/>
      <c r="AO104" s="113"/>
      <c r="AP104" s="111"/>
      <c r="AQ104" s="112"/>
      <c r="AR104" s="112"/>
      <c r="AS104" s="113"/>
      <c r="AT104" s="114"/>
      <c r="AW104" s="113"/>
      <c r="AX104" s="116"/>
      <c r="AY104" s="116"/>
      <c r="AZ104" s="116"/>
      <c r="BA104" s="291"/>
    </row>
    <row r="105" spans="1:53" s="117" customFormat="1">
      <c r="A105" s="87">
        <v>2006.73170731707</v>
      </c>
      <c r="B105" s="832"/>
      <c r="C105" s="915" t="s">
        <v>172</v>
      </c>
      <c r="D105" s="915"/>
      <c r="E105" s="87">
        <v>336</v>
      </c>
      <c r="F105" s="87"/>
      <c r="G105" s="89">
        <v>17</v>
      </c>
      <c r="H105" s="87"/>
      <c r="I105" s="87"/>
      <c r="J105" s="90">
        <v>17</v>
      </c>
      <c r="K105" s="77">
        <f t="shared" ref="K105:K128" si="34">G105/J105*100</f>
        <v>100</v>
      </c>
      <c r="L105" s="77">
        <f t="shared" ref="L105:L126" si="35">H105/J105*100</f>
        <v>0</v>
      </c>
      <c r="M105" s="77">
        <f t="shared" ref="M105:M126" si="36">I105/J105*100</f>
        <v>0</v>
      </c>
      <c r="N105" s="78">
        <f t="shared" si="26"/>
        <v>100</v>
      </c>
      <c r="O105" s="91">
        <v>58</v>
      </c>
      <c r="P105" s="92"/>
      <c r="Q105" s="92"/>
      <c r="R105" s="93">
        <f t="shared" si="27"/>
        <v>58</v>
      </c>
      <c r="S105" s="101">
        <v>2</v>
      </c>
      <c r="T105" s="839"/>
      <c r="U105" s="839"/>
      <c r="V105" s="96" t="s">
        <v>72</v>
      </c>
      <c r="W105" s="97" t="s">
        <v>74</v>
      </c>
      <c r="X105" s="97" t="s">
        <v>11</v>
      </c>
      <c r="Y105" s="98">
        <v>50</v>
      </c>
      <c r="Z105" s="97" t="s">
        <v>73</v>
      </c>
      <c r="AA105" s="97" t="s">
        <v>75</v>
      </c>
      <c r="AB105" s="97" t="s">
        <v>11</v>
      </c>
      <c r="AC105" s="97">
        <v>8</v>
      </c>
      <c r="AD105" s="111"/>
      <c r="AE105" s="112"/>
      <c r="AF105" s="112"/>
      <c r="AG105" s="113"/>
      <c r="AH105" s="112"/>
      <c r="AI105" s="112"/>
      <c r="AJ105" s="112"/>
      <c r="AK105" s="112"/>
      <c r="AL105" s="111"/>
      <c r="AM105" s="112"/>
      <c r="AN105" s="112"/>
      <c r="AO105" s="113"/>
      <c r="AP105" s="111"/>
      <c r="AQ105" s="112"/>
      <c r="AR105" s="112"/>
      <c r="AS105" s="113"/>
      <c r="AT105" s="114"/>
      <c r="AW105" s="113"/>
      <c r="AX105" s="116"/>
      <c r="AY105" s="116"/>
      <c r="AZ105" s="116"/>
      <c r="BA105" s="291"/>
    </row>
    <row r="106" spans="1:53" s="363" customFormat="1">
      <c r="A106" s="178">
        <v>2007.23085649461</v>
      </c>
      <c r="B106" s="831">
        <v>39419</v>
      </c>
      <c r="C106" s="914" t="s">
        <v>173</v>
      </c>
      <c r="D106" s="914"/>
      <c r="E106" s="178">
        <f>365-E105</f>
        <v>29</v>
      </c>
      <c r="F106" s="178">
        <v>1</v>
      </c>
      <c r="G106" s="333"/>
      <c r="H106" s="178"/>
      <c r="I106" s="178">
        <v>20</v>
      </c>
      <c r="J106" s="334">
        <v>20</v>
      </c>
      <c r="K106" s="295">
        <f t="shared" si="34"/>
        <v>0</v>
      </c>
      <c r="L106" s="295">
        <f t="shared" si="35"/>
        <v>0</v>
      </c>
      <c r="M106" s="295">
        <f t="shared" si="36"/>
        <v>100</v>
      </c>
      <c r="N106" s="296">
        <f t="shared" si="26"/>
        <v>100</v>
      </c>
      <c r="O106" s="335"/>
      <c r="P106" s="336"/>
      <c r="Q106" s="336">
        <v>55.3</v>
      </c>
      <c r="R106" s="337">
        <f t="shared" si="27"/>
        <v>55.3</v>
      </c>
      <c r="S106" s="338">
        <v>1</v>
      </c>
      <c r="T106" s="838">
        <v>39410</v>
      </c>
      <c r="U106" s="838">
        <v>39419</v>
      </c>
      <c r="V106" s="339" t="s">
        <v>78</v>
      </c>
      <c r="W106" s="340" t="s">
        <v>20</v>
      </c>
      <c r="X106" s="340" t="s">
        <v>12</v>
      </c>
      <c r="Y106" s="341">
        <v>55.3</v>
      </c>
      <c r="Z106" s="359"/>
      <c r="AA106" s="359"/>
      <c r="AB106" s="359"/>
      <c r="AC106" s="359"/>
      <c r="AD106" s="360"/>
      <c r="AE106" s="359"/>
      <c r="AF106" s="359"/>
      <c r="AG106" s="361"/>
      <c r="AH106" s="359"/>
      <c r="AI106" s="359"/>
      <c r="AJ106" s="359"/>
      <c r="AK106" s="359"/>
      <c r="AL106" s="360"/>
      <c r="AM106" s="359"/>
      <c r="AN106" s="359"/>
      <c r="AO106" s="361"/>
      <c r="AP106" s="360"/>
      <c r="AQ106" s="359"/>
      <c r="AR106" s="359"/>
      <c r="AS106" s="361"/>
      <c r="AT106" s="362"/>
      <c r="AW106" s="361"/>
      <c r="AX106" s="364"/>
      <c r="AY106" s="364"/>
      <c r="AZ106" s="364"/>
      <c r="BA106" s="365"/>
    </row>
    <row r="107" spans="1:53" s="343" customFormat="1">
      <c r="A107" s="178">
        <v>2008</v>
      </c>
      <c r="B107" s="831"/>
      <c r="C107" s="914" t="s">
        <v>173</v>
      </c>
      <c r="D107" s="914"/>
      <c r="E107" s="178">
        <v>0</v>
      </c>
      <c r="F107" s="178"/>
      <c r="G107" s="333"/>
      <c r="H107" s="178"/>
      <c r="I107" s="178">
        <v>20</v>
      </c>
      <c r="J107" s="334">
        <v>20</v>
      </c>
      <c r="K107" s="295">
        <f t="shared" si="34"/>
        <v>0</v>
      </c>
      <c r="L107" s="295">
        <f t="shared" si="35"/>
        <v>0</v>
      </c>
      <c r="M107" s="295">
        <f t="shared" si="36"/>
        <v>100</v>
      </c>
      <c r="N107" s="296">
        <f t="shared" si="26"/>
        <v>100</v>
      </c>
      <c r="O107" s="335"/>
      <c r="P107" s="336"/>
      <c r="Q107" s="336">
        <v>55.3</v>
      </c>
      <c r="R107" s="337">
        <f t="shared" si="27"/>
        <v>55.3</v>
      </c>
      <c r="S107" s="338">
        <v>1</v>
      </c>
      <c r="T107" s="838"/>
      <c r="U107" s="838"/>
      <c r="V107" s="339" t="s">
        <v>78</v>
      </c>
      <c r="W107" s="340" t="s">
        <v>20</v>
      </c>
      <c r="X107" s="340" t="s">
        <v>12</v>
      </c>
      <c r="Y107" s="341">
        <v>55.3</v>
      </c>
      <c r="Z107" s="340"/>
      <c r="AA107" s="340"/>
      <c r="AB107" s="340"/>
      <c r="AC107" s="340"/>
      <c r="AD107" s="339"/>
      <c r="AE107" s="340"/>
      <c r="AF107" s="340"/>
      <c r="AG107" s="341"/>
      <c r="AH107" s="340"/>
      <c r="AI107" s="340"/>
      <c r="AJ107" s="340"/>
      <c r="AK107" s="340"/>
      <c r="AL107" s="339"/>
      <c r="AM107" s="340"/>
      <c r="AN107" s="340"/>
      <c r="AO107" s="341"/>
      <c r="AP107" s="339"/>
      <c r="AQ107" s="340"/>
      <c r="AR107" s="340"/>
      <c r="AS107" s="341"/>
      <c r="AT107" s="342"/>
      <c r="AW107" s="341"/>
      <c r="AX107" s="344"/>
      <c r="AY107" s="344"/>
      <c r="AZ107" s="344"/>
      <c r="BA107" s="345"/>
    </row>
    <row r="108" spans="1:53" s="343" customFormat="1">
      <c r="A108" s="178">
        <v>2008</v>
      </c>
      <c r="B108" s="831"/>
      <c r="C108" s="914" t="s">
        <v>173</v>
      </c>
      <c r="D108" s="914"/>
      <c r="E108" s="178">
        <v>366</v>
      </c>
      <c r="F108" s="178"/>
      <c r="G108" s="333"/>
      <c r="H108" s="178"/>
      <c r="I108" s="178">
        <v>20</v>
      </c>
      <c r="J108" s="334">
        <v>20</v>
      </c>
      <c r="K108" s="295">
        <f t="shared" si="34"/>
        <v>0</v>
      </c>
      <c r="L108" s="295">
        <f t="shared" si="35"/>
        <v>0</v>
      </c>
      <c r="M108" s="295">
        <f t="shared" si="36"/>
        <v>100</v>
      </c>
      <c r="N108" s="296">
        <f t="shared" si="26"/>
        <v>100</v>
      </c>
      <c r="O108" s="335"/>
      <c r="P108" s="336"/>
      <c r="Q108" s="336">
        <v>55.3</v>
      </c>
      <c r="R108" s="337">
        <f t="shared" si="27"/>
        <v>55.3</v>
      </c>
      <c r="S108" s="338">
        <v>1</v>
      </c>
      <c r="T108" s="838"/>
      <c r="U108" s="838"/>
      <c r="V108" s="339" t="s">
        <v>78</v>
      </c>
      <c r="W108" s="340" t="s">
        <v>20</v>
      </c>
      <c r="X108" s="340" t="s">
        <v>12</v>
      </c>
      <c r="Y108" s="341">
        <v>55.3</v>
      </c>
      <c r="Z108" s="340"/>
      <c r="AA108" s="340"/>
      <c r="AB108" s="340"/>
      <c r="AC108" s="340"/>
      <c r="AD108" s="339"/>
      <c r="AE108" s="340"/>
      <c r="AF108" s="340"/>
      <c r="AG108" s="341"/>
      <c r="AH108" s="340"/>
      <c r="AI108" s="340"/>
      <c r="AJ108" s="340"/>
      <c r="AK108" s="340"/>
      <c r="AL108" s="339"/>
      <c r="AM108" s="340"/>
      <c r="AN108" s="340"/>
      <c r="AO108" s="341"/>
      <c r="AP108" s="339"/>
      <c r="AQ108" s="340"/>
      <c r="AR108" s="340"/>
      <c r="AS108" s="341"/>
      <c r="AT108" s="342"/>
      <c r="AW108" s="341"/>
      <c r="AX108" s="344"/>
      <c r="AY108" s="344"/>
      <c r="AZ108" s="344"/>
      <c r="BA108" s="345"/>
    </row>
    <row r="109" spans="1:53" s="343" customFormat="1">
      <c r="A109" s="178">
        <v>2009</v>
      </c>
      <c r="B109" s="831"/>
      <c r="C109" s="914" t="s">
        <v>173</v>
      </c>
      <c r="D109" s="914"/>
      <c r="E109" s="178">
        <v>0</v>
      </c>
      <c r="F109" s="178"/>
      <c r="G109" s="333"/>
      <c r="H109" s="178"/>
      <c r="I109" s="178">
        <v>20</v>
      </c>
      <c r="J109" s="334">
        <v>20</v>
      </c>
      <c r="K109" s="295">
        <f t="shared" si="34"/>
        <v>0</v>
      </c>
      <c r="L109" s="295">
        <f t="shared" si="35"/>
        <v>0</v>
      </c>
      <c r="M109" s="295">
        <f t="shared" si="36"/>
        <v>100</v>
      </c>
      <c r="N109" s="296">
        <f t="shared" si="26"/>
        <v>100</v>
      </c>
      <c r="O109" s="335"/>
      <c r="P109" s="336"/>
      <c r="Q109" s="336">
        <v>55.3</v>
      </c>
      <c r="R109" s="337">
        <f t="shared" si="27"/>
        <v>55.3</v>
      </c>
      <c r="S109" s="338">
        <v>1</v>
      </c>
      <c r="T109" s="838"/>
      <c r="U109" s="838"/>
      <c r="V109" s="339" t="s">
        <v>78</v>
      </c>
      <c r="W109" s="340" t="s">
        <v>20</v>
      </c>
      <c r="X109" s="340" t="s">
        <v>12</v>
      </c>
      <c r="Y109" s="341">
        <v>55.3</v>
      </c>
      <c r="Z109" s="340"/>
      <c r="AA109" s="340"/>
      <c r="AB109" s="340"/>
      <c r="AC109" s="340"/>
      <c r="AD109" s="339"/>
      <c r="AE109" s="340"/>
      <c r="AF109" s="340"/>
      <c r="AG109" s="341"/>
      <c r="AH109" s="340"/>
      <c r="AI109" s="340"/>
      <c r="AJ109" s="340"/>
      <c r="AK109" s="340"/>
      <c r="AL109" s="339"/>
      <c r="AM109" s="340"/>
      <c r="AN109" s="340"/>
      <c r="AO109" s="341"/>
      <c r="AP109" s="339"/>
      <c r="AQ109" s="340"/>
      <c r="AR109" s="340"/>
      <c r="AS109" s="341"/>
      <c r="AT109" s="342"/>
      <c r="AW109" s="341"/>
      <c r="AX109" s="344"/>
      <c r="AY109" s="344"/>
      <c r="AZ109" s="344"/>
      <c r="BA109" s="345"/>
    </row>
    <row r="110" spans="1:53" s="343" customFormat="1">
      <c r="A110" s="178">
        <v>2009</v>
      </c>
      <c r="B110" s="836"/>
      <c r="C110" s="914" t="s">
        <v>173</v>
      </c>
      <c r="D110" s="914"/>
      <c r="E110" s="178">
        <v>365</v>
      </c>
      <c r="F110" s="178"/>
      <c r="G110" s="333"/>
      <c r="H110" s="178"/>
      <c r="I110" s="178">
        <v>20</v>
      </c>
      <c r="J110" s="334">
        <v>20</v>
      </c>
      <c r="K110" s="295">
        <f t="shared" si="34"/>
        <v>0</v>
      </c>
      <c r="L110" s="295">
        <f t="shared" si="35"/>
        <v>0</v>
      </c>
      <c r="M110" s="295">
        <f t="shared" si="36"/>
        <v>100</v>
      </c>
      <c r="N110" s="296">
        <f t="shared" si="26"/>
        <v>100</v>
      </c>
      <c r="O110" s="335"/>
      <c r="P110" s="336"/>
      <c r="Q110" s="336">
        <v>55.3</v>
      </c>
      <c r="R110" s="337">
        <f t="shared" si="27"/>
        <v>55.3</v>
      </c>
      <c r="S110" s="338">
        <v>1</v>
      </c>
      <c r="T110" s="838"/>
      <c r="U110" s="838"/>
      <c r="V110" s="339" t="s">
        <v>78</v>
      </c>
      <c r="W110" s="340" t="s">
        <v>20</v>
      </c>
      <c r="X110" s="340" t="s">
        <v>12</v>
      </c>
      <c r="Y110" s="341">
        <v>55.3</v>
      </c>
      <c r="Z110" s="340"/>
      <c r="AA110" s="340"/>
      <c r="AB110" s="340"/>
      <c r="AC110" s="340"/>
      <c r="AD110" s="339"/>
      <c r="AE110" s="340"/>
      <c r="AF110" s="340"/>
      <c r="AG110" s="341"/>
      <c r="AH110" s="340"/>
      <c r="AI110" s="340"/>
      <c r="AJ110" s="340"/>
      <c r="AK110" s="340"/>
      <c r="AL110" s="339"/>
      <c r="AM110" s="340"/>
      <c r="AN110" s="340"/>
      <c r="AO110" s="341"/>
      <c r="AP110" s="339"/>
      <c r="AQ110" s="340"/>
      <c r="AR110" s="340"/>
      <c r="AS110" s="341"/>
      <c r="AT110" s="342"/>
      <c r="AW110" s="341"/>
      <c r="AX110" s="344"/>
      <c r="AY110" s="344"/>
      <c r="AZ110" s="344"/>
      <c r="BA110" s="345"/>
    </row>
    <row r="111" spans="1:53" s="343" customFormat="1">
      <c r="A111" s="178">
        <v>2010</v>
      </c>
      <c r="B111" s="836"/>
      <c r="C111" s="914" t="s">
        <v>173</v>
      </c>
      <c r="D111" s="914"/>
      <c r="E111" s="178">
        <v>174</v>
      </c>
      <c r="F111" s="178"/>
      <c r="G111" s="333"/>
      <c r="H111" s="178"/>
      <c r="I111" s="178">
        <v>20</v>
      </c>
      <c r="J111" s="334">
        <v>20</v>
      </c>
      <c r="K111" s="295">
        <f t="shared" si="34"/>
        <v>0</v>
      </c>
      <c r="L111" s="295">
        <f t="shared" si="35"/>
        <v>0</v>
      </c>
      <c r="M111" s="295">
        <f t="shared" si="36"/>
        <v>100</v>
      </c>
      <c r="N111" s="296">
        <f t="shared" si="26"/>
        <v>100</v>
      </c>
      <c r="O111" s="335"/>
      <c r="P111" s="336"/>
      <c r="Q111" s="336">
        <v>55.3</v>
      </c>
      <c r="R111" s="337">
        <f t="shared" si="27"/>
        <v>55.3</v>
      </c>
      <c r="S111" s="338">
        <v>1</v>
      </c>
      <c r="T111" s="838"/>
      <c r="U111" s="838"/>
      <c r="V111" s="339" t="s">
        <v>78</v>
      </c>
      <c r="W111" s="340" t="s">
        <v>20</v>
      </c>
      <c r="X111" s="340" t="s">
        <v>12</v>
      </c>
      <c r="Y111" s="341">
        <v>55.3</v>
      </c>
      <c r="Z111" s="340"/>
      <c r="AA111" s="340"/>
      <c r="AB111" s="340"/>
      <c r="AC111" s="340"/>
      <c r="AD111" s="339"/>
      <c r="AE111" s="340"/>
      <c r="AF111" s="340"/>
      <c r="AG111" s="341"/>
      <c r="AH111" s="340"/>
      <c r="AI111" s="340"/>
      <c r="AJ111" s="340"/>
      <c r="AK111" s="340"/>
      <c r="AL111" s="339"/>
      <c r="AM111" s="340"/>
      <c r="AN111" s="340"/>
      <c r="AO111" s="341"/>
      <c r="AP111" s="339"/>
      <c r="AQ111" s="340"/>
      <c r="AR111" s="340"/>
      <c r="AS111" s="341"/>
      <c r="AT111" s="342"/>
      <c r="AW111" s="341"/>
      <c r="AX111" s="344"/>
      <c r="AY111" s="344"/>
      <c r="AZ111" s="344"/>
      <c r="BA111" s="345"/>
    </row>
    <row r="112" spans="1:53" s="100" customFormat="1">
      <c r="A112" s="87">
        <v>2010</v>
      </c>
      <c r="B112" s="832">
        <v>40353</v>
      </c>
      <c r="C112" s="915" t="s">
        <v>174</v>
      </c>
      <c r="D112" s="915"/>
      <c r="E112" s="87">
        <f>365-E111-E113</f>
        <v>82</v>
      </c>
      <c r="F112" s="87">
        <v>2</v>
      </c>
      <c r="G112" s="89"/>
      <c r="H112" s="87"/>
      <c r="I112" s="87">
        <v>20</v>
      </c>
      <c r="J112" s="90">
        <v>20</v>
      </c>
      <c r="K112" s="77">
        <f t="shared" si="34"/>
        <v>0</v>
      </c>
      <c r="L112" s="77">
        <f t="shared" si="35"/>
        <v>0</v>
      </c>
      <c r="M112" s="77">
        <f t="shared" si="36"/>
        <v>100</v>
      </c>
      <c r="N112" s="78">
        <f t="shared" si="26"/>
        <v>100</v>
      </c>
      <c r="O112" s="91"/>
      <c r="P112" s="92"/>
      <c r="Q112" s="92">
        <v>55.3</v>
      </c>
      <c r="R112" s="93">
        <f t="shared" si="27"/>
        <v>55.3</v>
      </c>
      <c r="S112" s="101">
        <v>1</v>
      </c>
      <c r="T112" s="839"/>
      <c r="U112" s="839">
        <v>40353</v>
      </c>
      <c r="V112" s="96" t="s">
        <v>78</v>
      </c>
      <c r="W112" s="97" t="s">
        <v>20</v>
      </c>
      <c r="X112" s="97" t="s">
        <v>12</v>
      </c>
      <c r="Y112" s="98">
        <v>55.3</v>
      </c>
      <c r="Z112" s="97"/>
      <c r="AA112" s="97"/>
      <c r="AB112" s="97"/>
      <c r="AC112" s="97"/>
      <c r="AD112" s="96"/>
      <c r="AE112" s="97"/>
      <c r="AF112" s="97"/>
      <c r="AG112" s="98"/>
      <c r="AH112" s="97"/>
      <c r="AI112" s="97"/>
      <c r="AJ112" s="97"/>
      <c r="AK112" s="97"/>
      <c r="AL112" s="96"/>
      <c r="AM112" s="97"/>
      <c r="AN112" s="97"/>
      <c r="AO112" s="98"/>
      <c r="AP112" s="96"/>
      <c r="AQ112" s="97"/>
      <c r="AR112" s="97"/>
      <c r="AS112" s="98"/>
      <c r="AT112" s="99"/>
      <c r="AW112" s="98"/>
      <c r="AX112" s="283"/>
      <c r="AY112" s="283"/>
      <c r="AZ112" s="283"/>
      <c r="BA112" s="288"/>
    </row>
    <row r="113" spans="1:74" s="343" customFormat="1">
      <c r="A113" s="178">
        <v>2010</v>
      </c>
      <c r="B113" s="831">
        <v>40435</v>
      </c>
      <c r="C113" s="914" t="s">
        <v>175</v>
      </c>
      <c r="D113" s="914"/>
      <c r="E113" s="178">
        <v>109</v>
      </c>
      <c r="F113" s="178">
        <v>1</v>
      </c>
      <c r="G113" s="333"/>
      <c r="H113" s="178"/>
      <c r="I113" s="178">
        <v>20</v>
      </c>
      <c r="J113" s="334">
        <v>20</v>
      </c>
      <c r="K113" s="295">
        <f t="shared" si="34"/>
        <v>0</v>
      </c>
      <c r="L113" s="295">
        <f t="shared" si="35"/>
        <v>0</v>
      </c>
      <c r="M113" s="295">
        <f t="shared" si="36"/>
        <v>100</v>
      </c>
      <c r="N113" s="296">
        <f t="shared" si="26"/>
        <v>100</v>
      </c>
      <c r="O113" s="335"/>
      <c r="P113" s="336"/>
      <c r="Q113" s="336">
        <v>48</v>
      </c>
      <c r="R113" s="337">
        <f t="shared" si="27"/>
        <v>48</v>
      </c>
      <c r="S113" s="338">
        <v>4</v>
      </c>
      <c r="T113" s="838">
        <v>40411</v>
      </c>
      <c r="U113" s="838">
        <v>40435</v>
      </c>
      <c r="V113" s="339" t="s">
        <v>78</v>
      </c>
      <c r="W113" s="340" t="s">
        <v>20</v>
      </c>
      <c r="X113" s="340" t="s">
        <v>12</v>
      </c>
      <c r="Y113" s="341">
        <v>48</v>
      </c>
      <c r="Z113" s="340"/>
      <c r="AA113" s="340"/>
      <c r="AB113" s="340"/>
      <c r="AC113" s="340"/>
      <c r="AD113" s="339"/>
      <c r="AE113" s="340"/>
      <c r="AF113" s="340"/>
      <c r="AG113" s="341"/>
      <c r="AH113" s="340"/>
      <c r="AI113" s="340"/>
      <c r="AJ113" s="340"/>
      <c r="AK113" s="340"/>
      <c r="AL113" s="339"/>
      <c r="AM113" s="340"/>
      <c r="AN113" s="340"/>
      <c r="AO113" s="341"/>
      <c r="AP113" s="339"/>
      <c r="AQ113" s="340"/>
      <c r="AR113" s="340"/>
      <c r="AS113" s="341"/>
      <c r="AT113" s="342"/>
      <c r="AW113" s="341"/>
      <c r="AX113" s="344"/>
      <c r="AY113" s="344"/>
      <c r="AZ113" s="344"/>
      <c r="BA113" s="345"/>
    </row>
    <row r="114" spans="1:74" s="343" customFormat="1">
      <c r="A114" s="178">
        <v>2011</v>
      </c>
      <c r="B114" s="836"/>
      <c r="C114" s="914" t="s">
        <v>175</v>
      </c>
      <c r="D114" s="914"/>
      <c r="E114" s="178">
        <v>347</v>
      </c>
      <c r="F114" s="178"/>
      <c r="G114" s="333"/>
      <c r="H114" s="178"/>
      <c r="I114" s="178">
        <v>20</v>
      </c>
      <c r="J114" s="334">
        <v>20</v>
      </c>
      <c r="K114" s="295">
        <f t="shared" si="34"/>
        <v>0</v>
      </c>
      <c r="L114" s="295">
        <f t="shared" si="35"/>
        <v>0</v>
      </c>
      <c r="M114" s="295">
        <f t="shared" si="36"/>
        <v>100</v>
      </c>
      <c r="N114" s="296">
        <f t="shared" si="26"/>
        <v>100</v>
      </c>
      <c r="O114" s="335"/>
      <c r="P114" s="336"/>
      <c r="Q114" s="336">
        <v>48</v>
      </c>
      <c r="R114" s="337">
        <f t="shared" si="27"/>
        <v>48</v>
      </c>
      <c r="S114" s="338">
        <v>4</v>
      </c>
      <c r="T114" s="838"/>
      <c r="U114" s="838"/>
      <c r="V114" s="339" t="s">
        <v>78</v>
      </c>
      <c r="W114" s="340" t="s">
        <v>20</v>
      </c>
      <c r="X114" s="340" t="s">
        <v>12</v>
      </c>
      <c r="Y114" s="341">
        <v>48</v>
      </c>
      <c r="Z114" s="340"/>
      <c r="AA114" s="340"/>
      <c r="AB114" s="340"/>
      <c r="AC114" s="340"/>
      <c r="AD114" s="339"/>
      <c r="AE114" s="340"/>
      <c r="AF114" s="340"/>
      <c r="AG114" s="341"/>
      <c r="AH114" s="340"/>
      <c r="AI114" s="340"/>
      <c r="AJ114" s="340"/>
      <c r="AK114" s="340"/>
      <c r="AL114" s="339"/>
      <c r="AM114" s="340"/>
      <c r="AN114" s="340"/>
      <c r="AO114" s="341"/>
      <c r="AP114" s="339"/>
      <c r="AQ114" s="340"/>
      <c r="AR114" s="340"/>
      <c r="AS114" s="341"/>
      <c r="AT114" s="342"/>
      <c r="AW114" s="341"/>
      <c r="AX114" s="344"/>
      <c r="AY114" s="344"/>
      <c r="AZ114" s="344"/>
      <c r="BA114" s="345"/>
    </row>
    <row r="115" spans="1:74" s="343" customFormat="1">
      <c r="A115" s="178">
        <v>2011</v>
      </c>
      <c r="B115" s="837">
        <v>40891</v>
      </c>
      <c r="C115" s="914" t="s">
        <v>175</v>
      </c>
      <c r="D115" s="914"/>
      <c r="E115" s="178">
        <f>365-E114</f>
        <v>18</v>
      </c>
      <c r="F115" s="346">
        <v>0</v>
      </c>
      <c r="G115" s="333"/>
      <c r="H115" s="178"/>
      <c r="I115" s="178">
        <v>22</v>
      </c>
      <c r="J115" s="334">
        <v>22</v>
      </c>
      <c r="K115" s="295">
        <f t="shared" si="34"/>
        <v>0</v>
      </c>
      <c r="L115" s="295">
        <f t="shared" si="35"/>
        <v>0</v>
      </c>
      <c r="M115" s="295">
        <f t="shared" si="36"/>
        <v>100</v>
      </c>
      <c r="N115" s="298">
        <f t="shared" si="26"/>
        <v>100</v>
      </c>
      <c r="O115" s="336"/>
      <c r="P115" s="336"/>
      <c r="Q115" s="336">
        <v>48</v>
      </c>
      <c r="R115" s="337">
        <f t="shared" si="27"/>
        <v>48</v>
      </c>
      <c r="S115" s="347">
        <v>4</v>
      </c>
      <c r="T115" s="838"/>
      <c r="U115" s="838"/>
      <c r="V115" s="339" t="s">
        <v>78</v>
      </c>
      <c r="W115" s="340" t="s">
        <v>20</v>
      </c>
      <c r="X115" s="340" t="s">
        <v>12</v>
      </c>
      <c r="Y115" s="341">
        <v>48</v>
      </c>
      <c r="Z115" s="340"/>
      <c r="AA115" s="340"/>
      <c r="AB115" s="340"/>
      <c r="AC115" s="340"/>
      <c r="AD115" s="339"/>
      <c r="AE115" s="340"/>
      <c r="AF115" s="340"/>
      <c r="AG115" s="341"/>
      <c r="AH115" s="340"/>
      <c r="AI115" s="340"/>
      <c r="AJ115" s="340"/>
      <c r="AK115" s="340"/>
      <c r="AL115" s="339"/>
      <c r="AM115" s="340"/>
      <c r="AN115" s="340"/>
      <c r="AO115" s="341"/>
      <c r="AP115" s="339"/>
      <c r="AQ115" s="340"/>
      <c r="AR115" s="340"/>
      <c r="AS115" s="341"/>
      <c r="AT115" s="342"/>
      <c r="AW115" s="341"/>
      <c r="AX115" s="344"/>
      <c r="AY115" s="344"/>
      <c r="AZ115" s="344"/>
      <c r="BA115" s="345"/>
    </row>
    <row r="116" spans="1:74" s="343" customFormat="1">
      <c r="A116" s="178">
        <v>2012</v>
      </c>
      <c r="B116" s="836"/>
      <c r="C116" s="914" t="s">
        <v>175</v>
      </c>
      <c r="D116" s="914"/>
      <c r="E116" s="178">
        <v>0</v>
      </c>
      <c r="F116" s="178"/>
      <c r="G116" s="333"/>
      <c r="H116" s="178"/>
      <c r="I116" s="178">
        <v>22</v>
      </c>
      <c r="J116" s="334">
        <v>22</v>
      </c>
      <c r="K116" s="295">
        <f t="shared" si="34"/>
        <v>0</v>
      </c>
      <c r="L116" s="295">
        <f t="shared" si="35"/>
        <v>0</v>
      </c>
      <c r="M116" s="295">
        <f t="shared" si="36"/>
        <v>100</v>
      </c>
      <c r="N116" s="296">
        <f t="shared" si="26"/>
        <v>100</v>
      </c>
      <c r="O116" s="335"/>
      <c r="P116" s="336"/>
      <c r="Q116" s="336">
        <v>48</v>
      </c>
      <c r="R116" s="337">
        <f t="shared" si="27"/>
        <v>48</v>
      </c>
      <c r="S116" s="338">
        <v>4</v>
      </c>
      <c r="T116" s="838"/>
      <c r="U116" s="838"/>
      <c r="V116" s="339" t="s">
        <v>78</v>
      </c>
      <c r="W116" s="340" t="s">
        <v>20</v>
      </c>
      <c r="X116" s="340" t="s">
        <v>12</v>
      </c>
      <c r="Y116" s="341">
        <v>48</v>
      </c>
      <c r="Z116" s="340"/>
      <c r="AA116" s="340"/>
      <c r="AB116" s="340"/>
      <c r="AC116" s="340"/>
      <c r="AD116" s="339"/>
      <c r="AE116" s="340"/>
      <c r="AF116" s="340"/>
      <c r="AG116" s="341"/>
      <c r="AH116" s="340"/>
      <c r="AI116" s="340"/>
      <c r="AJ116" s="340"/>
      <c r="AK116" s="340"/>
      <c r="AL116" s="339"/>
      <c r="AM116" s="340"/>
      <c r="AN116" s="340"/>
      <c r="AO116" s="341"/>
      <c r="AP116" s="339"/>
      <c r="AQ116" s="340"/>
      <c r="AR116" s="340"/>
      <c r="AS116" s="341"/>
      <c r="AT116" s="342"/>
      <c r="AW116" s="341"/>
      <c r="AX116" s="344"/>
      <c r="AY116" s="344"/>
      <c r="AZ116" s="344"/>
      <c r="BA116" s="345"/>
    </row>
    <row r="117" spans="1:74" s="343" customFormat="1">
      <c r="A117" s="178">
        <v>2012</v>
      </c>
      <c r="B117" s="837"/>
      <c r="C117" s="914" t="s">
        <v>175</v>
      </c>
      <c r="D117" s="914"/>
      <c r="E117" s="178">
        <v>366</v>
      </c>
      <c r="F117" s="346"/>
      <c r="G117" s="333"/>
      <c r="H117" s="178"/>
      <c r="I117" s="178">
        <v>22</v>
      </c>
      <c r="J117" s="334">
        <v>22</v>
      </c>
      <c r="K117" s="295">
        <f>G117/J117*100</f>
        <v>0</v>
      </c>
      <c r="L117" s="295">
        <f t="shared" si="35"/>
        <v>0</v>
      </c>
      <c r="M117" s="295">
        <f t="shared" si="36"/>
        <v>100</v>
      </c>
      <c r="N117" s="298">
        <f t="shared" si="26"/>
        <v>100</v>
      </c>
      <c r="O117" s="336"/>
      <c r="P117" s="336"/>
      <c r="Q117" s="336">
        <v>48</v>
      </c>
      <c r="R117" s="337">
        <f t="shared" si="27"/>
        <v>48</v>
      </c>
      <c r="S117" s="347">
        <v>4</v>
      </c>
      <c r="T117" s="838"/>
      <c r="U117" s="838"/>
      <c r="V117" s="339" t="s">
        <v>78</v>
      </c>
      <c r="W117" s="340" t="s">
        <v>20</v>
      </c>
      <c r="X117" s="340" t="s">
        <v>12</v>
      </c>
      <c r="Y117" s="341">
        <v>48</v>
      </c>
      <c r="Z117" s="340"/>
      <c r="AA117" s="340"/>
      <c r="AB117" s="340"/>
      <c r="AC117" s="340"/>
      <c r="AD117" s="339"/>
      <c r="AE117" s="340"/>
      <c r="AF117" s="340"/>
      <c r="AG117" s="341"/>
      <c r="AH117" s="340"/>
      <c r="AI117" s="340"/>
      <c r="AJ117" s="340"/>
      <c r="AK117" s="340"/>
      <c r="AL117" s="339"/>
      <c r="AM117" s="340"/>
      <c r="AN117" s="340"/>
      <c r="AO117" s="341"/>
      <c r="AP117" s="339"/>
      <c r="AQ117" s="340"/>
      <c r="AR117" s="340"/>
      <c r="AS117" s="341"/>
      <c r="AT117" s="342"/>
      <c r="AW117" s="341"/>
      <c r="AX117" s="344"/>
      <c r="AY117" s="344"/>
      <c r="AZ117" s="344"/>
      <c r="BA117" s="345"/>
    </row>
    <row r="118" spans="1:74" s="343" customFormat="1">
      <c r="A118" s="178">
        <v>2013</v>
      </c>
      <c r="B118" s="837"/>
      <c r="C118" s="914" t="s">
        <v>175</v>
      </c>
      <c r="D118" s="914"/>
      <c r="E118" s="178">
        <v>83</v>
      </c>
      <c r="F118" s="346"/>
      <c r="G118" s="333"/>
      <c r="H118" s="178"/>
      <c r="I118" s="178">
        <v>22</v>
      </c>
      <c r="J118" s="334">
        <v>22</v>
      </c>
      <c r="K118" s="295">
        <f t="shared" si="34"/>
        <v>0</v>
      </c>
      <c r="L118" s="295">
        <f t="shared" si="35"/>
        <v>0</v>
      </c>
      <c r="M118" s="295">
        <f t="shared" si="36"/>
        <v>100</v>
      </c>
      <c r="N118" s="298">
        <f t="shared" si="26"/>
        <v>100</v>
      </c>
      <c r="O118" s="336"/>
      <c r="P118" s="336"/>
      <c r="Q118" s="336">
        <v>48</v>
      </c>
      <c r="R118" s="337">
        <f t="shared" si="27"/>
        <v>48</v>
      </c>
      <c r="S118" s="347">
        <v>4</v>
      </c>
      <c r="T118" s="838"/>
      <c r="U118" s="838"/>
      <c r="V118" s="339" t="s">
        <v>78</v>
      </c>
      <c r="W118" s="340" t="s">
        <v>20</v>
      </c>
      <c r="X118" s="340" t="s">
        <v>12</v>
      </c>
      <c r="Y118" s="341">
        <v>48</v>
      </c>
      <c r="Z118" s="340"/>
      <c r="AA118" s="340"/>
      <c r="AB118" s="340"/>
      <c r="AC118" s="340"/>
      <c r="AD118" s="339"/>
      <c r="AE118" s="340"/>
      <c r="AF118" s="340"/>
      <c r="AG118" s="341"/>
      <c r="AH118" s="340"/>
      <c r="AI118" s="340"/>
      <c r="AJ118" s="340"/>
      <c r="AK118" s="340"/>
      <c r="AL118" s="339"/>
      <c r="AM118" s="340"/>
      <c r="AN118" s="340"/>
      <c r="AO118" s="341"/>
      <c r="AP118" s="339"/>
      <c r="AQ118" s="340"/>
      <c r="AR118" s="340"/>
      <c r="AS118" s="341"/>
      <c r="AT118" s="342"/>
      <c r="AW118" s="341"/>
      <c r="AX118" s="344"/>
      <c r="AY118" s="344"/>
      <c r="AZ118" s="344"/>
      <c r="BA118" s="345"/>
    </row>
    <row r="119" spans="1:74" s="343" customFormat="1">
      <c r="A119" s="178">
        <v>2013</v>
      </c>
      <c r="B119" s="837">
        <v>41358</v>
      </c>
      <c r="C119" s="914" t="s">
        <v>175</v>
      </c>
      <c r="D119" s="914"/>
      <c r="E119" s="178">
        <v>94</v>
      </c>
      <c r="F119" s="346">
        <v>0</v>
      </c>
      <c r="G119" s="333"/>
      <c r="H119" s="178"/>
      <c r="I119" s="178">
        <v>20</v>
      </c>
      <c r="J119" s="334">
        <v>20</v>
      </c>
      <c r="K119" s="295">
        <f t="shared" si="34"/>
        <v>0</v>
      </c>
      <c r="L119" s="295">
        <f t="shared" si="35"/>
        <v>0</v>
      </c>
      <c r="M119" s="295">
        <f t="shared" si="36"/>
        <v>100</v>
      </c>
      <c r="N119" s="298">
        <f t="shared" si="26"/>
        <v>100</v>
      </c>
      <c r="O119" s="336"/>
      <c r="P119" s="336"/>
      <c r="Q119" s="336">
        <v>48</v>
      </c>
      <c r="R119" s="337">
        <f t="shared" si="27"/>
        <v>48</v>
      </c>
      <c r="S119" s="347">
        <v>4</v>
      </c>
      <c r="T119" s="838"/>
      <c r="U119" s="838"/>
      <c r="V119" s="339" t="s">
        <v>78</v>
      </c>
      <c r="W119" s="340" t="s">
        <v>20</v>
      </c>
      <c r="X119" s="340" t="s">
        <v>12</v>
      </c>
      <c r="Y119" s="341">
        <v>48</v>
      </c>
      <c r="Z119" s="340"/>
      <c r="AA119" s="340"/>
      <c r="AB119" s="340"/>
      <c r="AC119" s="340"/>
      <c r="AD119" s="339"/>
      <c r="AE119" s="340"/>
      <c r="AF119" s="340"/>
      <c r="AG119" s="341"/>
      <c r="AH119" s="340"/>
      <c r="AI119" s="340"/>
      <c r="AJ119" s="340"/>
      <c r="AK119" s="340"/>
      <c r="AL119" s="339"/>
      <c r="AM119" s="340"/>
      <c r="AN119" s="340"/>
      <c r="AO119" s="341"/>
      <c r="AP119" s="339"/>
      <c r="AQ119" s="340"/>
      <c r="AR119" s="340"/>
      <c r="AS119" s="341"/>
      <c r="AT119" s="342"/>
      <c r="AW119" s="341"/>
      <c r="AX119" s="344"/>
      <c r="AY119" s="344"/>
      <c r="AZ119" s="344"/>
      <c r="BA119" s="345"/>
    </row>
    <row r="120" spans="1:74" s="117" customFormat="1">
      <c r="A120" s="116">
        <v>2013</v>
      </c>
      <c r="B120" s="835">
        <v>41452</v>
      </c>
      <c r="C120" s="915" t="s">
        <v>1241</v>
      </c>
      <c r="D120" s="915"/>
      <c r="E120" s="108">
        <v>83</v>
      </c>
      <c r="F120" s="108">
        <v>2</v>
      </c>
      <c r="G120" s="109"/>
      <c r="H120" s="108"/>
      <c r="I120" s="108">
        <v>20</v>
      </c>
      <c r="J120" s="110">
        <v>20</v>
      </c>
      <c r="K120" s="77">
        <f t="shared" si="34"/>
        <v>0</v>
      </c>
      <c r="L120" s="77">
        <f t="shared" si="35"/>
        <v>0</v>
      </c>
      <c r="M120" s="77">
        <f t="shared" si="36"/>
        <v>100</v>
      </c>
      <c r="N120" s="80">
        <f t="shared" si="26"/>
        <v>100</v>
      </c>
      <c r="O120" s="92"/>
      <c r="P120" s="92"/>
      <c r="Q120" s="92">
        <v>47.3</v>
      </c>
      <c r="R120" s="93">
        <f>SUM(O120:Q120)</f>
        <v>47.3</v>
      </c>
      <c r="S120" s="101">
        <v>4</v>
      </c>
      <c r="T120" s="839"/>
      <c r="U120" s="839">
        <v>41452</v>
      </c>
      <c r="V120" s="96" t="s">
        <v>78</v>
      </c>
      <c r="W120" s="97" t="s">
        <v>20</v>
      </c>
      <c r="X120" s="97" t="s">
        <v>12</v>
      </c>
      <c r="Y120" s="98">
        <v>47.3</v>
      </c>
      <c r="Z120" s="97"/>
      <c r="AA120" s="97"/>
      <c r="AB120" s="97"/>
      <c r="AC120" s="97"/>
      <c r="AD120" s="111"/>
      <c r="AE120" s="112"/>
      <c r="AF120" s="112"/>
      <c r="AG120" s="113"/>
      <c r="AH120" s="112"/>
      <c r="AI120" s="112"/>
      <c r="AJ120" s="112"/>
      <c r="AK120" s="112"/>
      <c r="AL120" s="111"/>
      <c r="AM120" s="112"/>
      <c r="AN120" s="112"/>
      <c r="AO120" s="113"/>
      <c r="AP120" s="111"/>
      <c r="AQ120" s="112"/>
      <c r="AR120" s="112"/>
      <c r="AS120" s="113"/>
      <c r="AT120" s="114"/>
      <c r="AW120" s="113"/>
      <c r="AX120" s="116"/>
      <c r="AY120" s="116"/>
      <c r="AZ120" s="116"/>
      <c r="BA120" s="291"/>
    </row>
    <row r="121" spans="1:74" s="343" customFormat="1">
      <c r="A121" s="178">
        <v>2013</v>
      </c>
      <c r="B121" s="831">
        <v>41535</v>
      </c>
      <c r="C121" s="914" t="s">
        <v>1242</v>
      </c>
      <c r="D121" s="914"/>
      <c r="E121" s="178">
        <f>365-E120-E119-E118</f>
        <v>105</v>
      </c>
      <c r="F121" s="178">
        <v>1</v>
      </c>
      <c r="G121" s="333">
        <v>19</v>
      </c>
      <c r="H121" s="178"/>
      <c r="I121" s="178"/>
      <c r="J121" s="334">
        <v>19</v>
      </c>
      <c r="K121" s="295">
        <f t="shared" si="34"/>
        <v>100</v>
      </c>
      <c r="L121" s="295">
        <f t="shared" si="35"/>
        <v>0</v>
      </c>
      <c r="M121" s="295">
        <f t="shared" si="36"/>
        <v>0</v>
      </c>
      <c r="N121" s="296">
        <f t="shared" si="26"/>
        <v>100</v>
      </c>
      <c r="O121" s="335">
        <v>60</v>
      </c>
      <c r="P121" s="336"/>
      <c r="Q121" s="336"/>
      <c r="R121" s="337">
        <f t="shared" si="27"/>
        <v>60</v>
      </c>
      <c r="S121" s="338">
        <v>2</v>
      </c>
      <c r="T121" s="838">
        <v>41524</v>
      </c>
      <c r="U121" s="838">
        <v>41535</v>
      </c>
      <c r="V121" s="339" t="s">
        <v>72</v>
      </c>
      <c r="W121" s="340" t="s">
        <v>74</v>
      </c>
      <c r="X121" s="340" t="s">
        <v>11</v>
      </c>
      <c r="Y121" s="341">
        <v>50</v>
      </c>
      <c r="Z121" s="340" t="s">
        <v>73</v>
      </c>
      <c r="AA121" s="340" t="s">
        <v>75</v>
      </c>
      <c r="AB121" s="340" t="s">
        <v>11</v>
      </c>
      <c r="AC121" s="340">
        <v>10</v>
      </c>
      <c r="AD121" s="339"/>
      <c r="AE121" s="340"/>
      <c r="AF121" s="340"/>
      <c r="AG121" s="341"/>
      <c r="AH121" s="340"/>
      <c r="AI121" s="340"/>
      <c r="AJ121" s="340"/>
      <c r="AK121" s="340"/>
      <c r="AL121" s="339"/>
      <c r="AM121" s="340"/>
      <c r="AN121" s="340"/>
      <c r="AO121" s="341"/>
      <c r="AP121" s="339"/>
      <c r="AQ121" s="340"/>
      <c r="AR121" s="340"/>
      <c r="AS121" s="341"/>
      <c r="AT121" s="342"/>
      <c r="AW121" s="341"/>
      <c r="AX121" s="344"/>
      <c r="AY121" s="344"/>
      <c r="AZ121" s="344"/>
      <c r="BA121" s="345"/>
    </row>
    <row r="122" spans="1:74" s="343" customFormat="1">
      <c r="A122" s="178">
        <v>2014</v>
      </c>
      <c r="B122" s="831"/>
      <c r="C122" s="914" t="s">
        <v>1242</v>
      </c>
      <c r="D122" s="914"/>
      <c r="E122" s="178">
        <v>0</v>
      </c>
      <c r="F122" s="178"/>
      <c r="G122" s="333">
        <v>19</v>
      </c>
      <c r="H122" s="178"/>
      <c r="I122" s="178"/>
      <c r="J122" s="334">
        <v>19</v>
      </c>
      <c r="K122" s="295">
        <f t="shared" si="34"/>
        <v>100</v>
      </c>
      <c r="L122" s="295">
        <f t="shared" si="35"/>
        <v>0</v>
      </c>
      <c r="M122" s="295">
        <f t="shared" si="36"/>
        <v>0</v>
      </c>
      <c r="N122" s="296">
        <f t="shared" si="26"/>
        <v>100</v>
      </c>
      <c r="O122" s="422">
        <v>60</v>
      </c>
      <c r="P122" s="423"/>
      <c r="Q122" s="423"/>
      <c r="R122" s="424">
        <f t="shared" si="27"/>
        <v>60</v>
      </c>
      <c r="S122" s="338">
        <v>2</v>
      </c>
      <c r="T122" s="838"/>
      <c r="U122" s="838"/>
      <c r="V122" s="339" t="s">
        <v>72</v>
      </c>
      <c r="W122" s="340" t="s">
        <v>74</v>
      </c>
      <c r="X122" s="340" t="s">
        <v>11</v>
      </c>
      <c r="Y122" s="341">
        <v>50</v>
      </c>
      <c r="Z122" s="340" t="s">
        <v>73</v>
      </c>
      <c r="AA122" s="340" t="s">
        <v>75</v>
      </c>
      <c r="AB122" s="340" t="s">
        <v>11</v>
      </c>
      <c r="AC122" s="340">
        <v>10</v>
      </c>
      <c r="AD122" s="339"/>
      <c r="AE122" s="340"/>
      <c r="AF122" s="340"/>
      <c r="AG122" s="341"/>
      <c r="AH122" s="340"/>
      <c r="AI122" s="340"/>
      <c r="AJ122" s="340"/>
      <c r="AK122" s="340"/>
      <c r="AL122" s="339"/>
      <c r="AM122" s="340"/>
      <c r="AN122" s="340"/>
      <c r="AO122" s="341"/>
      <c r="AP122" s="339"/>
      <c r="AQ122" s="340"/>
      <c r="AR122" s="340"/>
      <c r="AS122" s="341"/>
      <c r="AT122" s="342"/>
      <c r="AW122" s="341"/>
      <c r="AX122" s="433"/>
      <c r="AY122" s="433"/>
      <c r="AZ122" s="433"/>
      <c r="BA122" s="345"/>
    </row>
    <row r="123" spans="1:74" s="343" customFormat="1">
      <c r="A123" s="178">
        <v>2014</v>
      </c>
      <c r="B123" s="831"/>
      <c r="C123" s="914" t="s">
        <v>1242</v>
      </c>
      <c r="D123" s="914"/>
      <c r="E123" s="178">
        <v>365</v>
      </c>
      <c r="F123" s="178"/>
      <c r="G123" s="333">
        <v>19</v>
      </c>
      <c r="H123" s="178"/>
      <c r="I123" s="178"/>
      <c r="J123" s="334">
        <v>19</v>
      </c>
      <c r="K123" s="295">
        <f t="shared" si="34"/>
        <v>100</v>
      </c>
      <c r="L123" s="295">
        <f t="shared" si="35"/>
        <v>0</v>
      </c>
      <c r="M123" s="295">
        <f t="shared" si="36"/>
        <v>0</v>
      </c>
      <c r="N123" s="296">
        <f t="shared" si="26"/>
        <v>100</v>
      </c>
      <c r="O123" s="422">
        <v>60</v>
      </c>
      <c r="P123" s="423"/>
      <c r="Q123" s="423"/>
      <c r="R123" s="424">
        <f t="shared" si="27"/>
        <v>60</v>
      </c>
      <c r="S123" s="338">
        <v>2</v>
      </c>
      <c r="T123" s="838"/>
      <c r="U123" s="838"/>
      <c r="V123" s="339" t="s">
        <v>72</v>
      </c>
      <c r="W123" s="340" t="s">
        <v>74</v>
      </c>
      <c r="X123" s="340" t="s">
        <v>11</v>
      </c>
      <c r="Y123" s="341">
        <v>50</v>
      </c>
      <c r="Z123" s="340" t="s">
        <v>73</v>
      </c>
      <c r="AA123" s="340" t="s">
        <v>75</v>
      </c>
      <c r="AB123" s="340" t="s">
        <v>11</v>
      </c>
      <c r="AC123" s="340">
        <v>10</v>
      </c>
      <c r="AD123" s="339"/>
      <c r="AE123" s="340"/>
      <c r="AF123" s="340"/>
      <c r="AG123" s="341"/>
      <c r="AH123" s="340"/>
      <c r="AI123" s="340"/>
      <c r="AJ123" s="340"/>
      <c r="AK123" s="340"/>
      <c r="AL123" s="339"/>
      <c r="AM123" s="340"/>
      <c r="AN123" s="340"/>
      <c r="AO123" s="341"/>
      <c r="AP123" s="339"/>
      <c r="AQ123" s="340"/>
      <c r="AR123" s="340"/>
      <c r="AS123" s="341"/>
      <c r="AT123" s="342"/>
      <c r="AW123" s="341"/>
      <c r="AX123" s="433"/>
      <c r="AY123" s="433"/>
      <c r="AZ123" s="433"/>
      <c r="BA123" s="345"/>
    </row>
    <row r="124" spans="1:74" s="343" customFormat="1">
      <c r="A124" s="178">
        <v>2015</v>
      </c>
      <c r="B124" s="831"/>
      <c r="C124" s="914" t="s">
        <v>1242</v>
      </c>
      <c r="D124" s="914"/>
      <c r="E124" s="178">
        <v>257</v>
      </c>
      <c r="F124" s="178"/>
      <c r="G124" s="333">
        <v>19</v>
      </c>
      <c r="H124" s="178"/>
      <c r="I124" s="178"/>
      <c r="J124" s="334">
        <v>19</v>
      </c>
      <c r="K124" s="295">
        <f t="shared" si="34"/>
        <v>100</v>
      </c>
      <c r="L124" s="295">
        <f t="shared" si="35"/>
        <v>0</v>
      </c>
      <c r="M124" s="295">
        <f t="shared" si="36"/>
        <v>0</v>
      </c>
      <c r="N124" s="296">
        <f t="shared" si="26"/>
        <v>100</v>
      </c>
      <c r="O124" s="536">
        <v>60</v>
      </c>
      <c r="P124" s="537"/>
      <c r="Q124" s="537"/>
      <c r="R124" s="538">
        <f t="shared" ref="R124:R126" si="37">SUM(O124:Q124)</f>
        <v>60</v>
      </c>
      <c r="S124" s="338">
        <v>2</v>
      </c>
      <c r="T124" s="838"/>
      <c r="U124" s="838"/>
      <c r="V124" s="339" t="s">
        <v>72</v>
      </c>
      <c r="W124" s="340" t="s">
        <v>74</v>
      </c>
      <c r="X124" s="340" t="s">
        <v>11</v>
      </c>
      <c r="Y124" s="341">
        <v>50</v>
      </c>
      <c r="Z124" s="340" t="s">
        <v>73</v>
      </c>
      <c r="AA124" s="340" t="s">
        <v>75</v>
      </c>
      <c r="AB124" s="340" t="s">
        <v>11</v>
      </c>
      <c r="AC124" s="340">
        <v>10</v>
      </c>
      <c r="AD124" s="339"/>
      <c r="AE124" s="340"/>
      <c r="AF124" s="340"/>
      <c r="AG124" s="341"/>
      <c r="AH124" s="340"/>
      <c r="AI124" s="340"/>
      <c r="AJ124" s="340"/>
      <c r="AK124" s="340"/>
      <c r="AL124" s="339"/>
      <c r="AM124" s="340"/>
      <c r="AN124" s="340"/>
      <c r="AO124" s="341"/>
      <c r="AP124" s="339"/>
      <c r="AQ124" s="340"/>
      <c r="AR124" s="340"/>
      <c r="AS124" s="341"/>
      <c r="AT124" s="342"/>
      <c r="AW124" s="341"/>
      <c r="AX124" s="565"/>
      <c r="AY124" s="565"/>
      <c r="AZ124" s="565"/>
      <c r="BA124" s="345"/>
    </row>
    <row r="125" spans="1:74" s="117" customFormat="1">
      <c r="A125" s="116">
        <v>2015</v>
      </c>
      <c r="B125" s="835">
        <v>42262</v>
      </c>
      <c r="C125" s="915" t="s">
        <v>1318</v>
      </c>
      <c r="D125" s="915"/>
      <c r="E125" s="108">
        <v>108</v>
      </c>
      <c r="F125" s="108">
        <v>5</v>
      </c>
      <c r="G125" s="109">
        <v>21</v>
      </c>
      <c r="H125" s="108"/>
      <c r="I125" s="108"/>
      <c r="J125" s="110">
        <v>21</v>
      </c>
      <c r="K125" s="77">
        <f t="shared" si="34"/>
        <v>100</v>
      </c>
      <c r="L125" s="77">
        <f t="shared" si="35"/>
        <v>0</v>
      </c>
      <c r="M125" s="77">
        <f t="shared" si="36"/>
        <v>0</v>
      </c>
      <c r="N125" s="80">
        <f t="shared" si="26"/>
        <v>100</v>
      </c>
      <c r="O125" s="496">
        <v>60</v>
      </c>
      <c r="P125" s="496"/>
      <c r="Q125" s="496"/>
      <c r="R125" s="497">
        <f t="shared" si="37"/>
        <v>60</v>
      </c>
      <c r="S125" s="101">
        <v>2</v>
      </c>
      <c r="T125" s="839"/>
      <c r="U125" s="839">
        <v>42262</v>
      </c>
      <c r="V125" s="96" t="s">
        <v>72</v>
      </c>
      <c r="W125" s="97" t="s">
        <v>74</v>
      </c>
      <c r="X125" s="97" t="s">
        <v>11</v>
      </c>
      <c r="Y125" s="98">
        <v>50</v>
      </c>
      <c r="Z125" s="97" t="s">
        <v>73</v>
      </c>
      <c r="AA125" s="97" t="s">
        <v>75</v>
      </c>
      <c r="AB125" s="97" t="s">
        <v>11</v>
      </c>
      <c r="AC125" s="97">
        <v>10</v>
      </c>
      <c r="AD125" s="111"/>
      <c r="AE125" s="112"/>
      <c r="AF125" s="112"/>
      <c r="AG125" s="113"/>
      <c r="AH125" s="112"/>
      <c r="AI125" s="112"/>
      <c r="AJ125" s="112"/>
      <c r="AK125" s="112"/>
      <c r="AL125" s="111"/>
      <c r="AM125" s="112"/>
      <c r="AN125" s="112"/>
      <c r="AO125" s="113"/>
      <c r="AP125" s="111"/>
      <c r="AQ125" s="112"/>
      <c r="AR125" s="112"/>
      <c r="AS125" s="113"/>
      <c r="AT125" s="112"/>
      <c r="AU125" s="116"/>
      <c r="AV125" s="116"/>
      <c r="AW125" s="113"/>
      <c r="AX125" s="116"/>
      <c r="AY125" s="116"/>
      <c r="AZ125" s="116"/>
      <c r="BA125" s="291"/>
      <c r="BB125" s="116"/>
      <c r="BC125" s="116"/>
      <c r="BD125" s="116"/>
      <c r="BE125" s="116"/>
      <c r="BF125" s="116"/>
      <c r="BG125" s="116"/>
      <c r="BH125" s="116"/>
      <c r="BI125" s="116"/>
      <c r="BJ125" s="116"/>
      <c r="BK125" s="116"/>
      <c r="BL125" s="116"/>
      <c r="BM125" s="116"/>
      <c r="BN125" s="116"/>
      <c r="BO125" s="116"/>
      <c r="BP125" s="116"/>
      <c r="BQ125" s="116"/>
      <c r="BR125" s="116"/>
      <c r="BS125" s="116"/>
      <c r="BT125" s="116"/>
      <c r="BU125" s="116"/>
      <c r="BV125" s="116"/>
    </row>
    <row r="126" spans="1:74" s="117" customFormat="1">
      <c r="A126" s="116">
        <v>2016</v>
      </c>
      <c r="B126" s="835"/>
      <c r="C126" s="915" t="s">
        <v>1318</v>
      </c>
      <c r="D126" s="915"/>
      <c r="E126" s="108">
        <v>42</v>
      </c>
      <c r="F126" s="108">
        <v>0</v>
      </c>
      <c r="G126" s="109">
        <v>22</v>
      </c>
      <c r="H126" s="108"/>
      <c r="I126" s="108"/>
      <c r="J126" s="110">
        <v>22</v>
      </c>
      <c r="K126" s="77">
        <f t="shared" si="34"/>
        <v>100</v>
      </c>
      <c r="L126" s="77">
        <f t="shared" si="35"/>
        <v>0</v>
      </c>
      <c r="M126" s="77">
        <f t="shared" si="36"/>
        <v>0</v>
      </c>
      <c r="N126" s="80">
        <f t="shared" si="26"/>
        <v>100</v>
      </c>
      <c r="O126" s="496">
        <v>60</v>
      </c>
      <c r="P126" s="496"/>
      <c r="Q126" s="496"/>
      <c r="R126" s="497">
        <f t="shared" si="37"/>
        <v>60</v>
      </c>
      <c r="S126" s="101">
        <v>2</v>
      </c>
      <c r="T126" s="839"/>
      <c r="U126" s="839"/>
      <c r="V126" s="96" t="s">
        <v>72</v>
      </c>
      <c r="W126" s="97" t="s">
        <v>74</v>
      </c>
      <c r="X126" s="97" t="s">
        <v>11</v>
      </c>
      <c r="Y126" s="98">
        <v>50</v>
      </c>
      <c r="Z126" s="97" t="s">
        <v>73</v>
      </c>
      <c r="AA126" s="97" t="s">
        <v>75</v>
      </c>
      <c r="AB126" s="97" t="s">
        <v>11</v>
      </c>
      <c r="AC126" s="97">
        <v>10</v>
      </c>
      <c r="AD126" s="111"/>
      <c r="AE126" s="112"/>
      <c r="AF126" s="112"/>
      <c r="AG126" s="113"/>
      <c r="AH126" s="112"/>
      <c r="AI126" s="112"/>
      <c r="AJ126" s="112"/>
      <c r="AK126" s="112"/>
      <c r="AL126" s="111"/>
      <c r="AM126" s="112"/>
      <c r="AN126" s="112"/>
      <c r="AO126" s="113"/>
      <c r="AP126" s="111"/>
      <c r="AQ126" s="112"/>
      <c r="AR126" s="112"/>
      <c r="AS126" s="113"/>
      <c r="AT126" s="112"/>
      <c r="AU126" s="116"/>
      <c r="AV126" s="116"/>
      <c r="AW126" s="113"/>
      <c r="AX126" s="116"/>
      <c r="AY126" s="116"/>
      <c r="AZ126" s="116"/>
      <c r="BA126" s="291"/>
      <c r="BB126" s="116"/>
      <c r="BC126" s="116"/>
      <c r="BD126" s="116"/>
      <c r="BE126" s="116"/>
      <c r="BF126" s="116"/>
      <c r="BG126" s="116"/>
      <c r="BH126" s="116"/>
      <c r="BI126" s="116"/>
      <c r="BJ126" s="116"/>
      <c r="BK126" s="116"/>
      <c r="BL126" s="116"/>
      <c r="BM126" s="116"/>
      <c r="BN126" s="116"/>
      <c r="BO126" s="116"/>
      <c r="BP126" s="116"/>
      <c r="BQ126" s="116"/>
      <c r="BR126" s="116"/>
      <c r="BS126" s="116"/>
      <c r="BT126" s="116"/>
      <c r="BU126" s="116"/>
      <c r="BV126" s="116"/>
    </row>
    <row r="127" spans="1:74" s="117" customFormat="1">
      <c r="A127" s="116">
        <v>2016</v>
      </c>
      <c r="B127" s="833">
        <v>42412</v>
      </c>
      <c r="C127" s="915" t="s">
        <v>1318</v>
      </c>
      <c r="D127" s="915"/>
      <c r="E127" s="108">
        <v>158</v>
      </c>
      <c r="F127" s="651"/>
      <c r="G127" s="109">
        <v>23</v>
      </c>
      <c r="H127" s="108"/>
      <c r="I127" s="108"/>
      <c r="J127" s="110">
        <v>23</v>
      </c>
      <c r="K127" s="77">
        <f t="shared" ref="K127" si="38">G127/J127*100</f>
        <v>100</v>
      </c>
      <c r="L127" s="77">
        <f t="shared" ref="L127:L128" si="39">H127/J127*100</f>
        <v>0</v>
      </c>
      <c r="M127" s="77">
        <f t="shared" ref="M127:M128" si="40">I127/J127*100</f>
        <v>0</v>
      </c>
      <c r="N127" s="80">
        <f t="shared" ref="N127" si="41">SUM(K127:M127)</f>
        <v>100</v>
      </c>
      <c r="O127" s="496">
        <v>60</v>
      </c>
      <c r="P127" s="496"/>
      <c r="Q127" s="496"/>
      <c r="R127" s="497">
        <f t="shared" ref="R127" si="42">SUM(O127:Q127)</f>
        <v>60</v>
      </c>
      <c r="S127" s="101">
        <v>2</v>
      </c>
      <c r="T127" s="839"/>
      <c r="U127" s="839"/>
      <c r="V127" s="96" t="s">
        <v>72</v>
      </c>
      <c r="W127" s="97" t="s">
        <v>74</v>
      </c>
      <c r="X127" s="97" t="s">
        <v>11</v>
      </c>
      <c r="Y127" s="98">
        <v>50</v>
      </c>
      <c r="Z127" s="97" t="s">
        <v>73</v>
      </c>
      <c r="AA127" s="97" t="s">
        <v>75</v>
      </c>
      <c r="AB127" s="97" t="s">
        <v>11</v>
      </c>
      <c r="AC127" s="97">
        <v>10</v>
      </c>
      <c r="AD127" s="111"/>
      <c r="AE127" s="112"/>
      <c r="AF127" s="112"/>
      <c r="AG127" s="113"/>
      <c r="AH127" s="112"/>
      <c r="AI127" s="112"/>
      <c r="AJ127" s="112"/>
      <c r="AK127" s="112"/>
      <c r="AL127" s="111"/>
      <c r="AM127" s="112"/>
      <c r="AN127" s="112"/>
      <c r="AO127" s="113"/>
      <c r="AP127" s="111"/>
      <c r="AQ127" s="112"/>
      <c r="AR127" s="112"/>
      <c r="AS127" s="113"/>
      <c r="AT127" s="114"/>
      <c r="AW127" s="113"/>
      <c r="AX127" s="116"/>
      <c r="AY127" s="116"/>
      <c r="AZ127" s="116"/>
      <c r="BA127" s="291"/>
    </row>
    <row r="128" spans="1:74" s="343" customFormat="1">
      <c r="A128" s="178">
        <v>2016</v>
      </c>
      <c r="B128" s="831">
        <v>42570</v>
      </c>
      <c r="C128" s="914" t="s">
        <v>1367</v>
      </c>
      <c r="D128" s="914"/>
      <c r="E128" s="178">
        <v>166</v>
      </c>
      <c r="F128" s="178">
        <v>1</v>
      </c>
      <c r="G128" s="333">
        <v>23</v>
      </c>
      <c r="H128" s="178"/>
      <c r="I128" s="178"/>
      <c r="J128" s="334">
        <v>23</v>
      </c>
      <c r="K128" s="295">
        <f t="shared" si="34"/>
        <v>100</v>
      </c>
      <c r="L128" s="295">
        <f t="shared" si="39"/>
        <v>0</v>
      </c>
      <c r="M128" s="295">
        <f t="shared" si="40"/>
        <v>0</v>
      </c>
      <c r="N128" s="296">
        <f t="shared" ref="N128" si="43">SUM(K128:M128)</f>
        <v>100</v>
      </c>
      <c r="O128" s="536">
        <v>50.7</v>
      </c>
      <c r="P128" s="537"/>
      <c r="Q128" s="537"/>
      <c r="R128" s="538">
        <f t="shared" ref="R128" si="44">SUM(O128:Q128)</f>
        <v>50.7</v>
      </c>
      <c r="S128" s="338">
        <v>2</v>
      </c>
      <c r="T128" s="841">
        <v>42553</v>
      </c>
      <c r="U128" s="841">
        <v>42570</v>
      </c>
      <c r="V128" s="339" t="s">
        <v>72</v>
      </c>
      <c r="W128" s="340" t="s">
        <v>74</v>
      </c>
      <c r="X128" s="340" t="s">
        <v>11</v>
      </c>
      <c r="Y128" s="341">
        <v>44</v>
      </c>
      <c r="Z128" s="340" t="s">
        <v>73</v>
      </c>
      <c r="AA128" s="340" t="s">
        <v>75</v>
      </c>
      <c r="AB128" s="340" t="s">
        <v>11</v>
      </c>
      <c r="AC128" s="340">
        <v>6.7</v>
      </c>
      <c r="AD128" s="339"/>
      <c r="AE128" s="340"/>
      <c r="AF128" s="340"/>
      <c r="AG128" s="341"/>
      <c r="AH128" s="340"/>
      <c r="AI128" s="340"/>
      <c r="AJ128" s="340"/>
      <c r="AK128" s="340"/>
      <c r="AL128" s="339"/>
      <c r="AM128" s="340"/>
      <c r="AN128" s="340"/>
      <c r="AO128" s="341"/>
      <c r="AP128" s="339"/>
      <c r="AQ128" s="340"/>
      <c r="AR128" s="340"/>
      <c r="AS128" s="341"/>
      <c r="AT128" s="342"/>
      <c r="AW128" s="341"/>
      <c r="AX128" s="720"/>
      <c r="AY128" s="720"/>
      <c r="AZ128" s="720"/>
      <c r="BA128" s="345"/>
    </row>
    <row r="129" spans="1:74" s="343" customFormat="1">
      <c r="A129" s="178">
        <v>2017</v>
      </c>
      <c r="B129" s="831"/>
      <c r="C129" s="914" t="s">
        <v>1367</v>
      </c>
      <c r="D129" s="914"/>
      <c r="E129" s="178">
        <v>0</v>
      </c>
      <c r="F129" s="178"/>
      <c r="G129" s="333">
        <v>23</v>
      </c>
      <c r="H129" s="178"/>
      <c r="I129" s="178"/>
      <c r="J129" s="334">
        <v>23</v>
      </c>
      <c r="K129" s="295">
        <f t="shared" ref="K129:K132" si="45">G129/J129*100</f>
        <v>100</v>
      </c>
      <c r="L129" s="295">
        <f t="shared" ref="L129:L132" si="46">H129/J129*100</f>
        <v>0</v>
      </c>
      <c r="M129" s="295">
        <f t="shared" ref="M129:M132" si="47">I129/J129*100</f>
        <v>0</v>
      </c>
      <c r="N129" s="296">
        <f t="shared" ref="N129:N132" si="48">SUM(K129:M129)</f>
        <v>100</v>
      </c>
      <c r="O129" s="536">
        <v>50.7</v>
      </c>
      <c r="P129" s="537"/>
      <c r="Q129" s="537"/>
      <c r="R129" s="538">
        <f t="shared" ref="R129:R134" si="49">SUM(O129:Q129)</f>
        <v>50.7</v>
      </c>
      <c r="S129" s="338">
        <v>2</v>
      </c>
      <c r="T129" s="838"/>
      <c r="U129" s="838"/>
      <c r="V129" s="339" t="s">
        <v>72</v>
      </c>
      <c r="W129" s="340" t="s">
        <v>74</v>
      </c>
      <c r="X129" s="340" t="s">
        <v>11</v>
      </c>
      <c r="Y129" s="341">
        <v>44</v>
      </c>
      <c r="Z129" s="340" t="s">
        <v>73</v>
      </c>
      <c r="AA129" s="340" t="s">
        <v>75</v>
      </c>
      <c r="AB129" s="340" t="s">
        <v>11</v>
      </c>
      <c r="AC129" s="340">
        <v>6.7</v>
      </c>
      <c r="AD129" s="339"/>
      <c r="AE129" s="340"/>
      <c r="AF129" s="340"/>
      <c r="AG129" s="341"/>
      <c r="AH129" s="340"/>
      <c r="AI129" s="340"/>
      <c r="AJ129" s="340"/>
      <c r="AK129" s="340"/>
      <c r="AL129" s="339"/>
      <c r="AM129" s="340"/>
      <c r="AN129" s="340"/>
      <c r="AO129" s="341"/>
      <c r="AP129" s="339"/>
      <c r="AQ129" s="340"/>
      <c r="AR129" s="340"/>
      <c r="AS129" s="341"/>
      <c r="AT129" s="342"/>
      <c r="AW129" s="341"/>
      <c r="AX129" s="720"/>
      <c r="AY129" s="720"/>
      <c r="AZ129" s="720"/>
      <c r="BA129" s="345"/>
    </row>
    <row r="130" spans="1:74" s="343" customFormat="1">
      <c r="A130" s="178">
        <v>2017</v>
      </c>
      <c r="B130" s="831"/>
      <c r="C130" s="914" t="s">
        <v>1367</v>
      </c>
      <c r="D130" s="914"/>
      <c r="E130" s="178">
        <v>365</v>
      </c>
      <c r="F130" s="178"/>
      <c r="G130" s="333">
        <v>23</v>
      </c>
      <c r="H130" s="178"/>
      <c r="I130" s="178"/>
      <c r="J130" s="334">
        <v>23</v>
      </c>
      <c r="K130" s="295">
        <f t="shared" si="45"/>
        <v>100</v>
      </c>
      <c r="L130" s="295">
        <f t="shared" si="46"/>
        <v>0</v>
      </c>
      <c r="M130" s="295">
        <f t="shared" si="47"/>
        <v>0</v>
      </c>
      <c r="N130" s="296">
        <f t="shared" si="48"/>
        <v>100</v>
      </c>
      <c r="O130" s="536">
        <v>50.7</v>
      </c>
      <c r="P130" s="537"/>
      <c r="Q130" s="537"/>
      <c r="R130" s="538">
        <f t="shared" si="49"/>
        <v>50.7</v>
      </c>
      <c r="S130" s="338">
        <v>2</v>
      </c>
      <c r="T130" s="838"/>
      <c r="U130" s="838"/>
      <c r="V130" s="339" t="s">
        <v>72</v>
      </c>
      <c r="W130" s="340" t="s">
        <v>74</v>
      </c>
      <c r="X130" s="340" t="s">
        <v>11</v>
      </c>
      <c r="Y130" s="341">
        <v>44</v>
      </c>
      <c r="Z130" s="340" t="s">
        <v>73</v>
      </c>
      <c r="AA130" s="340" t="s">
        <v>75</v>
      </c>
      <c r="AB130" s="340" t="s">
        <v>11</v>
      </c>
      <c r="AC130" s="340">
        <v>6.7</v>
      </c>
      <c r="AD130" s="339"/>
      <c r="AE130" s="340"/>
      <c r="AF130" s="340"/>
      <c r="AG130" s="341"/>
      <c r="AH130" s="340"/>
      <c r="AI130" s="340"/>
      <c r="AJ130" s="340"/>
      <c r="AK130" s="340"/>
      <c r="AL130" s="339"/>
      <c r="AM130" s="340"/>
      <c r="AN130" s="340"/>
      <c r="AO130" s="341"/>
      <c r="AP130" s="339"/>
      <c r="AQ130" s="340"/>
      <c r="AR130" s="340"/>
      <c r="AS130" s="341"/>
      <c r="AT130" s="342"/>
      <c r="AW130" s="341"/>
      <c r="AX130" s="720"/>
      <c r="AY130" s="720"/>
      <c r="AZ130" s="720"/>
      <c r="BA130" s="345"/>
    </row>
    <row r="131" spans="1:74" s="343" customFormat="1">
      <c r="A131" s="178">
        <v>2018</v>
      </c>
      <c r="B131" s="831"/>
      <c r="C131" s="914" t="s">
        <v>1367</v>
      </c>
      <c r="D131" s="914"/>
      <c r="E131" s="178">
        <v>239</v>
      </c>
      <c r="F131" s="178"/>
      <c r="G131" s="333">
        <v>23</v>
      </c>
      <c r="H131" s="178"/>
      <c r="I131" s="178"/>
      <c r="J131" s="334">
        <v>23</v>
      </c>
      <c r="K131" s="295">
        <f t="shared" si="45"/>
        <v>100</v>
      </c>
      <c r="L131" s="295">
        <f t="shared" si="46"/>
        <v>0</v>
      </c>
      <c r="M131" s="295">
        <f t="shared" si="47"/>
        <v>0</v>
      </c>
      <c r="N131" s="296">
        <f t="shared" si="48"/>
        <v>100</v>
      </c>
      <c r="O131" s="536">
        <v>50.7</v>
      </c>
      <c r="P131" s="537"/>
      <c r="Q131" s="537"/>
      <c r="R131" s="538">
        <f t="shared" si="49"/>
        <v>50.7</v>
      </c>
      <c r="S131" s="338">
        <v>2</v>
      </c>
      <c r="T131" s="838"/>
      <c r="U131" s="838"/>
      <c r="V131" s="339" t="s">
        <v>72</v>
      </c>
      <c r="W131" s="340" t="s">
        <v>74</v>
      </c>
      <c r="X131" s="340" t="s">
        <v>11</v>
      </c>
      <c r="Y131" s="341">
        <v>44</v>
      </c>
      <c r="Z131" s="340" t="s">
        <v>73</v>
      </c>
      <c r="AA131" s="340" t="s">
        <v>75</v>
      </c>
      <c r="AB131" s="340" t="s">
        <v>11</v>
      </c>
      <c r="AC131" s="340">
        <v>6.7</v>
      </c>
      <c r="AD131" s="339"/>
      <c r="AE131" s="340"/>
      <c r="AF131" s="340"/>
      <c r="AG131" s="341"/>
      <c r="AH131" s="340"/>
      <c r="AI131" s="340"/>
      <c r="AJ131" s="340"/>
      <c r="AK131" s="340"/>
      <c r="AL131" s="339"/>
      <c r="AM131" s="340"/>
      <c r="AN131" s="340"/>
      <c r="AO131" s="341"/>
      <c r="AP131" s="339"/>
      <c r="AQ131" s="340"/>
      <c r="AR131" s="340"/>
      <c r="AS131" s="341"/>
      <c r="AT131" s="342"/>
      <c r="AW131" s="341"/>
      <c r="AX131" s="755"/>
      <c r="AY131" s="755"/>
      <c r="AZ131" s="755"/>
      <c r="BA131" s="345"/>
    </row>
    <row r="132" spans="1:74" s="117" customFormat="1">
      <c r="A132" s="116">
        <v>2018</v>
      </c>
      <c r="B132" s="835">
        <v>43340</v>
      </c>
      <c r="C132" s="915" t="s">
        <v>1393</v>
      </c>
      <c r="D132" s="915"/>
      <c r="E132" s="108">
        <v>126</v>
      </c>
      <c r="F132" s="108">
        <v>2</v>
      </c>
      <c r="G132" s="109">
        <v>23</v>
      </c>
      <c r="H132" s="108"/>
      <c r="I132" s="108"/>
      <c r="J132" s="110">
        <v>23</v>
      </c>
      <c r="K132" s="77">
        <f t="shared" si="45"/>
        <v>100</v>
      </c>
      <c r="L132" s="77">
        <f t="shared" si="46"/>
        <v>0</v>
      </c>
      <c r="M132" s="77">
        <f t="shared" si="47"/>
        <v>0</v>
      </c>
      <c r="N132" s="80">
        <f t="shared" si="48"/>
        <v>100</v>
      </c>
      <c r="O132" s="496">
        <v>50.7</v>
      </c>
      <c r="P132" s="496"/>
      <c r="Q132" s="496"/>
      <c r="R132" s="497">
        <f t="shared" si="49"/>
        <v>50.7</v>
      </c>
      <c r="S132" s="101">
        <v>2</v>
      </c>
      <c r="T132" s="839"/>
      <c r="U132" s="839">
        <v>43340</v>
      </c>
      <c r="V132" s="96" t="s">
        <v>72</v>
      </c>
      <c r="W132" s="97" t="s">
        <v>74</v>
      </c>
      <c r="X132" s="97" t="s">
        <v>11</v>
      </c>
      <c r="Y132" s="98">
        <v>40</v>
      </c>
      <c r="Z132" s="97" t="s">
        <v>73</v>
      </c>
      <c r="AA132" s="97" t="s">
        <v>75</v>
      </c>
      <c r="AB132" s="97" t="s">
        <v>11</v>
      </c>
      <c r="AC132" s="97">
        <v>10.7</v>
      </c>
      <c r="AD132" s="111"/>
      <c r="AE132" s="112"/>
      <c r="AF132" s="112"/>
      <c r="AG132" s="113"/>
      <c r="AH132" s="112"/>
      <c r="AI132" s="112"/>
      <c r="AJ132" s="112"/>
      <c r="AK132" s="112"/>
      <c r="AL132" s="111"/>
      <c r="AM132" s="112"/>
      <c r="AN132" s="112"/>
      <c r="AO132" s="113"/>
      <c r="AP132" s="111"/>
      <c r="AQ132" s="112"/>
      <c r="AR132" s="112"/>
      <c r="AS132" s="113"/>
      <c r="AT132" s="112"/>
      <c r="AU132" s="116"/>
      <c r="AV132" s="116"/>
      <c r="AW132" s="113"/>
      <c r="AX132" s="116"/>
      <c r="AY132" s="116"/>
      <c r="AZ132" s="116"/>
      <c r="BA132" s="291"/>
      <c r="BB132" s="116"/>
      <c r="BC132" s="116"/>
      <c r="BD132" s="116"/>
      <c r="BE132" s="116"/>
      <c r="BF132" s="116"/>
      <c r="BG132" s="116"/>
      <c r="BH132" s="116"/>
      <c r="BI132" s="116"/>
      <c r="BJ132" s="116"/>
      <c r="BK132" s="116"/>
      <c r="BL132" s="116"/>
      <c r="BM132" s="116"/>
      <c r="BN132" s="116"/>
      <c r="BO132" s="116"/>
      <c r="BP132" s="116"/>
      <c r="BQ132" s="116"/>
      <c r="BR132" s="116"/>
      <c r="BS132" s="116"/>
      <c r="BT132" s="116"/>
      <c r="BU132" s="116"/>
      <c r="BV132" s="116"/>
    </row>
    <row r="133" spans="1:74" s="117" customFormat="1">
      <c r="A133" s="116">
        <v>2019</v>
      </c>
      <c r="B133" s="835"/>
      <c r="C133" s="915" t="s">
        <v>1393</v>
      </c>
      <c r="D133" s="915"/>
      <c r="E133" s="108">
        <v>148</v>
      </c>
      <c r="F133" s="108"/>
      <c r="G133" s="109">
        <v>23</v>
      </c>
      <c r="H133" s="108"/>
      <c r="I133" s="108"/>
      <c r="J133" s="110">
        <v>23</v>
      </c>
      <c r="K133" s="77">
        <f t="shared" ref="K133:K134" si="50">G133/J133*100</f>
        <v>100</v>
      </c>
      <c r="L133" s="77">
        <f t="shared" ref="L133:L134" si="51">H133/J133*100</f>
        <v>0</v>
      </c>
      <c r="M133" s="77">
        <f t="shared" ref="M133:M134" si="52">I133/J133*100</f>
        <v>0</v>
      </c>
      <c r="N133" s="80">
        <f t="shared" ref="N133:N134" si="53">SUM(K133:M133)</f>
        <v>100</v>
      </c>
      <c r="O133" s="496">
        <v>50.7</v>
      </c>
      <c r="P133" s="496"/>
      <c r="Q133" s="496"/>
      <c r="R133" s="497">
        <f t="shared" si="49"/>
        <v>50.7</v>
      </c>
      <c r="S133" s="101">
        <v>2</v>
      </c>
      <c r="T133" s="839"/>
      <c r="U133" s="839"/>
      <c r="V133" s="96" t="s">
        <v>72</v>
      </c>
      <c r="W133" s="97" t="s">
        <v>74</v>
      </c>
      <c r="X133" s="97" t="s">
        <v>11</v>
      </c>
      <c r="Y133" s="98">
        <v>40</v>
      </c>
      <c r="Z133" s="97" t="s">
        <v>73</v>
      </c>
      <c r="AA133" s="97" t="s">
        <v>75</v>
      </c>
      <c r="AB133" s="97" t="s">
        <v>11</v>
      </c>
      <c r="AC133" s="97">
        <v>10.7</v>
      </c>
      <c r="AD133" s="111"/>
      <c r="AE133" s="112"/>
      <c r="AF133" s="112"/>
      <c r="AG133" s="113"/>
      <c r="AH133" s="112"/>
      <c r="AI133" s="112"/>
      <c r="AJ133" s="112"/>
      <c r="AK133" s="112"/>
      <c r="AL133" s="111"/>
      <c r="AM133" s="112"/>
      <c r="AN133" s="112"/>
      <c r="AO133" s="113"/>
      <c r="AP133" s="111"/>
      <c r="AQ133" s="112"/>
      <c r="AR133" s="112"/>
      <c r="AS133" s="113"/>
      <c r="AT133" s="112"/>
      <c r="AU133" s="116"/>
      <c r="AV133" s="116"/>
      <c r="AW133" s="113"/>
      <c r="AX133" s="116"/>
      <c r="AY133" s="116"/>
      <c r="AZ133" s="116"/>
      <c r="BA133" s="291"/>
      <c r="BB133" s="116"/>
      <c r="BC133" s="116"/>
      <c r="BD133" s="116"/>
      <c r="BE133" s="116"/>
      <c r="BF133" s="116"/>
      <c r="BG133" s="116"/>
      <c r="BH133" s="116"/>
      <c r="BI133" s="116"/>
      <c r="BJ133" s="116"/>
      <c r="BK133" s="116"/>
      <c r="BL133" s="116"/>
      <c r="BM133" s="116"/>
      <c r="BN133" s="116"/>
      <c r="BO133" s="116"/>
      <c r="BP133" s="116"/>
      <c r="BQ133" s="116"/>
      <c r="BR133" s="116"/>
      <c r="BS133" s="116"/>
      <c r="BT133" s="116"/>
      <c r="BU133" s="116"/>
      <c r="BV133" s="116"/>
    </row>
    <row r="134" spans="1:74" s="343" customFormat="1">
      <c r="A134" s="178">
        <v>2019</v>
      </c>
      <c r="B134" s="831">
        <v>43614</v>
      </c>
      <c r="C134" s="914" t="s">
        <v>1412</v>
      </c>
      <c r="D134" s="914"/>
      <c r="E134" s="178">
        <v>217</v>
      </c>
      <c r="F134" s="178">
        <v>1</v>
      </c>
      <c r="G134" s="333">
        <v>23</v>
      </c>
      <c r="H134" s="178"/>
      <c r="I134" s="178"/>
      <c r="J134" s="334">
        <v>23</v>
      </c>
      <c r="K134" s="295">
        <f t="shared" si="50"/>
        <v>100</v>
      </c>
      <c r="L134" s="295">
        <f t="shared" si="51"/>
        <v>0</v>
      </c>
      <c r="M134" s="295">
        <f t="shared" si="52"/>
        <v>0</v>
      </c>
      <c r="N134" s="296">
        <f t="shared" si="53"/>
        <v>100</v>
      </c>
      <c r="O134" s="536">
        <v>49.4</v>
      </c>
      <c r="P134" s="537"/>
      <c r="Q134" s="537"/>
      <c r="R134" s="538">
        <f t="shared" si="49"/>
        <v>49.4</v>
      </c>
      <c r="S134" s="338">
        <v>5</v>
      </c>
      <c r="T134" s="838">
        <v>43603</v>
      </c>
      <c r="U134" s="838">
        <v>43614</v>
      </c>
      <c r="V134" s="339" t="s">
        <v>72</v>
      </c>
      <c r="W134" s="340" t="s">
        <v>74</v>
      </c>
      <c r="X134" s="340" t="s">
        <v>11</v>
      </c>
      <c r="Y134" s="341">
        <v>38.700000000000003</v>
      </c>
      <c r="Z134" s="340" t="s">
        <v>73</v>
      </c>
      <c r="AA134" s="340" t="s">
        <v>75</v>
      </c>
      <c r="AB134" s="340" t="s">
        <v>11</v>
      </c>
      <c r="AC134" s="340">
        <v>10.7</v>
      </c>
      <c r="AD134" s="339"/>
      <c r="AE134" s="340"/>
      <c r="AF134" s="340"/>
      <c r="AG134" s="341"/>
      <c r="AH134" s="340"/>
      <c r="AI134" s="340"/>
      <c r="AJ134" s="340"/>
      <c r="AK134" s="340"/>
      <c r="AL134" s="339"/>
      <c r="AM134" s="340"/>
      <c r="AN134" s="340"/>
      <c r="AO134" s="341"/>
      <c r="AP134" s="339"/>
      <c r="AQ134" s="340"/>
      <c r="AR134" s="340"/>
      <c r="AS134" s="341"/>
      <c r="AT134" s="342"/>
      <c r="AW134" s="341"/>
      <c r="AX134" s="779"/>
      <c r="AY134" s="779"/>
      <c r="AZ134" s="779"/>
      <c r="BA134" s="345"/>
    </row>
    <row r="135" spans="1:74">
      <c r="A135" s="56"/>
    </row>
    <row r="136" spans="1:74" s="2" customFormat="1" ht="18" customHeight="1">
      <c r="A136" s="16"/>
      <c r="B136" s="22" t="s">
        <v>1269</v>
      </c>
      <c r="S136" s="20"/>
    </row>
    <row r="137" spans="1:74" s="2" customFormat="1" ht="9" customHeight="1">
      <c r="A137" s="16"/>
      <c r="S137" s="20"/>
    </row>
    <row r="138" spans="1:74" s="317" customFormat="1" ht="9" customHeight="1">
      <c r="A138" s="315"/>
      <c r="B138" s="316" t="s">
        <v>1220</v>
      </c>
      <c r="C138" s="316"/>
      <c r="D138" s="316"/>
      <c r="E138" s="316"/>
      <c r="F138" s="316"/>
      <c r="G138" s="316" t="s">
        <v>1221</v>
      </c>
      <c r="H138" s="316"/>
      <c r="I138" s="316"/>
      <c r="J138" s="316"/>
      <c r="K138" s="316"/>
      <c r="L138" s="316"/>
      <c r="M138" s="316"/>
      <c r="N138" s="316"/>
      <c r="R138" s="895" t="s">
        <v>1222</v>
      </c>
      <c r="S138" s="895"/>
      <c r="T138" s="895"/>
      <c r="U138" s="895"/>
      <c r="V138" s="895"/>
      <c r="W138" s="895"/>
      <c r="X138" s="318"/>
      <c r="Y138" s="318"/>
      <c r="AA138" s="318"/>
      <c r="AB138" s="318"/>
      <c r="AC138" s="318"/>
      <c r="AD138" s="318"/>
    </row>
    <row r="139" spans="1:74" s="322" customFormat="1" ht="9" customHeight="1">
      <c r="A139" s="319"/>
      <c r="B139" s="320" t="s">
        <v>1224</v>
      </c>
      <c r="C139" s="321"/>
      <c r="D139" s="321"/>
      <c r="E139" s="321"/>
      <c r="F139" s="321"/>
      <c r="G139" s="320" t="s">
        <v>1223</v>
      </c>
      <c r="H139" s="321"/>
      <c r="I139" s="321"/>
      <c r="J139" s="321"/>
      <c r="K139" s="321"/>
      <c r="L139" s="321"/>
      <c r="M139" s="321"/>
      <c r="N139" s="321"/>
      <c r="R139" s="323" t="s">
        <v>1225</v>
      </c>
      <c r="S139" s="324"/>
      <c r="T139" s="325"/>
      <c r="U139" s="325"/>
      <c r="V139" s="325"/>
      <c r="W139" s="323" t="s">
        <v>1226</v>
      </c>
      <c r="X139" s="325"/>
      <c r="Y139" s="325"/>
      <c r="AA139" s="325"/>
      <c r="AB139" s="325"/>
      <c r="AC139" s="325"/>
      <c r="AD139" s="325"/>
    </row>
    <row r="140" spans="1:74" s="307" customFormat="1" ht="12" customHeight="1">
      <c r="A140" s="326" t="s">
        <v>3</v>
      </c>
      <c r="B140" s="327" t="s">
        <v>8</v>
      </c>
      <c r="C140" s="327" t="s">
        <v>9</v>
      </c>
      <c r="D140" s="327" t="s">
        <v>10</v>
      </c>
      <c r="E140" s="328" t="s">
        <v>1200</v>
      </c>
      <c r="F140" s="327"/>
      <c r="G140" s="307" t="s">
        <v>3</v>
      </c>
      <c r="H140" s="896" t="s">
        <v>0</v>
      </c>
      <c r="I140" s="896"/>
      <c r="J140" s="896" t="s">
        <v>1</v>
      </c>
      <c r="K140" s="896"/>
      <c r="L140" s="896" t="s">
        <v>2</v>
      </c>
      <c r="M140" s="896"/>
      <c r="N140" s="897" t="s">
        <v>1200</v>
      </c>
      <c r="O140" s="897"/>
      <c r="P140" s="329"/>
      <c r="Q140" s="329"/>
      <c r="R140" s="330" t="s">
        <v>3</v>
      </c>
      <c r="S140" s="331" t="s">
        <v>136</v>
      </c>
      <c r="T140" s="329" t="s">
        <v>134</v>
      </c>
      <c r="U140" s="327" t="s">
        <v>135</v>
      </c>
      <c r="V140" s="329"/>
      <c r="W140" s="332" t="s">
        <v>26</v>
      </c>
    </row>
    <row r="141" spans="1:74" s="232" customFormat="1">
      <c r="A141" s="210">
        <v>1959</v>
      </c>
      <c r="B141" s="230">
        <f>(K6*($E6/365)) + (K7*($E7/365))</f>
        <v>100</v>
      </c>
      <c r="C141" s="230">
        <f>(L6*($E6/365)) + (L7*($E7/365))</f>
        <v>0</v>
      </c>
      <c r="D141" s="230">
        <f>(M6*($E6/365)) + (M7*($E7/365))</f>
        <v>0</v>
      </c>
      <c r="E141" s="231">
        <f>B141+C141+C142</f>
        <v>100</v>
      </c>
      <c r="G141" s="210">
        <v>1959</v>
      </c>
      <c r="H141" s="898">
        <f>(O6/$R6*100*($E6/365))+(O7/$R7*100*($E7/365))</f>
        <v>100</v>
      </c>
      <c r="I141" s="898"/>
      <c r="J141" s="898">
        <f>(P6/$R6*100*($E6/365))+(P7/$R7*100*($E7/365))</f>
        <v>0</v>
      </c>
      <c r="K141" s="898"/>
      <c r="L141" s="898">
        <f>(Q6/$R6*100*($E6/365))+(Q7/$R7*100*($E7/365))</f>
        <v>0</v>
      </c>
      <c r="M141" s="898"/>
      <c r="N141" s="899">
        <f>H141+J141+K141</f>
        <v>100</v>
      </c>
      <c r="O141" s="899"/>
      <c r="R141" s="210">
        <v>1959</v>
      </c>
      <c r="S141" s="230">
        <f>(O6*($E6/365)) + (O7*($E7/365))</f>
        <v>63.1</v>
      </c>
      <c r="T141" s="230">
        <f>(P6*($E6/365)) + (P7*($E7/365))</f>
        <v>0</v>
      </c>
      <c r="U141" s="230">
        <f>(Q6*($E6/365)) + (Q7*($E7/365))</f>
        <v>0</v>
      </c>
      <c r="W141" s="230">
        <f>S141+T141+U141</f>
        <v>63.1</v>
      </c>
    </row>
    <row r="142" spans="1:74">
      <c r="A142" s="54">
        <v>1960</v>
      </c>
      <c r="B142" s="8">
        <f>(K8*($E8/366)) + (K9*($E9/366))</f>
        <v>100</v>
      </c>
      <c r="C142" s="8">
        <f>(L8*($E8/366)) + (L9*($E9/366))</f>
        <v>0</v>
      </c>
      <c r="D142" s="8">
        <f>(M8*($E8/366)) + (M9*($E9/366))</f>
        <v>0</v>
      </c>
      <c r="E142" s="30">
        <f t="shared" ref="E142:E171" si="54">SUM(B142:D142)</f>
        <v>100</v>
      </c>
      <c r="G142" s="9">
        <v>1960</v>
      </c>
      <c r="H142" s="886">
        <f>(O8/$R8*100*($E8/366))+(O9/$R9*100*($E9/366))</f>
        <v>100</v>
      </c>
      <c r="I142" s="886"/>
      <c r="J142" s="886">
        <f>(P8/$R8*100*($E8/366))+(P9/$R9*100*($E9/366))</f>
        <v>0</v>
      </c>
      <c r="K142" s="886"/>
      <c r="L142" s="886">
        <f>(Q8/$R8*100*($E8/366))+(Q9/$R9*100*($E9/366))</f>
        <v>0</v>
      </c>
      <c r="M142" s="886"/>
      <c r="N142" s="887">
        <f t="shared" ref="N142:N171" si="55">SUM(H142:M142)</f>
        <v>100</v>
      </c>
      <c r="O142" s="887"/>
      <c r="R142" s="9">
        <v>1960</v>
      </c>
      <c r="S142" s="8">
        <f>(O8*($E8/366)) + (O9*($E9/366))</f>
        <v>63.1</v>
      </c>
      <c r="T142" s="8">
        <f>(P8*($E8/366)) + (P9*($E9/366))</f>
        <v>0</v>
      </c>
      <c r="U142" s="8">
        <f>(Q8*($E8/366)) + (Q9*($E9/366))</f>
        <v>0</v>
      </c>
      <c r="W142" s="8">
        <f>R8*(E8/366) + R9*(E9/366)</f>
        <v>63.1</v>
      </c>
    </row>
    <row r="143" spans="1:74">
      <c r="A143" s="54">
        <v>1961</v>
      </c>
      <c r="B143" s="8">
        <f>(K10*($E10/365)) + (K11*($E11/365))</f>
        <v>100</v>
      </c>
      <c r="C143" s="8">
        <f>(L10*($E10/365)) + (L11*($E11/365))</f>
        <v>0</v>
      </c>
      <c r="D143" s="8">
        <f>(M10*($E10/365)) + (M11*($E11/365))</f>
        <v>0</v>
      </c>
      <c r="E143" s="30">
        <f t="shared" si="54"/>
        <v>100</v>
      </c>
      <c r="G143" s="9">
        <v>1961</v>
      </c>
      <c r="H143" s="886">
        <f>(O10/$R10*100*($E10/365))+(O11/$R11*100*($E11/365))</f>
        <v>100</v>
      </c>
      <c r="I143" s="886"/>
      <c r="J143" s="886">
        <f>(P10/$R10*100*($E10/365))+(P11/$R11*100*($E11/365))</f>
        <v>0</v>
      </c>
      <c r="K143" s="886"/>
      <c r="L143" s="886">
        <f>(Q10/$R10*100*($E10/365))+(Q11/$R11*100*($E11/365))</f>
        <v>0</v>
      </c>
      <c r="M143" s="886"/>
      <c r="N143" s="887">
        <f t="shared" si="55"/>
        <v>100</v>
      </c>
      <c r="O143" s="887"/>
      <c r="R143" s="9">
        <v>1961</v>
      </c>
      <c r="S143" s="8">
        <f>(O10*($E10/365)) + (O11*($E11/365))</f>
        <v>62.796712328767128</v>
      </c>
      <c r="T143" s="8">
        <f>(P10*($E10/365)) + (P11*($E11/365))</f>
        <v>0</v>
      </c>
      <c r="U143" s="8">
        <f>(Q10*($E10/365)) + (Q11*($E11/365))</f>
        <v>0</v>
      </c>
      <c r="W143" s="8">
        <f>R10*(E10/365) + R11*(E11/365)</f>
        <v>62.796712328767128</v>
      </c>
    </row>
    <row r="144" spans="1:74">
      <c r="A144" s="54">
        <v>1962</v>
      </c>
      <c r="B144" s="8">
        <f>(K12*($E12/365)) + (K13*($E13/365))</f>
        <v>100</v>
      </c>
      <c r="C144" s="8">
        <f>(L12*($E12/365)) + (L13*($E13/365))</f>
        <v>0</v>
      </c>
      <c r="D144" s="8">
        <f>(M12*($E12/365)) + (M13*($E13/365))</f>
        <v>0</v>
      </c>
      <c r="E144" s="30">
        <f t="shared" si="54"/>
        <v>100</v>
      </c>
      <c r="G144" s="9">
        <v>1962</v>
      </c>
      <c r="H144" s="886">
        <f>(O12/$R12*100*($E12/365))+(O13/$R13*100*($E13/365))</f>
        <v>100</v>
      </c>
      <c r="I144" s="886"/>
      <c r="J144" s="886">
        <f>(P12/$R12*100*($E12/365))+(P13/$R13*100*($E13/365))</f>
        <v>0</v>
      </c>
      <c r="K144" s="886"/>
      <c r="L144" s="886">
        <f>(Q12/$R12*100*($E12/365))+(Q13/$R13*100*($E13/365))</f>
        <v>0</v>
      </c>
      <c r="M144" s="886"/>
      <c r="N144" s="887">
        <f t="shared" si="55"/>
        <v>100</v>
      </c>
      <c r="O144" s="887"/>
      <c r="R144" s="9">
        <v>1962</v>
      </c>
      <c r="S144" s="8">
        <f>(O12*($E12/365)) + (O13*($E13/365))</f>
        <v>50.8</v>
      </c>
      <c r="T144" s="8">
        <f>(P12*($E12/365)) + (P13*($E13/365))</f>
        <v>0</v>
      </c>
      <c r="U144" s="8">
        <f>(Q12*($E12/365)) + (Q13*($E13/365))</f>
        <v>0</v>
      </c>
      <c r="W144" s="8">
        <f>R12*(E12/365) + R13*(E13/365)</f>
        <v>50.8</v>
      </c>
    </row>
    <row r="145" spans="1:23">
      <c r="A145" s="54">
        <v>1963</v>
      </c>
      <c r="B145" s="8">
        <f>(K14*($E14/365)) + (K15*($E15/365))</f>
        <v>99.999999999999986</v>
      </c>
      <c r="C145" s="8">
        <f>(L14*($E14/365)) + (L15*($E15/365))</f>
        <v>0</v>
      </c>
      <c r="D145" s="8">
        <f>(M14*($E14/365)) + (M15*($E15/365))</f>
        <v>0</v>
      </c>
      <c r="E145" s="30">
        <f t="shared" si="54"/>
        <v>99.999999999999986</v>
      </c>
      <c r="G145" s="9">
        <v>1963</v>
      </c>
      <c r="H145" s="886">
        <f>(O14/$R14*100*($E14/365))+(O15/$R15*100*($E15/365))</f>
        <v>99.999999999999986</v>
      </c>
      <c r="I145" s="886"/>
      <c r="J145" s="886">
        <f>(P14/$R14*100*($E14/365))+(P15/$R15*100*($E15/365))</f>
        <v>0</v>
      </c>
      <c r="K145" s="886"/>
      <c r="L145" s="886">
        <f>(Q14/$R14*100*($E14/365))+(Q15/$R15*100*($E15/365))</f>
        <v>0</v>
      </c>
      <c r="M145" s="886"/>
      <c r="N145" s="887">
        <f t="shared" si="55"/>
        <v>99.999999999999986</v>
      </c>
      <c r="O145" s="887"/>
      <c r="R145" s="9">
        <v>1963</v>
      </c>
      <c r="S145" s="8">
        <f>(O14*($E14/365)) + (O15*($E15/365))</f>
        <v>51.136986301369859</v>
      </c>
      <c r="T145" s="8">
        <f>(P14*($E14/365)) + (P15*($E15/365))</f>
        <v>0</v>
      </c>
      <c r="U145" s="8">
        <f>(Q14*($E14/365)) + (Q15*($E15/365))</f>
        <v>0</v>
      </c>
      <c r="W145" s="8">
        <f xml:space="preserve"> R14*(E14/365) + R15*(E15/365)</f>
        <v>51.136986301369859</v>
      </c>
    </row>
    <row r="146" spans="1:23">
      <c r="A146" s="54">
        <v>1964</v>
      </c>
      <c r="B146" s="8">
        <f>(K16*($E16/366)) + (K17*($E17/366))</f>
        <v>100</v>
      </c>
      <c r="C146" s="8">
        <f>(L16*($E16/366)) + (L17*($E17/366))</f>
        <v>0</v>
      </c>
      <c r="D146" s="8">
        <f>(M16*($E16/366)) + (M17*($E17/366))</f>
        <v>0</v>
      </c>
      <c r="E146" s="30">
        <f t="shared" si="54"/>
        <v>100</v>
      </c>
      <c r="G146" s="9">
        <v>1964</v>
      </c>
      <c r="H146" s="886">
        <f>(O16/$R16*100*($E16/366))+(O17/$R17*100*($E17/366))</f>
        <v>100</v>
      </c>
      <c r="I146" s="886"/>
      <c r="J146" s="886">
        <f>(P16/$R16*100*($E16/366))+(P17/$R17*100*($E17/366))</f>
        <v>0</v>
      </c>
      <c r="K146" s="886"/>
      <c r="L146" s="886">
        <f>(Q16/$R16*100*($E16/366))+(Q17/$R17*100*($E17/366))</f>
        <v>0</v>
      </c>
      <c r="M146" s="886"/>
      <c r="N146" s="887">
        <f t="shared" si="55"/>
        <v>100</v>
      </c>
      <c r="O146" s="887"/>
      <c r="R146" s="9">
        <v>1964</v>
      </c>
      <c r="S146" s="8">
        <f>(O16*($E16/366)) + (O17*($E17/366))</f>
        <v>59</v>
      </c>
      <c r="T146" s="8">
        <f>(P16*($E16/366)) + (P17*($E17/366))</f>
        <v>0</v>
      </c>
      <c r="U146" s="8">
        <f>(Q16*($E16/366)) + (Q17*($E17/366))</f>
        <v>0</v>
      </c>
      <c r="W146" s="8">
        <f xml:space="preserve"> R16*(E16/366) + R17*(E17/366)</f>
        <v>59</v>
      </c>
    </row>
    <row r="147" spans="1:23">
      <c r="A147" s="54">
        <v>1965</v>
      </c>
      <c r="B147" s="8">
        <f>(K18*($E18/365)) + (K19*($E19/365))</f>
        <v>100</v>
      </c>
      <c r="C147" s="8">
        <f>(L18*($E18/365)) + (L19*($E19/365))</f>
        <v>0</v>
      </c>
      <c r="D147" s="8">
        <f>(M18*($E18/365)) + (M19*($E19/365))</f>
        <v>0</v>
      </c>
      <c r="E147" s="30">
        <f t="shared" si="54"/>
        <v>100</v>
      </c>
      <c r="G147" s="9">
        <v>1965</v>
      </c>
      <c r="H147" s="886">
        <f>(O18/$R18*100*($E18/365))+(O19/$R19*100*($E19/365))</f>
        <v>100</v>
      </c>
      <c r="I147" s="886"/>
      <c r="J147" s="886">
        <f>(P18/$R18*100*($E18/365))+(P19/$R19*100*($E19/365))</f>
        <v>0</v>
      </c>
      <c r="K147" s="886"/>
      <c r="L147" s="886">
        <f>(Q18/$R18*100*($E18/365))+(Q19/$R19*100*($E19/365))</f>
        <v>0</v>
      </c>
      <c r="M147" s="886"/>
      <c r="N147" s="887">
        <f t="shared" si="55"/>
        <v>100</v>
      </c>
      <c r="O147" s="887"/>
      <c r="R147" s="9">
        <v>1965</v>
      </c>
      <c r="S147" s="8">
        <f>(O18*($E18/365)) + (O19*($E19/365))</f>
        <v>59</v>
      </c>
      <c r="T147" s="8">
        <f>(P18*($E18/365)) + (P19*($E19/365))</f>
        <v>0</v>
      </c>
      <c r="U147" s="8">
        <f>(Q18*($E18/365)) + (Q19*($E19/365))</f>
        <v>0</v>
      </c>
      <c r="W147" s="8">
        <f xml:space="preserve"> R18*(E18/365) + R19*(E19/365)</f>
        <v>59</v>
      </c>
    </row>
    <row r="148" spans="1:23">
      <c r="A148" s="54">
        <v>1966</v>
      </c>
      <c r="B148" s="8">
        <f>(K20*($E20/365)) + (K21*($E21/365)) + (K22*($E22/365))</f>
        <v>100.00000000000001</v>
      </c>
      <c r="C148" s="8">
        <f>(L20*($E20/365)) + (L21*($E21/365)) + (L22*($E22/365))</f>
        <v>0</v>
      </c>
      <c r="D148" s="8">
        <f>(M20*($E20/365)) + (M21*($E21/365)) + (M22*($E22/365))</f>
        <v>0</v>
      </c>
      <c r="E148" s="30">
        <f t="shared" si="54"/>
        <v>100.00000000000001</v>
      </c>
      <c r="G148" s="9">
        <v>1966</v>
      </c>
      <c r="H148" s="886">
        <f>(O20/$R20*100*($E20/365))+(O21/$R21*100*($E21/365))+(O22/$R22*100*($E22/365))</f>
        <v>100.00000000000001</v>
      </c>
      <c r="I148" s="886"/>
      <c r="J148" s="886">
        <f>(P20/$R20*100*($E20/365))+(P21/$R21*100*($E21/365))+(P22/$R22*100*($E22/365))</f>
        <v>0</v>
      </c>
      <c r="K148" s="886"/>
      <c r="L148" s="886">
        <f>(Q20/$R20*100*($E20/365))+(Q21/$R21*100*($E21/365))+(Q22/$R22*100*($E22/365))</f>
        <v>0</v>
      </c>
      <c r="M148" s="886"/>
      <c r="N148" s="887">
        <f t="shared" si="55"/>
        <v>100.00000000000001</v>
      </c>
      <c r="O148" s="887"/>
      <c r="R148" s="9">
        <v>1966</v>
      </c>
      <c r="S148" s="8">
        <f>(O20*($E20/365)) + (O21*($E21/365)) + (O22*($E22/365))</f>
        <v>59.350136986301365</v>
      </c>
      <c r="T148" s="8">
        <f>(P20*($E20/365)) + (P21*($E21/365)) + (P22*($E22/365))</f>
        <v>0</v>
      </c>
      <c r="U148" s="8">
        <f>(Q20*($E20/365)) + (Q21*($E21/365)) + (Q22*($E22/365))</f>
        <v>0</v>
      </c>
      <c r="W148" s="8">
        <f xml:space="preserve"> R20*(E20/365) + R21*(E21/365) + R22*(E22/365)</f>
        <v>59.350136986301365</v>
      </c>
    </row>
    <row r="149" spans="1:23">
      <c r="A149" s="54">
        <v>1967</v>
      </c>
      <c r="B149" s="8">
        <f>(K23*($E23/365)) + (K24*($E24/365))</f>
        <v>100.00000000000001</v>
      </c>
      <c r="C149" s="8">
        <f>(L23*($E23/365)) + (L24*($E24/365))</f>
        <v>0</v>
      </c>
      <c r="D149" s="8">
        <f>(M23*($E23/365)) + (M24*($E24/365))</f>
        <v>0</v>
      </c>
      <c r="E149" s="30">
        <f t="shared" si="54"/>
        <v>100.00000000000001</v>
      </c>
      <c r="G149" s="9">
        <v>1967</v>
      </c>
      <c r="H149" s="886">
        <f>(O23/$R23*100*($E23/365))+(O24/$R24*100*($E24/365))</f>
        <v>100.00000000000001</v>
      </c>
      <c r="I149" s="886"/>
      <c r="J149" s="886">
        <f>(P23/$R23*100*($E23/365))+(P24/$R24*100*($E24/365))</f>
        <v>0</v>
      </c>
      <c r="K149" s="886"/>
      <c r="L149" s="886">
        <f>(Q23/$R23*100*($E23/365))+(Q24/$R24*100*($E24/365))</f>
        <v>0</v>
      </c>
      <c r="M149" s="886"/>
      <c r="N149" s="887">
        <f t="shared" si="55"/>
        <v>100.00000000000001</v>
      </c>
      <c r="O149" s="887"/>
      <c r="R149" s="9">
        <v>1967</v>
      </c>
      <c r="S149" s="8">
        <f>(O23*($E23/365)) + (O24*($E24/365))</f>
        <v>66.099999999999994</v>
      </c>
      <c r="T149" s="8">
        <f>(P23*($E23/365)) + (P24*($E24/365))</f>
        <v>0</v>
      </c>
      <c r="U149" s="8">
        <f>(Q23*($E23/365)) + (Q24*($E24/365))</f>
        <v>0</v>
      </c>
      <c r="W149" s="8">
        <f xml:space="preserve"> R23*(E23/365) + R24*(E24/365)</f>
        <v>66.099999999999994</v>
      </c>
    </row>
    <row r="150" spans="1:23">
      <c r="A150" s="54">
        <v>1968</v>
      </c>
      <c r="B150" s="8">
        <f>(K25*($E25/366)) + (K26*($E26/366)) + (K27*($E27/366))</f>
        <v>100.00000000000001</v>
      </c>
      <c r="C150" s="8">
        <f>(L25*($E25/366)) + (L26*($E26/366)) + (L27*($E27/366))</f>
        <v>0</v>
      </c>
      <c r="D150" s="8">
        <f>(M25*($E25/366)) + (M26*($E26/366)) + (M27*($E27/366))</f>
        <v>0</v>
      </c>
      <c r="E150" s="30">
        <f t="shared" si="54"/>
        <v>100.00000000000001</v>
      </c>
      <c r="G150" s="9">
        <v>1968</v>
      </c>
      <c r="H150" s="886">
        <f>(O25/$R25*100*($E25/366))+(O26/$R26*100*($E26/366))+(O27/$R27*100*($E27/366))</f>
        <v>100.00000000000001</v>
      </c>
      <c r="I150" s="886"/>
      <c r="J150" s="886">
        <f>(P25/$R25*100*($E25/366))+(P26/$R26*100*($E26/366))+(P27/$R27*100*($E27/366))</f>
        <v>0</v>
      </c>
      <c r="K150" s="886"/>
      <c r="L150" s="886">
        <f>(Q25/$R25*100*($E25/366))+(Q26/$R26*100*($E26/366))+(Q27/$R27*100*($E27/366))</f>
        <v>0</v>
      </c>
      <c r="M150" s="886"/>
      <c r="N150" s="887">
        <f t="shared" si="55"/>
        <v>100.00000000000001</v>
      </c>
      <c r="O150" s="887"/>
      <c r="R150" s="9">
        <v>1968</v>
      </c>
      <c r="S150" s="8">
        <f>(O25*($E25/366)) + (O26*($E26/366)) + (O27*($E27/366))</f>
        <v>66.099999999999994</v>
      </c>
      <c r="T150" s="8">
        <f>(P25*($E25/366)) + (P26*($E26/366)) + (P27*($E27/366))</f>
        <v>0</v>
      </c>
      <c r="U150" s="8">
        <f>(Q25*($E25/366)) + (Q26*($E26/366)) + (Q27*($E27/366))</f>
        <v>0</v>
      </c>
      <c r="W150" s="8">
        <f xml:space="preserve"> R25*(E25/366) + R26*(E26/366) + R27*(E27/366)</f>
        <v>66.099999999999994</v>
      </c>
    </row>
    <row r="151" spans="1:23">
      <c r="A151" s="54">
        <v>1969</v>
      </c>
      <c r="B151" s="8">
        <f>(K28*($E28/365)) + (K29*($E29/365))</f>
        <v>100</v>
      </c>
      <c r="C151" s="8">
        <f>(L28*($E28/365)) + (L29*($E29/365))</f>
        <v>0</v>
      </c>
      <c r="D151" s="8">
        <f>(M28*($E28/365)) + (M29*($E29/365))</f>
        <v>0</v>
      </c>
      <c r="E151" s="30">
        <f t="shared" si="54"/>
        <v>100</v>
      </c>
      <c r="G151" s="9">
        <v>1969</v>
      </c>
      <c r="H151" s="886">
        <f>(O28/$R28*100*($E28/365))+(O29/$R29*100*($E29/365))</f>
        <v>100</v>
      </c>
      <c r="I151" s="886"/>
      <c r="J151" s="886">
        <f>(P28/$R28*100*($E28/365))+(P29/$R29*100*($E29/365))</f>
        <v>0</v>
      </c>
      <c r="K151" s="886"/>
      <c r="L151" s="886">
        <f>(Q28/$R28*100*($E28/365))+(Q29/$R29*100*($E29/365))</f>
        <v>0</v>
      </c>
      <c r="M151" s="886"/>
      <c r="N151" s="887">
        <f t="shared" si="55"/>
        <v>100</v>
      </c>
      <c r="O151" s="887"/>
      <c r="R151" s="9">
        <v>1969</v>
      </c>
      <c r="S151" s="8">
        <f>(O28*($E28/365)) + (O29*($E29/365))</f>
        <v>64.241643835616429</v>
      </c>
      <c r="T151" s="8">
        <f>(P28*($E28/365)) + (P29*($E29/365))</f>
        <v>0</v>
      </c>
      <c r="U151" s="8">
        <f>(Q28*($E28/365)) + (Q29*($E29/365))</f>
        <v>0</v>
      </c>
      <c r="W151" s="8">
        <f xml:space="preserve"> R28*(E28/365) + R29*(E29/365)</f>
        <v>64.241643835616429</v>
      </c>
    </row>
    <row r="152" spans="1:23">
      <c r="A152" s="54">
        <v>1970</v>
      </c>
      <c r="B152" s="8">
        <f>(K30*($E30/365)) + (K31*($E31/365))</f>
        <v>100</v>
      </c>
      <c r="C152" s="8">
        <f>(L30*($E30/365)) + (L31*($E31/365))</f>
        <v>0</v>
      </c>
      <c r="D152" s="8">
        <f>(M30*($E30/365)) + (M31*($E31/365))</f>
        <v>0</v>
      </c>
      <c r="E152" s="30">
        <f t="shared" si="54"/>
        <v>100</v>
      </c>
      <c r="G152" s="9">
        <v>1970</v>
      </c>
      <c r="H152" s="886">
        <f>(O30/$R30*100*($E30/365))+(O31/$R31*100*($E31/365))</f>
        <v>100</v>
      </c>
      <c r="I152" s="886"/>
      <c r="J152" s="886">
        <f>(P30/$R30*100*($E30/365))+(P31/$R31*100*($E31/365))</f>
        <v>0</v>
      </c>
      <c r="K152" s="886"/>
      <c r="L152" s="886">
        <f>(Q30/$R30*100*($E30/365))+(Q31/$R31*100*($E31/365))</f>
        <v>0</v>
      </c>
      <c r="M152" s="886"/>
      <c r="N152" s="887">
        <f t="shared" si="55"/>
        <v>100</v>
      </c>
      <c r="O152" s="887"/>
      <c r="R152" s="9">
        <v>1970</v>
      </c>
      <c r="S152" s="8">
        <f>(O30*($E30/365)) + (O31*($E31/365))</f>
        <v>52.8</v>
      </c>
      <c r="T152" s="8">
        <f>(P30*($E30/365)) + (P31*($E31/365))</f>
        <v>0</v>
      </c>
      <c r="U152" s="8">
        <f>(Q30*($E30/365)) + (Q31*($E31/365))</f>
        <v>0</v>
      </c>
      <c r="W152" s="8">
        <f xml:space="preserve"> R30*(E30/365) + R31*(E31/365)</f>
        <v>52.8</v>
      </c>
    </row>
    <row r="153" spans="1:23">
      <c r="A153" s="54">
        <v>1971</v>
      </c>
      <c r="B153" s="8">
        <f>(K32*($E32/365)) + (K33*($E33/365))</f>
        <v>100</v>
      </c>
      <c r="C153" s="8">
        <f>(L32*($E32/365)) + (L33*($E33/365))</f>
        <v>0</v>
      </c>
      <c r="D153" s="8">
        <f>(M32*($E32/365)) + (M33*($E33/365))</f>
        <v>0</v>
      </c>
      <c r="E153" s="30">
        <f t="shared" si="54"/>
        <v>100</v>
      </c>
      <c r="G153" s="9">
        <v>1971</v>
      </c>
      <c r="H153" s="886">
        <f>(O32/$R32*100*($E32/365))+(O33/$R33*100*($E33/365))</f>
        <v>100</v>
      </c>
      <c r="I153" s="886"/>
      <c r="J153" s="886">
        <f>(P32/$R32*100*($E32/365))+(P33/$R33*100*($E33/365))</f>
        <v>0</v>
      </c>
      <c r="K153" s="886"/>
      <c r="L153" s="886">
        <f>(Q32/$R32*100*($E32/365))+(Q33/$R33*100*($E33/365))</f>
        <v>0</v>
      </c>
      <c r="M153" s="886"/>
      <c r="N153" s="887">
        <f t="shared" si="55"/>
        <v>100</v>
      </c>
      <c r="O153" s="887"/>
      <c r="R153" s="9">
        <v>1971</v>
      </c>
      <c r="S153" s="8">
        <f>(O32*($E32/365)) + (O33*($E33/365))</f>
        <v>52.8</v>
      </c>
      <c r="T153" s="8">
        <f>(P32*($E32/365)) + (P33*($E33/365))</f>
        <v>0</v>
      </c>
      <c r="U153" s="8">
        <f>(Q32*($E32/365)) + (Q33*($E33/365))</f>
        <v>0</v>
      </c>
      <c r="W153" s="8">
        <f xml:space="preserve"> R32*(E32/365) + R33*(E33/365)</f>
        <v>52.8</v>
      </c>
    </row>
    <row r="154" spans="1:23">
      <c r="A154" s="54">
        <v>1972</v>
      </c>
      <c r="B154" s="8">
        <f>(K34*($E34/366)) + (K35*($E35/366))</f>
        <v>96.448087431693992</v>
      </c>
      <c r="C154" s="8">
        <f>(L34*($E34/366)) + (L35*($E35/366))</f>
        <v>0</v>
      </c>
      <c r="D154" s="8">
        <f>(M34*($E34/366)) + (M35*($E35/366))</f>
        <v>3.5519125683060109</v>
      </c>
      <c r="E154" s="30">
        <f t="shared" si="54"/>
        <v>100</v>
      </c>
      <c r="G154" s="9">
        <v>1972</v>
      </c>
      <c r="H154" s="886">
        <f>(O34/$R34*100*($E34/366))+(O35/$R35*100*($E35/366))</f>
        <v>96.448087431693992</v>
      </c>
      <c r="I154" s="886"/>
      <c r="J154" s="886">
        <f>(P34/$R34*100*($E34/366))+(P35/$R35*100*($E35/366))</f>
        <v>0</v>
      </c>
      <c r="K154" s="886"/>
      <c r="L154" s="886">
        <f>(Q34/$R34*100*($E34/366))+(Q35/$R35*100*($E35/366))</f>
        <v>3.5519125683060109</v>
      </c>
      <c r="M154" s="886"/>
      <c r="N154" s="887">
        <f t="shared" si="55"/>
        <v>100</v>
      </c>
      <c r="O154" s="887"/>
      <c r="R154" s="9">
        <v>1972</v>
      </c>
      <c r="S154" s="8">
        <f>(O34*($E34/366)) + (O35*($E35/366))</f>
        <v>50.924590163934418</v>
      </c>
      <c r="T154" s="8">
        <f>(P34*($E34/366)) + (P35*($E35/366))</f>
        <v>0</v>
      </c>
      <c r="U154" s="8">
        <f>(Q34*($E34/366)) + (Q35*($E35/366))</f>
        <v>1.9038251366120218</v>
      </c>
      <c r="W154" s="8">
        <f xml:space="preserve"> R34*(E34/366) + R35*(E35/366)</f>
        <v>52.828415300546439</v>
      </c>
    </row>
    <row r="155" spans="1:23">
      <c r="A155" s="54">
        <v>1973</v>
      </c>
      <c r="B155" s="8">
        <f>(K36*($E36/365)) + (K37*($E37/365))</f>
        <v>0</v>
      </c>
      <c r="C155" s="8">
        <f>(L36*($E36/365)) + (L37*($E37/365))</f>
        <v>0</v>
      </c>
      <c r="D155" s="8">
        <f>(M36*($E36/365)) + (M37*($E37/365))</f>
        <v>100</v>
      </c>
      <c r="E155" s="30">
        <f t="shared" si="54"/>
        <v>100</v>
      </c>
      <c r="G155" s="9">
        <v>1973</v>
      </c>
      <c r="H155" s="886">
        <f>(O36/$R36*100*($E36/365))+(O37/$R37*100*($E37/365))</f>
        <v>0</v>
      </c>
      <c r="I155" s="886"/>
      <c r="J155" s="886">
        <f>(P36/$R36*100*($E36/365))+(P37/$R37*100*($E37/365))</f>
        <v>0</v>
      </c>
      <c r="K155" s="886"/>
      <c r="L155" s="886">
        <f>(Q36/$R36*100*($E36/365))+(Q37/$R37*100*($E37/365))</f>
        <v>100</v>
      </c>
      <c r="M155" s="886"/>
      <c r="N155" s="887">
        <f t="shared" si="55"/>
        <v>100</v>
      </c>
      <c r="O155" s="887"/>
      <c r="R155" s="9">
        <v>1973</v>
      </c>
      <c r="S155" s="8">
        <f>(O36*($E36/365)) + (O37*($E37/365))</f>
        <v>0</v>
      </c>
      <c r="T155" s="8">
        <f>(P36*($E36/365)) + (P37*($E37/365))</f>
        <v>0</v>
      </c>
      <c r="U155" s="8">
        <f>(Q36*($E36/365)) + (Q37*($E37/365))</f>
        <v>53.6</v>
      </c>
      <c r="W155" s="8">
        <f xml:space="preserve"> R36*(E36/365) + R37*(E37/365)</f>
        <v>53.6</v>
      </c>
    </row>
    <row r="156" spans="1:23">
      <c r="A156" s="54">
        <v>1974</v>
      </c>
      <c r="B156" s="8">
        <f>(K38*($E38/365)) + (K39*($E39/365))</f>
        <v>0</v>
      </c>
      <c r="C156" s="8">
        <f>(L38*($E38/365)) + (L39*($E39/365))</f>
        <v>0</v>
      </c>
      <c r="D156" s="8">
        <f>(M38*($E38/365)) + (M39*($E39/365))</f>
        <v>100</v>
      </c>
      <c r="E156" s="30">
        <f t="shared" si="54"/>
        <v>100</v>
      </c>
      <c r="G156" s="9">
        <v>1974</v>
      </c>
      <c r="H156" s="886">
        <f>(O38/$R38*100*($E38/365))+(O39/$R39*100*($E39/365))</f>
        <v>0</v>
      </c>
      <c r="I156" s="886"/>
      <c r="J156" s="886">
        <f>(P38/$R38*100*($E38/365))+(P39/$R39*100*($E39/365))</f>
        <v>0</v>
      </c>
      <c r="K156" s="886"/>
      <c r="L156" s="886">
        <f>(Q38/$R38*100*($E38/365))+(Q39/$R39*100*($E39/365))</f>
        <v>100</v>
      </c>
      <c r="M156" s="886"/>
      <c r="N156" s="887">
        <f t="shared" si="55"/>
        <v>100</v>
      </c>
      <c r="O156" s="887"/>
      <c r="R156" s="9">
        <v>1974</v>
      </c>
      <c r="S156" s="8">
        <f>(O38*($E38/365)) + (O39*($E39/365))</f>
        <v>0</v>
      </c>
      <c r="T156" s="8">
        <f>(P38*($E38/365)) + (P39*($E39/365))</f>
        <v>0</v>
      </c>
      <c r="U156" s="8">
        <f>(Q38*($E38/365)) + (Q39*($E39/365))</f>
        <v>52.710136986301372</v>
      </c>
      <c r="W156" s="8">
        <f xml:space="preserve"> R38*(E38/365) + R39*(E39/365)</f>
        <v>52.710136986301372</v>
      </c>
    </row>
    <row r="157" spans="1:23">
      <c r="A157" s="54">
        <v>1975</v>
      </c>
      <c r="B157" s="8">
        <f>(K40*($E40/365)) + (K41*($E41/365)) + (K42*($E42/365))</f>
        <v>13.698630136986303</v>
      </c>
      <c r="C157" s="8">
        <f>(L40*($E40/365)) + (L41*($E41/365)) + (L42*($E42/365))</f>
        <v>0</v>
      </c>
      <c r="D157" s="8">
        <f>(M40*($E40/365)) + (M41*($E41/365)) + (M42*($E42/365))</f>
        <v>86.301369863013704</v>
      </c>
      <c r="E157" s="30">
        <f t="shared" si="54"/>
        <v>100</v>
      </c>
      <c r="G157" s="9">
        <v>1975</v>
      </c>
      <c r="H157" s="886">
        <f>(O40/$R40*100*($E40/365))+(O41/$R41*100*($E41/365))+(O42/$R42*100*($E42/365))</f>
        <v>13.698630136986303</v>
      </c>
      <c r="I157" s="886"/>
      <c r="J157" s="886">
        <f>(P40/$R40*100*($E40/365))+(P41/$R41*100*($E41/365))+(P42/$R42*100*($E42/365))</f>
        <v>0</v>
      </c>
      <c r="K157" s="886"/>
      <c r="L157" s="886">
        <f>(Q40/$R40*100*($E40/365))+(Q41/$R41*100*($E41/365))+(Q42/$R42*100*($E42/365))</f>
        <v>86.301369863013704</v>
      </c>
      <c r="M157" s="886"/>
      <c r="N157" s="887">
        <f t="shared" si="55"/>
        <v>100</v>
      </c>
      <c r="O157" s="887"/>
      <c r="R157" s="9">
        <v>1975</v>
      </c>
      <c r="S157" s="8">
        <f>(O40*($E40/365)) + (O41*($E41/365)) + (O42*($E42/365))</f>
        <v>7.4805479452054797</v>
      </c>
      <c r="T157" s="8">
        <f>(P40*($E40/365)) + (P41*($E41/365)) + (P42*($E42/365))</f>
        <v>0</v>
      </c>
      <c r="U157" s="8">
        <f>(Q40*($E40/365)) + (Q41*($E41/365)) + (Q42*($E42/365))</f>
        <v>44.876712328767127</v>
      </c>
      <c r="W157" s="8">
        <f xml:space="preserve"> R40*(E40/365) + R41*(E41/365) + R42*(E42/365)</f>
        <v>52.357260273972607</v>
      </c>
    </row>
    <row r="158" spans="1:23">
      <c r="A158" s="54">
        <v>1976</v>
      </c>
      <c r="B158" s="8">
        <f>(K43*($E43/366)) + (K44*($E44/366))</f>
        <v>100</v>
      </c>
      <c r="C158" s="8">
        <f>(L43*($E43/366)) + (L44*($E44/366))</f>
        <v>0</v>
      </c>
      <c r="D158" s="8">
        <f>(M43*($E43/366)) + (M44*($E44/366))</f>
        <v>0</v>
      </c>
      <c r="E158" s="30">
        <f t="shared" si="54"/>
        <v>100</v>
      </c>
      <c r="G158" s="9">
        <v>1976</v>
      </c>
      <c r="H158" s="886">
        <f>(O43/$R43*100*($E43/366))+(O44/$R44*100*($E44/366))</f>
        <v>100</v>
      </c>
      <c r="I158" s="886"/>
      <c r="J158" s="886">
        <f>(P43/$R43*100*($E43/366))+(P44/$R44*100*($E44/366))</f>
        <v>0</v>
      </c>
      <c r="K158" s="886"/>
      <c r="L158" s="886">
        <f>(Q43/$R43*100*($E43/366))+(Q44/$R44*100*($E44/366))</f>
        <v>0</v>
      </c>
      <c r="M158" s="886"/>
      <c r="N158" s="887">
        <f t="shared" si="55"/>
        <v>100</v>
      </c>
      <c r="O158" s="887"/>
      <c r="R158" s="9">
        <v>1976</v>
      </c>
      <c r="S158" s="8">
        <f>(O43*($E43/366)) + (O44*($E44/366))</f>
        <v>71.599999999999994</v>
      </c>
      <c r="T158" s="8">
        <f>(P43*($E43/366)) + (P44*($E44/366))</f>
        <v>0</v>
      </c>
      <c r="U158" s="8">
        <f>(Q43*($E43/366)) + (Q44*($E44/366))</f>
        <v>0</v>
      </c>
      <c r="W158" s="8">
        <f xml:space="preserve"> R43*(E43/366) + R44*(E44/366)</f>
        <v>71.599999999999994</v>
      </c>
    </row>
    <row r="159" spans="1:23" s="7" customFormat="1">
      <c r="A159" s="54">
        <v>1977</v>
      </c>
      <c r="B159" s="8">
        <f>(K45*($E45/365)) + (K46*($E46/365))</f>
        <v>100.00000000000001</v>
      </c>
      <c r="C159" s="8">
        <f>(L45*($E45/365)) + (L46*($E46/365))</f>
        <v>0</v>
      </c>
      <c r="D159" s="8">
        <f>(M45*($E45/365)) + (M46*($E46/365))</f>
        <v>0</v>
      </c>
      <c r="E159" s="30">
        <f t="shared" si="54"/>
        <v>100.00000000000001</v>
      </c>
      <c r="G159" s="9">
        <v>1977</v>
      </c>
      <c r="H159" s="886">
        <f>(O45/$R45*100*($E45/365))+(O46/$R46*100*($E46/365))</f>
        <v>100.00000000000001</v>
      </c>
      <c r="I159" s="886"/>
      <c r="J159" s="886">
        <f>(P45/$R45*100*($E45/365))+(P46/$R46*100*($E46/365))</f>
        <v>0</v>
      </c>
      <c r="K159" s="886"/>
      <c r="L159" s="886">
        <f>(Q45/$R45*100*($E45/365))+(Q46/$R46*100*($E46/365))</f>
        <v>0</v>
      </c>
      <c r="M159" s="886"/>
      <c r="N159" s="887">
        <f t="shared" si="55"/>
        <v>100.00000000000001</v>
      </c>
      <c r="O159" s="887"/>
      <c r="R159" s="9">
        <v>1977</v>
      </c>
      <c r="S159" s="8">
        <f>(O45*($E45/365)) + (O46*($E46/365))</f>
        <v>71.52438356164383</v>
      </c>
      <c r="T159" s="8">
        <f>(P45*($E45/365)) + (P46*($E46/365))</f>
        <v>0</v>
      </c>
      <c r="U159" s="8">
        <f>(Q45*($E45/365)) + (Q46*($E46/365))</f>
        <v>0</v>
      </c>
      <c r="W159" s="8">
        <f xml:space="preserve"> R45*(E45/365) + R46*(E46/365)</f>
        <v>71.52438356164383</v>
      </c>
    </row>
    <row r="160" spans="1:23">
      <c r="A160" s="54">
        <v>1978</v>
      </c>
      <c r="B160" s="8">
        <f>(K47*($E47/365)) + (K48*($E48/365))</f>
        <v>100</v>
      </c>
      <c r="C160" s="8">
        <f>(L47*($E47/365)) + (L48*($E48/365))</f>
        <v>0</v>
      </c>
      <c r="D160" s="8">
        <f>(M47*($E47/365)) + (M48*($E48/365))</f>
        <v>0</v>
      </c>
      <c r="E160" s="30">
        <f t="shared" si="54"/>
        <v>100</v>
      </c>
      <c r="G160" s="9">
        <v>1978</v>
      </c>
      <c r="H160" s="886">
        <f>(O47/$R47*100*($E47/365))+(O48/$R48*100*($E48/365))</f>
        <v>100</v>
      </c>
      <c r="I160" s="886"/>
      <c r="J160" s="886">
        <f>(P47/$R47*100*($E47/365))+(P48/$R48*100*($E48/365))</f>
        <v>0</v>
      </c>
      <c r="K160" s="886"/>
      <c r="L160" s="886">
        <f>(Q47/$R47*100*($E47/365))+(Q48/$R48*100*($E48/365))</f>
        <v>0</v>
      </c>
      <c r="M160" s="886"/>
      <c r="N160" s="887">
        <f t="shared" si="55"/>
        <v>100</v>
      </c>
      <c r="O160" s="887"/>
      <c r="R160" s="9">
        <v>1978</v>
      </c>
      <c r="S160" s="8">
        <f>(O47*($E47/365)) + (O48*($E48/365))</f>
        <v>69.3</v>
      </c>
      <c r="T160" s="8">
        <f>(P47*($E47/365)) + (P48*($E48/365))</f>
        <v>0</v>
      </c>
      <c r="U160" s="8">
        <f>(Q47*($E47/365)) + (Q48*($E48/365))</f>
        <v>0</v>
      </c>
      <c r="W160" s="8">
        <f xml:space="preserve"> R47*(E47/365) + R48*(E48/365)</f>
        <v>69.3</v>
      </c>
    </row>
    <row r="161" spans="1:29">
      <c r="A161" s="54">
        <v>1979</v>
      </c>
      <c r="B161" s="8">
        <f>(K49*($E49/365)) + (K50*($E50/365))</f>
        <v>100</v>
      </c>
      <c r="C161" s="8">
        <f>(L49*($E49/365)) + (L50*($E50/365))</f>
        <v>0</v>
      </c>
      <c r="D161" s="8">
        <f>(M49*($E49/365)) + (M50*($E50/365))</f>
        <v>0</v>
      </c>
      <c r="E161" s="30">
        <f t="shared" si="54"/>
        <v>100</v>
      </c>
      <c r="G161" s="9">
        <v>1979</v>
      </c>
      <c r="H161" s="886">
        <f>(O49/$R49*100*($E49/365))+(O50/$R50*100*($E50/365))</f>
        <v>100</v>
      </c>
      <c r="I161" s="886"/>
      <c r="J161" s="886">
        <f>(P49/$R49*100*($E49/365))+(P50/$R50*100*($E50/365))</f>
        <v>0</v>
      </c>
      <c r="K161" s="886"/>
      <c r="L161" s="886">
        <f>(Q49/$R49*100*($E49/365))+(Q50/$R50*100*($E50/365))</f>
        <v>0</v>
      </c>
      <c r="M161" s="886"/>
      <c r="N161" s="887">
        <f t="shared" si="55"/>
        <v>100</v>
      </c>
      <c r="O161" s="887"/>
      <c r="R161" s="9">
        <v>1979</v>
      </c>
      <c r="S161" s="8">
        <f>(O49*($E49/365)) + (O50*($E50/365))</f>
        <v>69.3</v>
      </c>
      <c r="T161" s="8">
        <f>(P49*($E49/365)) + (P50*($E50/365))</f>
        <v>0</v>
      </c>
      <c r="U161" s="8">
        <f>(Q49*($E49/365)) + (Q50*($E50/365))</f>
        <v>0</v>
      </c>
      <c r="W161" s="8">
        <f xml:space="preserve"> R49*(E49/365) + R50*(E50/365)</f>
        <v>69.3</v>
      </c>
    </row>
    <row r="162" spans="1:29">
      <c r="A162" s="54">
        <v>1980</v>
      </c>
      <c r="B162" s="8">
        <f>(K51*($E51/366)) + (K52*($E52/366))</f>
        <v>100</v>
      </c>
      <c r="C162" s="8">
        <f>(L51*($E51/366)) + (L52*($E52/366))</f>
        <v>0</v>
      </c>
      <c r="D162" s="8">
        <f>(M51*($E51/366)) + (M52*($E52/366))</f>
        <v>0</v>
      </c>
      <c r="E162" s="30">
        <f t="shared" si="54"/>
        <v>100</v>
      </c>
      <c r="G162" s="9">
        <v>1980</v>
      </c>
      <c r="H162" s="886">
        <f>(O51/$R51*100*($E51/366))+(O52/$R52*100*($E52/366))</f>
        <v>100</v>
      </c>
      <c r="I162" s="886"/>
      <c r="J162" s="886">
        <f>(P51/$R51*100*($E51/366))+(P52/$R52*100*($E52/366))</f>
        <v>0</v>
      </c>
      <c r="K162" s="886"/>
      <c r="L162" s="886">
        <f>(Q51/$R51*100*($E51/366))+(Q52/$R52*100*($E52/366))</f>
        <v>0</v>
      </c>
      <c r="M162" s="886"/>
      <c r="N162" s="887">
        <f t="shared" si="55"/>
        <v>100</v>
      </c>
      <c r="O162" s="887"/>
      <c r="R162" s="9">
        <v>1980</v>
      </c>
      <c r="S162" s="8">
        <f>(O51*($E51/366)) + (O52*($E52/366))</f>
        <v>67.644262295081973</v>
      </c>
      <c r="T162" s="8">
        <f>(P51*($E51/366)) + (P52*($E52/366))</f>
        <v>0</v>
      </c>
      <c r="U162" s="8">
        <f>(Q51*($E51/366)) + (Q52*($E52/366))</f>
        <v>0</v>
      </c>
      <c r="W162" s="8">
        <f xml:space="preserve"> R51*(E51/366) + R52*(E52/366)</f>
        <v>67.644262295081973</v>
      </c>
    </row>
    <row r="163" spans="1:29">
      <c r="A163" s="54">
        <v>1981</v>
      </c>
      <c r="B163" s="8">
        <f>(K53*($E53/365)) + (K54*($E54/365))</f>
        <v>100</v>
      </c>
      <c r="C163" s="8">
        <f>(L53*($E53/365)) + (L54*($E54/365))</f>
        <v>0</v>
      </c>
      <c r="D163" s="8">
        <f>(M53*($E53/365)) + (M54*($E54/365))</f>
        <v>0</v>
      </c>
      <c r="E163" s="30">
        <f t="shared" si="54"/>
        <v>100</v>
      </c>
      <c r="G163" s="9">
        <v>1981</v>
      </c>
      <c r="H163" s="886">
        <f>(O53/$R53*100*($E53/365))+(O54/$R54*100*($E54/365))</f>
        <v>100</v>
      </c>
      <c r="I163" s="886"/>
      <c r="J163" s="886">
        <f>(P53/$R53*100*($E53/365))+(P54/$R54*100*($E54/365))</f>
        <v>0</v>
      </c>
      <c r="K163" s="886"/>
      <c r="L163" s="886">
        <f>(Q53/$R53*100*($E53/365))+(Q54/$R54*100*($E54/365))</f>
        <v>0</v>
      </c>
      <c r="M163" s="886"/>
      <c r="N163" s="887">
        <f t="shared" si="55"/>
        <v>100</v>
      </c>
      <c r="O163" s="887"/>
      <c r="R163" s="9">
        <v>1981</v>
      </c>
      <c r="S163" s="8">
        <f>(O53*($E53/365)) + (O54*($E54/365))</f>
        <v>59.2</v>
      </c>
      <c r="T163" s="8">
        <f>(P53*($E53/365)) + (P54*($E54/365))</f>
        <v>0</v>
      </c>
      <c r="U163" s="8">
        <f>(Q53*($E53/365)) + (Q54*($E54/365))</f>
        <v>0</v>
      </c>
      <c r="W163" s="8">
        <f xml:space="preserve"> R53*(E53/365) + R54*(E54/365)</f>
        <v>59.2</v>
      </c>
    </row>
    <row r="164" spans="1:29">
      <c r="A164" s="54">
        <v>1982</v>
      </c>
      <c r="B164" s="8">
        <f>(K55*($E55/365)) + (K56*($E56/365))</f>
        <v>100</v>
      </c>
      <c r="C164" s="8">
        <f>(L55*($E55/365)) + (L56*($E56/365))</f>
        <v>0</v>
      </c>
      <c r="D164" s="8">
        <f>(M55*($E55/365)) + (M56*($E56/365))</f>
        <v>0</v>
      </c>
      <c r="E164" s="30">
        <f t="shared" si="54"/>
        <v>100</v>
      </c>
      <c r="G164" s="9">
        <v>1982</v>
      </c>
      <c r="H164" s="886">
        <f>(O55/$R55*100*($E55/365))+(O56/$R56*100*($E56/365))</f>
        <v>100</v>
      </c>
      <c r="I164" s="886"/>
      <c r="J164" s="886">
        <f>(P55/$R55*100*($E55/365))+(P56/$R56*100*($E56/365))</f>
        <v>0</v>
      </c>
      <c r="K164" s="886"/>
      <c r="L164" s="886">
        <f>(Q55/$R55*100*($E55/365))+(Q56/$R56*100*($E56/365))</f>
        <v>0</v>
      </c>
      <c r="M164" s="886"/>
      <c r="N164" s="887">
        <f t="shared" si="55"/>
        <v>100</v>
      </c>
      <c r="O164" s="887"/>
      <c r="R164" s="9">
        <v>1982</v>
      </c>
      <c r="S164" s="8">
        <f>(O55*($E55/365)) + (O56*($E56/365))</f>
        <v>59.2</v>
      </c>
      <c r="T164" s="8">
        <f>(P55*($E55/365)) + (P56*($E56/365))</f>
        <v>0</v>
      </c>
      <c r="U164" s="8">
        <f>(Q55*($E55/365)) + (Q56*($E56/365))</f>
        <v>0</v>
      </c>
      <c r="W164" s="8">
        <f xml:space="preserve"> R55*(E55/365) + R56*(E56/365)</f>
        <v>59.2</v>
      </c>
      <c r="AA164" s="8"/>
      <c r="AB164" s="8"/>
      <c r="AC164" s="8"/>
    </row>
    <row r="165" spans="1:29">
      <c r="A165" s="54">
        <v>1983</v>
      </c>
      <c r="B165" s="8">
        <f>(K57*($E57/365)) + (K58*($E58/365))</f>
        <v>18.904109589041095</v>
      </c>
      <c r="C165" s="8">
        <f>(L57*($E57/365)) + (L58*($E58/365))</f>
        <v>0</v>
      </c>
      <c r="D165" s="8">
        <f>(M57*($E57/365)) + (M58*($E58/365))</f>
        <v>81.095890410958901</v>
      </c>
      <c r="E165" s="30">
        <f t="shared" si="54"/>
        <v>100</v>
      </c>
      <c r="G165" s="9">
        <v>1983</v>
      </c>
      <c r="H165" s="886">
        <f>(O57/$R57*100*($E57/365))+(O58/$R58*100*($E58/365))</f>
        <v>18.904109589041095</v>
      </c>
      <c r="I165" s="886"/>
      <c r="J165" s="886">
        <f>(P57/$R57*100*($E57/365))+(P58/$R58*100*($E58/365))</f>
        <v>0</v>
      </c>
      <c r="K165" s="886"/>
      <c r="L165" s="886">
        <f>(Q57/$R57*100*($E57/365))+(Q58/$R58*100*($E58/365))</f>
        <v>81.095890410958901</v>
      </c>
      <c r="M165" s="886"/>
      <c r="N165" s="887">
        <f t="shared" si="55"/>
        <v>100</v>
      </c>
      <c r="O165" s="887"/>
      <c r="R165" s="9">
        <v>1983</v>
      </c>
      <c r="S165" s="8">
        <f>(O57*($E57/365)) + (O58*($E58/365))</f>
        <v>11.191232876712329</v>
      </c>
      <c r="T165" s="8">
        <f>(P57*($E57/365)) + (P58*($E58/365))</f>
        <v>0</v>
      </c>
      <c r="U165" s="8">
        <f>(Q57*($E57/365)) + (Q58*($E58/365))</f>
        <v>48.657534246575345</v>
      </c>
      <c r="W165" s="8">
        <f xml:space="preserve"> R57*(E57/365) + R58*(E58/365)</f>
        <v>59.848767123287672</v>
      </c>
    </row>
    <row r="166" spans="1:29">
      <c r="A166" s="54">
        <v>1984</v>
      </c>
      <c r="B166" s="8">
        <f>(K59*($E59/366)) + (K60*($E60/366))</f>
        <v>0</v>
      </c>
      <c r="C166" s="8">
        <f>(L59*($E59/366)) + (L60*($E60/366))</f>
        <v>0</v>
      </c>
      <c r="D166" s="8">
        <f>(M59*($E59/366)) + (M60*($E60/366))</f>
        <v>100</v>
      </c>
      <c r="E166" s="30">
        <f t="shared" si="54"/>
        <v>100</v>
      </c>
      <c r="G166" s="9">
        <v>1984</v>
      </c>
      <c r="H166" s="886">
        <f>(O59/$R59*100*($E59/366))+(O60/$R60*100*($E60/366))</f>
        <v>0</v>
      </c>
      <c r="I166" s="886"/>
      <c r="J166" s="886">
        <f>(P59/$R59*100*($E59/366))+(P60/$R60*100*($E60/366))</f>
        <v>0</v>
      </c>
      <c r="K166" s="886"/>
      <c r="L166" s="886">
        <f>(Q59/$R59*100*($E59/366))+(Q60/$R60*100*($E60/366))</f>
        <v>100</v>
      </c>
      <c r="M166" s="886"/>
      <c r="N166" s="887">
        <f t="shared" si="55"/>
        <v>100</v>
      </c>
      <c r="O166" s="887"/>
      <c r="R166" s="9">
        <v>1984</v>
      </c>
      <c r="S166" s="8">
        <f>(O59*($E59/366)) + (O60*($E60/366))</f>
        <v>0</v>
      </c>
      <c r="T166" s="8">
        <f>(P59*($E59/366)) + (P60*($E60/366))</f>
        <v>0</v>
      </c>
      <c r="U166" s="8">
        <f>(Q59*($E59/366)) + (Q60*($E60/366))</f>
        <v>59.761202185792357</v>
      </c>
      <c r="W166" s="8">
        <f xml:space="preserve"> R59*(E59/366) + R60*(E60/366)</f>
        <v>59.761202185792357</v>
      </c>
    </row>
    <row r="167" spans="1:29">
      <c r="A167" s="54">
        <v>1985</v>
      </c>
      <c r="B167" s="8">
        <f>(K61*($E61/365)) + (K62*($E62/365))</f>
        <v>0</v>
      </c>
      <c r="C167" s="8">
        <f>(L61*($E61/365)) + (L62*($E62/365))</f>
        <v>0</v>
      </c>
      <c r="D167" s="8">
        <f>(M61*($E61/365)) + (M62*($E62/365))</f>
        <v>100</v>
      </c>
      <c r="E167" s="30">
        <f t="shared" si="54"/>
        <v>100</v>
      </c>
      <c r="G167" s="9">
        <v>1985</v>
      </c>
      <c r="H167" s="886">
        <f>(O61/$R61*100*($E61/365))+(O62/$R62*100*($E62/365))</f>
        <v>0</v>
      </c>
      <c r="I167" s="886"/>
      <c r="J167" s="886">
        <f>(P61/$R61*100*($E61/365))+(P62/$R62*100*($E62/365))</f>
        <v>0</v>
      </c>
      <c r="K167" s="886"/>
      <c r="L167" s="886">
        <f>(Q61/$R61*100*($E61/365))+(Q62/$R62*100*($E62/365))</f>
        <v>100</v>
      </c>
      <c r="M167" s="886"/>
      <c r="N167" s="887">
        <f t="shared" si="55"/>
        <v>100</v>
      </c>
      <c r="O167" s="887"/>
      <c r="R167" s="9">
        <v>1985</v>
      </c>
      <c r="S167" s="8">
        <f>(O61*($E61/365)) + (O62*($E62/365))</f>
        <v>0</v>
      </c>
      <c r="T167" s="8">
        <f>(P61*($E61/365)) + (P62*($E62/365))</f>
        <v>0</v>
      </c>
      <c r="U167" s="8">
        <f>(Q61*($E61/365)) + (Q62*($E62/365))</f>
        <v>55.4</v>
      </c>
      <c r="W167" s="8">
        <f xml:space="preserve"> R61*(E61/365) + R62*(E62/365)</f>
        <v>55.4</v>
      </c>
    </row>
    <row r="168" spans="1:29">
      <c r="A168" s="54">
        <v>1986</v>
      </c>
      <c r="B168" s="8">
        <f>(K63*($E63/365)) + (K64*($E64/365))</f>
        <v>0</v>
      </c>
      <c r="C168" s="8">
        <f>(L63*($E63/365)) + (L64*($E64/365))</f>
        <v>0</v>
      </c>
      <c r="D168" s="8">
        <f>(M63*($E63/365)) + (M64*($E64/365))</f>
        <v>100</v>
      </c>
      <c r="E168" s="30">
        <f t="shared" si="54"/>
        <v>100</v>
      </c>
      <c r="G168" s="9">
        <v>1986</v>
      </c>
      <c r="H168" s="886">
        <f>(O63/$R63*100*($E63/365))+(O64/$R64*100*($E64/365))</f>
        <v>0</v>
      </c>
      <c r="I168" s="886"/>
      <c r="J168" s="886">
        <f>(P63/$R63*100*($E63/365))+(P64/$R64*100*($E64/365))</f>
        <v>0</v>
      </c>
      <c r="K168" s="886"/>
      <c r="L168" s="886">
        <f>(Q63/$R63*100*($E63/365))+(Q64/$R64*100*($E64/365))</f>
        <v>100</v>
      </c>
      <c r="M168" s="886"/>
      <c r="N168" s="887">
        <f t="shared" si="55"/>
        <v>100</v>
      </c>
      <c r="O168" s="887"/>
      <c r="R168" s="9">
        <v>1986</v>
      </c>
      <c r="S168" s="8">
        <f>(O63*($E63/365)) + (O64*($E64/365))</f>
        <v>0</v>
      </c>
      <c r="T168" s="8">
        <f>(P63*($E63/365)) + (P64*($E64/365))</f>
        <v>0</v>
      </c>
      <c r="U168" s="8">
        <f>(Q63*($E63/365)) + (Q64*($E64/365))</f>
        <v>55.4</v>
      </c>
      <c r="W168" s="8">
        <f xml:space="preserve"> R63*(E63/365) + R64*(E64/365)</f>
        <v>55.4</v>
      </c>
    </row>
    <row r="169" spans="1:29">
      <c r="A169" s="54">
        <v>1987</v>
      </c>
      <c r="B169" s="8">
        <f>(K65*($E65/365)) + (K66*($E66/365))</f>
        <v>0</v>
      </c>
      <c r="C169" s="8">
        <f>(L65*($E65/365)) + (L66*($E66/365))</f>
        <v>0</v>
      </c>
      <c r="D169" s="8">
        <f>(M65*($E65/365)) + (M66*($E66/365))</f>
        <v>100</v>
      </c>
      <c r="E169" s="30">
        <f t="shared" si="54"/>
        <v>100</v>
      </c>
      <c r="G169" s="9">
        <v>1987</v>
      </c>
      <c r="H169" s="886">
        <f>(O65/$R65*100*($E65/365))+(O66/$R66*100*($E66/365))</f>
        <v>0</v>
      </c>
      <c r="I169" s="886"/>
      <c r="J169" s="886">
        <f>(P65/$R65*100*($E65/365))+(P66/$R66*100*($E66/365))</f>
        <v>0</v>
      </c>
      <c r="K169" s="886"/>
      <c r="L169" s="886">
        <f>(Q65/$R65*100*($E65/365))+(Q66/$R66*100*($E66/365))</f>
        <v>100</v>
      </c>
      <c r="M169" s="886"/>
      <c r="N169" s="887">
        <f t="shared" si="55"/>
        <v>100</v>
      </c>
      <c r="O169" s="887"/>
      <c r="R169" s="9">
        <v>1987</v>
      </c>
      <c r="S169" s="8">
        <f>(O65*($E65/365)) + (O66*($E66/365))</f>
        <v>0</v>
      </c>
      <c r="T169" s="8">
        <f>(P65*($E65/365)) + (P66*($E66/365))</f>
        <v>0</v>
      </c>
      <c r="U169" s="8">
        <f>(Q65*($E65/365)) + (Q66*($E66/365))</f>
        <v>56.605753424657529</v>
      </c>
      <c r="W169" s="8">
        <f xml:space="preserve"> R65*(E65/365) + R66*(E66/365)</f>
        <v>56.605753424657529</v>
      </c>
    </row>
    <row r="170" spans="1:29">
      <c r="A170" s="54">
        <v>1988</v>
      </c>
      <c r="B170" s="8">
        <f>(K67*($E67/366)) + (K68*($E68/366))</f>
        <v>0</v>
      </c>
      <c r="C170" s="8">
        <f>(L67*($E67/366)) + (L68*($E68/366))</f>
        <v>0</v>
      </c>
      <c r="D170" s="8">
        <f>(M67*($E67/366)) + (M68*($E68/366))</f>
        <v>100</v>
      </c>
      <c r="E170" s="30">
        <f t="shared" si="54"/>
        <v>100</v>
      </c>
      <c r="G170" s="9">
        <v>1988</v>
      </c>
      <c r="H170" s="886">
        <f>(O67/$R67*100*($E67/366))+(O68/$R68*100*($E68/366))</f>
        <v>0</v>
      </c>
      <c r="I170" s="886"/>
      <c r="J170" s="886">
        <f>(P67/$R67*100*($E67/366))+(P68/$R68*100*($E68/366))</f>
        <v>0</v>
      </c>
      <c r="K170" s="886"/>
      <c r="L170" s="886">
        <f>(Q67/$R67*100*($E67/366))+(Q68/$R68*100*($E68/366))</f>
        <v>100</v>
      </c>
      <c r="M170" s="886"/>
      <c r="N170" s="887">
        <f t="shared" si="55"/>
        <v>100</v>
      </c>
      <c r="O170" s="887"/>
      <c r="R170" s="9">
        <v>1988</v>
      </c>
      <c r="S170" s="8">
        <f>(O67*($E67/366)) + (O68*($E68/366))</f>
        <v>0</v>
      </c>
      <c r="T170" s="8">
        <f>(P67*($E67/366)) + (P68*($E68/366))</f>
        <v>0</v>
      </c>
      <c r="U170" s="8">
        <f>(Q67*($E67/366)) + (Q68*($E68/366))</f>
        <v>58.1</v>
      </c>
      <c r="W170" s="8">
        <f xml:space="preserve"> R67*(E67/366) + R68*(E68/366)</f>
        <v>58.1</v>
      </c>
    </row>
    <row r="171" spans="1:29" s="19" customFormat="1">
      <c r="A171" s="55">
        <v>1989</v>
      </c>
      <c r="B171" s="11">
        <f>(K69*($E69/365)) + (K70*($E70/365))</f>
        <v>0</v>
      </c>
      <c r="C171" s="11">
        <f>(L69*($E69/365)) + (L70*($E70/365))</f>
        <v>0</v>
      </c>
      <c r="D171" s="11">
        <f>(M69*($E69/365)) + (M70*($E70/365))</f>
        <v>100</v>
      </c>
      <c r="E171" s="29">
        <f t="shared" si="54"/>
        <v>100</v>
      </c>
      <c r="G171" s="10">
        <v>1989</v>
      </c>
      <c r="H171" s="892">
        <f>(O69/$R69*100*($E69/365))+(O70/$R70*100*($E70/365))</f>
        <v>0</v>
      </c>
      <c r="I171" s="892"/>
      <c r="J171" s="892">
        <f>(P69/$R69*100*($E69/365))+(P70/$R70*100*($E70/365))</f>
        <v>0</v>
      </c>
      <c r="K171" s="892"/>
      <c r="L171" s="892">
        <f>(Q69/$R69*100*($E69/365))+(Q70/$R70*100*($E70/365))</f>
        <v>100</v>
      </c>
      <c r="M171" s="892"/>
      <c r="N171" s="893">
        <f t="shared" si="55"/>
        <v>100</v>
      </c>
      <c r="O171" s="893"/>
      <c r="R171" s="10">
        <v>1989</v>
      </c>
      <c r="S171" s="11">
        <f>(O69*($E69/365)) + (O70*($E70/365))</f>
        <v>0</v>
      </c>
      <c r="T171" s="11">
        <f>(P69*($E69/365)) + (P70*($E70/365))</f>
        <v>0</v>
      </c>
      <c r="U171" s="11">
        <f>(Q69*($E69/365)) + (Q70*($E70/365))</f>
        <v>58.1</v>
      </c>
      <c r="W171" s="11">
        <f xml:space="preserve"> R69*(E69/365) + R70*(E70/365)</f>
        <v>58.1</v>
      </c>
    </row>
    <row r="172" spans="1:29">
      <c r="A172" s="57">
        <v>1990</v>
      </c>
      <c r="B172" s="8">
        <f>(K71*($E71/365))+(K72*($E72/365))</f>
        <v>0</v>
      </c>
      <c r="C172" s="8">
        <f>(L71*($E71/365))+(L72*($E72/365))</f>
        <v>0</v>
      </c>
      <c r="D172" s="8">
        <f>(M71*($E71/365))+(M72*($E72/365))</f>
        <v>100</v>
      </c>
      <c r="E172" s="24">
        <f>SUM(B172:D172)</f>
        <v>100</v>
      </c>
      <c r="G172" s="9">
        <v>1990</v>
      </c>
      <c r="H172" s="894">
        <f>(O71/$R71*100*($E71/365))+(O72/$R72*100*($E72/365))</f>
        <v>0</v>
      </c>
      <c r="I172" s="894"/>
      <c r="J172" s="894">
        <f>(P71/$R71*100*($E71/365))+(P72/$R72*100*($E72/365))</f>
        <v>0</v>
      </c>
      <c r="K172" s="894"/>
      <c r="L172" s="894">
        <f>(Q71/$R71*100*($E71/365))+(Q72/$R72*100*($E72/365))</f>
        <v>100</v>
      </c>
      <c r="M172" s="894"/>
      <c r="N172" s="887">
        <f t="shared" ref="N172:N194" si="56">SUM(H172:M172)</f>
        <v>100</v>
      </c>
      <c r="O172" s="887"/>
      <c r="R172" s="9">
        <v>1990</v>
      </c>
      <c r="S172" s="8">
        <f>(O71*($E71/365))+(O72*($E72/365))</f>
        <v>0</v>
      </c>
      <c r="T172" s="8">
        <f>(P71*($E71/365))+(P72*($E72/365))</f>
        <v>0</v>
      </c>
      <c r="U172" s="8">
        <f>(Q71*($E71/365))+(Q72*($E72/365))</f>
        <v>54.075890410958905</v>
      </c>
      <c r="W172" s="8">
        <f xml:space="preserve"> R71*(E71/365) + R72*(E72/365)</f>
        <v>54.075890410958905</v>
      </c>
    </row>
    <row r="173" spans="1:29">
      <c r="A173" s="57">
        <v>1991</v>
      </c>
      <c r="B173" s="8">
        <f>(K73*($E73/365))+(K74*($E74/365))</f>
        <v>0</v>
      </c>
      <c r="C173" s="8">
        <f>(L73*($E73/365))+(L74*($E74/365))</f>
        <v>0</v>
      </c>
      <c r="D173" s="8">
        <f>(M73*($E73/365))+(M74*($E74/365))</f>
        <v>100</v>
      </c>
      <c r="E173" s="24">
        <f t="shared" ref="E173:E194" si="57">SUM(B173:D173)</f>
        <v>100</v>
      </c>
      <c r="G173" s="9">
        <v>1991</v>
      </c>
      <c r="H173" s="886">
        <f>(O73/$R73*100*($E73/365))+(O74/$R74*100*($E74/365))</f>
        <v>0</v>
      </c>
      <c r="I173" s="886"/>
      <c r="J173" s="886">
        <f>(P73/$R73*100*($E73/365))+(P74/$R74*100*($E74/365))</f>
        <v>0</v>
      </c>
      <c r="K173" s="886"/>
      <c r="L173" s="886">
        <f>(Q73/$R73*100*($E73/365))+(Q74/$R74*100*($E74/365))</f>
        <v>100</v>
      </c>
      <c r="M173" s="886"/>
      <c r="N173" s="887">
        <f t="shared" si="56"/>
        <v>100</v>
      </c>
      <c r="O173" s="887"/>
      <c r="R173" s="9">
        <v>1991</v>
      </c>
      <c r="S173" s="8">
        <f>(O73*($E73/365))+(O74*($E74/365))</f>
        <v>0</v>
      </c>
      <c r="T173" s="8">
        <f>(P73*($E73/365))+(P74*($E74/365))</f>
        <v>0</v>
      </c>
      <c r="U173" s="8">
        <f>(Q73*($E73/365))+(Q74*($E74/365))</f>
        <v>52.699999999999996</v>
      </c>
      <c r="W173" s="8">
        <f xml:space="preserve"> R73*(E73/365) + R74*(E74/365)</f>
        <v>52.699999999999996</v>
      </c>
    </row>
    <row r="174" spans="1:29">
      <c r="A174" s="57">
        <v>1992</v>
      </c>
      <c r="B174" s="8">
        <f>(K75*($E75/366))+(K76*($E76/366))</f>
        <v>0</v>
      </c>
      <c r="C174" s="8">
        <f>(L75*($E75/366))+(L76*($E76/366))</f>
        <v>0</v>
      </c>
      <c r="D174" s="8">
        <f>(M75*($E75/366))+(M76*($E76/366))</f>
        <v>100</v>
      </c>
      <c r="E174" s="24">
        <f t="shared" si="57"/>
        <v>100</v>
      </c>
      <c r="G174" s="9">
        <v>1992</v>
      </c>
      <c r="H174" s="886">
        <f>(O75/$R75*100*($E75/366))+(O76/$R76*100*($E76/366))</f>
        <v>0</v>
      </c>
      <c r="I174" s="886"/>
      <c r="J174" s="886">
        <f>(P75/$R75*100*($E75/366))+(P76/$R76*100*($E76/366))</f>
        <v>0</v>
      </c>
      <c r="K174" s="886"/>
      <c r="L174" s="886">
        <f>(Q75/$R75*100*($E75/366))+(Q76/$R76*100*($E76/366))</f>
        <v>100</v>
      </c>
      <c r="M174" s="886"/>
      <c r="N174" s="887">
        <f t="shared" si="56"/>
        <v>100</v>
      </c>
      <c r="O174" s="887"/>
      <c r="R174" s="9">
        <v>1992</v>
      </c>
      <c r="S174" s="8">
        <f>(O75*($E75/366))+(O76*($E76/366))</f>
        <v>0</v>
      </c>
      <c r="T174" s="8">
        <f>(P75*($E75/366))+(P76*($E76/366))</f>
        <v>0</v>
      </c>
      <c r="U174" s="8">
        <f>(Q75*($E75/366))+(Q76*($E76/366))</f>
        <v>52.7</v>
      </c>
      <c r="W174" s="8">
        <f xml:space="preserve"> R75*(E75/366) + R76*(E76/366)</f>
        <v>52.7</v>
      </c>
    </row>
    <row r="175" spans="1:29">
      <c r="A175" s="57">
        <v>1993</v>
      </c>
      <c r="B175" s="8">
        <f>(K77*($E77/365))+(K78*($E78/365))</f>
        <v>0</v>
      </c>
      <c r="C175" s="8">
        <f>(L77*($E77/365))+(L78*($E78/365))</f>
        <v>0</v>
      </c>
      <c r="D175" s="8">
        <f>(M77*($E77/365))+(M78*($E78/365))</f>
        <v>99.999999999999986</v>
      </c>
      <c r="E175" s="24">
        <f t="shared" si="57"/>
        <v>99.999999999999986</v>
      </c>
      <c r="G175" s="9">
        <v>1993</v>
      </c>
      <c r="H175" s="886">
        <f>(O77/$R77*100*($E77/365))+(O78/$R78*100*($E78/365))</f>
        <v>0</v>
      </c>
      <c r="I175" s="886"/>
      <c r="J175" s="886">
        <f>(P77/$R77*100*($E77/365))+(P78/$R78*100*($E78/365))</f>
        <v>0</v>
      </c>
      <c r="K175" s="886"/>
      <c r="L175" s="886">
        <f>(Q77/$R77*100*($E77/365))+(Q78/$R78*100*($E78/365))</f>
        <v>99.999999999999986</v>
      </c>
      <c r="M175" s="886"/>
      <c r="N175" s="887">
        <f t="shared" si="56"/>
        <v>99.999999999999986</v>
      </c>
      <c r="O175" s="887"/>
      <c r="R175" s="9">
        <v>1993</v>
      </c>
      <c r="S175" s="8">
        <f>(O77*($E77/365))+(O78*($E78/365))</f>
        <v>0</v>
      </c>
      <c r="T175" s="8">
        <f>(P77*($E77/365))+(P78*($E78/365))</f>
        <v>0</v>
      </c>
      <c r="U175" s="8">
        <f>(Q77*($E77/365))+(Q78*($E78/365))</f>
        <v>52.737260273972602</v>
      </c>
      <c r="W175" s="8">
        <f xml:space="preserve"> R77*(E77/365) + R78*(E78/365)</f>
        <v>52.737260273972602</v>
      </c>
    </row>
    <row r="176" spans="1:29">
      <c r="A176" s="57">
        <v>1994</v>
      </c>
      <c r="B176" s="8">
        <f>(K79*($E79/365))+(K80*($E80/365))</f>
        <v>0</v>
      </c>
      <c r="C176" s="8">
        <f>(L79*($E79/365))+(L80*($E80/365))</f>
        <v>0</v>
      </c>
      <c r="D176" s="8">
        <f>(M79*($E79/365))+(M80*($E80/365))</f>
        <v>100</v>
      </c>
      <c r="E176" s="24">
        <f t="shared" si="57"/>
        <v>100</v>
      </c>
      <c r="G176" s="9">
        <v>1994</v>
      </c>
      <c r="H176" s="886">
        <f>(O79/$R79*100*($E79/365))+(O80/$R80*100*($E80/365))</f>
        <v>0</v>
      </c>
      <c r="I176" s="886"/>
      <c r="J176" s="886">
        <f>(P79/$R79*100*($E79/365))+(P80/$R80*100*($E80/365))</f>
        <v>0</v>
      </c>
      <c r="K176" s="886"/>
      <c r="L176" s="886">
        <f>(Q79/$R79*100*($E79/365))+(Q80/$R80*100*($E80/365))</f>
        <v>100</v>
      </c>
      <c r="M176" s="886"/>
      <c r="N176" s="887">
        <f t="shared" si="56"/>
        <v>100</v>
      </c>
      <c r="O176" s="887"/>
      <c r="R176" s="9">
        <v>1994</v>
      </c>
      <c r="S176" s="8">
        <f>(O79*($E79/365))+(O80*($E80/365))</f>
        <v>0</v>
      </c>
      <c r="T176" s="8">
        <f>(P79*($E79/365))+(P80*($E80/365))</f>
        <v>0</v>
      </c>
      <c r="U176" s="8">
        <f>(Q79*($E79/365))+(Q80*($E80/365))</f>
        <v>54.4</v>
      </c>
      <c r="W176" s="8">
        <f xml:space="preserve"> R79*(E79/365) + R80*(E80/365)</f>
        <v>54.4</v>
      </c>
    </row>
    <row r="177" spans="1:23">
      <c r="A177" s="57">
        <v>1995</v>
      </c>
      <c r="B177" s="8">
        <f>(K81*($E81/365))+(K82*($E82/365))</f>
        <v>0</v>
      </c>
      <c r="C177" s="8">
        <f>(L81*($E81/365))+(L82*($E82/365))</f>
        <v>0</v>
      </c>
      <c r="D177" s="8">
        <f>(M81*($E81/365))+(M82*($E82/365))</f>
        <v>100</v>
      </c>
      <c r="E177" s="24">
        <f t="shared" si="57"/>
        <v>100</v>
      </c>
      <c r="G177" s="9">
        <v>1995</v>
      </c>
      <c r="H177" s="886">
        <f>(O81/$R81*100*($E81/365))+(O82/$R82*100*($E82/365))</f>
        <v>0</v>
      </c>
      <c r="I177" s="886"/>
      <c r="J177" s="886">
        <f>(P81/$R81*100*($E81/365))+(P82/$R82*100*($E82/365))</f>
        <v>0</v>
      </c>
      <c r="K177" s="886"/>
      <c r="L177" s="886">
        <f>(Q81/$R81*100*($E81/365))+(Q82/$R82*100*($E82/365))</f>
        <v>100</v>
      </c>
      <c r="M177" s="886"/>
      <c r="N177" s="887">
        <f t="shared" si="56"/>
        <v>100</v>
      </c>
      <c r="O177" s="887"/>
      <c r="R177" s="9">
        <v>1995</v>
      </c>
      <c r="S177" s="8">
        <f>(O81*($E81/365))+(O82*($E82/365))</f>
        <v>0</v>
      </c>
      <c r="T177" s="8">
        <f>(P81*($E81/365))+(P82*($E82/365))</f>
        <v>0</v>
      </c>
      <c r="U177" s="8">
        <f>(Q81*($E81/365))+(Q82*($E82/365))</f>
        <v>54.4</v>
      </c>
      <c r="W177" s="8">
        <f xml:space="preserve"> R81*(E81/365) + R82*(E82/365)</f>
        <v>54.4</v>
      </c>
    </row>
    <row r="178" spans="1:23">
      <c r="A178" s="57">
        <v>1996</v>
      </c>
      <c r="B178" s="8">
        <f>(K83*($E83/366))+(K84*($E84/366))</f>
        <v>80.874316939890718</v>
      </c>
      <c r="C178" s="8">
        <f>(L83*($E83/366))+(L84*($E84/366))</f>
        <v>0</v>
      </c>
      <c r="D178" s="8">
        <f>(M83*($E83/366))+(M84*($E84/366))</f>
        <v>19.125683060109289</v>
      </c>
      <c r="E178" s="24">
        <f t="shared" si="57"/>
        <v>100</v>
      </c>
      <c r="G178" s="9">
        <v>1996</v>
      </c>
      <c r="H178" s="886">
        <f>(O83/$R83*100*($E83/366))+(O84/$R84*100*($E84/366))</f>
        <v>80.874316939890718</v>
      </c>
      <c r="I178" s="886"/>
      <c r="J178" s="886">
        <f>(P83/$R83*100*($E83/366))+(P84/$R84*100*($E84/366))</f>
        <v>0</v>
      </c>
      <c r="K178" s="886"/>
      <c r="L178" s="886">
        <f>(Q83/$R83*100*($E83/366))+(Q84/$R84*100*($E84/366))</f>
        <v>19.125683060109289</v>
      </c>
      <c r="M178" s="886"/>
      <c r="N178" s="887">
        <f t="shared" si="56"/>
        <v>100</v>
      </c>
      <c r="O178" s="887"/>
      <c r="R178" s="9">
        <v>1996</v>
      </c>
      <c r="S178" s="8">
        <f>(O83*($E83/366))+(O84*($E84/366))</f>
        <v>51.355191256830601</v>
      </c>
      <c r="T178" s="8">
        <f>(P83*($E83/366))+(P84*($E84/366))</f>
        <v>0</v>
      </c>
      <c r="U178" s="8">
        <f>(Q83*($E83/366))+(Q84*($E84/366))</f>
        <v>10.404371584699453</v>
      </c>
      <c r="W178" s="8">
        <f xml:space="preserve"> R83*(E83/366) + R84*(E84/366)</f>
        <v>61.759562841530055</v>
      </c>
    </row>
    <row r="179" spans="1:23">
      <c r="A179" s="57">
        <v>1997</v>
      </c>
      <c r="B179" s="8">
        <f>(K85*($E85/365))+(K86*($E86/365))</f>
        <v>100</v>
      </c>
      <c r="C179" s="8">
        <f>(L85*($E85/365))+(L86*($E86/365))</f>
        <v>0</v>
      </c>
      <c r="D179" s="8">
        <f>(M85*($E85/365))+(M86*($E86/365))</f>
        <v>0</v>
      </c>
      <c r="E179" s="24">
        <f t="shared" si="57"/>
        <v>100</v>
      </c>
      <c r="G179" s="9">
        <v>1997</v>
      </c>
      <c r="H179" s="886">
        <f>(O85/$R85*100*($E85/365))+(O86/$R86*100*($E86/365))</f>
        <v>100</v>
      </c>
      <c r="I179" s="886"/>
      <c r="J179" s="886">
        <f>(P85/$R85*100*($E85/365))+(P86/$R86*100*($E86/365))</f>
        <v>0</v>
      </c>
      <c r="K179" s="886"/>
      <c r="L179" s="886">
        <f>(Q85/$R85*100*($E85/365))+(Q86/$R86*100*($E86/365))</f>
        <v>0</v>
      </c>
      <c r="M179" s="886"/>
      <c r="N179" s="887">
        <f t="shared" si="56"/>
        <v>100</v>
      </c>
      <c r="O179" s="887"/>
      <c r="R179" s="9">
        <v>1997</v>
      </c>
      <c r="S179" s="8">
        <f>(O85*($E85/365))+(O86*($E86/365))</f>
        <v>63.5</v>
      </c>
      <c r="T179" s="8">
        <f>(P85*($E85/365))+(P86*($E86/365))</f>
        <v>0</v>
      </c>
      <c r="U179" s="8">
        <f>(Q85*($E85/365))+(Q86*($E86/365))</f>
        <v>0</v>
      </c>
      <c r="W179" s="8">
        <f xml:space="preserve"> R85*(E85/365) + R86*(E86/365)</f>
        <v>63.5</v>
      </c>
    </row>
    <row r="180" spans="1:23">
      <c r="A180" s="57">
        <v>1998</v>
      </c>
      <c r="B180" s="8">
        <f>(K87*($E87/365))+(K88*($E88/365))</f>
        <v>100</v>
      </c>
      <c r="C180" s="8">
        <f>(L87*($E87/365))+(L88*($E88/365))</f>
        <v>0</v>
      </c>
      <c r="D180" s="8">
        <f>(M87*($E87/365))+(M88*($E88/365))</f>
        <v>0</v>
      </c>
      <c r="E180" s="24">
        <f t="shared" si="57"/>
        <v>100</v>
      </c>
      <c r="G180" s="9">
        <v>1998</v>
      </c>
      <c r="H180" s="886">
        <f>(O87/$R87*100*($E87/365))+(O88/$R88*100*($E88/365))</f>
        <v>100</v>
      </c>
      <c r="I180" s="886"/>
      <c r="J180" s="886">
        <f>(P87/$R87*100*($E87/365))+(P88/$R88*100*($E88/365))</f>
        <v>0</v>
      </c>
      <c r="K180" s="886"/>
      <c r="L180" s="886">
        <f>(Q87/$R87*100*($E87/365))+(Q88/$R88*100*($E88/365))</f>
        <v>0</v>
      </c>
      <c r="M180" s="886"/>
      <c r="N180" s="887">
        <f t="shared" si="56"/>
        <v>100</v>
      </c>
      <c r="O180" s="887"/>
      <c r="R180" s="9">
        <v>1998</v>
      </c>
      <c r="S180" s="8">
        <f>(O87*($E87/365))+(O88*($E88/365))</f>
        <v>61.626027397260273</v>
      </c>
      <c r="T180" s="8">
        <f>(P87*($E87/365))+(P88*($E88/365))</f>
        <v>0</v>
      </c>
      <c r="U180" s="8">
        <f>(Q87*($E87/365))+(Q88*($E88/365))</f>
        <v>0</v>
      </c>
      <c r="W180" s="8">
        <f xml:space="preserve"> R87*(E87/365) + R88*(E88/365)</f>
        <v>61.626027397260273</v>
      </c>
    </row>
    <row r="181" spans="1:23">
      <c r="A181" s="57">
        <v>1999</v>
      </c>
      <c r="B181" s="8">
        <f>(K89*($E89/365))+(K90*($E90/365))</f>
        <v>100</v>
      </c>
      <c r="C181" s="8">
        <f>(L89*($E89/365))+(L90*($E90/365))</f>
        <v>0</v>
      </c>
      <c r="D181" s="8">
        <f>(M89*($E89/365))+(M90*($E90/365))</f>
        <v>0</v>
      </c>
      <c r="E181" s="24">
        <f t="shared" si="57"/>
        <v>100</v>
      </c>
      <c r="G181" s="9">
        <v>1999</v>
      </c>
      <c r="H181" s="886">
        <f>(O89/$R89*100*($E89/365))+(O90/$R90*100*($E90/365))</f>
        <v>100</v>
      </c>
      <c r="I181" s="886"/>
      <c r="J181" s="886">
        <f>(P89/$R89*100*($E89/365))+(P90/$R90*100*($E90/365))</f>
        <v>0</v>
      </c>
      <c r="K181" s="886"/>
      <c r="L181" s="886">
        <f>(Q89/$R89*100*($E89/365))+(Q90/$R90*100*($E90/365))</f>
        <v>0</v>
      </c>
      <c r="M181" s="886"/>
      <c r="N181" s="887">
        <f t="shared" si="56"/>
        <v>100</v>
      </c>
      <c r="O181" s="887"/>
      <c r="R181" s="9">
        <v>1999</v>
      </c>
      <c r="S181" s="8">
        <f>(O89*($E89/365))+(O90*($E90/365))</f>
        <v>54</v>
      </c>
      <c r="T181" s="8">
        <f>(P89*($E89/365))+(P90*($E90/365))</f>
        <v>0</v>
      </c>
      <c r="U181" s="8">
        <f>(Q89*($E89/365))+(Q90*($E90/365))</f>
        <v>0</v>
      </c>
      <c r="W181" s="8">
        <f xml:space="preserve"> R89*(E89/365) + R90*(E90/365)</f>
        <v>54</v>
      </c>
    </row>
    <row r="182" spans="1:23">
      <c r="A182" s="57">
        <v>2000</v>
      </c>
      <c r="B182" s="8">
        <f>(K91*($E91/366))+(K92*($E92/366))</f>
        <v>100</v>
      </c>
      <c r="C182" s="8">
        <f>(L91*($E91/366))+(L92*($E92/366))</f>
        <v>0</v>
      </c>
      <c r="D182" s="8">
        <f>(M91*($E91/366))+(M92*($E92/366))</f>
        <v>0</v>
      </c>
      <c r="E182" s="24">
        <f t="shared" si="57"/>
        <v>100</v>
      </c>
      <c r="G182" s="9">
        <v>2000</v>
      </c>
      <c r="H182" s="886">
        <f>(O91/$R91*100*($E91/366))+(O92/$R92*100*($E92/366))</f>
        <v>100</v>
      </c>
      <c r="I182" s="886"/>
      <c r="J182" s="886">
        <f>(P91/$R91*100*($E91/366))+(P92/$R92*100*($E92/366))</f>
        <v>0</v>
      </c>
      <c r="K182" s="886"/>
      <c r="L182" s="886">
        <f>(Q91/$R91*100*($E91/366))+(Q92/$R92*100*($E92/366))</f>
        <v>0</v>
      </c>
      <c r="M182" s="886"/>
      <c r="N182" s="887">
        <f t="shared" si="56"/>
        <v>100</v>
      </c>
      <c r="O182" s="887"/>
      <c r="R182" s="9">
        <v>2000</v>
      </c>
      <c r="S182" s="8">
        <f>(O91*($E91/366))+(O92*($E92/366))</f>
        <v>54</v>
      </c>
      <c r="T182" s="8">
        <f>(P91*($E91/366))+(P92*($E92/366))</f>
        <v>0</v>
      </c>
      <c r="U182" s="8">
        <f>(Q91*($E91/366))+(Q92*($E92/366))</f>
        <v>0</v>
      </c>
      <c r="W182" s="8">
        <f xml:space="preserve"> R91*(E91/366) + R92*(E92/366)</f>
        <v>54</v>
      </c>
    </row>
    <row r="183" spans="1:23">
      <c r="A183" s="57">
        <v>2001</v>
      </c>
      <c r="B183" s="8">
        <f>(K93*($E93/365))+(K94*($E94/365))</f>
        <v>100</v>
      </c>
      <c r="C183" s="8">
        <f>(L93*($E93/365))+(L94*($E94/365))</f>
        <v>0</v>
      </c>
      <c r="D183" s="8">
        <f>(M93*($E93/365))+(M94*($E94/365))</f>
        <v>0</v>
      </c>
      <c r="E183" s="24">
        <f t="shared" si="57"/>
        <v>100</v>
      </c>
      <c r="G183" s="9">
        <v>2001</v>
      </c>
      <c r="H183" s="886">
        <f>(O93/$R93*100*($E93/365))+(O94/$R94*100*($E94/365))</f>
        <v>100</v>
      </c>
      <c r="I183" s="886"/>
      <c r="J183" s="886">
        <f>(P93/$R93*100*($E93/365))+(P94/$R94*100*($E94/365))</f>
        <v>0</v>
      </c>
      <c r="K183" s="886"/>
      <c r="L183" s="886">
        <f>(Q93/$R93*100*($E93/365))+(Q94/$R94*100*($E94/365))</f>
        <v>0</v>
      </c>
      <c r="M183" s="886"/>
      <c r="N183" s="887">
        <f t="shared" si="56"/>
        <v>100</v>
      </c>
      <c r="O183" s="887"/>
      <c r="R183" s="9">
        <v>2001</v>
      </c>
      <c r="S183" s="8">
        <f>(O93*($E93/365))+(O94*($E94/365))</f>
        <v>54.069041095890412</v>
      </c>
      <c r="T183" s="8">
        <f>(P93*($E93/365))+(P94*($E94/365))</f>
        <v>0</v>
      </c>
      <c r="U183" s="8">
        <f>(Q93*($E93/365))+(Q94*($E94/365))</f>
        <v>0</v>
      </c>
      <c r="W183" s="8">
        <f xml:space="preserve"> R93*(E93/365) + R94*(E94/365)</f>
        <v>54.069041095890412</v>
      </c>
    </row>
    <row r="184" spans="1:23">
      <c r="A184" s="57">
        <v>2002</v>
      </c>
      <c r="B184" s="8">
        <f>(K95*($E95/365))+(K96*($E96/365))</f>
        <v>100</v>
      </c>
      <c r="C184" s="8">
        <f>(L95*($E95/365))+(L96*($E96/365))</f>
        <v>0</v>
      </c>
      <c r="D184" s="8">
        <f>(M95*($E95/365))+(M96*($E96/365))</f>
        <v>0</v>
      </c>
      <c r="E184" s="24">
        <f t="shared" si="57"/>
        <v>100</v>
      </c>
      <c r="G184" s="9">
        <v>2002</v>
      </c>
      <c r="H184" s="886">
        <f>(O95/$R95*100*($E95/365))+(O96/$R96*100*($E96/365))</f>
        <v>100</v>
      </c>
      <c r="I184" s="886"/>
      <c r="J184" s="886">
        <f>(P95/$R95*100*($E95/365))+(P96/$R96*100*($E96/365))</f>
        <v>0</v>
      </c>
      <c r="K184" s="886"/>
      <c r="L184" s="886">
        <f>(Q95/$R95*100*($E95/365))+(Q96/$R96*100*($E96/365))</f>
        <v>0</v>
      </c>
      <c r="M184" s="886"/>
      <c r="N184" s="887">
        <f t="shared" si="56"/>
        <v>100</v>
      </c>
      <c r="O184" s="887"/>
      <c r="R184" s="9">
        <v>2002</v>
      </c>
      <c r="S184" s="8">
        <f>(O95*($E95/365))+(O96*($E96/365))</f>
        <v>54.7</v>
      </c>
      <c r="T184" s="8">
        <f>(P95*($E95/365))+(P96*($E96/365))</f>
        <v>0</v>
      </c>
      <c r="U184" s="8">
        <f>(Q95*($E95/365))+(Q96*($E96/365))</f>
        <v>0</v>
      </c>
      <c r="W184" s="8">
        <f xml:space="preserve"> R95*(E95/365) + R96*(E96/365)</f>
        <v>54.7</v>
      </c>
    </row>
    <row r="185" spans="1:23">
      <c r="A185" s="57">
        <v>2003</v>
      </c>
      <c r="B185" s="8">
        <f>(K97*($E97/365))+(K98*($E98/365))</f>
        <v>100</v>
      </c>
      <c r="C185" s="8">
        <f>(L97*($E97/365))+(L98*($E98/365))</f>
        <v>0</v>
      </c>
      <c r="D185" s="8">
        <f>(M97*($E97/365))+(M98*($E98/365))</f>
        <v>0</v>
      </c>
      <c r="E185" s="24">
        <f t="shared" si="57"/>
        <v>100</v>
      </c>
      <c r="G185" s="9">
        <v>2003</v>
      </c>
      <c r="H185" s="886">
        <f>(O97/$R97*100*($E97/365))+(O98/$R98*100*($E98/365))</f>
        <v>100</v>
      </c>
      <c r="I185" s="886"/>
      <c r="J185" s="886">
        <f>(P97/$R97*100*($E97/365))+(P98/$R98*100*($E98/365))</f>
        <v>0</v>
      </c>
      <c r="K185" s="886"/>
      <c r="L185" s="886">
        <f>(Q97/$R97*100*($E97/365))+(Q98/$R98*100*($E98/365))</f>
        <v>0</v>
      </c>
      <c r="M185" s="886"/>
      <c r="N185" s="887">
        <f t="shared" si="56"/>
        <v>100</v>
      </c>
      <c r="O185" s="887"/>
      <c r="R185" s="9">
        <v>2003</v>
      </c>
      <c r="S185" s="8">
        <f>(O97*($E97/365))+(O98*($E98/365))</f>
        <v>54.7</v>
      </c>
      <c r="T185" s="8">
        <f>(P97*($E97/365))+(P98*($E98/365))</f>
        <v>0</v>
      </c>
      <c r="U185" s="8">
        <f>(Q97*($E97/365))+(Q98*($E98/365))</f>
        <v>0</v>
      </c>
      <c r="W185" s="8">
        <f xml:space="preserve"> R97*(E97/365) + R98*(E98/365)</f>
        <v>54.7</v>
      </c>
    </row>
    <row r="186" spans="1:23">
      <c r="A186" s="57">
        <v>2004</v>
      </c>
      <c r="B186" s="8">
        <f>(K99*($E99/366))+(K100*($E100/366))</f>
        <v>100.00000000000001</v>
      </c>
      <c r="C186" s="8">
        <f>(L99*($E99/366))+(L100*($E100/366))</f>
        <v>0</v>
      </c>
      <c r="D186" s="8">
        <f>(M99*($E99/366))+(M100*($E100/366))</f>
        <v>0</v>
      </c>
      <c r="E186" s="24">
        <f t="shared" si="57"/>
        <v>100.00000000000001</v>
      </c>
      <c r="G186" s="9">
        <v>2004</v>
      </c>
      <c r="H186" s="886">
        <f>(O99/$R99*100*($E99/366))+(O100/$R100*100*($E100/366))</f>
        <v>100.00000000000001</v>
      </c>
      <c r="I186" s="886"/>
      <c r="J186" s="886">
        <f>(P99/$R99*100*($E99/366))+(P100/$R100*100*($E100/366))</f>
        <v>0</v>
      </c>
      <c r="K186" s="886"/>
      <c r="L186" s="886">
        <f>(Q99/$R99*100*($E99/366))+(Q100/$R100*100*($E100/366))</f>
        <v>0</v>
      </c>
      <c r="M186" s="886"/>
      <c r="N186" s="887">
        <f t="shared" si="56"/>
        <v>100.00000000000001</v>
      </c>
      <c r="O186" s="887"/>
      <c r="R186" s="9">
        <v>2004</v>
      </c>
      <c r="S186" s="8">
        <f>(O99*($E99/366))+(O100*($E100/366))</f>
        <v>55.304098360655743</v>
      </c>
      <c r="T186" s="8">
        <f>(P99*($E99/366))+(P100*($E100/366))</f>
        <v>0</v>
      </c>
      <c r="U186" s="8">
        <f>(Q99*($E99/366))+(Q100*($E100/366))</f>
        <v>0</v>
      </c>
      <c r="W186" s="8">
        <f xml:space="preserve"> R99*(E99/366) + R100*(E100/366)</f>
        <v>55.304098360655743</v>
      </c>
    </row>
    <row r="187" spans="1:23">
      <c r="A187" s="57">
        <v>2005</v>
      </c>
      <c r="B187" s="7">
        <f>(K101*($E101/365))+(K102*($E102/365))</f>
        <v>100</v>
      </c>
      <c r="C187" s="7">
        <f>(L101*($E101/365))+(L102*($E102/365))</f>
        <v>0</v>
      </c>
      <c r="D187" s="7">
        <f>(M101*($E101/365))+(M102*($E102/365))</f>
        <v>0</v>
      </c>
      <c r="E187" s="24">
        <f t="shared" si="57"/>
        <v>100</v>
      </c>
      <c r="G187" s="9">
        <v>2005</v>
      </c>
      <c r="H187" s="886">
        <f>(O101/$R101*100*($E101/365))+(O102/$R102*100*($E102/365))</f>
        <v>100</v>
      </c>
      <c r="I187" s="886"/>
      <c r="J187" s="886">
        <f>(P101/$R101*100*($E101/365))+(P102/$R102*100*($E102/365))</f>
        <v>0</v>
      </c>
      <c r="K187" s="886"/>
      <c r="L187" s="886">
        <f>(Q101/$R101*100*($E101/365))+(Q102/$R102*100*($E102/365))</f>
        <v>0</v>
      </c>
      <c r="M187" s="886"/>
      <c r="N187" s="887">
        <f t="shared" si="56"/>
        <v>100</v>
      </c>
      <c r="O187" s="887"/>
      <c r="R187" s="9">
        <v>2005</v>
      </c>
      <c r="S187" s="7">
        <f>(O101*($E101/365))+(O102*($E102/365))</f>
        <v>58</v>
      </c>
      <c r="T187" s="7">
        <f>(P101*($E101/365))+(P102*($E102/365))</f>
        <v>0</v>
      </c>
      <c r="U187" s="7">
        <f>(Q101*($E101/365))+(Q102*($E102/365))</f>
        <v>0</v>
      </c>
      <c r="W187" s="8">
        <f xml:space="preserve"> R101*(E101/365) + R102*(E102/365)</f>
        <v>58</v>
      </c>
    </row>
    <row r="188" spans="1:23">
      <c r="A188" s="58">
        <v>2006</v>
      </c>
      <c r="B188" s="7">
        <f>(K103*($E103/365))+(K104*($E104/365))</f>
        <v>100</v>
      </c>
      <c r="C188" s="7">
        <f>(L103*($E103/365))+(L104*($E104/365))</f>
        <v>0</v>
      </c>
      <c r="D188" s="7">
        <f>(M103*($E103/365))+(M104*($E104/365))</f>
        <v>0</v>
      </c>
      <c r="E188" s="24">
        <f t="shared" si="57"/>
        <v>100</v>
      </c>
      <c r="G188" s="9">
        <v>2006</v>
      </c>
      <c r="H188" s="886">
        <f>(O103/$R103*100*($E103/365))+(O104/$R104*100*($E104/365))</f>
        <v>100</v>
      </c>
      <c r="I188" s="886"/>
      <c r="J188" s="886">
        <f>(P103/$R103*100*($E103/365))+(P104/$R104*100*($E104/365))</f>
        <v>0</v>
      </c>
      <c r="K188" s="886"/>
      <c r="L188" s="886">
        <f>(Q103/$R103*100*($E103/365))+(Q104/$R104*100*($E104/365))</f>
        <v>0</v>
      </c>
      <c r="M188" s="886"/>
      <c r="N188" s="887">
        <f t="shared" si="56"/>
        <v>100</v>
      </c>
      <c r="O188" s="887"/>
      <c r="R188" s="9">
        <v>2006</v>
      </c>
      <c r="S188" s="7">
        <f>(O103*($E103/365))+(O104*($E104/365))</f>
        <v>58</v>
      </c>
      <c r="T188" s="7">
        <f>(P103*($E103/365))+(P104*($E104/365))</f>
        <v>0</v>
      </c>
      <c r="U188" s="7">
        <f>(Q103*($E103/365))+(Q104*($E104/365))</f>
        <v>0</v>
      </c>
      <c r="W188" s="8">
        <f xml:space="preserve"> R103*(E103/365) + R104*(E104/365)</f>
        <v>58</v>
      </c>
    </row>
    <row r="189" spans="1:23">
      <c r="A189" s="58">
        <v>2007</v>
      </c>
      <c r="B189" s="7">
        <f>(K105*($E105/365))+(K106*($E106/365))</f>
        <v>92.054794520547944</v>
      </c>
      <c r="C189" s="7">
        <f>(L105*($E105/365))+(L106*($E106/365))</f>
        <v>0</v>
      </c>
      <c r="D189" s="7">
        <f>(M105*($E105/365))+(M106*($E106/365))</f>
        <v>7.9452054794520555</v>
      </c>
      <c r="E189" s="24">
        <f t="shared" si="57"/>
        <v>100</v>
      </c>
      <c r="G189" s="9">
        <v>2007</v>
      </c>
      <c r="H189" s="886">
        <f>(O105/$R105*100*($E105/365))+(O106/$R106*100*($E106/365))</f>
        <v>92.054794520547944</v>
      </c>
      <c r="I189" s="886"/>
      <c r="J189" s="886">
        <f>(P105/$R105*100*($E105/365))+(P106/$R106*100*($E106/365))</f>
        <v>0</v>
      </c>
      <c r="K189" s="886"/>
      <c r="L189" s="886">
        <f>(Q105/$R105*100*($E105/365))+(Q106/$R106*100*($E106/365))</f>
        <v>7.9452054794520555</v>
      </c>
      <c r="M189" s="886"/>
      <c r="N189" s="887">
        <f t="shared" si="56"/>
        <v>100</v>
      </c>
      <c r="O189" s="887"/>
      <c r="R189" s="9">
        <v>2007</v>
      </c>
      <c r="S189" s="7">
        <f>(O105*($E105/365))+(O106*($E106/365))</f>
        <v>53.391780821917806</v>
      </c>
      <c r="T189" s="7">
        <f>(P105*($E105/365))+(P106*($E106/365))</f>
        <v>0</v>
      </c>
      <c r="U189" s="7">
        <f>(Q105*($E105/365))+(Q106*($E106/365))</f>
        <v>4.3936986301369867</v>
      </c>
      <c r="W189" s="8">
        <f xml:space="preserve"> R105*(E105/365) + R106*(E106/365)</f>
        <v>57.785479452054794</v>
      </c>
    </row>
    <row r="190" spans="1:23">
      <c r="A190" s="57">
        <v>2008</v>
      </c>
      <c r="B190" s="7">
        <f>(K107*($E107/366))+(K108*($E108/366))</f>
        <v>0</v>
      </c>
      <c r="C190" s="7">
        <f>(L107*($E107/366))+(L108*($E108/366))</f>
        <v>0</v>
      </c>
      <c r="D190" s="7">
        <f>(M107*($E107/366))+(M108*($E108/366))</f>
        <v>100</v>
      </c>
      <c r="E190" s="24">
        <f t="shared" si="57"/>
        <v>100</v>
      </c>
      <c r="G190" s="9">
        <v>2008</v>
      </c>
      <c r="H190" s="886">
        <f>(O107/$R107*100*($E107/366))+(O108/$R108*100*($E108/366))</f>
        <v>0</v>
      </c>
      <c r="I190" s="886"/>
      <c r="J190" s="886">
        <f>(P107/$R107*100*($E107/366))+(P108/$R108*100*($E108/366))</f>
        <v>0</v>
      </c>
      <c r="K190" s="886"/>
      <c r="L190" s="886">
        <f>(Q107/$R107*100*($E107/366))+(Q108/$R108*100*($E108/366))</f>
        <v>100</v>
      </c>
      <c r="M190" s="886"/>
      <c r="N190" s="887">
        <f t="shared" si="56"/>
        <v>100</v>
      </c>
      <c r="O190" s="887"/>
      <c r="R190" s="9">
        <v>2008</v>
      </c>
      <c r="S190" s="7">
        <f>(O107*($E107/366))+(O108*($E108/366))</f>
        <v>0</v>
      </c>
      <c r="T190" s="7">
        <f>(P107*($E107/366))+(P108*($E108/366))</f>
        <v>0</v>
      </c>
      <c r="U190" s="7">
        <f>(Q107*($E107/366))+(Q108*($E108/366))</f>
        <v>55.3</v>
      </c>
      <c r="W190" s="8">
        <f xml:space="preserve"> R107*(E107/366) + R108*(E108/366)</f>
        <v>55.3</v>
      </c>
    </row>
    <row r="191" spans="1:23">
      <c r="A191" s="57">
        <v>2009</v>
      </c>
      <c r="B191" s="7">
        <f>(K109*($E109/365))+(K110*($E110/365))</f>
        <v>0</v>
      </c>
      <c r="C191" s="7">
        <f>(L109*($E109/365))+(L110*($E110/365))</f>
        <v>0</v>
      </c>
      <c r="D191" s="7">
        <f>(M109*($E109/365))+(M110*($E110/365))</f>
        <v>100</v>
      </c>
      <c r="E191" s="24">
        <f t="shared" si="57"/>
        <v>100</v>
      </c>
      <c r="G191" s="9">
        <v>2009</v>
      </c>
      <c r="H191" s="886">
        <f>(O109/$R109*100*($E109/365))+(O110/$R110*100*($E110/365))</f>
        <v>0</v>
      </c>
      <c r="I191" s="886"/>
      <c r="J191" s="886">
        <f>(P109/$R109*100*($E109/365))+(P110/$R110*100*($E110/365))</f>
        <v>0</v>
      </c>
      <c r="K191" s="886"/>
      <c r="L191" s="886">
        <f>(Q109/$R109*100*($E109/365))+(Q110/$R110*100*($E110/365))</f>
        <v>100</v>
      </c>
      <c r="M191" s="886"/>
      <c r="N191" s="887">
        <f t="shared" si="56"/>
        <v>100</v>
      </c>
      <c r="O191" s="887"/>
      <c r="R191" s="9">
        <v>2009</v>
      </c>
      <c r="S191" s="7">
        <f>(O109*($E109/365))+(O110*($E110/365))</f>
        <v>0</v>
      </c>
      <c r="T191" s="7">
        <f>(P109*($E109/365))+(P110*($E110/365))</f>
        <v>0</v>
      </c>
      <c r="U191" s="7">
        <f>(Q109*($E109/365))+(Q110*($E110/365))</f>
        <v>55.3</v>
      </c>
      <c r="W191" s="8">
        <f xml:space="preserve"> R109*(E109/365) + R110*(E110/365)</f>
        <v>55.3</v>
      </c>
    </row>
    <row r="192" spans="1:23">
      <c r="A192" s="57">
        <v>2010</v>
      </c>
      <c r="B192" s="7">
        <f>(K111*($E111/365))+(K112*($E112/365))+(K113*($E113/365))</f>
        <v>0</v>
      </c>
      <c r="C192" s="7">
        <f>(L111*($E111/365))+(L112*($E112/365))+(L113*($E113/365))</f>
        <v>0</v>
      </c>
      <c r="D192" s="7">
        <f>(M111*($E111/365))+(M112*($E112/365))+(M113*($E113/365))</f>
        <v>100</v>
      </c>
      <c r="E192" s="24">
        <f t="shared" si="57"/>
        <v>100</v>
      </c>
      <c r="G192" s="9">
        <v>2010</v>
      </c>
      <c r="H192" s="886">
        <f>(O111/$R111*100*($E111/365))+(O112/$R112*100*($E112/365))+(O113/$R113*100*($E113/365))</f>
        <v>0</v>
      </c>
      <c r="I192" s="886"/>
      <c r="J192" s="886">
        <f>(P111/$R111*100*($E111/365))+(P112/$R112*100*($E112/365))+(P113/$R113*100*($E113/365))</f>
        <v>0</v>
      </c>
      <c r="K192" s="886"/>
      <c r="L192" s="886">
        <f>(Q111/$R111*100*($E111/365))+(Q112/$R112*100*($E112/365))+(Q113/$R113*100*($E113/365))</f>
        <v>100</v>
      </c>
      <c r="M192" s="886"/>
      <c r="N192" s="887">
        <f t="shared" si="56"/>
        <v>100</v>
      </c>
      <c r="O192" s="887"/>
      <c r="R192" s="9">
        <v>2010</v>
      </c>
      <c r="S192" s="7">
        <f>(O111*($E111/365))+(O112*($E112/365))+(O113*($E113/365))</f>
        <v>0</v>
      </c>
      <c r="T192" s="7">
        <f>(P111*($E111/365))+(P112*($E112/365))+(P113*($E113/365))</f>
        <v>0</v>
      </c>
      <c r="U192" s="7">
        <f>(Q111*($E111/365))+(Q112*($E112/365))+(Q113*($E113/365))</f>
        <v>53.11999999999999</v>
      </c>
      <c r="W192" s="8">
        <f xml:space="preserve"> R111*(E111/365) + R112*(E112/365) + R113*(E113/365)</f>
        <v>53.11999999999999</v>
      </c>
    </row>
    <row r="193" spans="1:23">
      <c r="A193" s="57">
        <v>2011</v>
      </c>
      <c r="B193" s="7">
        <f>(K114*($E114/365))+(K115*($E115/365))</f>
        <v>0</v>
      </c>
      <c r="C193" s="7">
        <f>(L114*($E114/365))+(L115*($E115/365))</f>
        <v>0</v>
      </c>
      <c r="D193" s="7">
        <f>(M114*($E114/365))+(M115*($E115/365))</f>
        <v>100</v>
      </c>
      <c r="E193" s="24">
        <f t="shared" si="57"/>
        <v>100</v>
      </c>
      <c r="G193" s="9">
        <v>2011</v>
      </c>
      <c r="H193" s="886">
        <f>(O114/$R114*100*($E114/365))+(O115/$R115*100*($E115/365))</f>
        <v>0</v>
      </c>
      <c r="I193" s="886"/>
      <c r="J193" s="886">
        <f>(P114/$R114*100*($E114/365))+(P115/$R115*100*($E115/365))</f>
        <v>0</v>
      </c>
      <c r="K193" s="886"/>
      <c r="L193" s="886">
        <f>(Q114/$R114*100*($E114/365))+(Q115/$R115*100*($E115/365))</f>
        <v>100</v>
      </c>
      <c r="M193" s="886"/>
      <c r="N193" s="887">
        <f t="shared" si="56"/>
        <v>100</v>
      </c>
      <c r="O193" s="887"/>
      <c r="R193" s="9">
        <v>2011</v>
      </c>
      <c r="S193" s="7">
        <f>(O114*($E114/365))+(O115*($E115/365))</f>
        <v>0</v>
      </c>
      <c r="T193" s="7">
        <f>(P114*($E114/365))+(P115*($E115/365))</f>
        <v>0</v>
      </c>
      <c r="U193" s="7">
        <f>(Q114*($E114/365))+(Q115*($E115/365))</f>
        <v>48</v>
      </c>
      <c r="W193" s="8">
        <f xml:space="preserve"> R114*(E114/365) + R115*(E115/365)</f>
        <v>48</v>
      </c>
    </row>
    <row r="194" spans="1:23">
      <c r="A194" s="57">
        <v>2012</v>
      </c>
      <c r="B194" s="7">
        <f>(K116*($E116/366))+(K117*($E117/366))</f>
        <v>0</v>
      </c>
      <c r="C194" s="7">
        <f>(L116*($E116/366))+(L117*($E117/366))</f>
        <v>0</v>
      </c>
      <c r="D194" s="7">
        <f>(M116*($E116/366))+(M117*($E117/366))</f>
        <v>100</v>
      </c>
      <c r="E194" s="24">
        <f t="shared" si="57"/>
        <v>100</v>
      </c>
      <c r="G194" s="9">
        <v>2012</v>
      </c>
      <c r="H194" s="886">
        <f>(O116/$R116*100*($E116/366))+(O117/$R117*100*($E117/366))</f>
        <v>0</v>
      </c>
      <c r="I194" s="886"/>
      <c r="J194" s="886">
        <f>(P116/$R116*100*($E116/366))+(P117/$R117*100*($E117/366))</f>
        <v>0</v>
      </c>
      <c r="K194" s="886"/>
      <c r="L194" s="886">
        <f>(Q116/$R116*100*($E116/366))+(Q117/$R117*100*($E117/366))</f>
        <v>100</v>
      </c>
      <c r="M194" s="886"/>
      <c r="N194" s="887">
        <f t="shared" si="56"/>
        <v>100</v>
      </c>
      <c r="O194" s="887"/>
      <c r="R194" s="9">
        <v>2012</v>
      </c>
      <c r="S194" s="7">
        <f>(O116*($E116/366))+(O117*($E117/366))</f>
        <v>0</v>
      </c>
      <c r="T194" s="7">
        <f>(P116*($E116/366))+(P117*($E117/366))</f>
        <v>0</v>
      </c>
      <c r="U194" s="7">
        <f>(Q116*($E116/366))+(Q117*($E117/366))</f>
        <v>48</v>
      </c>
      <c r="W194" s="8">
        <f xml:space="preserve"> R116*(E116/366) + R117*(E117/366)</f>
        <v>48</v>
      </c>
    </row>
    <row r="195" spans="1:23">
      <c r="A195" s="57">
        <v>2013</v>
      </c>
      <c r="B195" s="7">
        <f>(K118*($E118/365))+(K119*($E119/365))+(K120*($E120/365))+(K121*($E121/365))</f>
        <v>28.767123287671232</v>
      </c>
      <c r="C195" s="7">
        <f>(L118*($E118/365))+(L119*($E119/365))+(L120*($E120/365))+(L121*($E121/365))</f>
        <v>0</v>
      </c>
      <c r="D195" s="7">
        <f>(M118*($E118/365))+(M119*($E119/365))+(M120*($E120/365))+(M121*($E121/365))</f>
        <v>71.232876712328761</v>
      </c>
      <c r="E195" s="261">
        <f>SUM(B195:D195)</f>
        <v>100</v>
      </c>
      <c r="G195" s="9">
        <v>2013</v>
      </c>
      <c r="H195" s="886">
        <f>(O118/$R118*100*($E118/365))+(O119/$R119*100*($E119/365))+(O120/$R120*100*($E120/365))+(O121/$R121*100*($E121/365))</f>
        <v>28.767123287671232</v>
      </c>
      <c r="I195" s="886"/>
      <c r="J195" s="886">
        <f>(P118/$R118*100*($E118/365))+(P119/$R119*100*($E119/365))+(P120/$R120*100*($E120/365))+(P121/$R121*100*($E121/365))</f>
        <v>0</v>
      </c>
      <c r="K195" s="886"/>
      <c r="L195" s="886">
        <f>(Q118/$R118*100*($E118/365))+(Q119/$R119*100*($E119/365))+(Q120/$R120*100*($E120/365))+(Q121/$R121*100*($E121/365))</f>
        <v>71.232876712328761</v>
      </c>
      <c r="M195" s="886"/>
      <c r="N195" s="887">
        <f t="shared" ref="N195:N199" si="58">SUM(H195:M195)</f>
        <v>100</v>
      </c>
      <c r="O195" s="887"/>
      <c r="R195" s="9">
        <v>2013</v>
      </c>
      <c r="S195" s="7">
        <f>(O118*($E118/365))+(O119*($E119/365))+(O120*($E120/365))+(O121*($E121/365))</f>
        <v>17.260273972602739</v>
      </c>
      <c r="T195" s="7">
        <f>(P118*($E118/365))+(P119*($E119/365))+(P120*($E120/365))+(P121*($E121/365))</f>
        <v>0</v>
      </c>
      <c r="U195" s="7">
        <f>(Q118*($E118/365))+(Q119*($E119/365))+(Q120*($E120/365))+(Q121*($E121/365))</f>
        <v>34.032602739726023</v>
      </c>
      <c r="W195" s="8">
        <f xml:space="preserve"> R118*(E118/365) + R119*(E119/365) + R120*(E120/365) + R121*(E121/365)</f>
        <v>51.292876712328763</v>
      </c>
    </row>
    <row r="196" spans="1:23">
      <c r="A196" s="57">
        <v>2014</v>
      </c>
      <c r="B196" s="7">
        <f>(K122*($E122/365))+(K123*($E123/365))</f>
        <v>100</v>
      </c>
      <c r="C196" s="7">
        <f>(L122*($E122/365))+(L123*($E123/365))</f>
        <v>0</v>
      </c>
      <c r="D196" s="7">
        <f>(M122*($E122/365))+(M123*($E123/365))</f>
        <v>0</v>
      </c>
      <c r="E196" s="434">
        <f>SUM(B196:D196)</f>
        <v>100</v>
      </c>
      <c r="G196" s="9">
        <v>2014</v>
      </c>
      <c r="H196" s="886">
        <f>(O122/$R122*100*($E122/365))+(O123/$R123*100*($E123/365))</f>
        <v>100</v>
      </c>
      <c r="I196" s="886"/>
      <c r="J196" s="886">
        <f>(P122/$R122*100*($E122/365))+(P123/$R123*100*($E123/365))</f>
        <v>0</v>
      </c>
      <c r="K196" s="886"/>
      <c r="L196" s="886">
        <f>(Q122/$R122*100*($E122/365))+(Q123/$R123*100*($E123/365))</f>
        <v>0</v>
      </c>
      <c r="M196" s="886"/>
      <c r="N196" s="887">
        <f t="shared" si="58"/>
        <v>100</v>
      </c>
      <c r="O196" s="887"/>
      <c r="R196" s="9">
        <v>2014</v>
      </c>
      <c r="S196" s="7">
        <f>(O122*($E122/365))+(O123*($E123/365))</f>
        <v>60</v>
      </c>
      <c r="T196" s="7">
        <f>(P122*($E122/365))+(P123*($E123/365))</f>
        <v>0</v>
      </c>
      <c r="U196" s="7">
        <f>(Q122*($E122/365))+(Q123*($E123/365))</f>
        <v>0</v>
      </c>
      <c r="W196" s="8">
        <f xml:space="preserve"> R122*(E122/365) + R123*(E123/365)</f>
        <v>60</v>
      </c>
    </row>
    <row r="197" spans="1:23">
      <c r="A197" s="57">
        <v>2015</v>
      </c>
      <c r="B197" s="571">
        <f>(K124*($E124/365))+(K125*($E125/365))</f>
        <v>100</v>
      </c>
      <c r="C197" s="571">
        <f>(L124*($E124/365))+(L125*($E125/365))</f>
        <v>0</v>
      </c>
      <c r="D197" s="571">
        <f>(M124*($E124/365))+(M125*($E125/365))</f>
        <v>0</v>
      </c>
      <c r="E197" s="567">
        <f>SUM(B197:D197)</f>
        <v>100</v>
      </c>
      <c r="G197" s="9">
        <v>2015</v>
      </c>
      <c r="H197" s="886">
        <f>(O124/$R124*100*($E124/365))+(O125/$R125*100*($E125/365))</f>
        <v>100</v>
      </c>
      <c r="I197" s="886"/>
      <c r="J197" s="886">
        <f>(P124/$R124*100*($E124/365))+(P125/$R125*100*($E125/365))</f>
        <v>0</v>
      </c>
      <c r="K197" s="886"/>
      <c r="L197" s="886">
        <f>(Q124/$R124*100*($E124/365))+(Q125/$R125*100*($E125/365))</f>
        <v>0</v>
      </c>
      <c r="M197" s="886"/>
      <c r="N197" s="887">
        <f t="shared" si="58"/>
        <v>100</v>
      </c>
      <c r="O197" s="887"/>
      <c r="R197" s="9">
        <v>2015</v>
      </c>
      <c r="S197" s="571">
        <f>(O124*($E124/365))+(O125*($E125/365))</f>
        <v>60</v>
      </c>
      <c r="T197" s="571">
        <f>(P124*($E124/365))+(P125*($E125/365))</f>
        <v>0</v>
      </c>
      <c r="U197" s="571">
        <f>(Q124*($E124/365))+(Q125*($E125/365))</f>
        <v>0</v>
      </c>
      <c r="W197" s="566">
        <f xml:space="preserve"> R124*(E124/365) + R125*(E125/365)</f>
        <v>60</v>
      </c>
    </row>
    <row r="198" spans="1:23">
      <c r="A198" s="57">
        <v>2016</v>
      </c>
      <c r="B198" s="643">
        <f>(K126*($E126/366))+(K127*($E127/366))+(K128*($E128/366))</f>
        <v>100</v>
      </c>
      <c r="C198" s="643">
        <f>(L126*($E126/366))+(L127*($E127/366))+(L128*($E128/366))</f>
        <v>0</v>
      </c>
      <c r="D198" s="643">
        <f>(M126*($E126/366))+(M127*($E127/366))+(M128*($E128/366))</f>
        <v>0</v>
      </c>
      <c r="E198" s="640">
        <f>SUM(B198:D198)</f>
        <v>100</v>
      </c>
      <c r="G198" s="9">
        <v>2016</v>
      </c>
      <c r="H198" s="886">
        <f>(O126/$R126*100*($E126/366))+(O127/$R127*100*($E127/366))+(O128/$R128*100*($E128/366))</f>
        <v>100</v>
      </c>
      <c r="I198" s="886"/>
      <c r="J198" s="886">
        <f>(P126/$R126*100*($E126/366))+(P127/$R127*100*($E127/366))+(P128/$R128*100*($E128/366))</f>
        <v>0</v>
      </c>
      <c r="K198" s="886"/>
      <c r="L198" s="886">
        <f>(Q126/$R126*100*($E126/366))+(Q127/$R127*100*($E127/366))+(Q128/$R128*100*($E128/366))</f>
        <v>0</v>
      </c>
      <c r="M198" s="886"/>
      <c r="N198" s="887">
        <f t="shared" si="58"/>
        <v>100</v>
      </c>
      <c r="O198" s="887"/>
      <c r="R198" s="9">
        <v>2016</v>
      </c>
      <c r="S198" s="643">
        <f>(O126*($E126/366))+(O127*($E127/366))+(O128*($E128/366))</f>
        <v>55.781967213114754</v>
      </c>
      <c r="T198" s="643">
        <f>(P126*($E126/366))+(P127*($E127/366))+(P128*($E128/366))</f>
        <v>0</v>
      </c>
      <c r="U198" s="643">
        <f>(Q126*($E126/366))+(Q127*($E127/366))+(Q128*($E128/366))</f>
        <v>0</v>
      </c>
      <c r="W198" s="639">
        <f xml:space="preserve"> R126*(E126/366) + R127*(E127/366)+R128*(E128/366)</f>
        <v>55.781967213114754</v>
      </c>
    </row>
    <row r="199" spans="1:23">
      <c r="A199" s="57">
        <v>2017</v>
      </c>
      <c r="B199" s="739">
        <f>(K129*($E129/365))+(K130*($E130/365))</f>
        <v>100</v>
      </c>
      <c r="C199" s="739">
        <f>(L129*($E129/365))+(L130*($E130/365))</f>
        <v>0</v>
      </c>
      <c r="D199" s="739">
        <f>(M129*($E129/365))+(M130*($E130/365))</f>
        <v>0</v>
      </c>
      <c r="E199" s="737">
        <f>(N129*($E129/365))+(N130*($E130/365))</f>
        <v>100</v>
      </c>
      <c r="G199" s="9">
        <v>2017</v>
      </c>
      <c r="H199" s="886">
        <f>(O129/$R129*100*($E129/365))+(O130/$R130*100*($E130/365))</f>
        <v>100</v>
      </c>
      <c r="I199" s="886"/>
      <c r="J199" s="886">
        <f>(P129/$R129*100*($E129/365))+(P130/$R130*100*($E130/365))</f>
        <v>0</v>
      </c>
      <c r="K199" s="886"/>
      <c r="L199" s="886">
        <f>(Q129/$R129*100*($E129/365))+(Q130/$R130*100*($E130/365))</f>
        <v>0</v>
      </c>
      <c r="M199" s="886"/>
      <c r="N199" s="887">
        <f t="shared" si="58"/>
        <v>100</v>
      </c>
      <c r="O199" s="887"/>
      <c r="R199" s="9">
        <v>2017</v>
      </c>
      <c r="S199" s="739">
        <f>(O129*($E129/365))+(O130*($E130/365))</f>
        <v>50.7</v>
      </c>
      <c r="T199" s="739">
        <f t="shared" ref="T199:U199" si="59">(P129*($E129/365))+(P130*($E130/365))</f>
        <v>0</v>
      </c>
      <c r="U199" s="739">
        <f t="shared" si="59"/>
        <v>0</v>
      </c>
      <c r="W199" s="736">
        <f xml:space="preserve"> R129*(E129/365) + R130*(E130/365)</f>
        <v>50.7</v>
      </c>
    </row>
    <row r="200" spans="1:23">
      <c r="A200" s="57">
        <v>2018</v>
      </c>
      <c r="B200" s="762">
        <f>(K131*($E131/365))+(K132*($E132/365))</f>
        <v>100</v>
      </c>
      <c r="C200" s="762">
        <f>(L131*($E131/365))+(L132*($E132/365))</f>
        <v>0</v>
      </c>
      <c r="D200" s="762">
        <f>(M131*($E131/365))+(M132*($E132/365))</f>
        <v>0</v>
      </c>
      <c r="E200" s="758">
        <f>(N131*($E131/365))+(N132*($E132/365))</f>
        <v>100</v>
      </c>
      <c r="G200" s="9">
        <v>2018</v>
      </c>
      <c r="H200" s="886">
        <f>(O131/$R131*100*($E131/365))+(O132/$R132*100*($E132/365))</f>
        <v>100</v>
      </c>
      <c r="I200" s="886"/>
      <c r="J200" s="886">
        <f>(P131/$R131*100*($E131/365))+(P132/$R132*100*($E132/365))</f>
        <v>0</v>
      </c>
      <c r="K200" s="886"/>
      <c r="L200" s="886">
        <f>(Q131/$R131*100*($E131/365))+(Q132/$R132*100*($E132/365))</f>
        <v>0</v>
      </c>
      <c r="M200" s="886"/>
      <c r="N200" s="887">
        <f>SUM(H200:M200)</f>
        <v>100</v>
      </c>
      <c r="O200" s="887"/>
      <c r="R200" s="9">
        <v>2018</v>
      </c>
      <c r="S200" s="762">
        <f>(O131*($E131/365))+(O132*($E132/365))</f>
        <v>50.7</v>
      </c>
      <c r="T200" s="762">
        <f>(P131*($E131/365))+(P132*($E132/365))</f>
        <v>0</v>
      </c>
      <c r="U200" s="762">
        <f>(Q131*($E131/365))+(Q132*($E132/365))</f>
        <v>0</v>
      </c>
      <c r="W200" s="757">
        <f xml:space="preserve"> R131*(E131/365) + R132*(E132/365)</f>
        <v>50.7</v>
      </c>
    </row>
    <row r="201" spans="1:23">
      <c r="A201" s="57">
        <v>2019</v>
      </c>
      <c r="B201" s="822">
        <f>(K133*($E133/365))+(K134*($E134/365))</f>
        <v>100</v>
      </c>
      <c r="C201" s="822">
        <f>(L133*($E133/365))+(L134*($E134/365))</f>
        <v>0</v>
      </c>
      <c r="D201" s="822">
        <f>(M133*($E133/365))+(M134*($E134/365))</f>
        <v>0</v>
      </c>
      <c r="E201" s="818">
        <f>(N133*($E133/365))+(N134*($E134/365))</f>
        <v>100</v>
      </c>
      <c r="G201" s="9">
        <v>2019</v>
      </c>
      <c r="H201" s="886">
        <f>(O133/$R133*100*($E133/365))+(O134/$R134*100*($E134/365))</f>
        <v>100</v>
      </c>
      <c r="I201" s="886"/>
      <c r="J201" s="886">
        <f>(P133/$R133*100*($E133/365))+(P134/$R134*100*($E134/365))</f>
        <v>0</v>
      </c>
      <c r="K201" s="886"/>
      <c r="L201" s="886">
        <f>(Q133/$R133*100*($E133/365))+(Q134/$R134*100*($E134/365))</f>
        <v>0</v>
      </c>
      <c r="M201" s="886"/>
      <c r="N201" s="887">
        <f>SUM(H201:M201)</f>
        <v>100</v>
      </c>
      <c r="O201" s="887"/>
      <c r="R201" s="9">
        <v>2019</v>
      </c>
      <c r="S201" s="822">
        <f>(O133*($E133/365))+(O134*($E134/365))</f>
        <v>49.927123287671236</v>
      </c>
      <c r="T201" s="822">
        <f>(P133*($E133/365))+(P134*($E134/365))</f>
        <v>0</v>
      </c>
      <c r="U201" s="822">
        <f>(Q133*($E133/365))+(Q134*($E134/365))</f>
        <v>0</v>
      </c>
      <c r="W201" s="819">
        <f xml:space="preserve"> R133*(E133/365) + R134*(E134/365)</f>
        <v>49.927123287671236</v>
      </c>
    </row>
  </sheetData>
  <mergeCells count="399">
    <mergeCell ref="H201:I201"/>
    <mergeCell ref="J201:K201"/>
    <mergeCell ref="L201:M201"/>
    <mergeCell ref="N201:O201"/>
    <mergeCell ref="H178:I178"/>
    <mergeCell ref="H175:I175"/>
    <mergeCell ref="H176:I176"/>
    <mergeCell ref="H200:I200"/>
    <mergeCell ref="J200:K200"/>
    <mergeCell ref="L200:M200"/>
    <mergeCell ref="N200:O200"/>
    <mergeCell ref="J192:K192"/>
    <mergeCell ref="L184:M184"/>
    <mergeCell ref="L185:M185"/>
    <mergeCell ref="H189:I189"/>
    <mergeCell ref="H190:I190"/>
    <mergeCell ref="H191:I191"/>
    <mergeCell ref="H192:I192"/>
    <mergeCell ref="H193:I193"/>
    <mergeCell ref="H185:I185"/>
    <mergeCell ref="H186:I186"/>
    <mergeCell ref="H187:I187"/>
    <mergeCell ref="H188:I188"/>
    <mergeCell ref="J190:K190"/>
    <mergeCell ref="L189:M189"/>
    <mergeCell ref="J191:K191"/>
    <mergeCell ref="J193:K193"/>
    <mergeCell ref="H156:I156"/>
    <mergeCell ref="H157:I157"/>
    <mergeCell ref="H158:I158"/>
    <mergeCell ref="J166:K166"/>
    <mergeCell ref="J189:K189"/>
    <mergeCell ref="J165:K165"/>
    <mergeCell ref="J167:K167"/>
    <mergeCell ref="J168:K168"/>
    <mergeCell ref="J169:K169"/>
    <mergeCell ref="H183:I183"/>
    <mergeCell ref="H184:I184"/>
    <mergeCell ref="J174:K174"/>
    <mergeCell ref="J171:K171"/>
    <mergeCell ref="J172:K172"/>
    <mergeCell ref="J176:K176"/>
    <mergeCell ref="H159:I159"/>
    <mergeCell ref="H180:I180"/>
    <mergeCell ref="H181:I181"/>
    <mergeCell ref="H169:I169"/>
    <mergeCell ref="H170:I170"/>
    <mergeCell ref="H171:I171"/>
    <mergeCell ref="H179:I179"/>
    <mergeCell ref="H177:I177"/>
    <mergeCell ref="H182:I182"/>
    <mergeCell ref="C117:D117"/>
    <mergeCell ref="C111:D111"/>
    <mergeCell ref="C112:D112"/>
    <mergeCell ref="C113:D113"/>
    <mergeCell ref="C114:D114"/>
    <mergeCell ref="C127:D127"/>
    <mergeCell ref="H148:I148"/>
    <mergeCell ref="H149:I149"/>
    <mergeCell ref="H146:I146"/>
    <mergeCell ref="H147:I147"/>
    <mergeCell ref="C118:D118"/>
    <mergeCell ref="C119:D119"/>
    <mergeCell ref="C122:D122"/>
    <mergeCell ref="C123:D123"/>
    <mergeCell ref="C120:D120"/>
    <mergeCell ref="C121:D121"/>
    <mergeCell ref="H143:I143"/>
    <mergeCell ref="H144:I144"/>
    <mergeCell ref="H145:I145"/>
    <mergeCell ref="C129:D129"/>
    <mergeCell ref="C126:D126"/>
    <mergeCell ref="C124:D124"/>
    <mergeCell ref="C125:D125"/>
    <mergeCell ref="H173:I173"/>
    <mergeCell ref="H161:I161"/>
    <mergeCell ref="H162:I162"/>
    <mergeCell ref="H152:I152"/>
    <mergeCell ref="H153:I153"/>
    <mergeCell ref="H154:I154"/>
    <mergeCell ref="H172:I172"/>
    <mergeCell ref="C128:D128"/>
    <mergeCell ref="H174:I174"/>
    <mergeCell ref="C130:D130"/>
    <mergeCell ref="C131:D131"/>
    <mergeCell ref="C132:D132"/>
    <mergeCell ref="C133:D133"/>
    <mergeCell ref="C134:D134"/>
    <mergeCell ref="H150:I150"/>
    <mergeCell ref="H151:I151"/>
    <mergeCell ref="H163:I163"/>
    <mergeCell ref="H164:I164"/>
    <mergeCell ref="H165:I165"/>
    <mergeCell ref="H166:I166"/>
    <mergeCell ref="H167:I167"/>
    <mergeCell ref="H168:I168"/>
    <mergeCell ref="H160:I160"/>
    <mergeCell ref="H155:I155"/>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5:D115"/>
    <mergeCell ref="C116:D116"/>
    <mergeCell ref="C103:D103"/>
    <mergeCell ref="C104:D104"/>
    <mergeCell ref="C105:D105"/>
    <mergeCell ref="C106:D106"/>
    <mergeCell ref="C107:D107"/>
    <mergeCell ref="C108:D108"/>
    <mergeCell ref="C109:D109"/>
    <mergeCell ref="C110:D110"/>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O3:Q3"/>
    <mergeCell ref="G3:M3"/>
    <mergeCell ref="C9:D9"/>
    <mergeCell ref="C10:D10"/>
    <mergeCell ref="A4:A5"/>
    <mergeCell ref="B4:B5"/>
    <mergeCell ref="C4:D5"/>
    <mergeCell ref="E4:E5"/>
    <mergeCell ref="F4:F5"/>
    <mergeCell ref="G4:J4"/>
    <mergeCell ref="R138:W138"/>
    <mergeCell ref="H140:I140"/>
    <mergeCell ref="J140:K140"/>
    <mergeCell ref="L140:M140"/>
    <mergeCell ref="N140:O140"/>
    <mergeCell ref="H142:I142"/>
    <mergeCell ref="J142:K142"/>
    <mergeCell ref="L142:M142"/>
    <mergeCell ref="H141:I141"/>
    <mergeCell ref="J141:K141"/>
    <mergeCell ref="N141:O141"/>
    <mergeCell ref="L141:M141"/>
    <mergeCell ref="N142:O142"/>
    <mergeCell ref="L186:M186"/>
    <mergeCell ref="L182:M182"/>
    <mergeCell ref="J143:K143"/>
    <mergeCell ref="J144:K144"/>
    <mergeCell ref="J145:K145"/>
    <mergeCell ref="J146:K146"/>
    <mergeCell ref="J147:K147"/>
    <mergeCell ref="J148:K148"/>
    <mergeCell ref="L143:M143"/>
    <mergeCell ref="L144:M144"/>
    <mergeCell ref="L145:M145"/>
    <mergeCell ref="L146:M146"/>
    <mergeCell ref="L147:M147"/>
    <mergeCell ref="J149:K149"/>
    <mergeCell ref="J150:K150"/>
    <mergeCell ref="J151:K151"/>
    <mergeCell ref="J152:K152"/>
    <mergeCell ref="L148:M148"/>
    <mergeCell ref="L149:M149"/>
    <mergeCell ref="L161:M161"/>
    <mergeCell ref="L162:M162"/>
    <mergeCell ref="J153:K153"/>
    <mergeCell ref="J159:K159"/>
    <mergeCell ref="J160:K160"/>
    <mergeCell ref="J188:K188"/>
    <mergeCell ref="L191:M191"/>
    <mergeCell ref="L192:M192"/>
    <mergeCell ref="L188:M188"/>
    <mergeCell ref="J170:K170"/>
    <mergeCell ref="N192:O192"/>
    <mergeCell ref="L193:M193"/>
    <mergeCell ref="L190:M190"/>
    <mergeCell ref="J186:K186"/>
    <mergeCell ref="L177:M177"/>
    <mergeCell ref="L179:M179"/>
    <mergeCell ref="L180:M180"/>
    <mergeCell ref="L181:M181"/>
    <mergeCell ref="J177:K177"/>
    <mergeCell ref="J178:K178"/>
    <mergeCell ref="J179:K179"/>
    <mergeCell ref="J180:K180"/>
    <mergeCell ref="J187:K187"/>
    <mergeCell ref="J181:K181"/>
    <mergeCell ref="J182:K182"/>
    <mergeCell ref="J183:K183"/>
    <mergeCell ref="J184:K184"/>
    <mergeCell ref="J185:K185"/>
    <mergeCell ref="L178:M178"/>
    <mergeCell ref="L176:M176"/>
    <mergeCell ref="L167:M167"/>
    <mergeCell ref="J173:K173"/>
    <mergeCell ref="L175:M175"/>
    <mergeCell ref="N150:O150"/>
    <mergeCell ref="N153:O153"/>
    <mergeCell ref="N154:O154"/>
    <mergeCell ref="N161:O161"/>
    <mergeCell ref="N147:O147"/>
    <mergeCell ref="N162:O162"/>
    <mergeCell ref="N175:O175"/>
    <mergeCell ref="N163:O163"/>
    <mergeCell ref="L172:M172"/>
    <mergeCell ref="L173:M173"/>
    <mergeCell ref="L174:M174"/>
    <mergeCell ref="L155:M155"/>
    <mergeCell ref="L164:M164"/>
    <mergeCell ref="L165:M165"/>
    <mergeCell ref="L166:M166"/>
    <mergeCell ref="N156:O156"/>
    <mergeCell ref="J161:K161"/>
    <mergeCell ref="J162:K162"/>
    <mergeCell ref="J157:K157"/>
    <mergeCell ref="J158:K158"/>
    <mergeCell ref="N144:O144"/>
    <mergeCell ref="N145:O145"/>
    <mergeCell ref="N146:O146"/>
    <mergeCell ref="L163:M163"/>
    <mergeCell ref="J175:K175"/>
    <mergeCell ref="J163:K163"/>
    <mergeCell ref="J164:K164"/>
    <mergeCell ref="N157:O157"/>
    <mergeCell ref="N158:O158"/>
    <mergeCell ref="N159:O159"/>
    <mergeCell ref="N160:O160"/>
    <mergeCell ref="J155:K155"/>
    <mergeCell ref="J156:K156"/>
    <mergeCell ref="J154:K154"/>
    <mergeCell ref="L150:M150"/>
    <mergeCell ref="L151:M151"/>
    <mergeCell ref="L152:M152"/>
    <mergeCell ref="L153:M153"/>
    <mergeCell ref="L154:M154"/>
    <mergeCell ref="N148:O148"/>
    <mergeCell ref="L183:M183"/>
    <mergeCell ref="AT4:AW4"/>
    <mergeCell ref="AX4:BA4"/>
    <mergeCell ref="N182:O182"/>
    <mergeCell ref="N191:O191"/>
    <mergeCell ref="L156:M156"/>
    <mergeCell ref="L157:M157"/>
    <mergeCell ref="L158:M158"/>
    <mergeCell ref="L159:M159"/>
    <mergeCell ref="L160:M160"/>
    <mergeCell ref="N149:O149"/>
    <mergeCell ref="L168:M168"/>
    <mergeCell ref="L169:M169"/>
    <mergeCell ref="L170:M170"/>
    <mergeCell ref="L171:M171"/>
    <mergeCell ref="L187:M187"/>
    <mergeCell ref="N155:O155"/>
    <mergeCell ref="N181:O181"/>
    <mergeCell ref="N170:O170"/>
    <mergeCell ref="N171:O171"/>
    <mergeCell ref="N151:O151"/>
    <mergeCell ref="N152:O152"/>
    <mergeCell ref="N190:O190"/>
    <mergeCell ref="N143:O143"/>
    <mergeCell ref="N193:O193"/>
    <mergeCell ref="N173:O173"/>
    <mergeCell ref="N174:O174"/>
    <mergeCell ref="N177:O177"/>
    <mergeCell ref="N178:O178"/>
    <mergeCell ref="N180:O180"/>
    <mergeCell ref="N176:O176"/>
    <mergeCell ref="N164:O164"/>
    <mergeCell ref="N165:O165"/>
    <mergeCell ref="N166:O166"/>
    <mergeCell ref="N167:O167"/>
    <mergeCell ref="N168:O168"/>
    <mergeCell ref="N169:O169"/>
    <mergeCell ref="N183:O183"/>
    <mergeCell ref="N184:O184"/>
    <mergeCell ref="N185:O185"/>
    <mergeCell ref="N186:O186"/>
    <mergeCell ref="N187:O187"/>
    <mergeCell ref="N189:O189"/>
    <mergeCell ref="N172:O172"/>
    <mergeCell ref="N179:O179"/>
    <mergeCell ref="N188:O188"/>
    <mergeCell ref="N194:O194"/>
    <mergeCell ref="L194:M194"/>
    <mergeCell ref="N196:O196"/>
    <mergeCell ref="N195:O195"/>
    <mergeCell ref="H195:I195"/>
    <mergeCell ref="J195:K195"/>
    <mergeCell ref="L195:M195"/>
    <mergeCell ref="H196:I196"/>
    <mergeCell ref="J196:K196"/>
    <mergeCell ref="L196:M196"/>
    <mergeCell ref="H194:I194"/>
    <mergeCell ref="J194:K194"/>
    <mergeCell ref="H199:I199"/>
    <mergeCell ref="J199:K199"/>
    <mergeCell ref="L199:M199"/>
    <mergeCell ref="N199:O199"/>
    <mergeCell ref="H197:I197"/>
    <mergeCell ref="H198:I198"/>
    <mergeCell ref="J198:K198"/>
    <mergeCell ref="L198:M198"/>
    <mergeCell ref="N198:O198"/>
    <mergeCell ref="J197:K197"/>
    <mergeCell ref="L197:M197"/>
    <mergeCell ref="N197:O19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196"/>
  <sheetViews>
    <sheetView zoomScale="166" zoomScaleNormal="120" workbookViewId="0">
      <pane xSplit="1" ySplit="5" topLeftCell="D93" activePane="bottomRight" state="frozen"/>
      <selection pane="topRight" activeCell="B1" sqref="B1"/>
      <selection pane="bottomLeft" activeCell="A5" sqref="A5"/>
      <selection pane="bottomRight" activeCell="S100" sqref="S100"/>
    </sheetView>
  </sheetViews>
  <sheetFormatPr baseColWidth="10" defaultColWidth="10.6640625" defaultRowHeight="10"/>
  <cols>
    <col min="1" max="1" width="5.83203125" style="2" customWidth="1"/>
    <col min="2" max="6" width="7.83203125" style="2" customWidth="1"/>
    <col min="7" max="18" width="4.5" style="2" customWidth="1"/>
    <col min="19" max="21" width="7.83203125" style="2" customWidth="1"/>
    <col min="22" max="53" width="5.6640625" style="2" customWidth="1"/>
    <col min="54" max="16384" width="10.6640625" style="2"/>
  </cols>
  <sheetData>
    <row r="1" spans="1:53" ht="15" customHeight="1">
      <c r="B1" s="22" t="s">
        <v>14</v>
      </c>
    </row>
    <row r="2" spans="1:53" ht="15" customHeight="1">
      <c r="B2" s="22" t="s">
        <v>15</v>
      </c>
    </row>
    <row r="3" spans="1:53">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8" t="s">
        <v>23</v>
      </c>
      <c r="AU5" s="307" t="s">
        <v>24</v>
      </c>
      <c r="AV5" s="307" t="s">
        <v>25</v>
      </c>
      <c r="AW5" s="309" t="s">
        <v>1202</v>
      </c>
      <c r="AX5" s="307" t="s">
        <v>23</v>
      </c>
      <c r="AY5" s="307" t="s">
        <v>24</v>
      </c>
      <c r="AZ5" s="307" t="s">
        <v>25</v>
      </c>
      <c r="BA5" s="310" t="s">
        <v>1202</v>
      </c>
    </row>
    <row r="6" spans="1:53" s="227" customFormat="1">
      <c r="A6" s="233">
        <v>1959</v>
      </c>
      <c r="B6" s="234"/>
      <c r="C6" s="925" t="s">
        <v>1231</v>
      </c>
      <c r="D6" s="925"/>
      <c r="E6" s="227">
        <v>196</v>
      </c>
      <c r="G6" s="235"/>
      <c r="H6" s="227">
        <v>7</v>
      </c>
      <c r="I6" s="227">
        <v>5</v>
      </c>
      <c r="J6" s="236">
        <v>12</v>
      </c>
      <c r="K6" s="217">
        <f>G6/J6*100</f>
        <v>0</v>
      </c>
      <c r="L6" s="218">
        <f>H6/J6*100</f>
        <v>58.333333333333336</v>
      </c>
      <c r="M6" s="218">
        <f>I6/J6*100</f>
        <v>41.666666666666671</v>
      </c>
      <c r="N6" s="219">
        <f>K6+L6+M6</f>
        <v>100</v>
      </c>
      <c r="O6" s="218"/>
      <c r="P6" s="218">
        <v>49.7</v>
      </c>
      <c r="Q6" s="218">
        <v>44.8</v>
      </c>
      <c r="R6" s="237">
        <f>P6+Q6</f>
        <v>94.5</v>
      </c>
      <c r="S6" s="238">
        <v>2</v>
      </c>
      <c r="T6" s="222"/>
      <c r="U6" s="239"/>
      <c r="V6" s="227" t="s">
        <v>16</v>
      </c>
      <c r="W6" s="227" t="s">
        <v>17</v>
      </c>
      <c r="X6" s="227" t="s">
        <v>18</v>
      </c>
      <c r="Y6" s="227">
        <v>49.7</v>
      </c>
      <c r="Z6" s="226" t="s">
        <v>19</v>
      </c>
      <c r="AA6" s="227" t="s">
        <v>20</v>
      </c>
      <c r="AB6" s="227" t="s">
        <v>12</v>
      </c>
      <c r="AC6" s="228">
        <v>44.8</v>
      </c>
      <c r="AD6" s="226"/>
      <c r="AG6" s="228"/>
      <c r="AL6" s="226"/>
      <c r="AO6" s="228"/>
      <c r="AS6" s="259"/>
      <c r="AW6" s="259"/>
      <c r="BA6" s="229"/>
    </row>
    <row r="7" spans="1:53" s="227" customFormat="1">
      <c r="A7" s="233">
        <v>1959</v>
      </c>
      <c r="B7" s="842">
        <v>21747</v>
      </c>
      <c r="C7" s="925" t="s">
        <v>28</v>
      </c>
      <c r="D7" s="925"/>
      <c r="E7" s="227">
        <f xml:space="preserve"> 365-E6</f>
        <v>169</v>
      </c>
      <c r="F7" s="227">
        <v>1</v>
      </c>
      <c r="G7" s="235"/>
      <c r="H7" s="227">
        <v>6</v>
      </c>
      <c r="I7" s="227">
        <v>6</v>
      </c>
      <c r="J7" s="236">
        <v>12</v>
      </c>
      <c r="K7" s="217">
        <f>G7/J7*100</f>
        <v>0</v>
      </c>
      <c r="L7" s="218">
        <f>H7/J7*100</f>
        <v>50</v>
      </c>
      <c r="M7" s="218">
        <f>I7/J7*100</f>
        <v>50</v>
      </c>
      <c r="N7" s="219">
        <f>SUM(K7:M7)</f>
        <v>100</v>
      </c>
      <c r="O7" s="218"/>
      <c r="P7" s="218">
        <v>47.9</v>
      </c>
      <c r="Q7" s="218">
        <v>47.3</v>
      </c>
      <c r="R7" s="237">
        <f>SUM(O7:Q7)</f>
        <v>95.199999999999989</v>
      </c>
      <c r="S7" s="238">
        <v>2</v>
      </c>
      <c r="T7" s="853">
        <v>21680</v>
      </c>
      <c r="U7" s="854">
        <v>21747</v>
      </c>
      <c r="V7" s="227" t="s">
        <v>16</v>
      </c>
      <c r="W7" s="227" t="s">
        <v>17</v>
      </c>
      <c r="X7" s="227" t="s">
        <v>18</v>
      </c>
      <c r="Y7" s="227">
        <v>47.9</v>
      </c>
      <c r="Z7" s="226" t="s">
        <v>19</v>
      </c>
      <c r="AA7" s="227" t="s">
        <v>20</v>
      </c>
      <c r="AB7" s="227" t="s">
        <v>12</v>
      </c>
      <c r="AC7" s="228">
        <v>47.3</v>
      </c>
      <c r="AD7" s="226"/>
      <c r="AG7" s="228"/>
      <c r="AL7" s="226"/>
      <c r="AO7" s="228"/>
      <c r="AS7" s="228"/>
      <c r="AW7" s="228"/>
      <c r="BA7" s="229"/>
    </row>
    <row r="8" spans="1:53" s="73" customFormat="1">
      <c r="A8" s="101">
        <v>1960</v>
      </c>
      <c r="B8" s="832"/>
      <c r="C8" s="917" t="s">
        <v>28</v>
      </c>
      <c r="D8" s="917"/>
      <c r="E8" s="73">
        <v>308</v>
      </c>
      <c r="G8" s="119"/>
      <c r="H8" s="73">
        <v>6</v>
      </c>
      <c r="I8" s="73">
        <v>6</v>
      </c>
      <c r="J8" s="120">
        <v>12</v>
      </c>
      <c r="K8" s="91">
        <f>G8/J8*100</f>
        <v>0</v>
      </c>
      <c r="L8" s="92">
        <f>H8/J8*100</f>
        <v>50</v>
      </c>
      <c r="M8" s="92">
        <f>I8/J8*100</f>
        <v>50</v>
      </c>
      <c r="N8" s="93">
        <f>SUM(K8:M8)</f>
        <v>100</v>
      </c>
      <c r="O8" s="92"/>
      <c r="P8" s="92">
        <v>47.9</v>
      </c>
      <c r="Q8" s="92">
        <v>47.3</v>
      </c>
      <c r="R8" s="121">
        <f>SUM(O8:Q8)</f>
        <v>95.199999999999989</v>
      </c>
      <c r="S8" s="122">
        <v>2</v>
      </c>
      <c r="T8" s="852"/>
      <c r="U8" s="845"/>
      <c r="V8" s="73" t="s">
        <v>16</v>
      </c>
      <c r="W8" s="73" t="s">
        <v>17</v>
      </c>
      <c r="X8" s="73" t="s">
        <v>18</v>
      </c>
      <c r="Y8" s="73">
        <v>47.9</v>
      </c>
      <c r="Z8" s="82" t="s">
        <v>19</v>
      </c>
      <c r="AA8" s="73" t="s">
        <v>20</v>
      </c>
      <c r="AB8" s="73" t="s">
        <v>12</v>
      </c>
      <c r="AC8" s="83">
        <v>47.3</v>
      </c>
      <c r="AD8" s="82"/>
      <c r="AG8" s="83"/>
      <c r="AL8" s="82"/>
      <c r="AO8" s="83"/>
      <c r="AS8" s="83"/>
      <c r="AW8" s="83"/>
      <c r="BA8" s="84"/>
    </row>
    <row r="9" spans="1:53" s="73" customFormat="1">
      <c r="A9" s="101">
        <v>1960</v>
      </c>
      <c r="B9" s="843">
        <v>22224</v>
      </c>
      <c r="C9" s="917" t="s">
        <v>28</v>
      </c>
      <c r="D9" s="917"/>
      <c r="E9" s="73">
        <v>58</v>
      </c>
      <c r="F9" s="123">
        <v>0</v>
      </c>
      <c r="G9" s="119"/>
      <c r="H9" s="73">
        <v>6</v>
      </c>
      <c r="I9" s="73">
        <v>6</v>
      </c>
      <c r="J9" s="120">
        <v>12</v>
      </c>
      <c r="K9" s="91">
        <f t="shared" ref="K9:K15" si="0">G9/J9*100</f>
        <v>0</v>
      </c>
      <c r="L9" s="92">
        <f t="shared" ref="L9:L15" si="1">H9/J9*100</f>
        <v>50</v>
      </c>
      <c r="M9" s="92">
        <f t="shared" ref="M9:M15" si="2">I9/J9*100</f>
        <v>50</v>
      </c>
      <c r="N9" s="93">
        <f t="shared" ref="N9:N72" si="3">SUM(K9:M9)</f>
        <v>100</v>
      </c>
      <c r="O9" s="92"/>
      <c r="P9" s="92">
        <v>47.9</v>
      </c>
      <c r="Q9" s="92">
        <v>47.3</v>
      </c>
      <c r="R9" s="121">
        <f t="shared" ref="R9:R72" si="4">SUM(O9:Q9)</f>
        <v>95.199999999999989</v>
      </c>
      <c r="S9" s="122">
        <v>2</v>
      </c>
      <c r="T9" s="852"/>
      <c r="U9" s="845"/>
      <c r="V9" s="73" t="s">
        <v>16</v>
      </c>
      <c r="W9" s="73" t="s">
        <v>17</v>
      </c>
      <c r="X9" s="73" t="s">
        <v>18</v>
      </c>
      <c r="Y9" s="73">
        <v>47.9</v>
      </c>
      <c r="Z9" s="82" t="s">
        <v>19</v>
      </c>
      <c r="AA9" s="73" t="s">
        <v>20</v>
      </c>
      <c r="AB9" s="73" t="s">
        <v>12</v>
      </c>
      <c r="AC9" s="83">
        <v>47.3</v>
      </c>
      <c r="AD9" s="82"/>
      <c r="AG9" s="83"/>
      <c r="AL9" s="82"/>
      <c r="AO9" s="83"/>
      <c r="AS9" s="83"/>
      <c r="AW9" s="83"/>
      <c r="BA9" s="84"/>
    </row>
    <row r="10" spans="1:53" s="73" customFormat="1">
      <c r="A10" s="101">
        <v>1961</v>
      </c>
      <c r="B10" s="832"/>
      <c r="C10" s="917" t="s">
        <v>28</v>
      </c>
      <c r="D10" s="917"/>
      <c r="E10" s="73">
        <v>101</v>
      </c>
      <c r="F10" s="84"/>
      <c r="G10" s="119"/>
      <c r="H10" s="73">
        <v>6</v>
      </c>
      <c r="I10" s="73">
        <v>6</v>
      </c>
      <c r="J10" s="124">
        <v>12</v>
      </c>
      <c r="K10" s="91">
        <f t="shared" si="0"/>
        <v>0</v>
      </c>
      <c r="L10" s="92">
        <f t="shared" si="1"/>
        <v>50</v>
      </c>
      <c r="M10" s="92">
        <f t="shared" si="2"/>
        <v>50</v>
      </c>
      <c r="N10" s="93">
        <f t="shared" si="3"/>
        <v>100</v>
      </c>
      <c r="O10" s="92"/>
      <c r="P10" s="92">
        <v>47.9</v>
      </c>
      <c r="Q10" s="92">
        <v>47.3</v>
      </c>
      <c r="R10" s="121">
        <f t="shared" si="4"/>
        <v>95.199999999999989</v>
      </c>
      <c r="S10" s="122">
        <v>2</v>
      </c>
      <c r="T10" s="852"/>
      <c r="U10" s="845"/>
      <c r="V10" s="73" t="s">
        <v>16</v>
      </c>
      <c r="W10" s="73" t="s">
        <v>17</v>
      </c>
      <c r="X10" s="73" t="s">
        <v>18</v>
      </c>
      <c r="Y10" s="73">
        <v>47.9</v>
      </c>
      <c r="Z10" s="82" t="s">
        <v>19</v>
      </c>
      <c r="AA10" s="73" t="s">
        <v>20</v>
      </c>
      <c r="AB10" s="73" t="s">
        <v>12</v>
      </c>
      <c r="AC10" s="83">
        <v>47.3</v>
      </c>
      <c r="AD10" s="82"/>
      <c r="AG10" s="83"/>
      <c r="AL10" s="82"/>
      <c r="AO10" s="83"/>
      <c r="AS10" s="83"/>
      <c r="AW10" s="83"/>
      <c r="BA10" s="84"/>
    </row>
    <row r="11" spans="1:53" s="292" customFormat="1">
      <c r="A11" s="338">
        <v>1961</v>
      </c>
      <c r="B11" s="831">
        <v>22383</v>
      </c>
      <c r="C11" s="916" t="s">
        <v>29</v>
      </c>
      <c r="D11" s="916"/>
      <c r="E11" s="292">
        <v>264</v>
      </c>
      <c r="F11" s="301">
        <v>3</v>
      </c>
      <c r="G11" s="366"/>
      <c r="H11" s="292">
        <v>6</v>
      </c>
      <c r="I11" s="292">
        <v>6</v>
      </c>
      <c r="J11" s="367">
        <v>12</v>
      </c>
      <c r="K11" s="335">
        <f t="shared" si="0"/>
        <v>0</v>
      </c>
      <c r="L11" s="336">
        <f t="shared" si="1"/>
        <v>50</v>
      </c>
      <c r="M11" s="336">
        <f t="shared" si="2"/>
        <v>50</v>
      </c>
      <c r="N11" s="337">
        <f t="shared" si="3"/>
        <v>100</v>
      </c>
      <c r="O11" s="336"/>
      <c r="P11" s="336">
        <v>47.9</v>
      </c>
      <c r="Q11" s="336">
        <v>47.3</v>
      </c>
      <c r="R11" s="368">
        <f t="shared" si="4"/>
        <v>95.199999999999989</v>
      </c>
      <c r="S11" s="347">
        <v>2</v>
      </c>
      <c r="T11" s="836"/>
      <c r="U11" s="855">
        <v>22383</v>
      </c>
      <c r="V11" s="292" t="s">
        <v>16</v>
      </c>
      <c r="W11" s="292" t="s">
        <v>17</v>
      </c>
      <c r="X11" s="292" t="s">
        <v>18</v>
      </c>
      <c r="Y11" s="292">
        <v>47.9</v>
      </c>
      <c r="Z11" s="299" t="s">
        <v>19</v>
      </c>
      <c r="AA11" s="292" t="s">
        <v>20</v>
      </c>
      <c r="AB11" s="292" t="s">
        <v>12</v>
      </c>
      <c r="AC11" s="300">
        <v>47.3</v>
      </c>
      <c r="AD11" s="299"/>
      <c r="AG11" s="300"/>
      <c r="AL11" s="299"/>
      <c r="AO11" s="300"/>
      <c r="AS11" s="300"/>
      <c r="AW11" s="300"/>
      <c r="BA11" s="301"/>
    </row>
    <row r="12" spans="1:53" s="292" customFormat="1">
      <c r="A12" s="338">
        <v>1962</v>
      </c>
      <c r="B12" s="831"/>
      <c r="C12" s="916" t="s">
        <v>29</v>
      </c>
      <c r="D12" s="916"/>
      <c r="E12" s="292">
        <v>0</v>
      </c>
      <c r="F12" s="301"/>
      <c r="G12" s="366"/>
      <c r="H12" s="292">
        <v>6</v>
      </c>
      <c r="I12" s="292">
        <v>6</v>
      </c>
      <c r="J12" s="367">
        <v>12</v>
      </c>
      <c r="K12" s="335">
        <f t="shared" si="0"/>
        <v>0</v>
      </c>
      <c r="L12" s="336">
        <f t="shared" si="1"/>
        <v>50</v>
      </c>
      <c r="M12" s="336">
        <f t="shared" si="2"/>
        <v>50</v>
      </c>
      <c r="N12" s="337">
        <f t="shared" si="3"/>
        <v>100</v>
      </c>
      <c r="O12" s="336"/>
      <c r="P12" s="336">
        <v>47.9</v>
      </c>
      <c r="Q12" s="336">
        <v>47.3</v>
      </c>
      <c r="R12" s="368">
        <f t="shared" si="4"/>
        <v>95.199999999999989</v>
      </c>
      <c r="S12" s="347">
        <v>2</v>
      </c>
      <c r="T12" s="836"/>
      <c r="U12" s="855"/>
      <c r="V12" s="292" t="s">
        <v>16</v>
      </c>
      <c r="W12" s="292" t="s">
        <v>17</v>
      </c>
      <c r="X12" s="292" t="s">
        <v>18</v>
      </c>
      <c r="Y12" s="292">
        <v>47.9</v>
      </c>
      <c r="Z12" s="299" t="s">
        <v>19</v>
      </c>
      <c r="AA12" s="292" t="s">
        <v>20</v>
      </c>
      <c r="AB12" s="292" t="s">
        <v>12</v>
      </c>
      <c r="AC12" s="300">
        <v>47.3</v>
      </c>
      <c r="AD12" s="299"/>
      <c r="AG12" s="300"/>
      <c r="AL12" s="299"/>
      <c r="AO12" s="300"/>
      <c r="AS12" s="300"/>
      <c r="AW12" s="300"/>
      <c r="BA12" s="301"/>
    </row>
    <row r="13" spans="1:53" s="292" customFormat="1">
      <c r="A13" s="338">
        <v>1962</v>
      </c>
      <c r="B13" s="831"/>
      <c r="C13" s="916" t="s">
        <v>29</v>
      </c>
      <c r="D13" s="916"/>
      <c r="E13" s="292">
        <v>365</v>
      </c>
      <c r="F13" s="301"/>
      <c r="G13" s="366"/>
      <c r="H13" s="292">
        <v>6</v>
      </c>
      <c r="I13" s="292">
        <v>6</v>
      </c>
      <c r="J13" s="367">
        <v>12</v>
      </c>
      <c r="K13" s="335">
        <f t="shared" si="0"/>
        <v>0</v>
      </c>
      <c r="L13" s="336">
        <f t="shared" si="1"/>
        <v>50</v>
      </c>
      <c r="M13" s="336">
        <f t="shared" si="2"/>
        <v>50</v>
      </c>
      <c r="N13" s="337">
        <f t="shared" si="3"/>
        <v>100</v>
      </c>
      <c r="O13" s="336"/>
      <c r="P13" s="336">
        <v>47.9</v>
      </c>
      <c r="Q13" s="336">
        <v>47.3</v>
      </c>
      <c r="R13" s="368">
        <f t="shared" si="4"/>
        <v>95.199999999999989</v>
      </c>
      <c r="S13" s="347">
        <v>2</v>
      </c>
      <c r="T13" s="836">
        <v>22968</v>
      </c>
      <c r="U13" s="855"/>
      <c r="V13" s="292" t="s">
        <v>16</v>
      </c>
      <c r="W13" s="292" t="s">
        <v>17</v>
      </c>
      <c r="X13" s="292" t="s">
        <v>18</v>
      </c>
      <c r="Y13" s="292">
        <v>47.9</v>
      </c>
      <c r="Z13" s="299" t="s">
        <v>19</v>
      </c>
      <c r="AA13" s="292" t="s">
        <v>20</v>
      </c>
      <c r="AB13" s="292" t="s">
        <v>12</v>
      </c>
      <c r="AC13" s="300">
        <v>47.3</v>
      </c>
      <c r="AD13" s="299"/>
      <c r="AG13" s="300"/>
      <c r="AL13" s="299"/>
      <c r="AO13" s="300"/>
      <c r="AS13" s="300"/>
      <c r="AW13" s="300"/>
      <c r="BA13" s="301"/>
    </row>
    <row r="14" spans="1:53" s="292" customFormat="1">
      <c r="A14" s="338">
        <v>1962.6</v>
      </c>
      <c r="B14" s="831"/>
      <c r="C14" s="916" t="s">
        <v>29</v>
      </c>
      <c r="D14" s="916"/>
      <c r="E14" s="292">
        <v>82</v>
      </c>
      <c r="F14" s="301"/>
      <c r="G14" s="366"/>
      <c r="H14" s="292">
        <v>6</v>
      </c>
      <c r="I14" s="292">
        <v>6</v>
      </c>
      <c r="J14" s="367">
        <v>12</v>
      </c>
      <c r="K14" s="335">
        <f t="shared" si="0"/>
        <v>0</v>
      </c>
      <c r="L14" s="336">
        <f t="shared" si="1"/>
        <v>50</v>
      </c>
      <c r="M14" s="336">
        <f t="shared" si="2"/>
        <v>50</v>
      </c>
      <c r="N14" s="337">
        <f t="shared" si="3"/>
        <v>100</v>
      </c>
      <c r="O14" s="336"/>
      <c r="P14" s="336">
        <v>47.9</v>
      </c>
      <c r="Q14" s="336">
        <v>47.3</v>
      </c>
      <c r="R14" s="368">
        <f t="shared" si="4"/>
        <v>95.199999999999989</v>
      </c>
      <c r="S14" s="347">
        <v>2</v>
      </c>
      <c r="T14" s="836"/>
      <c r="U14" s="855"/>
      <c r="V14" s="292" t="s">
        <v>16</v>
      </c>
      <c r="W14" s="292" t="s">
        <v>17</v>
      </c>
      <c r="X14" s="292" t="s">
        <v>18</v>
      </c>
      <c r="Y14" s="292">
        <v>47.9</v>
      </c>
      <c r="Z14" s="299" t="s">
        <v>19</v>
      </c>
      <c r="AA14" s="292" t="s">
        <v>20</v>
      </c>
      <c r="AB14" s="292" t="s">
        <v>12</v>
      </c>
      <c r="AC14" s="300">
        <v>47.3</v>
      </c>
      <c r="AD14" s="299"/>
      <c r="AG14" s="300"/>
      <c r="AL14" s="299"/>
      <c r="AO14" s="300"/>
      <c r="AS14" s="300"/>
      <c r="AW14" s="300"/>
      <c r="BA14" s="301"/>
    </row>
    <row r="15" spans="1:53" s="73" customFormat="1">
      <c r="A15" s="101">
        <v>1963.05714285714</v>
      </c>
      <c r="B15" s="832">
        <v>23094</v>
      </c>
      <c r="C15" s="917" t="s">
        <v>30</v>
      </c>
      <c r="D15" s="917"/>
      <c r="E15" s="73">
        <v>283</v>
      </c>
      <c r="F15" s="84">
        <v>1</v>
      </c>
      <c r="G15" s="119"/>
      <c r="H15" s="73">
        <v>6</v>
      </c>
      <c r="I15" s="73">
        <v>6</v>
      </c>
      <c r="J15" s="124">
        <v>12</v>
      </c>
      <c r="K15" s="91">
        <f t="shared" si="0"/>
        <v>0</v>
      </c>
      <c r="L15" s="92">
        <f t="shared" si="1"/>
        <v>50</v>
      </c>
      <c r="M15" s="92">
        <f t="shared" si="2"/>
        <v>50</v>
      </c>
      <c r="N15" s="93">
        <f t="shared" si="3"/>
        <v>100</v>
      </c>
      <c r="O15" s="92"/>
      <c r="P15" s="92">
        <v>49.1</v>
      </c>
      <c r="Q15" s="92">
        <v>46.1</v>
      </c>
      <c r="R15" s="121">
        <f t="shared" si="4"/>
        <v>95.2</v>
      </c>
      <c r="S15" s="122">
        <v>2</v>
      </c>
      <c r="T15" s="852"/>
      <c r="U15" s="845">
        <v>23094</v>
      </c>
      <c r="V15" s="73" t="s">
        <v>16</v>
      </c>
      <c r="W15" s="73" t="s">
        <v>17</v>
      </c>
      <c r="X15" s="73" t="s">
        <v>18</v>
      </c>
      <c r="Y15" s="73">
        <v>49.1</v>
      </c>
      <c r="Z15" s="82" t="s">
        <v>19</v>
      </c>
      <c r="AA15" s="73" t="s">
        <v>20</v>
      </c>
      <c r="AB15" s="73" t="s">
        <v>12</v>
      </c>
      <c r="AC15" s="83">
        <v>46.1</v>
      </c>
      <c r="AD15" s="82"/>
      <c r="AG15" s="83"/>
      <c r="AL15" s="82"/>
      <c r="AO15" s="83"/>
      <c r="AS15" s="83"/>
      <c r="AW15" s="83"/>
      <c r="BA15" s="84"/>
    </row>
    <row r="16" spans="1:53" s="73" customFormat="1">
      <c r="A16" s="101">
        <v>1963.5142857142901</v>
      </c>
      <c r="B16" s="832"/>
      <c r="C16" s="917" t="s">
        <v>30</v>
      </c>
      <c r="D16" s="917"/>
      <c r="E16" s="73">
        <v>93</v>
      </c>
      <c r="F16" s="84"/>
      <c r="G16" s="119"/>
      <c r="H16" s="73">
        <v>6</v>
      </c>
      <c r="I16" s="73">
        <v>6</v>
      </c>
      <c r="J16" s="124">
        <v>12</v>
      </c>
      <c r="K16" s="91">
        <f>G16/J16*100</f>
        <v>0</v>
      </c>
      <c r="L16" s="92">
        <f>H16/J16*100</f>
        <v>50</v>
      </c>
      <c r="M16" s="92">
        <f>I16/J16*100</f>
        <v>50</v>
      </c>
      <c r="N16" s="93">
        <f t="shared" si="3"/>
        <v>100</v>
      </c>
      <c r="O16" s="92"/>
      <c r="P16" s="92">
        <v>49.1</v>
      </c>
      <c r="Q16" s="92">
        <v>46.1</v>
      </c>
      <c r="R16" s="121">
        <f t="shared" si="4"/>
        <v>95.2</v>
      </c>
      <c r="S16" s="122">
        <v>2</v>
      </c>
      <c r="T16" s="852"/>
      <c r="U16" s="845"/>
      <c r="V16" s="73" t="s">
        <v>16</v>
      </c>
      <c r="W16" s="73" t="s">
        <v>17</v>
      </c>
      <c r="X16" s="73" t="s">
        <v>18</v>
      </c>
      <c r="Y16" s="73">
        <v>49.1</v>
      </c>
      <c r="Z16" s="82" t="s">
        <v>19</v>
      </c>
      <c r="AA16" s="73" t="s">
        <v>20</v>
      </c>
      <c r="AB16" s="73" t="s">
        <v>12</v>
      </c>
      <c r="AC16" s="83">
        <v>46.1</v>
      </c>
      <c r="AD16" s="82"/>
      <c r="AG16" s="83"/>
      <c r="AL16" s="82"/>
      <c r="AO16" s="83"/>
      <c r="AS16" s="83"/>
      <c r="AW16" s="83"/>
      <c r="BA16" s="84"/>
    </row>
    <row r="17" spans="1:53" s="292" customFormat="1">
      <c r="A17" s="338">
        <v>1963.9714285714299</v>
      </c>
      <c r="B17" s="831">
        <v>23470</v>
      </c>
      <c r="C17" s="909" t="s">
        <v>31</v>
      </c>
      <c r="D17" s="909"/>
      <c r="E17" s="292">
        <v>273</v>
      </c>
      <c r="F17" s="301">
        <v>2</v>
      </c>
      <c r="G17" s="366"/>
      <c r="H17" s="292">
        <v>6</v>
      </c>
      <c r="I17" s="292">
        <v>6</v>
      </c>
      <c r="J17" s="367">
        <v>12</v>
      </c>
      <c r="K17" s="335">
        <f t="shared" ref="K17:K23" si="5">G17/J17*100</f>
        <v>0</v>
      </c>
      <c r="L17" s="336">
        <f t="shared" ref="L17:L23" si="6">H17/J17*100</f>
        <v>50</v>
      </c>
      <c r="M17" s="336">
        <f t="shared" ref="M17:M23" si="7">I17/J17*100</f>
        <v>50</v>
      </c>
      <c r="N17" s="337">
        <f t="shared" si="3"/>
        <v>100</v>
      </c>
      <c r="O17" s="336"/>
      <c r="P17" s="336">
        <v>49.1</v>
      </c>
      <c r="Q17" s="336">
        <v>46.1</v>
      </c>
      <c r="R17" s="368">
        <f t="shared" si="4"/>
        <v>95.2</v>
      </c>
      <c r="S17" s="347">
        <v>2</v>
      </c>
      <c r="T17" s="836"/>
      <c r="U17" s="855">
        <v>23470</v>
      </c>
      <c r="V17" s="292" t="s">
        <v>16</v>
      </c>
      <c r="W17" s="292" t="s">
        <v>17</v>
      </c>
      <c r="X17" s="292" t="s">
        <v>18</v>
      </c>
      <c r="Y17" s="292">
        <v>49.1</v>
      </c>
      <c r="Z17" s="299" t="s">
        <v>19</v>
      </c>
      <c r="AA17" s="292" t="s">
        <v>20</v>
      </c>
      <c r="AB17" s="292" t="s">
        <v>12</v>
      </c>
      <c r="AC17" s="300">
        <v>46.1</v>
      </c>
      <c r="AD17" s="299"/>
      <c r="AG17" s="300"/>
      <c r="AL17" s="299"/>
      <c r="AO17" s="300"/>
      <c r="AS17" s="300"/>
      <c r="AW17" s="300"/>
      <c r="BA17" s="301"/>
    </row>
    <row r="18" spans="1:53" s="292" customFormat="1">
      <c r="A18" s="338">
        <v>1965</v>
      </c>
      <c r="B18" s="831"/>
      <c r="C18" s="909" t="s">
        <v>31</v>
      </c>
      <c r="D18" s="909"/>
      <c r="E18" s="292">
        <v>295</v>
      </c>
      <c r="F18" s="301"/>
      <c r="G18" s="366"/>
      <c r="H18" s="292">
        <v>6</v>
      </c>
      <c r="I18" s="292">
        <v>6</v>
      </c>
      <c r="J18" s="367">
        <v>12</v>
      </c>
      <c r="K18" s="335">
        <f t="shared" si="5"/>
        <v>0</v>
      </c>
      <c r="L18" s="336">
        <f t="shared" si="6"/>
        <v>50</v>
      </c>
      <c r="M18" s="336">
        <f t="shared" si="7"/>
        <v>50</v>
      </c>
      <c r="N18" s="337">
        <f t="shared" si="3"/>
        <v>100</v>
      </c>
      <c r="O18" s="336"/>
      <c r="P18" s="336">
        <v>49.1</v>
      </c>
      <c r="Q18" s="336">
        <v>46.1</v>
      </c>
      <c r="R18" s="368">
        <f t="shared" si="4"/>
        <v>95.2</v>
      </c>
      <c r="S18" s="347">
        <v>2</v>
      </c>
      <c r="T18" s="836"/>
      <c r="U18" s="855"/>
      <c r="V18" s="292" t="s">
        <v>16</v>
      </c>
      <c r="W18" s="292" t="s">
        <v>17</v>
      </c>
      <c r="X18" s="292" t="s">
        <v>18</v>
      </c>
      <c r="Y18" s="292">
        <v>49.1</v>
      </c>
      <c r="Z18" s="299" t="s">
        <v>19</v>
      </c>
      <c r="AA18" s="292" t="s">
        <v>20</v>
      </c>
      <c r="AB18" s="292" t="s">
        <v>12</v>
      </c>
      <c r="AC18" s="300">
        <v>46.1</v>
      </c>
      <c r="AD18" s="299"/>
      <c r="AG18" s="300"/>
      <c r="AL18" s="299"/>
      <c r="AO18" s="300"/>
      <c r="AS18" s="300"/>
      <c r="AW18" s="300"/>
      <c r="BA18" s="301"/>
    </row>
    <row r="19" spans="1:53" s="292" customFormat="1">
      <c r="A19" s="338">
        <v>1964.88571428572</v>
      </c>
      <c r="B19" s="844">
        <v>24038</v>
      </c>
      <c r="C19" s="909" t="s">
        <v>31</v>
      </c>
      <c r="D19" s="909"/>
      <c r="E19" s="292">
        <v>70</v>
      </c>
      <c r="F19" s="369">
        <v>0</v>
      </c>
      <c r="G19" s="366"/>
      <c r="H19" s="292">
        <v>6</v>
      </c>
      <c r="I19" s="292">
        <v>6</v>
      </c>
      <c r="J19" s="367">
        <v>12</v>
      </c>
      <c r="K19" s="335">
        <f t="shared" si="5"/>
        <v>0</v>
      </c>
      <c r="L19" s="336">
        <f t="shared" si="6"/>
        <v>50</v>
      </c>
      <c r="M19" s="336">
        <f t="shared" si="7"/>
        <v>50</v>
      </c>
      <c r="N19" s="337">
        <f t="shared" si="3"/>
        <v>100</v>
      </c>
      <c r="O19" s="336"/>
      <c r="P19" s="336">
        <v>49.1</v>
      </c>
      <c r="Q19" s="336">
        <v>46.1</v>
      </c>
      <c r="R19" s="368">
        <f t="shared" si="4"/>
        <v>95.2</v>
      </c>
      <c r="S19" s="347">
        <v>2</v>
      </c>
      <c r="T19" s="836"/>
      <c r="U19" s="855"/>
      <c r="V19" s="292" t="s">
        <v>16</v>
      </c>
      <c r="W19" s="292" t="s">
        <v>17</v>
      </c>
      <c r="X19" s="292" t="s">
        <v>18</v>
      </c>
      <c r="Y19" s="292">
        <v>49.1</v>
      </c>
      <c r="Z19" s="299" t="s">
        <v>19</v>
      </c>
      <c r="AA19" s="292" t="s">
        <v>20</v>
      </c>
      <c r="AB19" s="292" t="s">
        <v>12</v>
      </c>
      <c r="AC19" s="300">
        <v>46.1</v>
      </c>
      <c r="AD19" s="299"/>
      <c r="AG19" s="300"/>
      <c r="AL19" s="299"/>
      <c r="AO19" s="300"/>
      <c r="AS19" s="300"/>
      <c r="AW19" s="300"/>
      <c r="BA19" s="301"/>
    </row>
    <row r="20" spans="1:53" s="292" customFormat="1">
      <c r="A20" s="338">
        <v>1966</v>
      </c>
      <c r="B20" s="831"/>
      <c r="C20" s="909" t="s">
        <v>31</v>
      </c>
      <c r="D20" s="909"/>
      <c r="E20" s="292">
        <v>108</v>
      </c>
      <c r="F20" s="301"/>
      <c r="G20" s="366"/>
      <c r="H20" s="292">
        <v>6</v>
      </c>
      <c r="I20" s="292">
        <v>6</v>
      </c>
      <c r="J20" s="367">
        <v>12</v>
      </c>
      <c r="K20" s="335">
        <f t="shared" si="5"/>
        <v>0</v>
      </c>
      <c r="L20" s="336">
        <f t="shared" si="6"/>
        <v>50</v>
      </c>
      <c r="M20" s="336">
        <f t="shared" si="7"/>
        <v>50</v>
      </c>
      <c r="N20" s="337">
        <f t="shared" si="3"/>
        <v>100</v>
      </c>
      <c r="O20" s="336"/>
      <c r="P20" s="336">
        <v>49.1</v>
      </c>
      <c r="Q20" s="336">
        <v>46.1</v>
      </c>
      <c r="R20" s="368">
        <f t="shared" si="4"/>
        <v>95.2</v>
      </c>
      <c r="S20" s="347">
        <v>2</v>
      </c>
      <c r="T20" s="836"/>
      <c r="U20" s="855"/>
      <c r="V20" s="292" t="s">
        <v>16</v>
      </c>
      <c r="W20" s="292" t="s">
        <v>17</v>
      </c>
      <c r="X20" s="292" t="s">
        <v>18</v>
      </c>
      <c r="Y20" s="292">
        <v>49.1</v>
      </c>
      <c r="Z20" s="299" t="s">
        <v>19</v>
      </c>
      <c r="AA20" s="292" t="s">
        <v>20</v>
      </c>
      <c r="AB20" s="292" t="s">
        <v>12</v>
      </c>
      <c r="AC20" s="300">
        <v>46.1</v>
      </c>
      <c r="AD20" s="299"/>
      <c r="AG20" s="300"/>
      <c r="AL20" s="299"/>
      <c r="AO20" s="300"/>
      <c r="AS20" s="300"/>
      <c r="AW20" s="300"/>
      <c r="BA20" s="301"/>
    </row>
    <row r="21" spans="1:53" s="73" customFormat="1">
      <c r="A21" s="101">
        <v>1965.8</v>
      </c>
      <c r="B21" s="832">
        <v>24216</v>
      </c>
      <c r="C21" s="901" t="s">
        <v>32</v>
      </c>
      <c r="D21" s="901"/>
      <c r="E21" s="73">
        <v>257</v>
      </c>
      <c r="F21" s="84">
        <v>1</v>
      </c>
      <c r="G21" s="119"/>
      <c r="H21" s="73">
        <v>13</v>
      </c>
      <c r="J21" s="124">
        <v>13</v>
      </c>
      <c r="K21" s="91">
        <f t="shared" si="5"/>
        <v>0</v>
      </c>
      <c r="L21" s="92">
        <f t="shared" si="6"/>
        <v>100</v>
      </c>
      <c r="M21" s="92">
        <f t="shared" si="7"/>
        <v>0</v>
      </c>
      <c r="N21" s="93">
        <f t="shared" si="3"/>
        <v>100</v>
      </c>
      <c r="O21" s="92"/>
      <c r="P21" s="92">
        <v>51.5</v>
      </c>
      <c r="Q21" s="92"/>
      <c r="R21" s="121">
        <f t="shared" si="4"/>
        <v>51.5</v>
      </c>
      <c r="S21" s="122">
        <v>1</v>
      </c>
      <c r="T21" s="852">
        <v>24172</v>
      </c>
      <c r="U21" s="845">
        <v>24216</v>
      </c>
      <c r="V21" s="73" t="s">
        <v>16</v>
      </c>
      <c r="W21" s="73" t="s">
        <v>17</v>
      </c>
      <c r="X21" s="73" t="s">
        <v>18</v>
      </c>
      <c r="Y21" s="73">
        <v>51.5</v>
      </c>
      <c r="Z21" s="82"/>
      <c r="AC21" s="83"/>
      <c r="AD21" s="82"/>
      <c r="AG21" s="83"/>
      <c r="AL21" s="82"/>
      <c r="AO21" s="83"/>
      <c r="AS21" s="83"/>
      <c r="AW21" s="83"/>
      <c r="BA21" s="84"/>
    </row>
    <row r="22" spans="1:53" s="73" customFormat="1">
      <c r="A22" s="101">
        <v>1967</v>
      </c>
      <c r="B22" s="832"/>
      <c r="C22" s="901" t="s">
        <v>32</v>
      </c>
      <c r="D22" s="901"/>
      <c r="E22" s="73">
        <v>0</v>
      </c>
      <c r="F22" s="84"/>
      <c r="G22" s="119"/>
      <c r="H22" s="73">
        <v>13</v>
      </c>
      <c r="J22" s="124">
        <v>13</v>
      </c>
      <c r="K22" s="91">
        <f t="shared" si="5"/>
        <v>0</v>
      </c>
      <c r="L22" s="92">
        <f t="shared" si="6"/>
        <v>100</v>
      </c>
      <c r="M22" s="92">
        <f t="shared" si="7"/>
        <v>0</v>
      </c>
      <c r="N22" s="93">
        <f t="shared" si="3"/>
        <v>100</v>
      </c>
      <c r="O22" s="92"/>
      <c r="P22" s="92">
        <v>51.5</v>
      </c>
      <c r="Q22" s="92"/>
      <c r="R22" s="121">
        <f t="shared" si="4"/>
        <v>51.5</v>
      </c>
      <c r="S22" s="122">
        <v>1</v>
      </c>
      <c r="T22" s="852"/>
      <c r="U22" s="845"/>
      <c r="V22" s="73" t="s">
        <v>16</v>
      </c>
      <c r="W22" s="73" t="s">
        <v>17</v>
      </c>
      <c r="X22" s="73" t="s">
        <v>18</v>
      </c>
      <c r="Y22" s="73">
        <v>51.5</v>
      </c>
      <c r="Z22" s="82"/>
      <c r="AC22" s="83"/>
      <c r="AD22" s="82"/>
      <c r="AG22" s="83"/>
      <c r="AL22" s="82"/>
      <c r="AO22" s="83"/>
      <c r="AS22" s="83"/>
      <c r="AW22" s="83"/>
      <c r="BA22" s="84"/>
    </row>
    <row r="23" spans="1:53" s="73" customFormat="1">
      <c r="A23" s="101">
        <v>1966.7142857142901</v>
      </c>
      <c r="B23" s="832"/>
      <c r="C23" s="901" t="s">
        <v>32</v>
      </c>
      <c r="D23" s="901"/>
      <c r="E23" s="73">
        <v>365</v>
      </c>
      <c r="F23" s="84"/>
      <c r="G23" s="119"/>
      <c r="H23" s="73">
        <v>13</v>
      </c>
      <c r="J23" s="124">
        <v>13</v>
      </c>
      <c r="K23" s="91">
        <f t="shared" si="5"/>
        <v>0</v>
      </c>
      <c r="L23" s="92">
        <f t="shared" si="6"/>
        <v>100</v>
      </c>
      <c r="M23" s="92">
        <f t="shared" si="7"/>
        <v>0</v>
      </c>
      <c r="N23" s="93">
        <f t="shared" si="3"/>
        <v>100</v>
      </c>
      <c r="O23" s="92"/>
      <c r="P23" s="92">
        <v>51.5</v>
      </c>
      <c r="Q23" s="92"/>
      <c r="R23" s="121">
        <f t="shared" si="4"/>
        <v>51.5</v>
      </c>
      <c r="S23" s="122">
        <v>1</v>
      </c>
      <c r="T23" s="852"/>
      <c r="U23" s="845"/>
      <c r="V23" s="73" t="s">
        <v>16</v>
      </c>
      <c r="W23" s="73" t="s">
        <v>17</v>
      </c>
      <c r="X23" s="73" t="s">
        <v>18</v>
      </c>
      <c r="Y23" s="73">
        <v>51.5</v>
      </c>
      <c r="Z23" s="82"/>
      <c r="AC23" s="83"/>
      <c r="AD23" s="82"/>
      <c r="AG23" s="83"/>
      <c r="AL23" s="82"/>
      <c r="AO23" s="83"/>
      <c r="AS23" s="83"/>
      <c r="AW23" s="83"/>
      <c r="BA23" s="84"/>
    </row>
    <row r="24" spans="1:53" s="73" customFormat="1">
      <c r="A24" s="101">
        <v>1968</v>
      </c>
      <c r="B24" s="832"/>
      <c r="C24" s="901" t="s">
        <v>32</v>
      </c>
      <c r="D24" s="901"/>
      <c r="E24" s="73">
        <v>0</v>
      </c>
      <c r="F24" s="84"/>
      <c r="G24" s="119"/>
      <c r="H24" s="73">
        <v>13</v>
      </c>
      <c r="J24" s="124">
        <v>13</v>
      </c>
      <c r="K24" s="91">
        <f>G24/J24*100</f>
        <v>0</v>
      </c>
      <c r="L24" s="92">
        <f>H24/J24*100</f>
        <v>100</v>
      </c>
      <c r="M24" s="92">
        <f>I24/J24*100</f>
        <v>0</v>
      </c>
      <c r="N24" s="93">
        <f t="shared" si="3"/>
        <v>100</v>
      </c>
      <c r="O24" s="92"/>
      <c r="P24" s="92">
        <v>51.5</v>
      </c>
      <c r="Q24" s="92"/>
      <c r="R24" s="121">
        <f t="shared" si="4"/>
        <v>51.5</v>
      </c>
      <c r="S24" s="122">
        <v>1</v>
      </c>
      <c r="T24" s="852"/>
      <c r="U24" s="845"/>
      <c r="V24" s="73" t="s">
        <v>16</v>
      </c>
      <c r="W24" s="73" t="s">
        <v>17</v>
      </c>
      <c r="X24" s="73" t="s">
        <v>18</v>
      </c>
      <c r="Y24" s="73">
        <v>51.5</v>
      </c>
      <c r="Z24" s="82"/>
      <c r="AC24" s="83"/>
      <c r="AD24" s="82"/>
      <c r="AG24" s="83"/>
      <c r="AL24" s="82"/>
      <c r="AO24" s="83"/>
      <c r="AS24" s="83"/>
      <c r="AW24" s="83"/>
      <c r="BA24" s="84"/>
    </row>
    <row r="25" spans="1:53" s="73" customFormat="1">
      <c r="A25" s="101">
        <v>1967.62857142857</v>
      </c>
      <c r="B25" s="832"/>
      <c r="C25" s="901" t="s">
        <v>32</v>
      </c>
      <c r="D25" s="901"/>
      <c r="E25" s="73">
        <v>366</v>
      </c>
      <c r="F25" s="84"/>
      <c r="G25" s="119"/>
      <c r="H25" s="73">
        <v>13</v>
      </c>
      <c r="J25" s="124">
        <v>13</v>
      </c>
      <c r="K25" s="91">
        <f t="shared" ref="K25:K31" si="8">G25/J25*100</f>
        <v>0</v>
      </c>
      <c r="L25" s="92">
        <f t="shared" ref="L25:L31" si="9">H25/J25*100</f>
        <v>100</v>
      </c>
      <c r="M25" s="92">
        <f t="shared" ref="M25:M31" si="10">I25/J25*100</f>
        <v>0</v>
      </c>
      <c r="N25" s="93">
        <f t="shared" si="3"/>
        <v>100</v>
      </c>
      <c r="O25" s="92"/>
      <c r="P25" s="92">
        <v>51.5</v>
      </c>
      <c r="Q25" s="92"/>
      <c r="R25" s="121">
        <f t="shared" si="4"/>
        <v>51.5</v>
      </c>
      <c r="S25" s="122">
        <v>1</v>
      </c>
      <c r="T25" s="852"/>
      <c r="U25" s="845"/>
      <c r="V25" s="73" t="s">
        <v>16</v>
      </c>
      <c r="W25" s="73" t="s">
        <v>17</v>
      </c>
      <c r="X25" s="73" t="s">
        <v>18</v>
      </c>
      <c r="Y25" s="73">
        <v>51.5</v>
      </c>
      <c r="Z25" s="82"/>
      <c r="AC25" s="83"/>
      <c r="AD25" s="82"/>
      <c r="AG25" s="83"/>
      <c r="AL25" s="82"/>
      <c r="AO25" s="83"/>
      <c r="AS25" s="83"/>
      <c r="AW25" s="83"/>
      <c r="BA25" s="84"/>
    </row>
    <row r="26" spans="1:53" s="73" customFormat="1">
      <c r="A26" s="101">
        <v>1969</v>
      </c>
      <c r="B26" s="832"/>
      <c r="C26" s="901" t="s">
        <v>32</v>
      </c>
      <c r="D26" s="901"/>
      <c r="E26" s="73">
        <v>0</v>
      </c>
      <c r="F26" s="84"/>
      <c r="G26" s="119"/>
      <c r="H26" s="73">
        <v>13</v>
      </c>
      <c r="J26" s="124">
        <v>13</v>
      </c>
      <c r="K26" s="91">
        <f t="shared" si="8"/>
        <v>0</v>
      </c>
      <c r="L26" s="92">
        <f t="shared" si="9"/>
        <v>100</v>
      </c>
      <c r="M26" s="92">
        <f t="shared" si="10"/>
        <v>0</v>
      </c>
      <c r="N26" s="93">
        <f t="shared" si="3"/>
        <v>100</v>
      </c>
      <c r="O26" s="92"/>
      <c r="P26" s="92">
        <v>51.5</v>
      </c>
      <c r="Q26" s="92"/>
      <c r="R26" s="121">
        <f t="shared" si="4"/>
        <v>51.5</v>
      </c>
      <c r="S26" s="122">
        <v>1</v>
      </c>
      <c r="T26" s="852"/>
      <c r="U26" s="845"/>
      <c r="V26" s="73" t="s">
        <v>16</v>
      </c>
      <c r="W26" s="73" t="s">
        <v>17</v>
      </c>
      <c r="X26" s="73" t="s">
        <v>18</v>
      </c>
      <c r="Y26" s="73">
        <v>51.5</v>
      </c>
      <c r="Z26" s="82"/>
      <c r="AC26" s="83"/>
      <c r="AD26" s="82"/>
      <c r="AG26" s="83"/>
      <c r="AL26" s="82"/>
      <c r="AO26" s="83"/>
      <c r="AS26" s="83"/>
      <c r="AW26" s="83"/>
      <c r="BA26" s="84"/>
    </row>
    <row r="27" spans="1:53" s="73" customFormat="1">
      <c r="A27" s="101">
        <v>1968.5428571428599</v>
      </c>
      <c r="B27" s="832"/>
      <c r="C27" s="901" t="s">
        <v>32</v>
      </c>
      <c r="D27" s="901"/>
      <c r="E27" s="73">
        <v>365</v>
      </c>
      <c r="F27" s="84"/>
      <c r="G27" s="119"/>
      <c r="H27" s="73">
        <v>13</v>
      </c>
      <c r="J27" s="124">
        <v>13</v>
      </c>
      <c r="K27" s="91">
        <f t="shared" si="8"/>
        <v>0</v>
      </c>
      <c r="L27" s="92">
        <f t="shared" si="9"/>
        <v>100</v>
      </c>
      <c r="M27" s="92">
        <f t="shared" si="10"/>
        <v>0</v>
      </c>
      <c r="N27" s="93">
        <f t="shared" si="3"/>
        <v>100</v>
      </c>
      <c r="O27" s="92"/>
      <c r="P27" s="92">
        <v>51.5</v>
      </c>
      <c r="Q27" s="92"/>
      <c r="R27" s="121">
        <f t="shared" si="4"/>
        <v>51.5</v>
      </c>
      <c r="S27" s="122">
        <v>1</v>
      </c>
      <c r="T27" s="852"/>
      <c r="U27" s="845"/>
      <c r="V27" s="73" t="s">
        <v>16</v>
      </c>
      <c r="W27" s="73" t="s">
        <v>17</v>
      </c>
      <c r="X27" s="73" t="s">
        <v>18</v>
      </c>
      <c r="Y27" s="73">
        <v>51.5</v>
      </c>
      <c r="Z27" s="82"/>
      <c r="AC27" s="83"/>
      <c r="AD27" s="82"/>
      <c r="AG27" s="83"/>
      <c r="AL27" s="82"/>
      <c r="AO27" s="83"/>
      <c r="AS27" s="83"/>
      <c r="AW27" s="83"/>
      <c r="BA27" s="84"/>
    </row>
    <row r="28" spans="1:53" s="73" customFormat="1">
      <c r="A28" s="101">
        <v>1970</v>
      </c>
      <c r="B28" s="832"/>
      <c r="C28" s="901" t="s">
        <v>32</v>
      </c>
      <c r="D28" s="901"/>
      <c r="E28" s="73">
        <v>111</v>
      </c>
      <c r="F28" s="84"/>
      <c r="G28" s="119"/>
      <c r="H28" s="73">
        <v>13</v>
      </c>
      <c r="J28" s="124">
        <v>13</v>
      </c>
      <c r="K28" s="91">
        <f t="shared" si="8"/>
        <v>0</v>
      </c>
      <c r="L28" s="92">
        <f t="shared" si="9"/>
        <v>100</v>
      </c>
      <c r="M28" s="92">
        <f t="shared" si="10"/>
        <v>0</v>
      </c>
      <c r="N28" s="93">
        <f t="shared" si="3"/>
        <v>100</v>
      </c>
      <c r="O28" s="92"/>
      <c r="P28" s="92">
        <v>51.5</v>
      </c>
      <c r="Q28" s="92"/>
      <c r="R28" s="121">
        <f t="shared" si="4"/>
        <v>51.5</v>
      </c>
      <c r="S28" s="122">
        <v>1</v>
      </c>
      <c r="T28" s="852"/>
      <c r="U28" s="845"/>
      <c r="V28" s="73" t="s">
        <v>16</v>
      </c>
      <c r="W28" s="73" t="s">
        <v>17</v>
      </c>
      <c r="X28" s="73" t="s">
        <v>18</v>
      </c>
      <c r="Y28" s="73">
        <v>51.5</v>
      </c>
      <c r="Z28" s="82"/>
      <c r="AC28" s="83"/>
      <c r="AD28" s="82"/>
      <c r="AG28" s="83"/>
      <c r="AL28" s="82"/>
      <c r="AO28" s="83"/>
      <c r="AS28" s="83"/>
      <c r="AW28" s="83"/>
      <c r="BA28" s="84"/>
    </row>
    <row r="29" spans="1:53" s="292" customFormat="1">
      <c r="A29" s="338">
        <v>1970</v>
      </c>
      <c r="B29" s="831">
        <v>25680</v>
      </c>
      <c r="C29" s="909" t="s">
        <v>33</v>
      </c>
      <c r="D29" s="909"/>
      <c r="E29" s="292">
        <v>254</v>
      </c>
      <c r="F29" s="301">
        <v>1</v>
      </c>
      <c r="G29" s="366"/>
      <c r="I29" s="292">
        <v>12</v>
      </c>
      <c r="J29" s="367">
        <v>13</v>
      </c>
      <c r="K29" s="335">
        <f t="shared" si="8"/>
        <v>0</v>
      </c>
      <c r="L29" s="336">
        <f t="shared" si="9"/>
        <v>0</v>
      </c>
      <c r="M29" s="336">
        <f t="shared" si="10"/>
        <v>92.307692307692307</v>
      </c>
      <c r="N29" s="337">
        <f t="shared" si="3"/>
        <v>92.307692307692307</v>
      </c>
      <c r="O29" s="336"/>
      <c r="P29" s="336"/>
      <c r="Q29" s="336">
        <v>49.1</v>
      </c>
      <c r="R29" s="368">
        <f t="shared" si="4"/>
        <v>49.1</v>
      </c>
      <c r="S29" s="347">
        <v>4</v>
      </c>
      <c r="T29" s="836">
        <v>25628</v>
      </c>
      <c r="U29" s="855">
        <v>25680</v>
      </c>
      <c r="V29" s="292" t="s">
        <v>19</v>
      </c>
      <c r="W29" s="292" t="s">
        <v>20</v>
      </c>
      <c r="X29" s="292" t="s">
        <v>12</v>
      </c>
      <c r="Y29" s="292">
        <v>49.1</v>
      </c>
      <c r="Z29" s="299"/>
      <c r="AC29" s="300"/>
      <c r="AD29" s="299"/>
      <c r="AG29" s="300"/>
      <c r="AL29" s="299"/>
      <c r="AO29" s="300"/>
      <c r="AS29" s="300"/>
      <c r="AW29" s="300"/>
      <c r="BA29" s="301"/>
    </row>
    <row r="30" spans="1:53" s="292" customFormat="1">
      <c r="A30" s="338">
        <v>1971</v>
      </c>
      <c r="B30" s="831"/>
      <c r="C30" s="909" t="s">
        <v>33</v>
      </c>
      <c r="D30" s="909"/>
      <c r="E30" s="292">
        <v>294</v>
      </c>
      <c r="F30" s="301"/>
      <c r="G30" s="338"/>
      <c r="H30" s="338"/>
      <c r="I30" s="338">
        <v>12</v>
      </c>
      <c r="J30" s="367">
        <v>13</v>
      </c>
      <c r="K30" s="335">
        <f t="shared" si="8"/>
        <v>0</v>
      </c>
      <c r="L30" s="336">
        <f t="shared" si="9"/>
        <v>0</v>
      </c>
      <c r="M30" s="336">
        <f t="shared" si="10"/>
        <v>92.307692307692307</v>
      </c>
      <c r="N30" s="337">
        <f t="shared" si="3"/>
        <v>92.307692307692307</v>
      </c>
      <c r="O30" s="336"/>
      <c r="P30" s="336"/>
      <c r="Q30" s="336">
        <v>49.1</v>
      </c>
      <c r="R30" s="368">
        <f t="shared" si="4"/>
        <v>49.1</v>
      </c>
      <c r="S30" s="347">
        <v>4</v>
      </c>
      <c r="T30" s="836"/>
      <c r="U30" s="855"/>
      <c r="V30" s="292" t="s">
        <v>19</v>
      </c>
      <c r="W30" s="292" t="s">
        <v>20</v>
      </c>
      <c r="X30" s="292" t="s">
        <v>12</v>
      </c>
      <c r="Y30" s="292">
        <v>49.1</v>
      </c>
      <c r="Z30" s="299"/>
      <c r="AC30" s="300"/>
      <c r="AD30" s="299"/>
      <c r="AG30" s="300"/>
      <c r="AL30" s="299"/>
      <c r="AO30" s="300"/>
      <c r="AS30" s="300"/>
      <c r="AW30" s="300"/>
      <c r="BA30" s="301"/>
    </row>
    <row r="31" spans="1:53" s="73" customFormat="1">
      <c r="A31" s="101">
        <v>1971</v>
      </c>
      <c r="B31" s="832">
        <v>26228</v>
      </c>
      <c r="C31" s="901" t="s">
        <v>34</v>
      </c>
      <c r="D31" s="901"/>
      <c r="E31" s="73">
        <v>71</v>
      </c>
      <c r="F31" s="84">
        <v>1</v>
      </c>
      <c r="G31" s="119"/>
      <c r="H31" s="101"/>
      <c r="I31" s="101">
        <v>12</v>
      </c>
      <c r="J31" s="124">
        <v>14</v>
      </c>
      <c r="K31" s="91">
        <f t="shared" si="8"/>
        <v>0</v>
      </c>
      <c r="L31" s="92">
        <f t="shared" si="9"/>
        <v>0</v>
      </c>
      <c r="M31" s="92">
        <f t="shared" si="10"/>
        <v>85.714285714285708</v>
      </c>
      <c r="N31" s="93">
        <f t="shared" si="3"/>
        <v>85.714285714285708</v>
      </c>
      <c r="O31" s="92"/>
      <c r="P31" s="92"/>
      <c r="Q31" s="92">
        <v>50.8</v>
      </c>
      <c r="R31" s="121">
        <f t="shared" si="4"/>
        <v>50.8</v>
      </c>
      <c r="S31" s="122">
        <v>1</v>
      </c>
      <c r="T31" s="852">
        <v>26216</v>
      </c>
      <c r="U31" s="845">
        <v>26228</v>
      </c>
      <c r="V31" s="73" t="s">
        <v>19</v>
      </c>
      <c r="W31" s="73" t="s">
        <v>20</v>
      </c>
      <c r="X31" s="73" t="s">
        <v>12</v>
      </c>
      <c r="Y31" s="73">
        <v>50.8</v>
      </c>
      <c r="Z31" s="82"/>
      <c r="AC31" s="83"/>
      <c r="AD31" s="82"/>
      <c r="AG31" s="83"/>
      <c r="AL31" s="82"/>
      <c r="AO31" s="83"/>
      <c r="AS31" s="83"/>
      <c r="AW31" s="83"/>
      <c r="BA31" s="84"/>
    </row>
    <row r="32" spans="1:53" s="73" customFormat="1">
      <c r="A32" s="101">
        <v>1972</v>
      </c>
      <c r="B32" s="832"/>
      <c r="C32" s="901" t="s">
        <v>34</v>
      </c>
      <c r="D32" s="901"/>
      <c r="E32" s="73">
        <v>0</v>
      </c>
      <c r="F32" s="84"/>
      <c r="G32" s="119"/>
      <c r="I32" s="101">
        <v>12</v>
      </c>
      <c r="J32" s="124">
        <v>14</v>
      </c>
      <c r="K32" s="91">
        <f>G32/J32*100</f>
        <v>0</v>
      </c>
      <c r="L32" s="92">
        <f>H32/J32*100</f>
        <v>0</v>
      </c>
      <c r="M32" s="92">
        <f>I32/J32*100</f>
        <v>85.714285714285708</v>
      </c>
      <c r="N32" s="93">
        <f t="shared" si="3"/>
        <v>85.714285714285708</v>
      </c>
      <c r="O32" s="92"/>
      <c r="P32" s="92"/>
      <c r="Q32" s="92">
        <v>50.8</v>
      </c>
      <c r="R32" s="121">
        <f t="shared" si="4"/>
        <v>50.8</v>
      </c>
      <c r="S32" s="122">
        <v>1</v>
      </c>
      <c r="T32" s="852"/>
      <c r="U32" s="845"/>
      <c r="V32" s="73" t="s">
        <v>19</v>
      </c>
      <c r="W32" s="73" t="s">
        <v>20</v>
      </c>
      <c r="X32" s="73" t="s">
        <v>12</v>
      </c>
      <c r="Y32" s="73">
        <v>50.8</v>
      </c>
      <c r="Z32" s="82"/>
      <c r="AC32" s="83"/>
      <c r="AD32" s="82"/>
      <c r="AG32" s="83"/>
      <c r="AL32" s="82"/>
      <c r="AO32" s="83"/>
      <c r="AS32" s="83"/>
      <c r="AW32" s="83"/>
      <c r="BA32" s="84"/>
    </row>
    <row r="33" spans="1:53" s="73" customFormat="1">
      <c r="A33" s="101">
        <v>1972</v>
      </c>
      <c r="B33" s="832"/>
      <c r="C33" s="901" t="s">
        <v>34</v>
      </c>
      <c r="D33" s="901"/>
      <c r="E33" s="73">
        <v>366</v>
      </c>
      <c r="F33" s="84"/>
      <c r="G33" s="101"/>
      <c r="H33" s="101"/>
      <c r="I33" s="101">
        <v>12</v>
      </c>
      <c r="J33" s="124">
        <v>14</v>
      </c>
      <c r="K33" s="91">
        <f t="shared" ref="K33:K39" si="11">G33/J33*100</f>
        <v>0</v>
      </c>
      <c r="L33" s="92">
        <f t="shared" ref="L33:L39" si="12">H33/J33*100</f>
        <v>0</v>
      </c>
      <c r="M33" s="92">
        <f t="shared" ref="M33:M39" si="13">I33/J33*100</f>
        <v>85.714285714285708</v>
      </c>
      <c r="N33" s="93">
        <f t="shared" si="3"/>
        <v>85.714285714285708</v>
      </c>
      <c r="O33" s="92"/>
      <c r="P33" s="92"/>
      <c r="Q33" s="92">
        <v>50.8</v>
      </c>
      <c r="R33" s="121">
        <f t="shared" si="4"/>
        <v>50.8</v>
      </c>
      <c r="S33" s="122">
        <v>1</v>
      </c>
      <c r="T33" s="852"/>
      <c r="U33" s="845"/>
      <c r="V33" s="73" t="s">
        <v>19</v>
      </c>
      <c r="W33" s="73" t="s">
        <v>20</v>
      </c>
      <c r="X33" s="73" t="s">
        <v>12</v>
      </c>
      <c r="Y33" s="73">
        <v>50.8</v>
      </c>
      <c r="Z33" s="82"/>
      <c r="AC33" s="83"/>
      <c r="AD33" s="82"/>
      <c r="AG33" s="83"/>
      <c r="AL33" s="82"/>
      <c r="AO33" s="83"/>
      <c r="AS33" s="83"/>
      <c r="AW33" s="83"/>
      <c r="BA33" s="84"/>
    </row>
    <row r="34" spans="1:53" s="73" customFormat="1">
      <c r="A34" s="101">
        <v>1973</v>
      </c>
      <c r="B34" s="832"/>
      <c r="C34" s="901" t="s">
        <v>34</v>
      </c>
      <c r="D34" s="901"/>
      <c r="E34" s="73">
        <v>0</v>
      </c>
      <c r="F34" s="84"/>
      <c r="G34" s="119"/>
      <c r="H34" s="101"/>
      <c r="I34" s="101">
        <v>12</v>
      </c>
      <c r="J34" s="124">
        <v>14</v>
      </c>
      <c r="K34" s="91">
        <f t="shared" si="11"/>
        <v>0</v>
      </c>
      <c r="L34" s="92">
        <f t="shared" si="12"/>
        <v>0</v>
      </c>
      <c r="M34" s="92">
        <f t="shared" si="13"/>
        <v>85.714285714285708</v>
      </c>
      <c r="N34" s="93">
        <f t="shared" si="3"/>
        <v>85.714285714285708</v>
      </c>
      <c r="O34" s="92"/>
      <c r="P34" s="92"/>
      <c r="Q34" s="92">
        <v>50.8</v>
      </c>
      <c r="R34" s="121">
        <f t="shared" si="4"/>
        <v>50.8</v>
      </c>
      <c r="S34" s="122">
        <v>1</v>
      </c>
      <c r="T34" s="852"/>
      <c r="U34" s="845"/>
      <c r="V34" s="73" t="s">
        <v>19</v>
      </c>
      <c r="W34" s="73" t="s">
        <v>20</v>
      </c>
      <c r="X34" s="73" t="s">
        <v>12</v>
      </c>
      <c r="Y34" s="73">
        <v>50.8</v>
      </c>
      <c r="Z34" s="82"/>
      <c r="AC34" s="83"/>
      <c r="AD34" s="82"/>
      <c r="AG34" s="83"/>
      <c r="AL34" s="82"/>
      <c r="AO34" s="83"/>
      <c r="AS34" s="83"/>
      <c r="AW34" s="83"/>
      <c r="BA34" s="84"/>
    </row>
    <row r="35" spans="1:53" s="73" customFormat="1">
      <c r="A35" s="101">
        <v>1973</v>
      </c>
      <c r="B35" s="832"/>
      <c r="C35" s="901" t="s">
        <v>34</v>
      </c>
      <c r="D35" s="901"/>
      <c r="E35" s="73">
        <v>365</v>
      </c>
      <c r="F35" s="84"/>
      <c r="G35" s="119"/>
      <c r="I35" s="101">
        <v>12</v>
      </c>
      <c r="J35" s="124">
        <v>14</v>
      </c>
      <c r="K35" s="91">
        <f t="shared" si="11"/>
        <v>0</v>
      </c>
      <c r="L35" s="92">
        <f t="shared" si="12"/>
        <v>0</v>
      </c>
      <c r="M35" s="92">
        <f t="shared" si="13"/>
        <v>85.714285714285708</v>
      </c>
      <c r="N35" s="93">
        <f t="shared" si="3"/>
        <v>85.714285714285708</v>
      </c>
      <c r="O35" s="92"/>
      <c r="P35" s="92"/>
      <c r="Q35" s="92">
        <v>50.8</v>
      </c>
      <c r="R35" s="121">
        <f t="shared" si="4"/>
        <v>50.8</v>
      </c>
      <c r="S35" s="122">
        <v>1</v>
      </c>
      <c r="T35" s="852"/>
      <c r="U35" s="845"/>
      <c r="V35" s="73" t="s">
        <v>19</v>
      </c>
      <c r="W35" s="73" t="s">
        <v>20</v>
      </c>
      <c r="X35" s="73" t="s">
        <v>12</v>
      </c>
      <c r="Y35" s="73">
        <v>50.8</v>
      </c>
      <c r="Z35" s="82"/>
      <c r="AC35" s="83"/>
      <c r="AD35" s="82"/>
      <c r="AG35" s="83"/>
      <c r="AL35" s="82"/>
      <c r="AO35" s="83"/>
      <c r="AS35" s="83"/>
      <c r="AW35" s="83"/>
      <c r="BA35" s="84"/>
    </row>
    <row r="36" spans="1:53" s="73" customFormat="1">
      <c r="A36" s="101">
        <v>1974</v>
      </c>
      <c r="B36" s="832"/>
      <c r="C36" s="901" t="s">
        <v>34</v>
      </c>
      <c r="D36" s="901"/>
      <c r="E36" s="73">
        <v>0</v>
      </c>
      <c r="F36" s="84"/>
      <c r="G36" s="101"/>
      <c r="H36" s="101"/>
      <c r="I36" s="101">
        <v>12</v>
      </c>
      <c r="J36" s="124">
        <v>14</v>
      </c>
      <c r="K36" s="91">
        <f t="shared" si="11"/>
        <v>0</v>
      </c>
      <c r="L36" s="92">
        <f t="shared" si="12"/>
        <v>0</v>
      </c>
      <c r="M36" s="92">
        <f t="shared" si="13"/>
        <v>85.714285714285708</v>
      </c>
      <c r="N36" s="93">
        <f t="shared" si="3"/>
        <v>85.714285714285708</v>
      </c>
      <c r="O36" s="92"/>
      <c r="P36" s="92"/>
      <c r="Q36" s="92">
        <v>50.8</v>
      </c>
      <c r="R36" s="121">
        <f t="shared" si="4"/>
        <v>50.8</v>
      </c>
      <c r="S36" s="122">
        <v>1</v>
      </c>
      <c r="T36" s="852"/>
      <c r="U36" s="845"/>
      <c r="V36" s="73" t="s">
        <v>19</v>
      </c>
      <c r="W36" s="73" t="s">
        <v>20</v>
      </c>
      <c r="X36" s="73" t="s">
        <v>12</v>
      </c>
      <c r="Y36" s="73">
        <v>50.8</v>
      </c>
      <c r="Z36" s="82"/>
      <c r="AC36" s="83"/>
      <c r="AD36" s="82"/>
      <c r="AG36" s="83"/>
      <c r="AL36" s="82"/>
      <c r="AO36" s="83"/>
      <c r="AS36" s="83"/>
      <c r="AW36" s="83"/>
      <c r="BA36" s="84"/>
    </row>
    <row r="37" spans="1:53" s="73" customFormat="1">
      <c r="A37" s="101">
        <v>1974</v>
      </c>
      <c r="B37" s="832"/>
      <c r="C37" s="901" t="s">
        <v>34</v>
      </c>
      <c r="D37" s="901"/>
      <c r="E37" s="73">
        <v>365</v>
      </c>
      <c r="F37" s="84"/>
      <c r="G37" s="119"/>
      <c r="H37" s="101"/>
      <c r="I37" s="101">
        <v>12</v>
      </c>
      <c r="J37" s="124">
        <v>14</v>
      </c>
      <c r="K37" s="91">
        <f t="shared" si="11"/>
        <v>0</v>
      </c>
      <c r="L37" s="92">
        <f t="shared" si="12"/>
        <v>0</v>
      </c>
      <c r="M37" s="92">
        <f t="shared" si="13"/>
        <v>85.714285714285708</v>
      </c>
      <c r="N37" s="93">
        <f t="shared" si="3"/>
        <v>85.714285714285708</v>
      </c>
      <c r="O37" s="92"/>
      <c r="P37" s="92"/>
      <c r="Q37" s="92">
        <v>50.8</v>
      </c>
      <c r="R37" s="121">
        <f t="shared" si="4"/>
        <v>50.8</v>
      </c>
      <c r="S37" s="122">
        <v>1</v>
      </c>
      <c r="T37" s="852"/>
      <c r="U37" s="845"/>
      <c r="V37" s="73" t="s">
        <v>19</v>
      </c>
      <c r="W37" s="73" t="s">
        <v>20</v>
      </c>
      <c r="X37" s="73" t="s">
        <v>12</v>
      </c>
      <c r="Y37" s="73">
        <v>50.8</v>
      </c>
      <c r="Z37" s="82"/>
      <c r="AC37" s="83"/>
      <c r="AD37" s="82"/>
      <c r="AG37" s="83"/>
      <c r="AL37" s="82"/>
      <c r="AO37" s="83"/>
      <c r="AS37" s="83"/>
      <c r="AW37" s="83"/>
      <c r="BA37" s="84"/>
    </row>
    <row r="38" spans="1:53" s="73" customFormat="1">
      <c r="A38" s="101">
        <v>1975</v>
      </c>
      <c r="B38" s="832"/>
      <c r="C38" s="901" t="s">
        <v>34</v>
      </c>
      <c r="D38" s="901"/>
      <c r="E38" s="73">
        <v>301</v>
      </c>
      <c r="F38" s="84"/>
      <c r="G38" s="119"/>
      <c r="I38" s="101">
        <v>12</v>
      </c>
      <c r="J38" s="124">
        <v>14</v>
      </c>
      <c r="K38" s="91">
        <f t="shared" si="11"/>
        <v>0</v>
      </c>
      <c r="L38" s="92">
        <f t="shared" si="12"/>
        <v>0</v>
      </c>
      <c r="M38" s="92">
        <f t="shared" si="13"/>
        <v>85.714285714285708</v>
      </c>
      <c r="N38" s="93">
        <f t="shared" si="3"/>
        <v>85.714285714285708</v>
      </c>
      <c r="O38" s="92"/>
      <c r="P38" s="92"/>
      <c r="Q38" s="92">
        <v>50.8</v>
      </c>
      <c r="R38" s="121">
        <f t="shared" si="4"/>
        <v>50.8</v>
      </c>
      <c r="S38" s="122">
        <v>1</v>
      </c>
      <c r="T38" s="852"/>
      <c r="U38" s="845"/>
      <c r="V38" s="73" t="s">
        <v>19</v>
      </c>
      <c r="W38" s="73" t="s">
        <v>20</v>
      </c>
      <c r="X38" s="73" t="s">
        <v>12</v>
      </c>
      <c r="Y38" s="73">
        <v>50.8</v>
      </c>
      <c r="Z38" s="82"/>
      <c r="AC38" s="83"/>
      <c r="AD38" s="82"/>
      <c r="AG38" s="83"/>
      <c r="AL38" s="82"/>
      <c r="AO38" s="83"/>
      <c r="AS38" s="83"/>
      <c r="AW38" s="83"/>
      <c r="BA38" s="84"/>
    </row>
    <row r="39" spans="1:53" s="292" customFormat="1">
      <c r="A39" s="338">
        <v>1975</v>
      </c>
      <c r="B39" s="831">
        <v>27696</v>
      </c>
      <c r="C39" s="909" t="s">
        <v>35</v>
      </c>
      <c r="D39" s="909"/>
      <c r="E39" s="292">
        <v>64</v>
      </c>
      <c r="F39" s="301">
        <v>1</v>
      </c>
      <c r="G39" s="338"/>
      <c r="H39" s="338"/>
      <c r="I39" s="338">
        <v>12</v>
      </c>
      <c r="J39" s="367">
        <v>14</v>
      </c>
      <c r="K39" s="335">
        <f t="shared" si="11"/>
        <v>0</v>
      </c>
      <c r="L39" s="336">
        <f t="shared" si="12"/>
        <v>0</v>
      </c>
      <c r="M39" s="336">
        <f t="shared" si="13"/>
        <v>85.714285714285708</v>
      </c>
      <c r="N39" s="337">
        <f t="shared" si="3"/>
        <v>85.714285714285708</v>
      </c>
      <c r="O39" s="336"/>
      <c r="P39" s="336"/>
      <c r="Q39" s="336">
        <v>50.8</v>
      </c>
      <c r="R39" s="368">
        <f t="shared" si="4"/>
        <v>50.8</v>
      </c>
      <c r="S39" s="347">
        <v>1</v>
      </c>
      <c r="T39" s="836">
        <v>27672</v>
      </c>
      <c r="U39" s="855">
        <v>27696</v>
      </c>
      <c r="V39" s="292" t="s">
        <v>19</v>
      </c>
      <c r="W39" s="292" t="s">
        <v>20</v>
      </c>
      <c r="X39" s="292" t="s">
        <v>12</v>
      </c>
      <c r="Y39" s="292">
        <v>50.8</v>
      </c>
      <c r="Z39" s="299"/>
      <c r="AC39" s="300"/>
      <c r="AD39" s="299"/>
      <c r="AG39" s="300"/>
      <c r="AL39" s="299"/>
      <c r="AO39" s="300"/>
      <c r="AS39" s="300"/>
      <c r="AW39" s="300"/>
      <c r="BA39" s="301"/>
    </row>
    <row r="40" spans="1:53" s="292" customFormat="1">
      <c r="A40" s="338">
        <v>1976</v>
      </c>
      <c r="B40" s="831"/>
      <c r="C40" s="909" t="s">
        <v>35</v>
      </c>
      <c r="D40" s="909"/>
      <c r="E40" s="292">
        <v>0</v>
      </c>
      <c r="F40" s="301"/>
      <c r="G40" s="366"/>
      <c r="H40" s="338"/>
      <c r="I40" s="338">
        <v>12</v>
      </c>
      <c r="J40" s="367">
        <v>14</v>
      </c>
      <c r="K40" s="335">
        <f>G40/J40*100</f>
        <v>0</v>
      </c>
      <c r="L40" s="336">
        <f>H40/J40*100</f>
        <v>0</v>
      </c>
      <c r="M40" s="336">
        <f>I40/J40*100</f>
        <v>85.714285714285708</v>
      </c>
      <c r="N40" s="337">
        <f t="shared" si="3"/>
        <v>85.714285714285708</v>
      </c>
      <c r="O40" s="336"/>
      <c r="P40" s="336"/>
      <c r="Q40" s="336">
        <v>50.8</v>
      </c>
      <c r="R40" s="368">
        <f t="shared" si="4"/>
        <v>50.8</v>
      </c>
      <c r="S40" s="347">
        <v>1</v>
      </c>
      <c r="T40" s="836"/>
      <c r="U40" s="855"/>
      <c r="V40" s="292" t="s">
        <v>19</v>
      </c>
      <c r="W40" s="292" t="s">
        <v>20</v>
      </c>
      <c r="X40" s="292" t="s">
        <v>12</v>
      </c>
      <c r="Y40" s="292">
        <v>50.8</v>
      </c>
      <c r="Z40" s="299"/>
      <c r="AC40" s="300"/>
      <c r="AD40" s="299"/>
      <c r="AG40" s="300"/>
      <c r="AL40" s="299"/>
      <c r="AO40" s="300"/>
      <c r="AS40" s="300"/>
      <c r="AW40" s="300"/>
      <c r="BA40" s="301"/>
    </row>
    <row r="41" spans="1:53" s="292" customFormat="1">
      <c r="A41" s="338">
        <v>1976</v>
      </c>
      <c r="B41" s="831"/>
      <c r="C41" s="909" t="s">
        <v>35</v>
      </c>
      <c r="D41" s="909"/>
      <c r="E41" s="292">
        <v>366</v>
      </c>
      <c r="F41" s="301"/>
      <c r="G41" s="366"/>
      <c r="I41" s="338">
        <v>12</v>
      </c>
      <c r="J41" s="367">
        <v>14</v>
      </c>
      <c r="K41" s="335">
        <f t="shared" ref="K41:K47" si="14">G41/J41*100</f>
        <v>0</v>
      </c>
      <c r="L41" s="336">
        <f t="shared" ref="L41:L47" si="15">H41/J41*100</f>
        <v>0</v>
      </c>
      <c r="M41" s="336">
        <f t="shared" ref="M41:M47" si="16">I41/J41*100</f>
        <v>85.714285714285708</v>
      </c>
      <c r="N41" s="337">
        <f t="shared" si="3"/>
        <v>85.714285714285708</v>
      </c>
      <c r="O41" s="336"/>
      <c r="P41" s="336"/>
      <c r="Q41" s="336">
        <v>50.8</v>
      </c>
      <c r="R41" s="368">
        <f t="shared" si="4"/>
        <v>50.8</v>
      </c>
      <c r="S41" s="347">
        <v>1</v>
      </c>
      <c r="T41" s="836"/>
      <c r="U41" s="855"/>
      <c r="V41" s="292" t="s">
        <v>19</v>
      </c>
      <c r="W41" s="292" t="s">
        <v>20</v>
      </c>
      <c r="X41" s="292" t="s">
        <v>12</v>
      </c>
      <c r="Y41" s="292">
        <v>50.8</v>
      </c>
      <c r="Z41" s="299"/>
      <c r="AC41" s="300"/>
      <c r="AD41" s="299"/>
      <c r="AG41" s="300"/>
      <c r="AL41" s="299"/>
      <c r="AO41" s="300"/>
      <c r="AS41" s="300"/>
      <c r="AW41" s="300"/>
      <c r="BA41" s="301"/>
    </row>
    <row r="42" spans="1:53" s="292" customFormat="1">
      <c r="A42" s="338">
        <v>1977</v>
      </c>
      <c r="B42" s="831"/>
      <c r="C42" s="909" t="s">
        <v>35</v>
      </c>
      <c r="D42" s="909"/>
      <c r="E42" s="292">
        <v>0</v>
      </c>
      <c r="F42" s="301"/>
      <c r="G42" s="338"/>
      <c r="H42" s="338"/>
      <c r="I42" s="338">
        <v>12</v>
      </c>
      <c r="J42" s="367">
        <v>14</v>
      </c>
      <c r="K42" s="335">
        <f t="shared" si="14"/>
        <v>0</v>
      </c>
      <c r="L42" s="336">
        <f t="shared" si="15"/>
        <v>0</v>
      </c>
      <c r="M42" s="336">
        <f t="shared" si="16"/>
        <v>85.714285714285708</v>
      </c>
      <c r="N42" s="337">
        <f t="shared" si="3"/>
        <v>85.714285714285708</v>
      </c>
      <c r="O42" s="336"/>
      <c r="P42" s="336"/>
      <c r="Q42" s="336">
        <v>50.8</v>
      </c>
      <c r="R42" s="368">
        <f t="shared" si="4"/>
        <v>50.8</v>
      </c>
      <c r="S42" s="347">
        <v>1</v>
      </c>
      <c r="T42" s="836"/>
      <c r="U42" s="855"/>
      <c r="V42" s="292" t="s">
        <v>19</v>
      </c>
      <c r="W42" s="292" t="s">
        <v>20</v>
      </c>
      <c r="X42" s="292" t="s">
        <v>12</v>
      </c>
      <c r="Y42" s="292">
        <v>50.8</v>
      </c>
      <c r="Z42" s="299"/>
      <c r="AC42" s="300"/>
      <c r="AD42" s="299"/>
      <c r="AG42" s="300"/>
      <c r="AL42" s="299"/>
      <c r="AO42" s="300"/>
      <c r="AS42" s="300"/>
      <c r="AW42" s="300"/>
      <c r="BA42" s="301"/>
    </row>
    <row r="43" spans="1:53" s="292" customFormat="1">
      <c r="A43" s="338">
        <v>1977</v>
      </c>
      <c r="B43" s="831"/>
      <c r="C43" s="909" t="s">
        <v>35</v>
      </c>
      <c r="D43" s="909"/>
      <c r="E43" s="292">
        <v>365</v>
      </c>
      <c r="F43" s="301"/>
      <c r="G43" s="366"/>
      <c r="H43" s="338"/>
      <c r="I43" s="338">
        <v>12</v>
      </c>
      <c r="J43" s="367">
        <v>14</v>
      </c>
      <c r="K43" s="335">
        <f t="shared" si="14"/>
        <v>0</v>
      </c>
      <c r="L43" s="336">
        <f t="shared" si="15"/>
        <v>0</v>
      </c>
      <c r="M43" s="336">
        <f t="shared" si="16"/>
        <v>85.714285714285708</v>
      </c>
      <c r="N43" s="337">
        <f t="shared" si="3"/>
        <v>85.714285714285708</v>
      </c>
      <c r="O43" s="336"/>
      <c r="P43" s="336"/>
      <c r="Q43" s="336">
        <v>50.8</v>
      </c>
      <c r="R43" s="368">
        <f t="shared" si="4"/>
        <v>50.8</v>
      </c>
      <c r="S43" s="347">
        <v>1</v>
      </c>
      <c r="T43" s="836"/>
      <c r="U43" s="855"/>
      <c r="V43" s="292" t="s">
        <v>19</v>
      </c>
      <c r="W43" s="292" t="s">
        <v>20</v>
      </c>
      <c r="X43" s="292" t="s">
        <v>12</v>
      </c>
      <c r="Y43" s="292">
        <v>50.8</v>
      </c>
      <c r="Z43" s="299"/>
      <c r="AC43" s="300"/>
      <c r="AD43" s="299"/>
      <c r="AG43" s="300"/>
      <c r="AL43" s="299"/>
      <c r="AO43" s="300"/>
      <c r="AS43" s="300"/>
      <c r="AW43" s="300"/>
      <c r="BA43" s="301"/>
    </row>
    <row r="44" spans="1:53" s="292" customFormat="1">
      <c r="A44" s="338">
        <v>1978</v>
      </c>
      <c r="B44" s="831"/>
      <c r="C44" s="909" t="s">
        <v>35</v>
      </c>
      <c r="D44" s="909"/>
      <c r="E44" s="292">
        <v>0</v>
      </c>
      <c r="F44" s="301"/>
      <c r="G44" s="366"/>
      <c r="I44" s="338">
        <v>12</v>
      </c>
      <c r="J44" s="367">
        <v>14</v>
      </c>
      <c r="K44" s="335">
        <f t="shared" si="14"/>
        <v>0</v>
      </c>
      <c r="L44" s="336">
        <f t="shared" si="15"/>
        <v>0</v>
      </c>
      <c r="M44" s="336">
        <f t="shared" si="16"/>
        <v>85.714285714285708</v>
      </c>
      <c r="N44" s="337">
        <f t="shared" si="3"/>
        <v>85.714285714285708</v>
      </c>
      <c r="O44" s="336"/>
      <c r="P44" s="336"/>
      <c r="Q44" s="336">
        <v>50.8</v>
      </c>
      <c r="R44" s="368">
        <f t="shared" si="4"/>
        <v>50.8</v>
      </c>
      <c r="S44" s="347">
        <v>1</v>
      </c>
      <c r="T44" s="836"/>
      <c r="U44" s="855"/>
      <c r="V44" s="292" t="s">
        <v>19</v>
      </c>
      <c r="W44" s="292" t="s">
        <v>20</v>
      </c>
      <c r="X44" s="292" t="s">
        <v>12</v>
      </c>
      <c r="Y44" s="292">
        <v>50.8</v>
      </c>
      <c r="Z44" s="299"/>
      <c r="AC44" s="300"/>
      <c r="AD44" s="299"/>
      <c r="AG44" s="300"/>
      <c r="AL44" s="299"/>
      <c r="AO44" s="300"/>
      <c r="AS44" s="300"/>
      <c r="AW44" s="300"/>
      <c r="BA44" s="301"/>
    </row>
    <row r="45" spans="1:53" s="292" customFormat="1">
      <c r="A45" s="338">
        <v>1978</v>
      </c>
      <c r="B45" s="831"/>
      <c r="C45" s="909" t="s">
        <v>35</v>
      </c>
      <c r="D45" s="909"/>
      <c r="E45" s="292">
        <v>365</v>
      </c>
      <c r="F45" s="301"/>
      <c r="G45" s="338"/>
      <c r="H45" s="338"/>
      <c r="I45" s="338">
        <v>12</v>
      </c>
      <c r="J45" s="367">
        <v>14</v>
      </c>
      <c r="K45" s="335">
        <f t="shared" si="14"/>
        <v>0</v>
      </c>
      <c r="L45" s="336">
        <f t="shared" si="15"/>
        <v>0</v>
      </c>
      <c r="M45" s="336">
        <f t="shared" si="16"/>
        <v>85.714285714285708</v>
      </c>
      <c r="N45" s="337">
        <f t="shared" si="3"/>
        <v>85.714285714285708</v>
      </c>
      <c r="O45" s="336"/>
      <c r="P45" s="336"/>
      <c r="Q45" s="336">
        <v>50.8</v>
      </c>
      <c r="R45" s="368">
        <f t="shared" si="4"/>
        <v>50.8</v>
      </c>
      <c r="S45" s="347">
        <v>1</v>
      </c>
      <c r="T45" s="836"/>
      <c r="U45" s="855"/>
      <c r="V45" s="292" t="s">
        <v>19</v>
      </c>
      <c r="W45" s="292" t="s">
        <v>20</v>
      </c>
      <c r="X45" s="292" t="s">
        <v>12</v>
      </c>
      <c r="Y45" s="292">
        <v>50.8</v>
      </c>
      <c r="Z45" s="299"/>
      <c r="AC45" s="300"/>
      <c r="AD45" s="299"/>
      <c r="AG45" s="300"/>
      <c r="AL45" s="299"/>
      <c r="AO45" s="300"/>
      <c r="AS45" s="300"/>
      <c r="AW45" s="300"/>
      <c r="BA45" s="301"/>
    </row>
    <row r="46" spans="1:53" s="292" customFormat="1">
      <c r="A46" s="338">
        <v>1979</v>
      </c>
      <c r="B46" s="831"/>
      <c r="C46" s="909" t="s">
        <v>35</v>
      </c>
      <c r="D46" s="909"/>
      <c r="E46" s="292">
        <v>129</v>
      </c>
      <c r="F46" s="301"/>
      <c r="G46" s="366"/>
      <c r="H46" s="338"/>
      <c r="I46" s="338">
        <v>12</v>
      </c>
      <c r="J46" s="367">
        <v>14</v>
      </c>
      <c r="K46" s="335">
        <f t="shared" si="14"/>
        <v>0</v>
      </c>
      <c r="L46" s="336">
        <f t="shared" si="15"/>
        <v>0</v>
      </c>
      <c r="M46" s="336">
        <f t="shared" si="16"/>
        <v>85.714285714285708</v>
      </c>
      <c r="N46" s="337">
        <f t="shared" si="3"/>
        <v>85.714285714285708</v>
      </c>
      <c r="O46" s="336"/>
      <c r="P46" s="336"/>
      <c r="Q46" s="336">
        <v>50.8</v>
      </c>
      <c r="R46" s="368">
        <f t="shared" si="4"/>
        <v>50.8</v>
      </c>
      <c r="S46" s="347">
        <v>1</v>
      </c>
      <c r="T46" s="836"/>
      <c r="U46" s="855"/>
      <c r="V46" s="292" t="s">
        <v>19</v>
      </c>
      <c r="W46" s="292" t="s">
        <v>20</v>
      </c>
      <c r="X46" s="292" t="s">
        <v>12</v>
      </c>
      <c r="Y46" s="292">
        <v>50.8</v>
      </c>
      <c r="Z46" s="299"/>
      <c r="AC46" s="300"/>
      <c r="AD46" s="299"/>
      <c r="AG46" s="300"/>
      <c r="AL46" s="299"/>
      <c r="AO46" s="300"/>
      <c r="AS46" s="300"/>
      <c r="AW46" s="300"/>
      <c r="BA46" s="301"/>
    </row>
    <row r="47" spans="1:53" s="73" customFormat="1">
      <c r="A47" s="101">
        <v>1979</v>
      </c>
      <c r="B47" s="845">
        <v>29011</v>
      </c>
      <c r="C47" s="901" t="s">
        <v>36</v>
      </c>
      <c r="D47" s="901"/>
      <c r="E47" s="73">
        <v>236</v>
      </c>
      <c r="F47" s="84">
        <v>1</v>
      </c>
      <c r="G47" s="119"/>
      <c r="I47" s="101">
        <v>15</v>
      </c>
      <c r="J47" s="124">
        <v>15</v>
      </c>
      <c r="K47" s="91">
        <f t="shared" si="14"/>
        <v>0</v>
      </c>
      <c r="L47" s="92">
        <f t="shared" si="15"/>
        <v>0</v>
      </c>
      <c r="M47" s="92">
        <f t="shared" si="16"/>
        <v>100</v>
      </c>
      <c r="N47" s="93">
        <f t="shared" si="3"/>
        <v>100</v>
      </c>
      <c r="O47" s="92"/>
      <c r="P47" s="92"/>
      <c r="Q47" s="92">
        <v>51.9</v>
      </c>
      <c r="R47" s="121">
        <f t="shared" si="4"/>
        <v>51.9</v>
      </c>
      <c r="S47" s="122">
        <v>1</v>
      </c>
      <c r="T47" s="852">
        <v>28981</v>
      </c>
      <c r="U47" s="845">
        <v>29011</v>
      </c>
      <c r="V47" s="73" t="s">
        <v>19</v>
      </c>
      <c r="W47" s="73" t="s">
        <v>20</v>
      </c>
      <c r="X47" s="73" t="s">
        <v>12</v>
      </c>
      <c r="Y47" s="73">
        <v>51.9</v>
      </c>
      <c r="Z47" s="82"/>
      <c r="AC47" s="83"/>
      <c r="AD47" s="82"/>
      <c r="AG47" s="83"/>
      <c r="AL47" s="82"/>
      <c r="AO47" s="83"/>
      <c r="AS47" s="83"/>
      <c r="AW47" s="83"/>
      <c r="BA47" s="84"/>
    </row>
    <row r="48" spans="1:53" s="73" customFormat="1">
      <c r="A48" s="101">
        <v>1980</v>
      </c>
      <c r="B48" s="832"/>
      <c r="C48" s="901" t="s">
        <v>36</v>
      </c>
      <c r="D48" s="901"/>
      <c r="E48" s="73">
        <v>0</v>
      </c>
      <c r="F48" s="84"/>
      <c r="G48" s="101"/>
      <c r="H48" s="101"/>
      <c r="I48" s="101">
        <v>15</v>
      </c>
      <c r="J48" s="124">
        <v>15</v>
      </c>
      <c r="K48" s="91">
        <f>G48/J48*100</f>
        <v>0</v>
      </c>
      <c r="L48" s="92">
        <f>H48/J48*100</f>
        <v>0</v>
      </c>
      <c r="M48" s="92">
        <f>I48/J48*100</f>
        <v>100</v>
      </c>
      <c r="N48" s="93">
        <f t="shared" si="3"/>
        <v>100</v>
      </c>
      <c r="O48" s="92"/>
      <c r="P48" s="92"/>
      <c r="Q48" s="92">
        <v>51.9</v>
      </c>
      <c r="R48" s="121">
        <f t="shared" si="4"/>
        <v>51.9</v>
      </c>
      <c r="S48" s="122">
        <v>1</v>
      </c>
      <c r="T48" s="852"/>
      <c r="U48" s="845"/>
      <c r="V48" s="73" t="s">
        <v>19</v>
      </c>
      <c r="W48" s="73" t="s">
        <v>20</v>
      </c>
      <c r="X48" s="73" t="s">
        <v>12</v>
      </c>
      <c r="Y48" s="73">
        <v>51.9</v>
      </c>
      <c r="Z48" s="82"/>
      <c r="AC48" s="83"/>
      <c r="AD48" s="82"/>
      <c r="AG48" s="83"/>
      <c r="AL48" s="82"/>
      <c r="AO48" s="83"/>
      <c r="AS48" s="83"/>
      <c r="AW48" s="83"/>
      <c r="BA48" s="84"/>
    </row>
    <row r="49" spans="1:53" s="73" customFormat="1">
      <c r="A49" s="101">
        <v>1980</v>
      </c>
      <c r="B49" s="832"/>
      <c r="C49" s="901" t="s">
        <v>36</v>
      </c>
      <c r="D49" s="901"/>
      <c r="E49" s="73">
        <v>366</v>
      </c>
      <c r="F49" s="84"/>
      <c r="G49" s="119"/>
      <c r="H49" s="101"/>
      <c r="I49" s="101">
        <v>15</v>
      </c>
      <c r="J49" s="124">
        <v>15</v>
      </c>
      <c r="K49" s="91">
        <f t="shared" ref="K49:K55" si="17">G49/J49*100</f>
        <v>0</v>
      </c>
      <c r="L49" s="92">
        <f t="shared" ref="L49:L55" si="18">H49/J49*100</f>
        <v>0</v>
      </c>
      <c r="M49" s="92">
        <f t="shared" ref="M49:M55" si="19">I49/J49*100</f>
        <v>100</v>
      </c>
      <c r="N49" s="93">
        <f t="shared" si="3"/>
        <v>100</v>
      </c>
      <c r="O49" s="92"/>
      <c r="P49" s="92"/>
      <c r="Q49" s="92">
        <v>51.9</v>
      </c>
      <c r="R49" s="121">
        <f t="shared" si="4"/>
        <v>51.9</v>
      </c>
      <c r="S49" s="122">
        <v>1</v>
      </c>
      <c r="T49" s="852"/>
      <c r="U49" s="845"/>
      <c r="V49" s="73" t="s">
        <v>19</v>
      </c>
      <c r="W49" s="73" t="s">
        <v>20</v>
      </c>
      <c r="X49" s="73" t="s">
        <v>12</v>
      </c>
      <c r="Y49" s="73">
        <v>51.9</v>
      </c>
      <c r="Z49" s="82"/>
      <c r="AC49" s="83"/>
      <c r="AD49" s="82"/>
      <c r="AG49" s="83"/>
      <c r="AL49" s="82"/>
      <c r="AO49" s="83"/>
      <c r="AS49" s="83"/>
      <c r="AW49" s="83"/>
      <c r="BA49" s="84"/>
    </row>
    <row r="50" spans="1:53" s="73" customFormat="1">
      <c r="A50" s="101">
        <v>1981</v>
      </c>
      <c r="B50" s="832"/>
      <c r="C50" s="901" t="s">
        <v>36</v>
      </c>
      <c r="D50" s="901"/>
      <c r="E50" s="73">
        <v>0</v>
      </c>
      <c r="F50" s="84"/>
      <c r="G50" s="119"/>
      <c r="I50" s="101">
        <v>15</v>
      </c>
      <c r="J50" s="124">
        <v>15</v>
      </c>
      <c r="K50" s="91">
        <f t="shared" si="17"/>
        <v>0</v>
      </c>
      <c r="L50" s="92">
        <f t="shared" si="18"/>
        <v>0</v>
      </c>
      <c r="M50" s="92">
        <f t="shared" si="19"/>
        <v>100</v>
      </c>
      <c r="N50" s="93">
        <f t="shared" si="3"/>
        <v>100</v>
      </c>
      <c r="O50" s="92"/>
      <c r="P50" s="92"/>
      <c r="Q50" s="92">
        <v>51.9</v>
      </c>
      <c r="R50" s="121">
        <f t="shared" si="4"/>
        <v>51.9</v>
      </c>
      <c r="S50" s="122">
        <v>1</v>
      </c>
      <c r="T50" s="852"/>
      <c r="U50" s="845"/>
      <c r="V50" s="73" t="s">
        <v>19</v>
      </c>
      <c r="W50" s="73" t="s">
        <v>20</v>
      </c>
      <c r="X50" s="73" t="s">
        <v>12</v>
      </c>
      <c r="Y50" s="73">
        <v>51.9</v>
      </c>
      <c r="Z50" s="82"/>
      <c r="AC50" s="83"/>
      <c r="AD50" s="82"/>
      <c r="AG50" s="83"/>
      <c r="AL50" s="82"/>
      <c r="AO50" s="83"/>
      <c r="AS50" s="83"/>
      <c r="AW50" s="83"/>
      <c r="BA50" s="84"/>
    </row>
    <row r="51" spans="1:53" s="73" customFormat="1">
      <c r="A51" s="101">
        <v>1981</v>
      </c>
      <c r="B51" s="832"/>
      <c r="C51" s="901" t="s">
        <v>36</v>
      </c>
      <c r="D51" s="901"/>
      <c r="E51" s="73">
        <v>365</v>
      </c>
      <c r="F51" s="84"/>
      <c r="G51" s="101"/>
      <c r="H51" s="101"/>
      <c r="I51" s="101">
        <v>15</v>
      </c>
      <c r="J51" s="124">
        <v>15</v>
      </c>
      <c r="K51" s="91">
        <f t="shared" si="17"/>
        <v>0</v>
      </c>
      <c r="L51" s="92">
        <f t="shared" si="18"/>
        <v>0</v>
      </c>
      <c r="M51" s="92">
        <f t="shared" si="19"/>
        <v>100</v>
      </c>
      <c r="N51" s="93">
        <f t="shared" si="3"/>
        <v>100</v>
      </c>
      <c r="O51" s="92"/>
      <c r="P51" s="92"/>
      <c r="Q51" s="92">
        <v>51.9</v>
      </c>
      <c r="R51" s="121">
        <f t="shared" si="4"/>
        <v>51.9</v>
      </c>
      <c r="S51" s="122">
        <v>1</v>
      </c>
      <c r="T51" s="852"/>
      <c r="U51" s="845"/>
      <c r="V51" s="73" t="s">
        <v>19</v>
      </c>
      <c r="W51" s="73" t="s">
        <v>20</v>
      </c>
      <c r="X51" s="73" t="s">
        <v>12</v>
      </c>
      <c r="Y51" s="73">
        <v>51.9</v>
      </c>
      <c r="Z51" s="82"/>
      <c r="AC51" s="83"/>
      <c r="AD51" s="82"/>
      <c r="AG51" s="83"/>
      <c r="AL51" s="82"/>
      <c r="AO51" s="83"/>
      <c r="AS51" s="83"/>
      <c r="AW51" s="83"/>
      <c r="BA51" s="84"/>
    </row>
    <row r="52" spans="1:53" s="73" customFormat="1">
      <c r="A52" s="101">
        <v>1982</v>
      </c>
      <c r="B52" s="832"/>
      <c r="C52" s="901" t="s">
        <v>36</v>
      </c>
      <c r="D52" s="901"/>
      <c r="E52" s="73">
        <v>0</v>
      </c>
      <c r="F52" s="84"/>
      <c r="G52" s="119"/>
      <c r="H52" s="101"/>
      <c r="I52" s="101">
        <v>15</v>
      </c>
      <c r="J52" s="124">
        <v>15</v>
      </c>
      <c r="K52" s="91">
        <f t="shared" si="17"/>
        <v>0</v>
      </c>
      <c r="L52" s="92">
        <f t="shared" si="18"/>
        <v>0</v>
      </c>
      <c r="M52" s="92">
        <f t="shared" si="19"/>
        <v>100</v>
      </c>
      <c r="N52" s="93">
        <f t="shared" si="3"/>
        <v>100</v>
      </c>
      <c r="O52" s="92"/>
      <c r="P52" s="92"/>
      <c r="Q52" s="92">
        <v>51.9</v>
      </c>
      <c r="R52" s="121">
        <f t="shared" si="4"/>
        <v>51.9</v>
      </c>
      <c r="S52" s="122">
        <v>1</v>
      </c>
      <c r="T52" s="852"/>
      <c r="U52" s="845"/>
      <c r="V52" s="73" t="s">
        <v>19</v>
      </c>
      <c r="W52" s="73" t="s">
        <v>20</v>
      </c>
      <c r="X52" s="73" t="s">
        <v>12</v>
      </c>
      <c r="Y52" s="73">
        <v>51.9</v>
      </c>
      <c r="Z52" s="82"/>
      <c r="AC52" s="83"/>
      <c r="AD52" s="82"/>
      <c r="AG52" s="83"/>
      <c r="AL52" s="82"/>
      <c r="AO52" s="83"/>
      <c r="AS52" s="83"/>
      <c r="AW52" s="83"/>
      <c r="BA52" s="84"/>
    </row>
    <row r="53" spans="1:53" s="73" customFormat="1">
      <c r="A53" s="101">
        <v>1982</v>
      </c>
      <c r="B53" s="832"/>
      <c r="C53" s="901" t="s">
        <v>36</v>
      </c>
      <c r="D53" s="901"/>
      <c r="E53" s="73">
        <v>365</v>
      </c>
      <c r="F53" s="84"/>
      <c r="G53" s="119"/>
      <c r="I53" s="101">
        <v>15</v>
      </c>
      <c r="J53" s="124">
        <v>15</v>
      </c>
      <c r="K53" s="91">
        <f t="shared" si="17"/>
        <v>0</v>
      </c>
      <c r="L53" s="92">
        <f t="shared" si="18"/>
        <v>0</v>
      </c>
      <c r="M53" s="92">
        <f t="shared" si="19"/>
        <v>100</v>
      </c>
      <c r="N53" s="93">
        <f t="shared" si="3"/>
        <v>100</v>
      </c>
      <c r="O53" s="92"/>
      <c r="P53" s="92"/>
      <c r="Q53" s="92">
        <v>51.9</v>
      </c>
      <c r="R53" s="121">
        <f t="shared" si="4"/>
        <v>51.9</v>
      </c>
      <c r="S53" s="122">
        <v>1</v>
      </c>
      <c r="T53" s="852"/>
      <c r="U53" s="845"/>
      <c r="V53" s="73" t="s">
        <v>19</v>
      </c>
      <c r="W53" s="73" t="s">
        <v>20</v>
      </c>
      <c r="X53" s="73" t="s">
        <v>12</v>
      </c>
      <c r="Y53" s="73">
        <v>51.9</v>
      </c>
      <c r="Z53" s="82"/>
      <c r="AC53" s="83"/>
      <c r="AD53" s="82"/>
      <c r="AG53" s="83"/>
      <c r="AL53" s="82"/>
      <c r="AO53" s="83"/>
      <c r="AS53" s="83"/>
      <c r="AW53" s="83"/>
      <c r="BA53" s="84"/>
    </row>
    <row r="54" spans="1:53" s="73" customFormat="1">
      <c r="A54" s="101">
        <v>1983</v>
      </c>
      <c r="B54" s="832"/>
      <c r="C54" s="901" t="s">
        <v>36</v>
      </c>
      <c r="D54" s="901"/>
      <c r="E54" s="73">
        <v>143</v>
      </c>
      <c r="F54" s="84"/>
      <c r="G54" s="101"/>
      <c r="H54" s="101"/>
      <c r="I54" s="101">
        <v>15</v>
      </c>
      <c r="J54" s="124">
        <v>15</v>
      </c>
      <c r="K54" s="91">
        <f t="shared" si="17"/>
        <v>0</v>
      </c>
      <c r="L54" s="92">
        <f t="shared" si="18"/>
        <v>0</v>
      </c>
      <c r="M54" s="92">
        <f t="shared" si="19"/>
        <v>100</v>
      </c>
      <c r="N54" s="93">
        <f t="shared" si="3"/>
        <v>100</v>
      </c>
      <c r="O54" s="92"/>
      <c r="P54" s="92"/>
      <c r="Q54" s="92">
        <v>51.9</v>
      </c>
      <c r="R54" s="121">
        <f t="shared" si="4"/>
        <v>51.9</v>
      </c>
      <c r="S54" s="122">
        <v>1</v>
      </c>
      <c r="T54" s="852"/>
      <c r="U54" s="845"/>
      <c r="V54" s="73" t="s">
        <v>19</v>
      </c>
      <c r="W54" s="73" t="s">
        <v>20</v>
      </c>
      <c r="X54" s="73" t="s">
        <v>12</v>
      </c>
      <c r="Y54" s="73">
        <v>51.9</v>
      </c>
      <c r="Z54" s="82"/>
      <c r="AC54" s="83"/>
      <c r="AD54" s="82"/>
      <c r="AG54" s="83"/>
      <c r="AL54" s="82"/>
      <c r="AO54" s="83"/>
      <c r="AS54" s="83"/>
      <c r="AW54" s="83"/>
      <c r="BA54" s="84"/>
    </row>
    <row r="55" spans="1:53" s="292" customFormat="1">
      <c r="A55" s="338">
        <v>1983</v>
      </c>
      <c r="B55" s="831">
        <v>30460</v>
      </c>
      <c r="C55" s="922" t="s">
        <v>38</v>
      </c>
      <c r="D55" s="922"/>
      <c r="E55" s="292">
        <v>222</v>
      </c>
      <c r="F55" s="301">
        <v>1</v>
      </c>
      <c r="G55" s="338">
        <v>3</v>
      </c>
      <c r="H55" s="338"/>
      <c r="I55" s="338">
        <v>12</v>
      </c>
      <c r="J55" s="367">
        <v>15</v>
      </c>
      <c r="K55" s="335">
        <f t="shared" si="17"/>
        <v>20</v>
      </c>
      <c r="L55" s="336">
        <f t="shared" si="18"/>
        <v>0</v>
      </c>
      <c r="M55" s="336">
        <f t="shared" si="19"/>
        <v>80</v>
      </c>
      <c r="N55" s="337">
        <f t="shared" si="3"/>
        <v>100</v>
      </c>
      <c r="O55" s="336">
        <v>6.6</v>
      </c>
      <c r="P55" s="336"/>
      <c r="Q55" s="336">
        <v>49.2</v>
      </c>
      <c r="R55" s="368">
        <f t="shared" si="4"/>
        <v>55.800000000000004</v>
      </c>
      <c r="S55" s="347">
        <v>2</v>
      </c>
      <c r="T55" s="836">
        <v>30430</v>
      </c>
      <c r="U55" s="855">
        <v>30460</v>
      </c>
      <c r="V55" s="292" t="s">
        <v>19</v>
      </c>
      <c r="W55" s="292" t="s">
        <v>20</v>
      </c>
      <c r="X55" s="292" t="s">
        <v>12</v>
      </c>
      <c r="Y55" s="292">
        <v>49.2</v>
      </c>
      <c r="Z55" s="299" t="s">
        <v>21</v>
      </c>
      <c r="AA55" s="292" t="s">
        <v>22</v>
      </c>
      <c r="AB55" s="292" t="s">
        <v>11</v>
      </c>
      <c r="AC55" s="300">
        <v>6.6</v>
      </c>
      <c r="AD55" s="299"/>
      <c r="AG55" s="300"/>
      <c r="AL55" s="299"/>
      <c r="AO55" s="300"/>
      <c r="AS55" s="300"/>
      <c r="AW55" s="300"/>
      <c r="BA55" s="301"/>
    </row>
    <row r="56" spans="1:53" s="292" customFormat="1">
      <c r="A56" s="338">
        <v>1984</v>
      </c>
      <c r="B56" s="831"/>
      <c r="C56" s="922" t="s">
        <v>38</v>
      </c>
      <c r="D56" s="922"/>
      <c r="E56" s="292">
        <v>0</v>
      </c>
      <c r="F56" s="301"/>
      <c r="G56" s="338">
        <v>3</v>
      </c>
      <c r="I56" s="338">
        <v>12</v>
      </c>
      <c r="J56" s="367">
        <v>15</v>
      </c>
      <c r="K56" s="335">
        <f>G56/J56*100</f>
        <v>20</v>
      </c>
      <c r="L56" s="336">
        <f>H56/J56*100</f>
        <v>0</v>
      </c>
      <c r="M56" s="336">
        <f>I56/J56*100</f>
        <v>80</v>
      </c>
      <c r="N56" s="337">
        <f t="shared" si="3"/>
        <v>100</v>
      </c>
      <c r="O56" s="336">
        <v>6.6</v>
      </c>
      <c r="P56" s="336"/>
      <c r="Q56" s="336">
        <v>49.2</v>
      </c>
      <c r="R56" s="368">
        <f t="shared" si="4"/>
        <v>55.800000000000004</v>
      </c>
      <c r="S56" s="347">
        <v>2</v>
      </c>
      <c r="T56" s="836"/>
      <c r="U56" s="855"/>
      <c r="V56" s="292" t="s">
        <v>19</v>
      </c>
      <c r="W56" s="292" t="s">
        <v>20</v>
      </c>
      <c r="X56" s="292" t="s">
        <v>12</v>
      </c>
      <c r="Y56" s="292">
        <v>49.2</v>
      </c>
      <c r="Z56" s="299" t="s">
        <v>21</v>
      </c>
      <c r="AA56" s="292" t="s">
        <v>22</v>
      </c>
      <c r="AB56" s="292" t="s">
        <v>11</v>
      </c>
      <c r="AC56" s="300">
        <v>6.6</v>
      </c>
      <c r="AD56" s="299"/>
      <c r="AG56" s="300"/>
      <c r="AL56" s="299"/>
      <c r="AO56" s="300"/>
      <c r="AS56" s="300"/>
      <c r="AW56" s="300"/>
      <c r="BA56" s="301"/>
    </row>
    <row r="57" spans="1:53" s="292" customFormat="1">
      <c r="A57" s="338">
        <v>1984</v>
      </c>
      <c r="B57" s="831"/>
      <c r="C57" s="922" t="s">
        <v>38</v>
      </c>
      <c r="D57" s="922"/>
      <c r="E57" s="292">
        <v>366</v>
      </c>
      <c r="F57" s="301"/>
      <c r="G57" s="338">
        <v>3</v>
      </c>
      <c r="H57" s="338"/>
      <c r="I57" s="338">
        <v>12</v>
      </c>
      <c r="J57" s="367">
        <v>15</v>
      </c>
      <c r="K57" s="335">
        <f t="shared" ref="K57:K63" si="20">G57/J57*100</f>
        <v>20</v>
      </c>
      <c r="L57" s="336">
        <f t="shared" ref="L57:L63" si="21">H57/J57*100</f>
        <v>0</v>
      </c>
      <c r="M57" s="336">
        <f t="shared" ref="M57:M63" si="22">I57/J57*100</f>
        <v>80</v>
      </c>
      <c r="N57" s="337">
        <f t="shared" si="3"/>
        <v>100</v>
      </c>
      <c r="O57" s="336">
        <v>6.6</v>
      </c>
      <c r="P57" s="336"/>
      <c r="Q57" s="336">
        <v>49.2</v>
      </c>
      <c r="R57" s="368">
        <f t="shared" si="4"/>
        <v>55.800000000000004</v>
      </c>
      <c r="S57" s="347">
        <v>2</v>
      </c>
      <c r="T57" s="836"/>
      <c r="U57" s="855"/>
      <c r="V57" s="292" t="s">
        <v>19</v>
      </c>
      <c r="W57" s="292" t="s">
        <v>20</v>
      </c>
      <c r="X57" s="292" t="s">
        <v>12</v>
      </c>
      <c r="Y57" s="292">
        <v>49.2</v>
      </c>
      <c r="Z57" s="299" t="s">
        <v>21</v>
      </c>
      <c r="AA57" s="292" t="s">
        <v>22</v>
      </c>
      <c r="AB57" s="292" t="s">
        <v>11</v>
      </c>
      <c r="AC57" s="300">
        <v>6.6</v>
      </c>
      <c r="AD57" s="299"/>
      <c r="AG57" s="300"/>
      <c r="AL57" s="299"/>
      <c r="AO57" s="300"/>
      <c r="AS57" s="300"/>
      <c r="AW57" s="300"/>
      <c r="BA57" s="301"/>
    </row>
    <row r="58" spans="1:53" s="292" customFormat="1">
      <c r="A58" s="338">
        <v>1985</v>
      </c>
      <c r="B58" s="831"/>
      <c r="C58" s="922" t="s">
        <v>38</v>
      </c>
      <c r="D58" s="922"/>
      <c r="E58" s="292">
        <v>0</v>
      </c>
      <c r="F58" s="301"/>
      <c r="G58" s="338">
        <v>3</v>
      </c>
      <c r="H58" s="338"/>
      <c r="I58" s="338">
        <v>12</v>
      </c>
      <c r="J58" s="367">
        <v>15</v>
      </c>
      <c r="K58" s="335">
        <f t="shared" si="20"/>
        <v>20</v>
      </c>
      <c r="L58" s="336">
        <f t="shared" si="21"/>
        <v>0</v>
      </c>
      <c r="M58" s="336">
        <f t="shared" si="22"/>
        <v>80</v>
      </c>
      <c r="N58" s="337">
        <f t="shared" si="3"/>
        <v>100</v>
      </c>
      <c r="O58" s="336">
        <v>6.6</v>
      </c>
      <c r="P58" s="336"/>
      <c r="Q58" s="336">
        <v>49.2</v>
      </c>
      <c r="R58" s="368">
        <f t="shared" si="4"/>
        <v>55.800000000000004</v>
      </c>
      <c r="S58" s="347">
        <v>2</v>
      </c>
      <c r="T58" s="836"/>
      <c r="U58" s="855"/>
      <c r="V58" s="292" t="s">
        <v>19</v>
      </c>
      <c r="W58" s="292" t="s">
        <v>20</v>
      </c>
      <c r="X58" s="292" t="s">
        <v>12</v>
      </c>
      <c r="Y58" s="292">
        <v>49.2</v>
      </c>
      <c r="Z58" s="299" t="s">
        <v>21</v>
      </c>
      <c r="AA58" s="292" t="s">
        <v>22</v>
      </c>
      <c r="AB58" s="292" t="s">
        <v>11</v>
      </c>
      <c r="AC58" s="300">
        <v>6.6</v>
      </c>
      <c r="AD58" s="299"/>
      <c r="AG58" s="300"/>
      <c r="AL58" s="299"/>
      <c r="AO58" s="300"/>
      <c r="AS58" s="300"/>
      <c r="AW58" s="300"/>
      <c r="BA58" s="301"/>
    </row>
    <row r="59" spans="1:53" s="292" customFormat="1">
      <c r="A59" s="338">
        <v>1985</v>
      </c>
      <c r="B59" s="831"/>
      <c r="C59" s="922" t="s">
        <v>38</v>
      </c>
      <c r="D59" s="922"/>
      <c r="E59" s="292">
        <v>365</v>
      </c>
      <c r="F59" s="301"/>
      <c r="G59" s="338">
        <v>3</v>
      </c>
      <c r="I59" s="338">
        <v>12</v>
      </c>
      <c r="J59" s="367">
        <v>15</v>
      </c>
      <c r="K59" s="335">
        <f t="shared" si="20"/>
        <v>20</v>
      </c>
      <c r="L59" s="336">
        <f t="shared" si="21"/>
        <v>0</v>
      </c>
      <c r="M59" s="336">
        <f t="shared" si="22"/>
        <v>80</v>
      </c>
      <c r="N59" s="337">
        <f t="shared" si="3"/>
        <v>100</v>
      </c>
      <c r="O59" s="336">
        <v>6.6</v>
      </c>
      <c r="P59" s="336"/>
      <c r="Q59" s="336">
        <v>49.2</v>
      </c>
      <c r="R59" s="368">
        <f t="shared" si="4"/>
        <v>55.800000000000004</v>
      </c>
      <c r="S59" s="347">
        <v>2</v>
      </c>
      <c r="T59" s="836"/>
      <c r="U59" s="855"/>
      <c r="V59" s="292" t="s">
        <v>19</v>
      </c>
      <c r="W59" s="292" t="s">
        <v>20</v>
      </c>
      <c r="X59" s="292" t="s">
        <v>12</v>
      </c>
      <c r="Y59" s="292">
        <v>49.2</v>
      </c>
      <c r="Z59" s="299" t="s">
        <v>21</v>
      </c>
      <c r="AA59" s="292" t="s">
        <v>22</v>
      </c>
      <c r="AB59" s="292" t="s">
        <v>11</v>
      </c>
      <c r="AC59" s="300">
        <v>6.6</v>
      </c>
      <c r="AD59" s="299"/>
      <c r="AG59" s="300"/>
      <c r="AL59" s="299"/>
      <c r="AO59" s="300"/>
      <c r="AS59" s="300"/>
      <c r="AW59" s="300"/>
      <c r="BA59" s="301"/>
    </row>
    <row r="60" spans="1:53" s="292" customFormat="1">
      <c r="A60" s="338">
        <v>1986</v>
      </c>
      <c r="B60" s="831"/>
      <c r="C60" s="922" t="s">
        <v>38</v>
      </c>
      <c r="D60" s="922"/>
      <c r="E60" s="292">
        <v>166</v>
      </c>
      <c r="F60" s="301"/>
      <c r="G60" s="338">
        <v>3</v>
      </c>
      <c r="H60" s="338"/>
      <c r="I60" s="338">
        <v>12</v>
      </c>
      <c r="J60" s="367">
        <v>15</v>
      </c>
      <c r="K60" s="335">
        <f t="shared" si="20"/>
        <v>20</v>
      </c>
      <c r="L60" s="336">
        <f t="shared" si="21"/>
        <v>0</v>
      </c>
      <c r="M60" s="336">
        <f t="shared" si="22"/>
        <v>80</v>
      </c>
      <c r="N60" s="337">
        <f t="shared" si="3"/>
        <v>100</v>
      </c>
      <c r="O60" s="336">
        <v>6.6</v>
      </c>
      <c r="P60" s="336"/>
      <c r="Q60" s="336">
        <v>49.2</v>
      </c>
      <c r="R60" s="368">
        <f t="shared" si="4"/>
        <v>55.800000000000004</v>
      </c>
      <c r="S60" s="347">
        <v>2</v>
      </c>
      <c r="T60" s="836"/>
      <c r="U60" s="855"/>
      <c r="V60" s="292" t="s">
        <v>19</v>
      </c>
      <c r="W60" s="292" t="s">
        <v>20</v>
      </c>
      <c r="X60" s="292" t="s">
        <v>12</v>
      </c>
      <c r="Y60" s="292">
        <v>49.2</v>
      </c>
      <c r="Z60" s="299" t="s">
        <v>21</v>
      </c>
      <c r="AA60" s="292" t="s">
        <v>22</v>
      </c>
      <c r="AB60" s="292" t="s">
        <v>11</v>
      </c>
      <c r="AC60" s="300">
        <v>6.6</v>
      </c>
      <c r="AD60" s="299"/>
      <c r="AG60" s="300"/>
      <c r="AL60" s="299"/>
      <c r="AO60" s="300"/>
      <c r="AS60" s="300"/>
      <c r="AW60" s="300"/>
      <c r="BA60" s="301"/>
    </row>
    <row r="61" spans="1:53" s="73" customFormat="1">
      <c r="A61" s="101">
        <v>1986</v>
      </c>
      <c r="B61" s="832">
        <v>31579</v>
      </c>
      <c r="C61" s="921" t="s">
        <v>37</v>
      </c>
      <c r="D61" s="921"/>
      <c r="E61" s="73">
        <v>199</v>
      </c>
      <c r="F61" s="84">
        <v>2</v>
      </c>
      <c r="G61" s="101">
        <v>3</v>
      </c>
      <c r="H61" s="101"/>
      <c r="I61" s="101">
        <v>13</v>
      </c>
      <c r="J61" s="124">
        <v>16</v>
      </c>
      <c r="K61" s="91">
        <f t="shared" si="20"/>
        <v>18.75</v>
      </c>
      <c r="L61" s="92">
        <f t="shared" si="21"/>
        <v>0</v>
      </c>
      <c r="M61" s="92">
        <f t="shared" si="22"/>
        <v>81.25</v>
      </c>
      <c r="N61" s="93">
        <f t="shared" si="3"/>
        <v>100</v>
      </c>
      <c r="O61" s="92">
        <v>6.6</v>
      </c>
      <c r="P61" s="92"/>
      <c r="Q61" s="92">
        <v>49.2</v>
      </c>
      <c r="R61" s="121">
        <f t="shared" si="4"/>
        <v>55.800000000000004</v>
      </c>
      <c r="S61" s="122">
        <v>2</v>
      </c>
      <c r="T61" s="852"/>
      <c r="U61" s="845">
        <v>31579</v>
      </c>
      <c r="V61" s="73" t="s">
        <v>19</v>
      </c>
      <c r="W61" s="73" t="s">
        <v>20</v>
      </c>
      <c r="X61" s="73" t="s">
        <v>12</v>
      </c>
      <c r="Y61" s="73">
        <v>49.2</v>
      </c>
      <c r="Z61" s="82" t="s">
        <v>21</v>
      </c>
      <c r="AA61" s="73" t="s">
        <v>22</v>
      </c>
      <c r="AB61" s="73" t="s">
        <v>11</v>
      </c>
      <c r="AC61" s="83">
        <v>6.6</v>
      </c>
      <c r="AD61" s="82"/>
      <c r="AG61" s="83"/>
      <c r="AL61" s="82"/>
      <c r="AO61" s="83"/>
      <c r="AS61" s="83"/>
      <c r="AW61" s="83"/>
      <c r="BA61" s="84"/>
    </row>
    <row r="62" spans="1:53" s="73" customFormat="1">
      <c r="A62" s="101">
        <v>1987</v>
      </c>
      <c r="B62" s="832"/>
      <c r="C62" s="921" t="s">
        <v>37</v>
      </c>
      <c r="D62" s="921"/>
      <c r="E62" s="73">
        <v>20</v>
      </c>
      <c r="F62" s="84"/>
      <c r="G62" s="101">
        <v>3</v>
      </c>
      <c r="I62" s="101">
        <v>13</v>
      </c>
      <c r="J62" s="124">
        <v>16</v>
      </c>
      <c r="K62" s="91">
        <f t="shared" si="20"/>
        <v>18.75</v>
      </c>
      <c r="L62" s="92">
        <f t="shared" si="21"/>
        <v>0</v>
      </c>
      <c r="M62" s="92">
        <f t="shared" si="22"/>
        <v>81.25</v>
      </c>
      <c r="N62" s="93">
        <f t="shared" si="3"/>
        <v>100</v>
      </c>
      <c r="O62" s="92">
        <v>6.6</v>
      </c>
      <c r="P62" s="92"/>
      <c r="Q62" s="92">
        <v>49.2</v>
      </c>
      <c r="R62" s="121">
        <f t="shared" si="4"/>
        <v>55.800000000000004</v>
      </c>
      <c r="S62" s="122">
        <v>2</v>
      </c>
      <c r="T62" s="852">
        <v>31739</v>
      </c>
      <c r="U62" s="845"/>
      <c r="V62" s="73" t="s">
        <v>19</v>
      </c>
      <c r="W62" s="73" t="s">
        <v>20</v>
      </c>
      <c r="X62" s="73" t="s">
        <v>12</v>
      </c>
      <c r="Y62" s="73">
        <v>49.2</v>
      </c>
      <c r="Z62" s="82" t="s">
        <v>21</v>
      </c>
      <c r="AA62" s="73" t="s">
        <v>22</v>
      </c>
      <c r="AB62" s="73" t="s">
        <v>11</v>
      </c>
      <c r="AC62" s="83">
        <v>6.6</v>
      </c>
      <c r="AD62" s="82"/>
      <c r="AG62" s="83"/>
      <c r="AL62" s="82"/>
      <c r="AO62" s="83"/>
      <c r="AS62" s="83"/>
      <c r="AW62" s="83"/>
      <c r="BA62" s="84"/>
    </row>
    <row r="63" spans="1:53" s="292" customFormat="1">
      <c r="A63" s="338">
        <v>1987</v>
      </c>
      <c r="B63" s="831">
        <v>31798</v>
      </c>
      <c r="C63" s="922" t="s">
        <v>39</v>
      </c>
      <c r="D63" s="922"/>
      <c r="E63" s="292">
        <v>345</v>
      </c>
      <c r="F63" s="301">
        <v>1</v>
      </c>
      <c r="G63" s="338"/>
      <c r="H63" s="338">
        <v>7</v>
      </c>
      <c r="I63" s="338">
        <v>7</v>
      </c>
      <c r="J63" s="367">
        <v>15</v>
      </c>
      <c r="K63" s="335">
        <f t="shared" si="20"/>
        <v>0</v>
      </c>
      <c r="L63" s="336">
        <f t="shared" si="21"/>
        <v>46.666666666666664</v>
      </c>
      <c r="M63" s="336">
        <f t="shared" si="22"/>
        <v>46.666666666666664</v>
      </c>
      <c r="N63" s="337">
        <f t="shared" si="3"/>
        <v>93.333333333333329</v>
      </c>
      <c r="O63" s="336"/>
      <c r="P63" s="336">
        <v>42.1</v>
      </c>
      <c r="Q63" s="336">
        <v>43.7</v>
      </c>
      <c r="R63" s="368">
        <f t="shared" si="4"/>
        <v>85.800000000000011</v>
      </c>
      <c r="S63" s="347">
        <v>2</v>
      </c>
      <c r="T63" s="836"/>
      <c r="U63" s="855">
        <v>31798</v>
      </c>
      <c r="V63" s="292" t="s">
        <v>19</v>
      </c>
      <c r="W63" s="292" t="s">
        <v>20</v>
      </c>
      <c r="X63" s="292" t="s">
        <v>12</v>
      </c>
      <c r="Y63" s="292">
        <v>43.7</v>
      </c>
      <c r="Z63" s="299" t="s">
        <v>16</v>
      </c>
      <c r="AA63" s="292" t="s">
        <v>17</v>
      </c>
      <c r="AB63" s="292" t="s">
        <v>18</v>
      </c>
      <c r="AC63" s="300">
        <v>42.1</v>
      </c>
      <c r="AD63" s="299"/>
      <c r="AG63" s="300"/>
      <c r="AL63" s="299"/>
      <c r="AO63" s="300"/>
      <c r="AS63" s="300"/>
      <c r="AW63" s="300"/>
      <c r="BA63" s="301"/>
    </row>
    <row r="64" spans="1:53" s="292" customFormat="1">
      <c r="A64" s="338">
        <v>1988</v>
      </c>
      <c r="B64" s="831"/>
      <c r="C64" s="922" t="s">
        <v>39</v>
      </c>
      <c r="D64" s="922"/>
      <c r="E64" s="292">
        <v>0</v>
      </c>
      <c r="F64" s="301"/>
      <c r="G64" s="338"/>
      <c r="H64" s="338">
        <v>7</v>
      </c>
      <c r="I64" s="338">
        <v>7</v>
      </c>
      <c r="J64" s="367">
        <v>15</v>
      </c>
      <c r="K64" s="335">
        <f>G64/J64*100</f>
        <v>0</v>
      </c>
      <c r="L64" s="336">
        <f>H64/J64*100</f>
        <v>46.666666666666664</v>
      </c>
      <c r="M64" s="336">
        <f>I64/J64*100</f>
        <v>46.666666666666664</v>
      </c>
      <c r="N64" s="337">
        <f t="shared" si="3"/>
        <v>93.333333333333329</v>
      </c>
      <c r="O64" s="336"/>
      <c r="P64" s="336">
        <v>42.1</v>
      </c>
      <c r="Q64" s="336">
        <v>43.7</v>
      </c>
      <c r="R64" s="368">
        <f t="shared" si="4"/>
        <v>85.800000000000011</v>
      </c>
      <c r="S64" s="347">
        <v>2</v>
      </c>
      <c r="T64" s="836"/>
      <c r="U64" s="855"/>
      <c r="V64" s="292" t="s">
        <v>19</v>
      </c>
      <c r="W64" s="292" t="s">
        <v>20</v>
      </c>
      <c r="X64" s="292" t="s">
        <v>12</v>
      </c>
      <c r="Y64" s="292">
        <v>43.7</v>
      </c>
      <c r="Z64" s="299" t="s">
        <v>16</v>
      </c>
      <c r="AA64" s="292" t="s">
        <v>17</v>
      </c>
      <c r="AB64" s="292" t="s">
        <v>18</v>
      </c>
      <c r="AC64" s="300">
        <v>42.1</v>
      </c>
      <c r="AD64" s="299"/>
      <c r="AG64" s="300"/>
      <c r="AL64" s="299"/>
      <c r="AO64" s="300"/>
      <c r="AS64" s="300"/>
      <c r="AW64" s="300"/>
      <c r="BA64" s="301"/>
    </row>
    <row r="65" spans="1:53" s="292" customFormat="1">
      <c r="A65" s="338">
        <v>1988</v>
      </c>
      <c r="B65" s="831"/>
      <c r="C65" s="922" t="s">
        <v>39</v>
      </c>
      <c r="D65" s="922"/>
      <c r="E65" s="292">
        <v>366</v>
      </c>
      <c r="F65" s="301"/>
      <c r="G65" s="338"/>
      <c r="H65" s="338">
        <v>7</v>
      </c>
      <c r="I65" s="338">
        <v>7</v>
      </c>
      <c r="J65" s="367">
        <v>15</v>
      </c>
      <c r="K65" s="335">
        <f>G65/J65*100</f>
        <v>0</v>
      </c>
      <c r="L65" s="336">
        <f>H65/J65*100</f>
        <v>46.666666666666664</v>
      </c>
      <c r="M65" s="336">
        <f>I65/J65*100</f>
        <v>46.666666666666664</v>
      </c>
      <c r="N65" s="337">
        <f t="shared" si="3"/>
        <v>93.333333333333329</v>
      </c>
      <c r="O65" s="336"/>
      <c r="P65" s="336">
        <v>42.1</v>
      </c>
      <c r="Q65" s="336">
        <v>43.7</v>
      </c>
      <c r="R65" s="368">
        <f t="shared" si="4"/>
        <v>85.800000000000011</v>
      </c>
      <c r="S65" s="347">
        <v>2</v>
      </c>
      <c r="T65" s="836"/>
      <c r="U65" s="855"/>
      <c r="V65" s="292" t="s">
        <v>19</v>
      </c>
      <c r="W65" s="292" t="s">
        <v>20</v>
      </c>
      <c r="X65" s="292" t="s">
        <v>12</v>
      </c>
      <c r="Y65" s="292">
        <v>43.7</v>
      </c>
      <c r="Z65" s="299" t="s">
        <v>16</v>
      </c>
      <c r="AA65" s="292" t="s">
        <v>17</v>
      </c>
      <c r="AB65" s="292" t="s">
        <v>18</v>
      </c>
      <c r="AC65" s="300">
        <v>42.1</v>
      </c>
      <c r="AD65" s="299"/>
      <c r="AG65" s="300"/>
      <c r="AL65" s="299"/>
      <c r="AO65" s="300"/>
      <c r="AS65" s="300"/>
      <c r="AW65" s="300"/>
      <c r="BA65" s="301"/>
    </row>
    <row r="66" spans="1:53" s="292" customFormat="1">
      <c r="A66" s="338">
        <v>1989</v>
      </c>
      <c r="B66" s="831"/>
      <c r="C66" s="922" t="s">
        <v>39</v>
      </c>
      <c r="D66" s="922"/>
      <c r="E66" s="292">
        <v>0</v>
      </c>
      <c r="F66" s="301"/>
      <c r="G66" s="338"/>
      <c r="H66" s="338">
        <v>7</v>
      </c>
      <c r="I66" s="338">
        <v>7</v>
      </c>
      <c r="J66" s="367">
        <v>15</v>
      </c>
      <c r="K66" s="335">
        <f>G66/J66*100</f>
        <v>0</v>
      </c>
      <c r="L66" s="336">
        <f>H66/J66*100</f>
        <v>46.666666666666664</v>
      </c>
      <c r="M66" s="336">
        <f>I66/J66*100</f>
        <v>46.666666666666664</v>
      </c>
      <c r="N66" s="337">
        <f t="shared" si="3"/>
        <v>93.333333333333329</v>
      </c>
      <c r="O66" s="336"/>
      <c r="P66" s="336">
        <v>42.1</v>
      </c>
      <c r="Q66" s="336">
        <v>43.7</v>
      </c>
      <c r="R66" s="368">
        <f t="shared" si="4"/>
        <v>85.800000000000011</v>
      </c>
      <c r="S66" s="347">
        <v>2</v>
      </c>
      <c r="T66" s="836"/>
      <c r="U66" s="855"/>
      <c r="V66" s="292" t="s">
        <v>19</v>
      </c>
      <c r="W66" s="292" t="s">
        <v>20</v>
      </c>
      <c r="X66" s="292" t="s">
        <v>12</v>
      </c>
      <c r="Y66" s="292">
        <v>43.7</v>
      </c>
      <c r="Z66" s="299" t="s">
        <v>16</v>
      </c>
      <c r="AA66" s="292" t="s">
        <v>17</v>
      </c>
      <c r="AB66" s="292" t="s">
        <v>18</v>
      </c>
      <c r="AC66" s="300">
        <v>42.1</v>
      </c>
      <c r="AD66" s="299"/>
      <c r="AG66" s="300"/>
      <c r="AL66" s="299"/>
      <c r="AO66" s="300"/>
      <c r="AS66" s="300"/>
      <c r="AW66" s="300"/>
      <c r="BA66" s="301"/>
    </row>
    <row r="67" spans="1:53" s="103" customFormat="1">
      <c r="A67" s="180">
        <v>1989</v>
      </c>
      <c r="B67" s="846"/>
      <c r="C67" s="923" t="s">
        <v>39</v>
      </c>
      <c r="D67" s="923"/>
      <c r="E67" s="103">
        <v>365</v>
      </c>
      <c r="F67" s="106"/>
      <c r="G67" s="180"/>
      <c r="H67" s="180">
        <v>7</v>
      </c>
      <c r="I67" s="180">
        <v>7</v>
      </c>
      <c r="J67" s="370">
        <v>15</v>
      </c>
      <c r="K67" s="352">
        <f>G67/J67*100</f>
        <v>0</v>
      </c>
      <c r="L67" s="353">
        <f>H67/J67*100</f>
        <v>46.666666666666664</v>
      </c>
      <c r="M67" s="353">
        <f>I67/J67*100</f>
        <v>46.666666666666664</v>
      </c>
      <c r="N67" s="354">
        <f t="shared" si="3"/>
        <v>93.333333333333329</v>
      </c>
      <c r="O67" s="353"/>
      <c r="P67" s="353">
        <v>42.1</v>
      </c>
      <c r="Q67" s="353">
        <v>43.7</v>
      </c>
      <c r="R67" s="371">
        <f>SUM(O67:Q67)</f>
        <v>85.800000000000011</v>
      </c>
      <c r="S67" s="372">
        <v>2</v>
      </c>
      <c r="T67" s="846"/>
      <c r="U67" s="856"/>
      <c r="V67" s="103" t="s">
        <v>19</v>
      </c>
      <c r="W67" s="103" t="s">
        <v>20</v>
      </c>
      <c r="X67" s="103" t="s">
        <v>12</v>
      </c>
      <c r="Y67" s="103">
        <v>43.7</v>
      </c>
      <c r="Z67" s="104" t="s">
        <v>16</v>
      </c>
      <c r="AA67" s="103" t="s">
        <v>17</v>
      </c>
      <c r="AB67" s="103" t="s">
        <v>18</v>
      </c>
      <c r="AC67" s="105">
        <v>42.1</v>
      </c>
      <c r="AD67" s="104"/>
      <c r="AG67" s="105"/>
      <c r="AL67" s="104"/>
      <c r="AO67" s="105"/>
      <c r="AS67" s="105"/>
      <c r="AW67" s="105"/>
      <c r="BA67" s="106"/>
    </row>
    <row r="68" spans="1:53" s="292" customFormat="1">
      <c r="A68" s="292">
        <v>1990</v>
      </c>
      <c r="B68" s="836"/>
      <c r="C68" s="916" t="s">
        <v>39</v>
      </c>
      <c r="D68" s="916"/>
      <c r="E68" s="292">
        <v>350</v>
      </c>
      <c r="F68" s="301"/>
      <c r="G68" s="340"/>
      <c r="H68" s="340">
        <v>7</v>
      </c>
      <c r="I68" s="340">
        <v>7</v>
      </c>
      <c r="J68" s="373">
        <v>15</v>
      </c>
      <c r="K68" s="335">
        <v>0</v>
      </c>
      <c r="L68" s="336">
        <v>46.7</v>
      </c>
      <c r="M68" s="336">
        <v>46.7</v>
      </c>
      <c r="N68" s="337">
        <f t="shared" si="3"/>
        <v>93.4</v>
      </c>
      <c r="O68" s="336"/>
      <c r="P68" s="336">
        <v>42.1</v>
      </c>
      <c r="Q68" s="336">
        <v>43.7</v>
      </c>
      <c r="R68" s="368">
        <f>SUM(O68:Q68)</f>
        <v>85.800000000000011</v>
      </c>
      <c r="S68" s="347">
        <v>2</v>
      </c>
      <c r="T68" s="836"/>
      <c r="U68" s="855"/>
      <c r="V68" s="292" t="s">
        <v>19</v>
      </c>
      <c r="W68" s="292" t="s">
        <v>20</v>
      </c>
      <c r="X68" s="292" t="s">
        <v>12</v>
      </c>
      <c r="Y68" s="292">
        <v>43.7</v>
      </c>
      <c r="Z68" s="299" t="s">
        <v>16</v>
      </c>
      <c r="AA68" s="292" t="s">
        <v>17</v>
      </c>
      <c r="AB68" s="292" t="s">
        <v>18</v>
      </c>
      <c r="AC68" s="300">
        <v>42.1</v>
      </c>
      <c r="AD68" s="299"/>
      <c r="AG68" s="300"/>
      <c r="AL68" s="299"/>
      <c r="AO68" s="300"/>
      <c r="AS68" s="300"/>
      <c r="AW68" s="300"/>
      <c r="BA68" s="301"/>
    </row>
    <row r="69" spans="1:53" s="73" customFormat="1">
      <c r="A69" s="73">
        <v>1990</v>
      </c>
      <c r="B69" s="847">
        <v>33224</v>
      </c>
      <c r="C69" s="921" t="s">
        <v>40</v>
      </c>
      <c r="D69" s="921"/>
      <c r="E69" s="73">
        <v>15</v>
      </c>
      <c r="F69" s="84">
        <v>1</v>
      </c>
      <c r="G69" s="97"/>
      <c r="H69" s="97">
        <v>8</v>
      </c>
      <c r="I69" s="97">
        <v>8</v>
      </c>
      <c r="J69" s="125">
        <v>17</v>
      </c>
      <c r="K69" s="91">
        <f>G69/J69*100</f>
        <v>0</v>
      </c>
      <c r="L69" s="92">
        <f>H69/J69*100</f>
        <v>47.058823529411761</v>
      </c>
      <c r="M69" s="92">
        <f>I69/J69*100</f>
        <v>47.058823529411761</v>
      </c>
      <c r="N69" s="93">
        <f t="shared" si="3"/>
        <v>94.117647058823522</v>
      </c>
      <c r="O69" s="92"/>
      <c r="P69" s="92">
        <v>32.799999999999997</v>
      </c>
      <c r="Q69" s="92">
        <v>43.7</v>
      </c>
      <c r="R69" s="121">
        <f t="shared" si="4"/>
        <v>76.5</v>
      </c>
      <c r="S69" s="122">
        <v>2</v>
      </c>
      <c r="T69" s="852">
        <v>33153</v>
      </c>
      <c r="U69" s="845">
        <v>33224</v>
      </c>
      <c r="V69" s="73" t="s">
        <v>19</v>
      </c>
      <c r="W69" s="73" t="s">
        <v>20</v>
      </c>
      <c r="X69" s="73" t="s">
        <v>12</v>
      </c>
      <c r="Y69" s="73">
        <v>43.7</v>
      </c>
      <c r="Z69" s="82" t="s">
        <v>16</v>
      </c>
      <c r="AA69" s="73" t="s">
        <v>17</v>
      </c>
      <c r="AB69" s="73" t="s">
        <v>18</v>
      </c>
      <c r="AC69" s="83">
        <v>32.799999999999997</v>
      </c>
      <c r="AD69" s="82"/>
      <c r="AG69" s="83"/>
      <c r="AL69" s="82"/>
      <c r="AO69" s="83"/>
      <c r="AS69" s="83"/>
      <c r="AW69" s="83"/>
      <c r="BA69" s="84"/>
    </row>
    <row r="70" spans="1:53" s="73" customFormat="1">
      <c r="A70" s="73">
        <v>1991</v>
      </c>
      <c r="B70" s="847"/>
      <c r="C70" s="921" t="s">
        <v>40</v>
      </c>
      <c r="D70" s="921"/>
      <c r="E70" s="73">
        <v>0</v>
      </c>
      <c r="F70" s="84"/>
      <c r="G70" s="97"/>
      <c r="H70" s="97">
        <v>8</v>
      </c>
      <c r="I70" s="97">
        <v>8</v>
      </c>
      <c r="J70" s="125">
        <v>17</v>
      </c>
      <c r="K70" s="91">
        <f>G70/J70*100</f>
        <v>0</v>
      </c>
      <c r="L70" s="92">
        <f>H70/J70*100</f>
        <v>47.058823529411761</v>
      </c>
      <c r="M70" s="92">
        <f>I70/J70*100</f>
        <v>47.058823529411761</v>
      </c>
      <c r="N70" s="93">
        <f t="shared" si="3"/>
        <v>94.117647058823522</v>
      </c>
      <c r="O70" s="92"/>
      <c r="P70" s="92">
        <v>32.799999999999997</v>
      </c>
      <c r="Q70" s="92">
        <v>43.7</v>
      </c>
      <c r="R70" s="121">
        <f t="shared" si="4"/>
        <v>76.5</v>
      </c>
      <c r="S70" s="122">
        <v>2</v>
      </c>
      <c r="T70" s="852"/>
      <c r="U70" s="845"/>
      <c r="V70" s="73" t="s">
        <v>19</v>
      </c>
      <c r="W70" s="73" t="s">
        <v>20</v>
      </c>
      <c r="X70" s="73" t="s">
        <v>12</v>
      </c>
      <c r="Y70" s="73">
        <v>43.7</v>
      </c>
      <c r="Z70" s="82" t="s">
        <v>16</v>
      </c>
      <c r="AA70" s="73" t="s">
        <v>17</v>
      </c>
      <c r="AB70" s="73" t="s">
        <v>18</v>
      </c>
      <c r="AC70" s="83">
        <v>32.799999999999997</v>
      </c>
      <c r="AD70" s="82"/>
      <c r="AG70" s="83"/>
      <c r="AL70" s="82"/>
      <c r="AO70" s="83"/>
      <c r="AS70" s="83"/>
      <c r="AW70" s="83"/>
      <c r="BA70" s="84"/>
    </row>
    <row r="71" spans="1:53" s="73" customFormat="1">
      <c r="A71" s="73">
        <v>1991</v>
      </c>
      <c r="B71" s="847"/>
      <c r="C71" s="921" t="s">
        <v>40</v>
      </c>
      <c r="D71" s="921"/>
      <c r="E71" s="73">
        <v>365</v>
      </c>
      <c r="F71" s="84"/>
      <c r="G71" s="97"/>
      <c r="H71" s="97">
        <v>8</v>
      </c>
      <c r="I71" s="97">
        <v>8</v>
      </c>
      <c r="J71" s="125">
        <v>17</v>
      </c>
      <c r="K71" s="91">
        <f>G71/J71*100</f>
        <v>0</v>
      </c>
      <c r="L71" s="92">
        <f>H71/J71*100</f>
        <v>47.058823529411761</v>
      </c>
      <c r="M71" s="92">
        <f>I71/J71*100</f>
        <v>47.058823529411761</v>
      </c>
      <c r="N71" s="93">
        <f t="shared" si="3"/>
        <v>94.117647058823522</v>
      </c>
      <c r="O71" s="92"/>
      <c r="P71" s="92">
        <v>32.799999999999997</v>
      </c>
      <c r="Q71" s="92">
        <v>43.7</v>
      </c>
      <c r="R71" s="121">
        <f t="shared" si="4"/>
        <v>76.5</v>
      </c>
      <c r="S71" s="122">
        <v>2</v>
      </c>
      <c r="T71" s="852"/>
      <c r="U71" s="845"/>
      <c r="V71" s="73" t="s">
        <v>19</v>
      </c>
      <c r="W71" s="73" t="s">
        <v>20</v>
      </c>
      <c r="X71" s="73" t="s">
        <v>12</v>
      </c>
      <c r="Y71" s="73">
        <v>43.7</v>
      </c>
      <c r="Z71" s="82" t="s">
        <v>16</v>
      </c>
      <c r="AA71" s="73" t="s">
        <v>17</v>
      </c>
      <c r="AB71" s="73" t="s">
        <v>18</v>
      </c>
      <c r="AC71" s="83">
        <v>32.799999999999997</v>
      </c>
      <c r="AD71" s="82"/>
      <c r="AG71" s="83"/>
      <c r="AL71" s="82"/>
      <c r="AO71" s="83"/>
      <c r="AS71" s="83"/>
      <c r="AW71" s="83"/>
      <c r="BA71" s="84"/>
    </row>
    <row r="72" spans="1:53" s="73" customFormat="1">
      <c r="A72" s="73">
        <v>1992</v>
      </c>
      <c r="B72" s="847"/>
      <c r="C72" s="921" t="s">
        <v>40</v>
      </c>
      <c r="D72" s="921"/>
      <c r="E72" s="73">
        <v>0</v>
      </c>
      <c r="F72" s="84"/>
      <c r="G72" s="97"/>
      <c r="H72" s="97">
        <v>7</v>
      </c>
      <c r="I72" s="97">
        <v>8</v>
      </c>
      <c r="J72" s="125">
        <v>16</v>
      </c>
      <c r="K72" s="91">
        <f>G72/J72*100</f>
        <v>0</v>
      </c>
      <c r="L72" s="92">
        <f>H72/J72*100</f>
        <v>43.75</v>
      </c>
      <c r="M72" s="92">
        <f>I72/J72*100</f>
        <v>50</v>
      </c>
      <c r="N72" s="93">
        <f t="shared" si="3"/>
        <v>93.75</v>
      </c>
      <c r="O72" s="92"/>
      <c r="P72" s="92">
        <v>32.799999999999997</v>
      </c>
      <c r="Q72" s="92">
        <v>43.7</v>
      </c>
      <c r="R72" s="121">
        <f t="shared" si="4"/>
        <v>76.5</v>
      </c>
      <c r="S72" s="122">
        <v>2</v>
      </c>
      <c r="T72" s="852"/>
      <c r="U72" s="845"/>
      <c r="V72" s="73" t="s">
        <v>19</v>
      </c>
      <c r="W72" s="73" t="s">
        <v>20</v>
      </c>
      <c r="X72" s="73" t="s">
        <v>12</v>
      </c>
      <c r="Y72" s="73">
        <v>43.7</v>
      </c>
      <c r="Z72" s="82" t="s">
        <v>16</v>
      </c>
      <c r="AA72" s="73" t="s">
        <v>17</v>
      </c>
      <c r="AB72" s="73" t="s">
        <v>18</v>
      </c>
      <c r="AC72" s="83">
        <v>32.799999999999997</v>
      </c>
      <c r="AD72" s="82"/>
      <c r="AG72" s="83"/>
      <c r="AL72" s="82"/>
      <c r="AO72" s="83"/>
      <c r="AS72" s="83"/>
      <c r="AW72" s="83"/>
      <c r="BA72" s="84"/>
    </row>
    <row r="73" spans="1:53" s="73" customFormat="1">
      <c r="A73" s="73">
        <v>1992</v>
      </c>
      <c r="B73" s="847"/>
      <c r="C73" s="921" t="s">
        <v>40</v>
      </c>
      <c r="D73" s="921"/>
      <c r="E73" s="73">
        <v>366</v>
      </c>
      <c r="F73" s="84"/>
      <c r="G73" s="97"/>
      <c r="H73" s="97">
        <v>7</v>
      </c>
      <c r="I73" s="97">
        <v>8</v>
      </c>
      <c r="J73" s="125">
        <v>16</v>
      </c>
      <c r="K73" s="91">
        <f>G73/J73*100</f>
        <v>0</v>
      </c>
      <c r="L73" s="92">
        <f>H73/J73*100</f>
        <v>43.75</v>
      </c>
      <c r="M73" s="92">
        <f>I73/J73*100</f>
        <v>50</v>
      </c>
      <c r="N73" s="93">
        <f t="shared" ref="N73:N116" si="23">SUM(K73:M73)</f>
        <v>93.75</v>
      </c>
      <c r="O73" s="92"/>
      <c r="P73" s="92">
        <v>32.799999999999997</v>
      </c>
      <c r="Q73" s="92">
        <v>43.7</v>
      </c>
      <c r="R73" s="121">
        <f t="shared" ref="R73:R117" si="24">SUM(O73:Q73)</f>
        <v>76.5</v>
      </c>
      <c r="S73" s="122">
        <v>2</v>
      </c>
      <c r="T73" s="852"/>
      <c r="U73" s="845"/>
      <c r="V73" s="73" t="s">
        <v>19</v>
      </c>
      <c r="W73" s="73" t="s">
        <v>20</v>
      </c>
      <c r="X73" s="73" t="s">
        <v>12</v>
      </c>
      <c r="Y73" s="73">
        <v>43.7</v>
      </c>
      <c r="Z73" s="82" t="s">
        <v>16</v>
      </c>
      <c r="AA73" s="73" t="s">
        <v>17</v>
      </c>
      <c r="AB73" s="73" t="s">
        <v>18</v>
      </c>
      <c r="AC73" s="83">
        <v>32.799999999999997</v>
      </c>
      <c r="AD73" s="82"/>
      <c r="AG73" s="83"/>
      <c r="AL73" s="82"/>
      <c r="AO73" s="83"/>
      <c r="AS73" s="83"/>
      <c r="AW73" s="83"/>
      <c r="BA73" s="84"/>
    </row>
    <row r="74" spans="1:53" s="73" customFormat="1">
      <c r="A74" s="73">
        <v>1993</v>
      </c>
      <c r="B74" s="847"/>
      <c r="C74" s="921" t="s">
        <v>40</v>
      </c>
      <c r="D74" s="921"/>
      <c r="E74" s="73">
        <v>0</v>
      </c>
      <c r="F74" s="84"/>
      <c r="G74" s="97"/>
      <c r="H74" s="97">
        <v>7</v>
      </c>
      <c r="I74" s="97">
        <v>8</v>
      </c>
      <c r="J74" s="125">
        <v>16</v>
      </c>
      <c r="K74" s="91">
        <f t="shared" ref="K74:K97" si="25">G74/J74*100</f>
        <v>0</v>
      </c>
      <c r="L74" s="92">
        <f t="shared" ref="L74:L97" si="26">H74/J74*100</f>
        <v>43.75</v>
      </c>
      <c r="M74" s="92">
        <f t="shared" ref="M74:M97" si="27">I74/J74*100</f>
        <v>50</v>
      </c>
      <c r="N74" s="93">
        <f t="shared" si="23"/>
        <v>93.75</v>
      </c>
      <c r="O74" s="92"/>
      <c r="P74" s="92">
        <v>32.799999999999997</v>
      </c>
      <c r="Q74" s="92">
        <v>43.7</v>
      </c>
      <c r="R74" s="121">
        <f t="shared" si="24"/>
        <v>76.5</v>
      </c>
      <c r="S74" s="122">
        <v>2</v>
      </c>
      <c r="T74" s="852"/>
      <c r="U74" s="845"/>
      <c r="V74" s="73" t="s">
        <v>19</v>
      </c>
      <c r="W74" s="73" t="s">
        <v>20</v>
      </c>
      <c r="X74" s="73" t="s">
        <v>12</v>
      </c>
      <c r="Y74" s="73">
        <v>43.7</v>
      </c>
      <c r="Z74" s="82" t="s">
        <v>16</v>
      </c>
      <c r="AA74" s="73" t="s">
        <v>17</v>
      </c>
      <c r="AB74" s="73" t="s">
        <v>18</v>
      </c>
      <c r="AC74" s="83">
        <v>32.799999999999997</v>
      </c>
      <c r="AD74" s="82"/>
      <c r="AG74" s="83"/>
      <c r="AL74" s="82"/>
      <c r="AO74" s="83"/>
      <c r="AS74" s="83"/>
      <c r="AW74" s="83"/>
      <c r="BA74" s="84"/>
    </row>
    <row r="75" spans="1:53" s="73" customFormat="1">
      <c r="A75" s="73">
        <v>1993</v>
      </c>
      <c r="B75" s="847"/>
      <c r="C75" s="921" t="s">
        <v>40</v>
      </c>
      <c r="D75" s="921"/>
      <c r="E75" s="73">
        <v>365</v>
      </c>
      <c r="F75" s="84"/>
      <c r="G75" s="97"/>
      <c r="H75" s="97">
        <v>7</v>
      </c>
      <c r="I75" s="97">
        <v>8</v>
      </c>
      <c r="J75" s="125">
        <v>16</v>
      </c>
      <c r="K75" s="91">
        <f t="shared" si="25"/>
        <v>0</v>
      </c>
      <c r="L75" s="92">
        <f t="shared" si="26"/>
        <v>43.75</v>
      </c>
      <c r="M75" s="92">
        <f t="shared" si="27"/>
        <v>50</v>
      </c>
      <c r="N75" s="93">
        <f t="shared" si="23"/>
        <v>93.75</v>
      </c>
      <c r="O75" s="92"/>
      <c r="P75" s="92">
        <v>32.799999999999997</v>
      </c>
      <c r="Q75" s="92">
        <v>43.7</v>
      </c>
      <c r="R75" s="121">
        <f t="shared" si="24"/>
        <v>76.5</v>
      </c>
      <c r="S75" s="122">
        <v>2</v>
      </c>
      <c r="T75" s="852"/>
      <c r="U75" s="845"/>
      <c r="V75" s="73" t="s">
        <v>19</v>
      </c>
      <c r="W75" s="73" t="s">
        <v>20</v>
      </c>
      <c r="X75" s="73" t="s">
        <v>12</v>
      </c>
      <c r="Y75" s="73">
        <v>43.7</v>
      </c>
      <c r="Z75" s="82" t="s">
        <v>16</v>
      </c>
      <c r="AA75" s="73" t="s">
        <v>17</v>
      </c>
      <c r="AB75" s="73" t="s">
        <v>18</v>
      </c>
      <c r="AC75" s="83">
        <v>32.799999999999997</v>
      </c>
      <c r="AD75" s="82"/>
      <c r="AG75" s="83"/>
      <c r="AL75" s="82"/>
      <c r="AO75" s="83"/>
      <c r="AS75" s="83"/>
      <c r="AW75" s="83"/>
      <c r="BA75" s="84"/>
    </row>
    <row r="76" spans="1:53" s="73" customFormat="1">
      <c r="A76" s="73">
        <v>1994</v>
      </c>
      <c r="B76" s="847"/>
      <c r="C76" s="921" t="s">
        <v>40</v>
      </c>
      <c r="D76" s="921"/>
      <c r="E76" s="73">
        <v>332</v>
      </c>
      <c r="F76" s="84"/>
      <c r="G76" s="97"/>
      <c r="H76" s="97">
        <v>7</v>
      </c>
      <c r="I76" s="97">
        <v>8</v>
      </c>
      <c r="J76" s="125">
        <v>16</v>
      </c>
      <c r="K76" s="91">
        <f t="shared" si="25"/>
        <v>0</v>
      </c>
      <c r="L76" s="92">
        <f t="shared" si="26"/>
        <v>43.75</v>
      </c>
      <c r="M76" s="92">
        <f t="shared" si="27"/>
        <v>50</v>
      </c>
      <c r="N76" s="93">
        <f t="shared" si="23"/>
        <v>93.75</v>
      </c>
      <c r="O76" s="92"/>
      <c r="P76" s="92">
        <v>32.799999999999997</v>
      </c>
      <c r="Q76" s="92">
        <v>43.7</v>
      </c>
      <c r="R76" s="121">
        <f t="shared" si="24"/>
        <v>76.5</v>
      </c>
      <c r="S76" s="122">
        <v>2</v>
      </c>
      <c r="T76" s="852"/>
      <c r="U76" s="845"/>
      <c r="V76" s="73" t="s">
        <v>19</v>
      </c>
      <c r="W76" s="73" t="s">
        <v>20</v>
      </c>
      <c r="X76" s="73" t="s">
        <v>12</v>
      </c>
      <c r="Y76" s="73">
        <v>43.7</v>
      </c>
      <c r="Z76" s="82" t="s">
        <v>16</v>
      </c>
      <c r="AA76" s="73" t="s">
        <v>17</v>
      </c>
      <c r="AB76" s="73" t="s">
        <v>18</v>
      </c>
      <c r="AC76" s="83">
        <v>32.799999999999997</v>
      </c>
      <c r="AD76" s="82"/>
      <c r="AG76" s="83"/>
      <c r="AL76" s="82"/>
      <c r="AO76" s="83"/>
      <c r="AS76" s="83"/>
      <c r="AW76" s="83"/>
      <c r="BA76" s="84"/>
    </row>
    <row r="77" spans="1:53" s="292" customFormat="1">
      <c r="A77" s="292">
        <v>1994</v>
      </c>
      <c r="B77" s="848">
        <v>34667</v>
      </c>
      <c r="C77" s="922" t="s">
        <v>41</v>
      </c>
      <c r="D77" s="922"/>
      <c r="E77" s="292">
        <v>33</v>
      </c>
      <c r="F77" s="301">
        <v>1</v>
      </c>
      <c r="G77" s="340"/>
      <c r="H77" s="340">
        <v>7</v>
      </c>
      <c r="I77" s="340">
        <v>8</v>
      </c>
      <c r="J77" s="373">
        <v>16</v>
      </c>
      <c r="K77" s="335">
        <f t="shared" si="25"/>
        <v>0</v>
      </c>
      <c r="L77" s="336">
        <f t="shared" si="26"/>
        <v>43.75</v>
      </c>
      <c r="M77" s="336">
        <f t="shared" si="27"/>
        <v>50</v>
      </c>
      <c r="N77" s="337">
        <f t="shared" si="23"/>
        <v>93.75</v>
      </c>
      <c r="O77" s="336"/>
      <c r="P77" s="336">
        <v>28.4</v>
      </c>
      <c r="Q77" s="336">
        <v>35.5</v>
      </c>
      <c r="R77" s="368">
        <f t="shared" si="24"/>
        <v>63.9</v>
      </c>
      <c r="S77" s="347">
        <v>2</v>
      </c>
      <c r="T77" s="836">
        <v>34616</v>
      </c>
      <c r="U77" s="855">
        <v>34667</v>
      </c>
      <c r="V77" s="292" t="s">
        <v>19</v>
      </c>
      <c r="W77" s="292" t="s">
        <v>20</v>
      </c>
      <c r="X77" s="292" t="s">
        <v>12</v>
      </c>
      <c r="Y77" s="292">
        <v>35.5</v>
      </c>
      <c r="Z77" s="299" t="s">
        <v>16</v>
      </c>
      <c r="AA77" s="292" t="s">
        <v>17</v>
      </c>
      <c r="AB77" s="292" t="s">
        <v>18</v>
      </c>
      <c r="AC77" s="300">
        <v>28.4</v>
      </c>
      <c r="AD77" s="299"/>
      <c r="AG77" s="300"/>
      <c r="AL77" s="299"/>
      <c r="AO77" s="300"/>
      <c r="AS77" s="300"/>
      <c r="AW77" s="300"/>
      <c r="BA77" s="301"/>
    </row>
    <row r="78" spans="1:53" s="292" customFormat="1">
      <c r="A78" s="292">
        <v>1995</v>
      </c>
      <c r="B78" s="848"/>
      <c r="C78" s="922" t="s">
        <v>41</v>
      </c>
      <c r="D78" s="922"/>
      <c r="E78" s="292">
        <v>0</v>
      </c>
      <c r="F78" s="301"/>
      <c r="G78" s="340"/>
      <c r="H78" s="340">
        <v>7</v>
      </c>
      <c r="I78" s="340">
        <v>8</v>
      </c>
      <c r="J78" s="373">
        <v>16</v>
      </c>
      <c r="K78" s="335">
        <f t="shared" si="25"/>
        <v>0</v>
      </c>
      <c r="L78" s="336">
        <f t="shared" si="26"/>
        <v>43.75</v>
      </c>
      <c r="M78" s="336">
        <f t="shared" si="27"/>
        <v>50</v>
      </c>
      <c r="N78" s="337">
        <f t="shared" si="23"/>
        <v>93.75</v>
      </c>
      <c r="O78" s="336"/>
      <c r="P78" s="336">
        <v>28.4</v>
      </c>
      <c r="Q78" s="336">
        <v>35.5</v>
      </c>
      <c r="R78" s="368">
        <f t="shared" si="24"/>
        <v>63.9</v>
      </c>
      <c r="S78" s="347">
        <v>2</v>
      </c>
      <c r="T78" s="836"/>
      <c r="U78" s="855"/>
      <c r="V78" s="292" t="s">
        <v>19</v>
      </c>
      <c r="W78" s="292" t="s">
        <v>20</v>
      </c>
      <c r="X78" s="292" t="s">
        <v>12</v>
      </c>
      <c r="Y78" s="292">
        <v>35.5</v>
      </c>
      <c r="Z78" s="299" t="s">
        <v>16</v>
      </c>
      <c r="AA78" s="292" t="s">
        <v>17</v>
      </c>
      <c r="AB78" s="292" t="s">
        <v>18</v>
      </c>
      <c r="AC78" s="300">
        <v>28.4</v>
      </c>
      <c r="AD78" s="299"/>
      <c r="AG78" s="300"/>
      <c r="AL78" s="299"/>
      <c r="AO78" s="300"/>
      <c r="AS78" s="300"/>
      <c r="AW78" s="300"/>
      <c r="BA78" s="301"/>
    </row>
    <row r="79" spans="1:53" s="292" customFormat="1">
      <c r="A79" s="292">
        <v>1995</v>
      </c>
      <c r="B79" s="848"/>
      <c r="C79" s="922" t="s">
        <v>41</v>
      </c>
      <c r="D79" s="922"/>
      <c r="E79" s="292">
        <v>365</v>
      </c>
      <c r="F79" s="301"/>
      <c r="G79" s="340"/>
      <c r="H79" s="340">
        <v>7</v>
      </c>
      <c r="I79" s="340">
        <v>8</v>
      </c>
      <c r="J79" s="373">
        <v>16</v>
      </c>
      <c r="K79" s="335">
        <f t="shared" si="25"/>
        <v>0</v>
      </c>
      <c r="L79" s="336">
        <f t="shared" si="26"/>
        <v>43.75</v>
      </c>
      <c r="M79" s="336">
        <f t="shared" si="27"/>
        <v>50</v>
      </c>
      <c r="N79" s="337">
        <f t="shared" si="23"/>
        <v>93.75</v>
      </c>
      <c r="O79" s="336"/>
      <c r="P79" s="336">
        <v>28.4</v>
      </c>
      <c r="Q79" s="336">
        <v>35.5</v>
      </c>
      <c r="R79" s="368">
        <f t="shared" si="24"/>
        <v>63.9</v>
      </c>
      <c r="S79" s="347">
        <v>2</v>
      </c>
      <c r="T79" s="836">
        <v>35050</v>
      </c>
      <c r="U79" s="855"/>
      <c r="V79" s="292" t="s">
        <v>19</v>
      </c>
      <c r="W79" s="292" t="s">
        <v>20</v>
      </c>
      <c r="X79" s="292" t="s">
        <v>12</v>
      </c>
      <c r="Y79" s="292">
        <v>35.5</v>
      </c>
      <c r="Z79" s="299" t="s">
        <v>16</v>
      </c>
      <c r="AA79" s="292" t="s">
        <v>17</v>
      </c>
      <c r="AB79" s="292" t="s">
        <v>18</v>
      </c>
      <c r="AC79" s="300">
        <v>28.4</v>
      </c>
      <c r="AD79" s="299"/>
      <c r="AG79" s="300"/>
      <c r="AL79" s="299"/>
      <c r="AO79" s="300"/>
      <c r="AS79" s="300"/>
      <c r="AW79" s="300"/>
      <c r="BA79" s="301"/>
    </row>
    <row r="80" spans="1:53" s="292" customFormat="1">
      <c r="A80" s="292">
        <v>1996</v>
      </c>
      <c r="B80" s="848"/>
      <c r="C80" s="922" t="s">
        <v>41</v>
      </c>
      <c r="D80" s="922"/>
      <c r="E80" s="292">
        <v>71</v>
      </c>
      <c r="F80" s="301"/>
      <c r="G80" s="340"/>
      <c r="H80" s="340">
        <v>7</v>
      </c>
      <c r="I80" s="340">
        <v>8</v>
      </c>
      <c r="J80" s="373">
        <v>16</v>
      </c>
      <c r="K80" s="335">
        <f t="shared" si="25"/>
        <v>0</v>
      </c>
      <c r="L80" s="336">
        <f t="shared" si="26"/>
        <v>43.75</v>
      </c>
      <c r="M80" s="336">
        <f t="shared" si="27"/>
        <v>50</v>
      </c>
      <c r="N80" s="337">
        <f t="shared" si="23"/>
        <v>93.75</v>
      </c>
      <c r="O80" s="336"/>
      <c r="P80" s="336">
        <v>28.4</v>
      </c>
      <c r="Q80" s="336">
        <v>35.5</v>
      </c>
      <c r="R80" s="368">
        <f t="shared" si="24"/>
        <v>63.9</v>
      </c>
      <c r="S80" s="347">
        <v>2</v>
      </c>
      <c r="T80" s="836"/>
      <c r="U80" s="855"/>
      <c r="V80" s="292" t="s">
        <v>19</v>
      </c>
      <c r="W80" s="292" t="s">
        <v>20</v>
      </c>
      <c r="X80" s="292" t="s">
        <v>12</v>
      </c>
      <c r="Y80" s="292">
        <v>35.5</v>
      </c>
      <c r="Z80" s="299" t="s">
        <v>16</v>
      </c>
      <c r="AA80" s="292" t="s">
        <v>17</v>
      </c>
      <c r="AB80" s="292" t="s">
        <v>18</v>
      </c>
      <c r="AC80" s="300">
        <v>28.4</v>
      </c>
      <c r="AD80" s="299"/>
      <c r="AG80" s="300"/>
      <c r="AL80" s="299"/>
      <c r="AO80" s="300"/>
      <c r="AS80" s="300"/>
      <c r="AW80" s="300"/>
      <c r="BA80" s="301"/>
    </row>
    <row r="81" spans="1:53" s="73" customFormat="1">
      <c r="A81" s="73">
        <v>1996</v>
      </c>
      <c r="B81" s="847">
        <v>35136</v>
      </c>
      <c r="C81" s="921" t="s">
        <v>42</v>
      </c>
      <c r="D81" s="921"/>
      <c r="E81" s="73">
        <v>295</v>
      </c>
      <c r="F81" s="84">
        <v>1</v>
      </c>
      <c r="G81" s="97"/>
      <c r="H81" s="97">
        <v>6</v>
      </c>
      <c r="I81" s="97">
        <v>7</v>
      </c>
      <c r="J81" s="125">
        <v>14</v>
      </c>
      <c r="K81" s="91">
        <f t="shared" si="25"/>
        <v>0</v>
      </c>
      <c r="L81" s="92">
        <f t="shared" si="26"/>
        <v>42.857142857142854</v>
      </c>
      <c r="M81" s="92">
        <f t="shared" si="27"/>
        <v>50</v>
      </c>
      <c r="N81" s="93">
        <f t="shared" si="23"/>
        <v>92.857142857142861</v>
      </c>
      <c r="O81" s="92"/>
      <c r="P81" s="92">
        <v>28.4</v>
      </c>
      <c r="Q81" s="92">
        <v>38.799999999999997</v>
      </c>
      <c r="R81" s="121">
        <f t="shared" si="24"/>
        <v>67.199999999999989</v>
      </c>
      <c r="S81" s="122">
        <v>2</v>
      </c>
      <c r="T81" s="852"/>
      <c r="U81" s="845">
        <v>35136</v>
      </c>
      <c r="V81" s="73" t="s">
        <v>19</v>
      </c>
      <c r="W81" s="73" t="s">
        <v>20</v>
      </c>
      <c r="X81" s="73" t="s">
        <v>12</v>
      </c>
      <c r="Y81" s="73">
        <v>38.799999999999997</v>
      </c>
      <c r="Z81" s="82" t="s">
        <v>16</v>
      </c>
      <c r="AA81" s="73" t="s">
        <v>17</v>
      </c>
      <c r="AB81" s="73" t="s">
        <v>18</v>
      </c>
      <c r="AC81" s="83">
        <v>28.4</v>
      </c>
      <c r="AD81" s="82"/>
      <c r="AG81" s="83"/>
      <c r="AL81" s="82"/>
      <c r="AO81" s="83"/>
      <c r="AS81" s="83"/>
      <c r="AW81" s="83"/>
      <c r="BA81" s="84"/>
    </row>
    <row r="82" spans="1:53" s="73" customFormat="1">
      <c r="A82" s="73">
        <v>1997</v>
      </c>
      <c r="B82" s="847"/>
      <c r="C82" s="921" t="s">
        <v>42</v>
      </c>
      <c r="D82" s="921"/>
      <c r="E82" s="73">
        <v>27</v>
      </c>
      <c r="F82" s="84"/>
      <c r="G82" s="97"/>
      <c r="H82" s="97">
        <v>6</v>
      </c>
      <c r="I82" s="97">
        <v>7</v>
      </c>
      <c r="J82" s="125">
        <v>14</v>
      </c>
      <c r="K82" s="91">
        <f t="shared" si="25"/>
        <v>0</v>
      </c>
      <c r="L82" s="92">
        <f t="shared" si="26"/>
        <v>42.857142857142854</v>
      </c>
      <c r="M82" s="92">
        <f t="shared" si="27"/>
        <v>50</v>
      </c>
      <c r="N82" s="93">
        <f t="shared" si="23"/>
        <v>92.857142857142861</v>
      </c>
      <c r="O82" s="92"/>
      <c r="P82" s="92">
        <v>28.4</v>
      </c>
      <c r="Q82" s="92">
        <v>38.799999999999997</v>
      </c>
      <c r="R82" s="121">
        <f t="shared" si="24"/>
        <v>67.199999999999989</v>
      </c>
      <c r="S82" s="122">
        <v>2</v>
      </c>
      <c r="T82" s="852"/>
      <c r="U82" s="845"/>
      <c r="V82" s="73" t="s">
        <v>19</v>
      </c>
      <c r="W82" s="73" t="s">
        <v>20</v>
      </c>
      <c r="X82" s="73" t="s">
        <v>12</v>
      </c>
      <c r="Y82" s="73">
        <v>38.799999999999997</v>
      </c>
      <c r="Z82" s="82" t="s">
        <v>16</v>
      </c>
      <c r="AA82" s="73" t="s">
        <v>17</v>
      </c>
      <c r="AB82" s="73" t="s">
        <v>18</v>
      </c>
      <c r="AC82" s="83">
        <v>28.4</v>
      </c>
      <c r="AD82" s="82"/>
      <c r="AG82" s="83"/>
      <c r="AL82" s="82"/>
      <c r="AO82" s="83"/>
      <c r="AS82" s="83"/>
      <c r="AW82" s="83"/>
      <c r="BA82" s="84"/>
    </row>
    <row r="83" spans="1:53" s="292" customFormat="1">
      <c r="A83" s="292">
        <v>1997</v>
      </c>
      <c r="B83" s="848">
        <v>35458</v>
      </c>
      <c r="C83" s="916" t="s">
        <v>43</v>
      </c>
      <c r="D83" s="916"/>
      <c r="E83" s="292">
        <v>338</v>
      </c>
      <c r="F83" s="301">
        <v>2</v>
      </c>
      <c r="G83" s="340"/>
      <c r="H83" s="340">
        <v>6</v>
      </c>
      <c r="I83" s="340">
        <v>6</v>
      </c>
      <c r="J83" s="373">
        <v>13</v>
      </c>
      <c r="K83" s="335">
        <f t="shared" si="25"/>
        <v>0</v>
      </c>
      <c r="L83" s="336">
        <f t="shared" si="26"/>
        <v>46.153846153846153</v>
      </c>
      <c r="M83" s="336">
        <f t="shared" si="27"/>
        <v>46.153846153846153</v>
      </c>
      <c r="N83" s="337">
        <f t="shared" si="23"/>
        <v>92.307692307692307</v>
      </c>
      <c r="O83" s="336"/>
      <c r="P83" s="336">
        <v>28.4</v>
      </c>
      <c r="Q83" s="336">
        <v>38.799999999999997</v>
      </c>
      <c r="R83" s="368">
        <f t="shared" si="24"/>
        <v>67.199999999999989</v>
      </c>
      <c r="S83" s="347">
        <v>2</v>
      </c>
      <c r="T83" s="836"/>
      <c r="U83" s="855">
        <v>35458</v>
      </c>
      <c r="V83" s="292" t="s">
        <v>19</v>
      </c>
      <c r="W83" s="292" t="s">
        <v>20</v>
      </c>
      <c r="X83" s="292" t="s">
        <v>12</v>
      </c>
      <c r="Y83" s="292">
        <v>38.799999999999997</v>
      </c>
      <c r="Z83" s="299" t="s">
        <v>16</v>
      </c>
      <c r="AA83" s="292" t="s">
        <v>17</v>
      </c>
      <c r="AB83" s="292" t="s">
        <v>18</v>
      </c>
      <c r="AC83" s="300">
        <v>28.4</v>
      </c>
      <c r="AD83" s="299"/>
      <c r="AG83" s="300"/>
      <c r="AL83" s="299"/>
      <c r="AO83" s="300"/>
      <c r="AS83" s="300"/>
      <c r="AW83" s="300"/>
      <c r="BA83" s="301"/>
    </row>
    <row r="84" spans="1:53" s="292" customFormat="1">
      <c r="A84" s="292">
        <v>1998</v>
      </c>
      <c r="B84" s="848"/>
      <c r="C84" s="916" t="s">
        <v>43</v>
      </c>
      <c r="D84" s="916"/>
      <c r="E84" s="292">
        <v>0</v>
      </c>
      <c r="F84" s="301"/>
      <c r="G84" s="340"/>
      <c r="H84" s="340">
        <v>6</v>
      </c>
      <c r="I84" s="340">
        <v>6</v>
      </c>
      <c r="J84" s="373">
        <v>13</v>
      </c>
      <c r="K84" s="335">
        <f t="shared" si="25"/>
        <v>0</v>
      </c>
      <c r="L84" s="336">
        <f t="shared" si="26"/>
        <v>46.153846153846153</v>
      </c>
      <c r="M84" s="336">
        <f t="shared" si="27"/>
        <v>46.153846153846153</v>
      </c>
      <c r="N84" s="337">
        <f t="shared" si="23"/>
        <v>92.307692307692307</v>
      </c>
      <c r="O84" s="336"/>
      <c r="P84" s="336">
        <v>28.4</v>
      </c>
      <c r="Q84" s="336">
        <v>38.799999999999997</v>
      </c>
      <c r="R84" s="368">
        <f t="shared" si="24"/>
        <v>67.199999999999989</v>
      </c>
      <c r="S84" s="347">
        <v>2</v>
      </c>
      <c r="T84" s="836"/>
      <c r="U84" s="855"/>
      <c r="V84" s="292" t="s">
        <v>19</v>
      </c>
      <c r="W84" s="292" t="s">
        <v>20</v>
      </c>
      <c r="X84" s="292" t="s">
        <v>12</v>
      </c>
      <c r="Y84" s="292">
        <v>38.799999999999997</v>
      </c>
      <c r="Z84" s="299" t="s">
        <v>16</v>
      </c>
      <c r="AA84" s="292" t="s">
        <v>17</v>
      </c>
      <c r="AB84" s="292" t="s">
        <v>18</v>
      </c>
      <c r="AC84" s="300">
        <v>28.4</v>
      </c>
      <c r="AD84" s="299"/>
      <c r="AG84" s="300"/>
      <c r="AL84" s="299"/>
      <c r="AO84" s="300"/>
      <c r="AS84" s="300"/>
      <c r="AW84" s="300"/>
      <c r="BA84" s="301"/>
    </row>
    <row r="85" spans="1:53" s="292" customFormat="1">
      <c r="A85" s="292">
        <v>1998</v>
      </c>
      <c r="B85" s="848"/>
      <c r="C85" s="916" t="s">
        <v>43</v>
      </c>
      <c r="D85" s="916"/>
      <c r="E85" s="292">
        <v>365</v>
      </c>
      <c r="F85" s="301"/>
      <c r="G85" s="340"/>
      <c r="H85" s="340">
        <v>6</v>
      </c>
      <c r="I85" s="340">
        <v>6</v>
      </c>
      <c r="J85" s="373">
        <v>13</v>
      </c>
      <c r="K85" s="335">
        <f t="shared" si="25"/>
        <v>0</v>
      </c>
      <c r="L85" s="336">
        <f t="shared" si="26"/>
        <v>46.153846153846153</v>
      </c>
      <c r="M85" s="336">
        <f t="shared" si="27"/>
        <v>46.153846153846153</v>
      </c>
      <c r="N85" s="337">
        <f t="shared" si="23"/>
        <v>92.307692307692307</v>
      </c>
      <c r="O85" s="336"/>
      <c r="P85" s="336">
        <v>28.4</v>
      </c>
      <c r="Q85" s="336">
        <v>38.799999999999997</v>
      </c>
      <c r="R85" s="368">
        <f t="shared" si="24"/>
        <v>67.199999999999989</v>
      </c>
      <c r="S85" s="347">
        <v>2</v>
      </c>
      <c r="T85" s="836"/>
      <c r="U85" s="855"/>
      <c r="V85" s="292" t="s">
        <v>19</v>
      </c>
      <c r="W85" s="292" t="s">
        <v>20</v>
      </c>
      <c r="X85" s="292" t="s">
        <v>12</v>
      </c>
      <c r="Y85" s="292">
        <v>38.799999999999997</v>
      </c>
      <c r="Z85" s="299" t="s">
        <v>16</v>
      </c>
      <c r="AA85" s="292" t="s">
        <v>17</v>
      </c>
      <c r="AB85" s="292" t="s">
        <v>18</v>
      </c>
      <c r="AC85" s="300">
        <v>28.4</v>
      </c>
      <c r="AD85" s="299"/>
      <c r="AG85" s="300"/>
      <c r="AL85" s="299"/>
      <c r="AO85" s="300"/>
      <c r="AS85" s="300"/>
      <c r="AW85" s="300"/>
      <c r="BA85" s="301"/>
    </row>
    <row r="86" spans="1:53" s="292" customFormat="1">
      <c r="A86" s="292">
        <v>1999</v>
      </c>
      <c r="B86" s="848"/>
      <c r="C86" s="916" t="s">
        <v>43</v>
      </c>
      <c r="D86" s="916"/>
      <c r="E86" s="292">
        <v>0</v>
      </c>
      <c r="F86" s="301"/>
      <c r="G86" s="340"/>
      <c r="H86" s="340">
        <v>6</v>
      </c>
      <c r="I86" s="340">
        <v>6</v>
      </c>
      <c r="J86" s="373">
        <v>13</v>
      </c>
      <c r="K86" s="335">
        <f t="shared" si="25"/>
        <v>0</v>
      </c>
      <c r="L86" s="336">
        <f t="shared" si="26"/>
        <v>46.153846153846153</v>
      </c>
      <c r="M86" s="336">
        <f t="shared" si="27"/>
        <v>46.153846153846153</v>
      </c>
      <c r="N86" s="337">
        <f t="shared" si="23"/>
        <v>92.307692307692307</v>
      </c>
      <c r="O86" s="336"/>
      <c r="P86" s="336">
        <v>28.4</v>
      </c>
      <c r="Q86" s="336">
        <v>38.799999999999997</v>
      </c>
      <c r="R86" s="368">
        <f t="shared" si="24"/>
        <v>67.199999999999989</v>
      </c>
      <c r="S86" s="347">
        <v>2</v>
      </c>
      <c r="T86" s="836"/>
      <c r="U86" s="855"/>
      <c r="V86" s="292" t="s">
        <v>19</v>
      </c>
      <c r="W86" s="292" t="s">
        <v>20</v>
      </c>
      <c r="X86" s="292" t="s">
        <v>12</v>
      </c>
      <c r="Y86" s="292">
        <v>38.799999999999997</v>
      </c>
      <c r="Z86" s="299" t="s">
        <v>16</v>
      </c>
      <c r="AA86" s="292" t="s">
        <v>17</v>
      </c>
      <c r="AB86" s="292" t="s">
        <v>18</v>
      </c>
      <c r="AC86" s="300">
        <v>28.4</v>
      </c>
      <c r="AD86" s="299"/>
      <c r="AG86" s="300"/>
      <c r="AL86" s="299"/>
      <c r="AO86" s="300"/>
      <c r="AS86" s="300"/>
      <c r="AW86" s="300"/>
      <c r="BA86" s="301"/>
    </row>
    <row r="87" spans="1:53" s="292" customFormat="1">
      <c r="A87" s="292">
        <v>1999</v>
      </c>
      <c r="B87" s="848"/>
      <c r="C87" s="916" t="s">
        <v>43</v>
      </c>
      <c r="D87" s="916"/>
      <c r="E87" s="292">
        <v>365</v>
      </c>
      <c r="F87" s="301"/>
      <c r="G87" s="340"/>
      <c r="H87" s="340">
        <v>6</v>
      </c>
      <c r="I87" s="340">
        <v>6</v>
      </c>
      <c r="J87" s="373">
        <v>13</v>
      </c>
      <c r="K87" s="335">
        <f t="shared" si="25"/>
        <v>0</v>
      </c>
      <c r="L87" s="336">
        <f t="shared" si="26"/>
        <v>46.153846153846153</v>
      </c>
      <c r="M87" s="336">
        <f t="shared" si="27"/>
        <v>46.153846153846153</v>
      </c>
      <c r="N87" s="337">
        <f t="shared" si="23"/>
        <v>92.307692307692307</v>
      </c>
      <c r="O87" s="336"/>
      <c r="P87" s="336">
        <v>28.4</v>
      </c>
      <c r="Q87" s="336">
        <v>38.799999999999997</v>
      </c>
      <c r="R87" s="368">
        <f t="shared" si="24"/>
        <v>67.199999999999989</v>
      </c>
      <c r="S87" s="347">
        <v>2</v>
      </c>
      <c r="T87" s="836">
        <v>36436</v>
      </c>
      <c r="U87" s="855"/>
      <c r="V87" s="292" t="s">
        <v>19</v>
      </c>
      <c r="W87" s="292" t="s">
        <v>20</v>
      </c>
      <c r="X87" s="292" t="s">
        <v>12</v>
      </c>
      <c r="Y87" s="292">
        <v>38.799999999999997</v>
      </c>
      <c r="Z87" s="299" t="s">
        <v>16</v>
      </c>
      <c r="AA87" s="292" t="s">
        <v>17</v>
      </c>
      <c r="AB87" s="292" t="s">
        <v>18</v>
      </c>
      <c r="AC87" s="300">
        <v>28.4</v>
      </c>
      <c r="AD87" s="299"/>
      <c r="AG87" s="300"/>
      <c r="AL87" s="299"/>
      <c r="AO87" s="300"/>
      <c r="AS87" s="300"/>
      <c r="AW87" s="300"/>
      <c r="BA87" s="301"/>
    </row>
    <row r="88" spans="1:53" s="292" customFormat="1">
      <c r="A88" s="292">
        <v>2000</v>
      </c>
      <c r="B88" s="848"/>
      <c r="C88" s="916" t="s">
        <v>43</v>
      </c>
      <c r="D88" s="916"/>
      <c r="E88" s="292">
        <v>34</v>
      </c>
      <c r="F88" s="301"/>
      <c r="G88" s="340"/>
      <c r="H88" s="340">
        <v>6</v>
      </c>
      <c r="I88" s="340">
        <v>6</v>
      </c>
      <c r="J88" s="373">
        <v>13</v>
      </c>
      <c r="K88" s="335">
        <f t="shared" si="25"/>
        <v>0</v>
      </c>
      <c r="L88" s="336">
        <f t="shared" si="26"/>
        <v>46.153846153846153</v>
      </c>
      <c r="M88" s="336">
        <f t="shared" si="27"/>
        <v>46.153846153846153</v>
      </c>
      <c r="N88" s="337">
        <f t="shared" si="23"/>
        <v>92.307692307692307</v>
      </c>
      <c r="O88" s="336"/>
      <c r="P88" s="336">
        <v>28.4</v>
      </c>
      <c r="Q88" s="336">
        <v>38.799999999999997</v>
      </c>
      <c r="R88" s="368">
        <f t="shared" si="24"/>
        <v>67.199999999999989</v>
      </c>
      <c r="S88" s="347">
        <v>2</v>
      </c>
      <c r="T88" s="836"/>
      <c r="U88" s="855"/>
      <c r="V88" s="292" t="s">
        <v>19</v>
      </c>
      <c r="W88" s="292" t="s">
        <v>20</v>
      </c>
      <c r="X88" s="292" t="s">
        <v>12</v>
      </c>
      <c r="Y88" s="292">
        <v>38.799999999999997</v>
      </c>
      <c r="Z88" s="299" t="s">
        <v>16</v>
      </c>
      <c r="AA88" s="292" t="s">
        <v>17</v>
      </c>
      <c r="AB88" s="292" t="s">
        <v>18</v>
      </c>
      <c r="AC88" s="300">
        <v>28.4</v>
      </c>
      <c r="AD88" s="299"/>
      <c r="AG88" s="300"/>
      <c r="AL88" s="299"/>
      <c r="AO88" s="300"/>
      <c r="AS88" s="300"/>
      <c r="AW88" s="300"/>
      <c r="BA88" s="301"/>
    </row>
    <row r="89" spans="1:53" s="73" customFormat="1">
      <c r="A89" s="73">
        <v>2000</v>
      </c>
      <c r="B89" s="847">
        <v>36560</v>
      </c>
      <c r="C89" s="917" t="s">
        <v>44</v>
      </c>
      <c r="D89" s="917"/>
      <c r="E89" s="73">
        <v>332</v>
      </c>
      <c r="F89" s="84">
        <v>1</v>
      </c>
      <c r="G89" s="97">
        <v>6</v>
      </c>
      <c r="H89" s="97">
        <v>6</v>
      </c>
      <c r="I89" s="97"/>
      <c r="J89" s="125">
        <v>12</v>
      </c>
      <c r="K89" s="91">
        <f t="shared" si="25"/>
        <v>50</v>
      </c>
      <c r="L89" s="92">
        <f t="shared" si="26"/>
        <v>50</v>
      </c>
      <c r="M89" s="92">
        <f t="shared" si="27"/>
        <v>0</v>
      </c>
      <c r="N89" s="93">
        <f t="shared" si="23"/>
        <v>100</v>
      </c>
      <c r="O89" s="92">
        <v>28.4</v>
      </c>
      <c r="P89" s="92">
        <v>28.4</v>
      </c>
      <c r="Q89" s="92"/>
      <c r="R89" s="121">
        <f t="shared" si="24"/>
        <v>56.8</v>
      </c>
      <c r="S89" s="122">
        <v>2</v>
      </c>
      <c r="T89" s="852"/>
      <c r="U89" s="845">
        <v>36560</v>
      </c>
      <c r="V89" s="73" t="s">
        <v>16</v>
      </c>
      <c r="W89" s="73" t="s">
        <v>17</v>
      </c>
      <c r="X89" s="73" t="s">
        <v>18</v>
      </c>
      <c r="Y89" s="73">
        <v>28.4</v>
      </c>
      <c r="Z89" s="82" t="s">
        <v>21</v>
      </c>
      <c r="AA89" s="73" t="s">
        <v>27</v>
      </c>
      <c r="AB89" s="73" t="s">
        <v>11</v>
      </c>
      <c r="AC89" s="83">
        <v>28.4</v>
      </c>
      <c r="AD89" s="82"/>
      <c r="AG89" s="83"/>
      <c r="AL89" s="82"/>
      <c r="AO89" s="83"/>
      <c r="AS89" s="83"/>
      <c r="AW89" s="83"/>
      <c r="BA89" s="84"/>
    </row>
    <row r="90" spans="1:53" s="73" customFormat="1">
      <c r="A90" s="73">
        <v>2001</v>
      </c>
      <c r="B90" s="847"/>
      <c r="C90" s="917" t="s">
        <v>44</v>
      </c>
      <c r="D90" s="917"/>
      <c r="E90" s="73">
        <v>0</v>
      </c>
      <c r="F90" s="84"/>
      <c r="G90" s="97">
        <v>6</v>
      </c>
      <c r="H90" s="97">
        <v>6</v>
      </c>
      <c r="I90" s="97"/>
      <c r="J90" s="125">
        <v>12</v>
      </c>
      <c r="K90" s="91">
        <f t="shared" si="25"/>
        <v>50</v>
      </c>
      <c r="L90" s="92">
        <f t="shared" si="26"/>
        <v>50</v>
      </c>
      <c r="M90" s="92">
        <f t="shared" si="27"/>
        <v>0</v>
      </c>
      <c r="N90" s="93">
        <f t="shared" si="23"/>
        <v>100</v>
      </c>
      <c r="O90" s="92">
        <v>28.4</v>
      </c>
      <c r="P90" s="92">
        <v>28.4</v>
      </c>
      <c r="Q90" s="92"/>
      <c r="R90" s="121">
        <f t="shared" si="24"/>
        <v>56.8</v>
      </c>
      <c r="S90" s="122">
        <v>2</v>
      </c>
      <c r="T90" s="852"/>
      <c r="U90" s="845"/>
      <c r="V90" s="73" t="s">
        <v>16</v>
      </c>
      <c r="W90" s="73" t="s">
        <v>17</v>
      </c>
      <c r="X90" s="73" t="s">
        <v>18</v>
      </c>
      <c r="Y90" s="73">
        <v>28.4</v>
      </c>
      <c r="Z90" s="82" t="s">
        <v>21</v>
      </c>
      <c r="AA90" s="73" t="s">
        <v>27</v>
      </c>
      <c r="AB90" s="73" t="s">
        <v>11</v>
      </c>
      <c r="AC90" s="83">
        <v>28.4</v>
      </c>
      <c r="AD90" s="82"/>
      <c r="AG90" s="83"/>
      <c r="AL90" s="82"/>
      <c r="AO90" s="83"/>
      <c r="AS90" s="83"/>
      <c r="AW90" s="83"/>
      <c r="BA90" s="84"/>
    </row>
    <row r="91" spans="1:53" s="73" customFormat="1">
      <c r="A91" s="73">
        <v>2001</v>
      </c>
      <c r="B91" s="847"/>
      <c r="C91" s="917" t="s">
        <v>44</v>
      </c>
      <c r="D91" s="917"/>
      <c r="E91" s="73">
        <v>365</v>
      </c>
      <c r="F91" s="84"/>
      <c r="G91" s="97">
        <v>6</v>
      </c>
      <c r="H91" s="97">
        <v>6</v>
      </c>
      <c r="I91" s="97"/>
      <c r="J91" s="125">
        <v>12</v>
      </c>
      <c r="K91" s="91">
        <f t="shared" si="25"/>
        <v>50</v>
      </c>
      <c r="L91" s="92">
        <f t="shared" si="26"/>
        <v>50</v>
      </c>
      <c r="M91" s="92">
        <f t="shared" si="27"/>
        <v>0</v>
      </c>
      <c r="N91" s="93">
        <f t="shared" si="23"/>
        <v>100</v>
      </c>
      <c r="O91" s="92">
        <v>28.4</v>
      </c>
      <c r="P91" s="92">
        <v>28.4</v>
      </c>
      <c r="Q91" s="92"/>
      <c r="R91" s="121">
        <f t="shared" si="24"/>
        <v>56.8</v>
      </c>
      <c r="S91" s="122">
        <v>2</v>
      </c>
      <c r="T91" s="852"/>
      <c r="U91" s="845"/>
      <c r="V91" s="73" t="s">
        <v>16</v>
      </c>
      <c r="W91" s="73" t="s">
        <v>17</v>
      </c>
      <c r="X91" s="73" t="s">
        <v>18</v>
      </c>
      <c r="Y91" s="73">
        <v>28.4</v>
      </c>
      <c r="Z91" s="82" t="s">
        <v>21</v>
      </c>
      <c r="AA91" s="73" t="s">
        <v>27</v>
      </c>
      <c r="AB91" s="73" t="s">
        <v>11</v>
      </c>
      <c r="AC91" s="83">
        <v>28.4</v>
      </c>
      <c r="AD91" s="82"/>
      <c r="AG91" s="83"/>
      <c r="AL91" s="82"/>
      <c r="AO91" s="83"/>
      <c r="AS91" s="83"/>
      <c r="AW91" s="83"/>
      <c r="BA91" s="84"/>
    </row>
    <row r="92" spans="1:53" s="73" customFormat="1">
      <c r="A92" s="73">
        <v>2002</v>
      </c>
      <c r="B92" s="847"/>
      <c r="C92" s="917" t="s">
        <v>44</v>
      </c>
      <c r="D92" s="917"/>
      <c r="E92" s="73">
        <v>0</v>
      </c>
      <c r="F92" s="84"/>
      <c r="G92" s="97">
        <v>6</v>
      </c>
      <c r="H92" s="97">
        <v>6</v>
      </c>
      <c r="I92" s="97"/>
      <c r="J92" s="125">
        <v>12</v>
      </c>
      <c r="K92" s="91">
        <f t="shared" si="25"/>
        <v>50</v>
      </c>
      <c r="L92" s="92">
        <f t="shared" si="26"/>
        <v>50</v>
      </c>
      <c r="M92" s="92">
        <f t="shared" si="27"/>
        <v>0</v>
      </c>
      <c r="N92" s="93">
        <f t="shared" si="23"/>
        <v>100</v>
      </c>
      <c r="O92" s="92">
        <v>28.4</v>
      </c>
      <c r="P92" s="92">
        <v>28.4</v>
      </c>
      <c r="Q92" s="92"/>
      <c r="R92" s="121">
        <f t="shared" si="24"/>
        <v>56.8</v>
      </c>
      <c r="S92" s="122">
        <v>2</v>
      </c>
      <c r="T92" s="852"/>
      <c r="U92" s="845"/>
      <c r="V92" s="73" t="s">
        <v>16</v>
      </c>
      <c r="W92" s="73" t="s">
        <v>17</v>
      </c>
      <c r="X92" s="73" t="s">
        <v>18</v>
      </c>
      <c r="Y92" s="73">
        <v>28.4</v>
      </c>
      <c r="Z92" s="82" t="s">
        <v>21</v>
      </c>
      <c r="AA92" s="73" t="s">
        <v>27</v>
      </c>
      <c r="AB92" s="73" t="s">
        <v>11</v>
      </c>
      <c r="AC92" s="83">
        <v>28.4</v>
      </c>
      <c r="AD92" s="82"/>
      <c r="AG92" s="83"/>
      <c r="AL92" s="82"/>
      <c r="AO92" s="83"/>
      <c r="AS92" s="83"/>
      <c r="AW92" s="83"/>
      <c r="BA92" s="84"/>
    </row>
    <row r="93" spans="1:53" s="73" customFormat="1" ht="11" customHeight="1">
      <c r="A93" s="73">
        <v>2002</v>
      </c>
      <c r="B93" s="847"/>
      <c r="C93" s="917" t="s">
        <v>44</v>
      </c>
      <c r="D93" s="917"/>
      <c r="E93" s="73">
        <v>365</v>
      </c>
      <c r="F93" s="84"/>
      <c r="G93" s="97">
        <v>6</v>
      </c>
      <c r="H93" s="97">
        <v>6</v>
      </c>
      <c r="I93" s="97"/>
      <c r="J93" s="125">
        <v>12</v>
      </c>
      <c r="K93" s="91">
        <f t="shared" si="25"/>
        <v>50</v>
      </c>
      <c r="L93" s="92">
        <f t="shared" si="26"/>
        <v>50</v>
      </c>
      <c r="M93" s="92">
        <f t="shared" si="27"/>
        <v>0</v>
      </c>
      <c r="N93" s="93">
        <f t="shared" si="23"/>
        <v>100</v>
      </c>
      <c r="O93" s="92">
        <v>28.4</v>
      </c>
      <c r="P93" s="92">
        <v>28.4</v>
      </c>
      <c r="Q93" s="92"/>
      <c r="R93" s="121">
        <f t="shared" si="24"/>
        <v>56.8</v>
      </c>
      <c r="S93" s="122">
        <v>2</v>
      </c>
      <c r="T93" s="852">
        <v>37584</v>
      </c>
      <c r="U93" s="845"/>
      <c r="V93" s="73" t="s">
        <v>16</v>
      </c>
      <c r="W93" s="73" t="s">
        <v>17</v>
      </c>
      <c r="X93" s="73" t="s">
        <v>18</v>
      </c>
      <c r="Y93" s="73">
        <v>28.4</v>
      </c>
      <c r="Z93" s="82" t="s">
        <v>21</v>
      </c>
      <c r="AA93" s="73" t="s">
        <v>27</v>
      </c>
      <c r="AB93" s="73" t="s">
        <v>11</v>
      </c>
      <c r="AC93" s="83">
        <v>28.4</v>
      </c>
      <c r="AD93" s="82"/>
      <c r="AG93" s="83"/>
      <c r="AL93" s="82"/>
      <c r="AO93" s="83"/>
      <c r="AS93" s="83"/>
      <c r="AW93" s="83"/>
      <c r="BA93" s="84"/>
    </row>
    <row r="94" spans="1:53" s="73" customFormat="1" ht="11" customHeight="1">
      <c r="A94" s="73">
        <v>2003</v>
      </c>
      <c r="B94" s="847"/>
      <c r="C94" s="917" t="s">
        <v>44</v>
      </c>
      <c r="D94" s="917"/>
      <c r="E94" s="73">
        <v>58</v>
      </c>
      <c r="F94" s="84"/>
      <c r="G94" s="97">
        <v>6</v>
      </c>
      <c r="H94" s="97">
        <v>6</v>
      </c>
      <c r="I94" s="97"/>
      <c r="J94" s="125">
        <v>12</v>
      </c>
      <c r="K94" s="91">
        <f t="shared" si="25"/>
        <v>50</v>
      </c>
      <c r="L94" s="92">
        <f t="shared" si="26"/>
        <v>50</v>
      </c>
      <c r="M94" s="92">
        <f t="shared" si="27"/>
        <v>0</v>
      </c>
      <c r="N94" s="93">
        <f t="shared" si="23"/>
        <v>100</v>
      </c>
      <c r="O94" s="92">
        <v>28.4</v>
      </c>
      <c r="P94" s="92">
        <v>28.4</v>
      </c>
      <c r="Q94" s="92"/>
      <c r="R94" s="121">
        <f t="shared" si="24"/>
        <v>56.8</v>
      </c>
      <c r="S94" s="122">
        <v>2</v>
      </c>
      <c r="T94" s="852"/>
      <c r="U94" s="845"/>
      <c r="V94" s="73" t="s">
        <v>16</v>
      </c>
      <c r="W94" s="73" t="s">
        <v>17</v>
      </c>
      <c r="X94" s="73" t="s">
        <v>18</v>
      </c>
      <c r="Y94" s="73">
        <v>28.4</v>
      </c>
      <c r="Z94" s="82" t="s">
        <v>21</v>
      </c>
      <c r="AA94" s="73" t="s">
        <v>27</v>
      </c>
      <c r="AB94" s="73" t="s">
        <v>11</v>
      </c>
      <c r="AC94" s="83">
        <v>28.4</v>
      </c>
      <c r="AD94" s="82"/>
      <c r="AG94" s="83"/>
      <c r="AL94" s="82"/>
      <c r="AO94" s="83"/>
      <c r="AS94" s="83"/>
      <c r="AW94" s="83"/>
      <c r="BA94" s="84"/>
    </row>
    <row r="95" spans="1:53" s="292" customFormat="1" ht="11" customHeight="1">
      <c r="A95" s="292">
        <v>2003</v>
      </c>
      <c r="B95" s="848">
        <v>37680</v>
      </c>
      <c r="C95" s="916" t="s">
        <v>45</v>
      </c>
      <c r="D95" s="916"/>
      <c r="E95" s="292">
        <v>307</v>
      </c>
      <c r="F95" s="301">
        <v>1</v>
      </c>
      <c r="G95" s="340">
        <v>3</v>
      </c>
      <c r="H95" s="340">
        <v>8</v>
      </c>
      <c r="I95" s="340"/>
      <c r="J95" s="373">
        <v>12</v>
      </c>
      <c r="K95" s="335">
        <f t="shared" si="25"/>
        <v>25</v>
      </c>
      <c r="L95" s="336">
        <f t="shared" si="26"/>
        <v>66.666666666666657</v>
      </c>
      <c r="M95" s="336">
        <f t="shared" si="27"/>
        <v>0</v>
      </c>
      <c r="N95" s="337">
        <f t="shared" si="23"/>
        <v>91.666666666666657</v>
      </c>
      <c r="O95" s="336">
        <v>9.8000000000000007</v>
      </c>
      <c r="P95" s="336">
        <v>43.2</v>
      </c>
      <c r="Q95" s="336"/>
      <c r="R95" s="368">
        <f t="shared" si="24"/>
        <v>53</v>
      </c>
      <c r="S95" s="347">
        <v>2</v>
      </c>
      <c r="T95" s="836"/>
      <c r="U95" s="855">
        <v>37680</v>
      </c>
      <c r="V95" s="292" t="s">
        <v>16</v>
      </c>
      <c r="W95" s="292" t="s">
        <v>17</v>
      </c>
      <c r="X95" s="292" t="s">
        <v>18</v>
      </c>
      <c r="Y95" s="292">
        <v>43.2</v>
      </c>
      <c r="Z95" s="299" t="s">
        <v>21</v>
      </c>
      <c r="AA95" s="292" t="s">
        <v>27</v>
      </c>
      <c r="AB95" s="292" t="s">
        <v>11</v>
      </c>
      <c r="AC95" s="300">
        <v>9.8000000000000007</v>
      </c>
      <c r="AD95" s="299"/>
      <c r="AG95" s="300"/>
      <c r="AL95" s="299"/>
      <c r="AO95" s="300"/>
      <c r="AS95" s="300"/>
      <c r="AW95" s="300"/>
      <c r="BA95" s="301"/>
    </row>
    <row r="96" spans="1:53" s="292" customFormat="1" ht="11" customHeight="1">
      <c r="A96" s="292">
        <v>2004</v>
      </c>
      <c r="B96" s="848"/>
      <c r="C96" s="916" t="s">
        <v>45</v>
      </c>
      <c r="D96" s="916"/>
      <c r="E96" s="292">
        <v>0</v>
      </c>
      <c r="F96" s="301"/>
      <c r="G96" s="340">
        <v>3</v>
      </c>
      <c r="H96" s="340">
        <v>8</v>
      </c>
      <c r="I96" s="340"/>
      <c r="J96" s="373">
        <v>12</v>
      </c>
      <c r="K96" s="335">
        <f t="shared" si="25"/>
        <v>25</v>
      </c>
      <c r="L96" s="336">
        <f t="shared" si="26"/>
        <v>66.666666666666657</v>
      </c>
      <c r="M96" s="336">
        <f t="shared" si="27"/>
        <v>0</v>
      </c>
      <c r="N96" s="337">
        <f t="shared" si="23"/>
        <v>91.666666666666657</v>
      </c>
      <c r="O96" s="336">
        <v>9.8000000000000007</v>
      </c>
      <c r="P96" s="336">
        <v>43.2</v>
      </c>
      <c r="Q96" s="336"/>
      <c r="R96" s="368">
        <f t="shared" si="24"/>
        <v>53</v>
      </c>
      <c r="S96" s="347">
        <v>2</v>
      </c>
      <c r="T96" s="836"/>
      <c r="U96" s="855"/>
      <c r="V96" s="292" t="s">
        <v>16</v>
      </c>
      <c r="W96" s="292" t="s">
        <v>17</v>
      </c>
      <c r="X96" s="292" t="s">
        <v>18</v>
      </c>
      <c r="Y96" s="292">
        <v>43.2</v>
      </c>
      <c r="Z96" s="299" t="s">
        <v>21</v>
      </c>
      <c r="AA96" s="292" t="s">
        <v>27</v>
      </c>
      <c r="AB96" s="292" t="s">
        <v>11</v>
      </c>
      <c r="AC96" s="300">
        <v>9.8000000000000007</v>
      </c>
      <c r="AD96" s="299"/>
      <c r="AG96" s="300"/>
      <c r="AL96" s="299"/>
      <c r="AO96" s="300"/>
      <c r="AS96" s="300"/>
      <c r="AW96" s="300"/>
      <c r="BA96" s="301"/>
    </row>
    <row r="97" spans="1:53" s="292" customFormat="1" ht="11" customHeight="1">
      <c r="A97" s="292">
        <v>2004</v>
      </c>
      <c r="B97" s="848"/>
      <c r="C97" s="916" t="s">
        <v>45</v>
      </c>
      <c r="D97" s="916"/>
      <c r="E97" s="292">
        <v>366</v>
      </c>
      <c r="F97" s="301"/>
      <c r="G97" s="340">
        <v>3</v>
      </c>
      <c r="H97" s="340">
        <v>8</v>
      </c>
      <c r="I97" s="340"/>
      <c r="J97" s="373">
        <v>12</v>
      </c>
      <c r="K97" s="335">
        <f t="shared" si="25"/>
        <v>25</v>
      </c>
      <c r="L97" s="336">
        <f t="shared" si="26"/>
        <v>66.666666666666657</v>
      </c>
      <c r="M97" s="336">
        <f t="shared" si="27"/>
        <v>0</v>
      </c>
      <c r="N97" s="337">
        <f t="shared" si="23"/>
        <v>91.666666666666657</v>
      </c>
      <c r="O97" s="336">
        <v>9.8000000000000007</v>
      </c>
      <c r="P97" s="336">
        <v>43.2</v>
      </c>
      <c r="Q97" s="336"/>
      <c r="R97" s="368">
        <f t="shared" si="24"/>
        <v>53</v>
      </c>
      <c r="S97" s="347">
        <v>2</v>
      </c>
      <c r="T97" s="836"/>
      <c r="U97" s="855"/>
      <c r="V97" s="292" t="s">
        <v>16</v>
      </c>
      <c r="W97" s="292" t="s">
        <v>17</v>
      </c>
      <c r="X97" s="292" t="s">
        <v>18</v>
      </c>
      <c r="Y97" s="292">
        <v>43.2</v>
      </c>
      <c r="Z97" s="299" t="s">
        <v>21</v>
      </c>
      <c r="AA97" s="292" t="s">
        <v>27</v>
      </c>
      <c r="AB97" s="292" t="s">
        <v>11</v>
      </c>
      <c r="AC97" s="300">
        <v>9.8000000000000007</v>
      </c>
      <c r="AD97" s="299"/>
      <c r="AG97" s="300"/>
      <c r="AL97" s="299"/>
      <c r="AO97" s="300"/>
      <c r="AS97" s="300"/>
      <c r="AW97" s="300"/>
      <c r="BA97" s="301"/>
    </row>
    <row r="98" spans="1:53" s="364" customFormat="1" ht="11" customHeight="1">
      <c r="A98" s="292">
        <v>2005</v>
      </c>
      <c r="B98" s="849"/>
      <c r="C98" s="916" t="s">
        <v>45</v>
      </c>
      <c r="D98" s="916"/>
      <c r="E98" s="292">
        <v>94</v>
      </c>
      <c r="F98" s="301"/>
      <c r="G98" s="340">
        <v>3</v>
      </c>
      <c r="H98" s="340">
        <v>8</v>
      </c>
      <c r="I98" s="340"/>
      <c r="J98" s="373">
        <v>12</v>
      </c>
      <c r="K98" s="335">
        <f t="shared" ref="K98:K111" si="28">G98/J98*100</f>
        <v>25</v>
      </c>
      <c r="L98" s="336">
        <f t="shared" ref="L98:L111" si="29">H98/J98*100</f>
        <v>66.666666666666657</v>
      </c>
      <c r="M98" s="336">
        <f t="shared" ref="M98:M111" si="30">I98/J98*100</f>
        <v>0</v>
      </c>
      <c r="N98" s="337">
        <f t="shared" si="23"/>
        <v>91.666666666666657</v>
      </c>
      <c r="O98" s="336">
        <v>9.8000000000000007</v>
      </c>
      <c r="P98" s="336">
        <v>43.2</v>
      </c>
      <c r="Q98" s="336"/>
      <c r="R98" s="368">
        <f t="shared" si="24"/>
        <v>53</v>
      </c>
      <c r="S98" s="347">
        <v>2</v>
      </c>
      <c r="T98" s="836"/>
      <c r="U98" s="855"/>
      <c r="V98" s="292" t="s">
        <v>16</v>
      </c>
      <c r="W98" s="292" t="s">
        <v>17</v>
      </c>
      <c r="X98" s="292" t="s">
        <v>18</v>
      </c>
      <c r="Y98" s="292">
        <v>43.2</v>
      </c>
      <c r="Z98" s="299" t="s">
        <v>21</v>
      </c>
      <c r="AA98" s="292" t="s">
        <v>27</v>
      </c>
      <c r="AB98" s="292" t="s">
        <v>11</v>
      </c>
      <c r="AC98" s="300">
        <v>9.8000000000000007</v>
      </c>
      <c r="AD98" s="374"/>
      <c r="AG98" s="375"/>
      <c r="AL98" s="374"/>
      <c r="AO98" s="375"/>
      <c r="AS98" s="375"/>
      <c r="AW98" s="375"/>
      <c r="BA98" s="365"/>
    </row>
    <row r="99" spans="1:53" s="364" customFormat="1" ht="11" customHeight="1">
      <c r="A99" s="829">
        <v>2005</v>
      </c>
      <c r="B99" s="844">
        <v>38447</v>
      </c>
      <c r="C99" s="916" t="s">
        <v>45</v>
      </c>
      <c r="D99" s="916"/>
      <c r="E99" s="829">
        <v>271</v>
      </c>
      <c r="F99" s="369">
        <v>0</v>
      </c>
      <c r="G99" s="340">
        <v>3</v>
      </c>
      <c r="H99" s="340">
        <v>8</v>
      </c>
      <c r="I99" s="340"/>
      <c r="J99" s="373">
        <v>12</v>
      </c>
      <c r="K99" s="536">
        <f t="shared" ref="K99" si="31">G99/J99*100</f>
        <v>25</v>
      </c>
      <c r="L99" s="537">
        <f t="shared" ref="L99" si="32">H99/J99*100</f>
        <v>66.666666666666657</v>
      </c>
      <c r="M99" s="537">
        <f t="shared" ref="M99" si="33">I99/J99*100</f>
        <v>0</v>
      </c>
      <c r="N99" s="538">
        <f t="shared" ref="N99" si="34">SUM(K99:M99)</f>
        <v>91.666666666666657</v>
      </c>
      <c r="O99" s="537">
        <v>6.6</v>
      </c>
      <c r="P99" s="537">
        <v>43.2</v>
      </c>
      <c r="Q99" s="537"/>
      <c r="R99" s="540">
        <f t="shared" ref="R99" si="35">SUM(O99:Q99)</f>
        <v>49.800000000000004</v>
      </c>
      <c r="S99" s="347">
        <v>5</v>
      </c>
      <c r="T99" s="836"/>
      <c r="U99" s="855"/>
      <c r="V99" s="829" t="s">
        <v>16</v>
      </c>
      <c r="W99" s="829" t="s">
        <v>17</v>
      </c>
      <c r="X99" s="829" t="s">
        <v>18</v>
      </c>
      <c r="Y99" s="829">
        <v>43.2</v>
      </c>
      <c r="Z99" s="532" t="s">
        <v>1443</v>
      </c>
      <c r="AA99" s="829" t="s">
        <v>1444</v>
      </c>
      <c r="AB99" s="829" t="s">
        <v>11</v>
      </c>
      <c r="AC99" s="533">
        <v>6.6</v>
      </c>
      <c r="AD99" s="374"/>
      <c r="AG99" s="375"/>
      <c r="AL99" s="374"/>
      <c r="AO99" s="375"/>
      <c r="AS99" s="375"/>
      <c r="AW99" s="375"/>
      <c r="BA99" s="365"/>
    </row>
    <row r="100" spans="1:53" s="292" customFormat="1" ht="11" customHeight="1">
      <c r="A100" s="292">
        <v>2006</v>
      </c>
      <c r="B100" s="850"/>
      <c r="C100" s="916" t="s">
        <v>45</v>
      </c>
      <c r="D100" s="916"/>
      <c r="E100" s="292">
        <v>0</v>
      </c>
      <c r="F100" s="301"/>
      <c r="G100" s="340">
        <v>3</v>
      </c>
      <c r="H100" s="340">
        <v>8</v>
      </c>
      <c r="I100" s="340"/>
      <c r="J100" s="373">
        <v>12</v>
      </c>
      <c r="K100" s="335">
        <f t="shared" si="28"/>
        <v>25</v>
      </c>
      <c r="L100" s="336">
        <f t="shared" si="29"/>
        <v>66.666666666666657</v>
      </c>
      <c r="M100" s="336">
        <f t="shared" si="30"/>
        <v>0</v>
      </c>
      <c r="N100" s="337">
        <f t="shared" si="23"/>
        <v>91.666666666666657</v>
      </c>
      <c r="O100" s="336">
        <v>6.6</v>
      </c>
      <c r="P100" s="336">
        <v>43.2</v>
      </c>
      <c r="Q100" s="336"/>
      <c r="R100" s="368">
        <f t="shared" si="24"/>
        <v>49.800000000000004</v>
      </c>
      <c r="S100" s="347">
        <v>5</v>
      </c>
      <c r="T100" s="836"/>
      <c r="U100" s="855"/>
      <c r="V100" s="292" t="s">
        <v>16</v>
      </c>
      <c r="W100" s="292" t="s">
        <v>17</v>
      </c>
      <c r="X100" s="292" t="s">
        <v>18</v>
      </c>
      <c r="Y100" s="292">
        <v>43.2</v>
      </c>
      <c r="Z100" s="532" t="s">
        <v>1443</v>
      </c>
      <c r="AA100" s="829" t="s">
        <v>1444</v>
      </c>
      <c r="AB100" s="829" t="s">
        <v>11</v>
      </c>
      <c r="AC100" s="533">
        <v>6.6</v>
      </c>
      <c r="AD100" s="299"/>
      <c r="AG100" s="300"/>
      <c r="AL100" s="299"/>
      <c r="AO100" s="300"/>
      <c r="AS100" s="300"/>
      <c r="AW100" s="300"/>
      <c r="BA100" s="301"/>
    </row>
    <row r="101" spans="1:53" s="292" customFormat="1" ht="11" customHeight="1">
      <c r="A101" s="292">
        <v>2006</v>
      </c>
      <c r="B101" s="850"/>
      <c r="C101" s="916" t="s">
        <v>45</v>
      </c>
      <c r="D101" s="916"/>
      <c r="E101" s="292">
        <v>365</v>
      </c>
      <c r="F101" s="301"/>
      <c r="G101" s="340">
        <v>3</v>
      </c>
      <c r="H101" s="340">
        <v>8</v>
      </c>
      <c r="I101" s="340"/>
      <c r="J101" s="373">
        <v>12</v>
      </c>
      <c r="K101" s="335">
        <f t="shared" si="28"/>
        <v>25</v>
      </c>
      <c r="L101" s="336">
        <f t="shared" si="29"/>
        <v>66.666666666666657</v>
      </c>
      <c r="M101" s="336">
        <f t="shared" si="30"/>
        <v>0</v>
      </c>
      <c r="N101" s="337">
        <f t="shared" si="23"/>
        <v>91.666666666666657</v>
      </c>
      <c r="O101" s="336">
        <v>6.6</v>
      </c>
      <c r="P101" s="336">
        <v>43.2</v>
      </c>
      <c r="Q101" s="336"/>
      <c r="R101" s="368">
        <f t="shared" si="24"/>
        <v>49.800000000000004</v>
      </c>
      <c r="S101" s="347">
        <v>5</v>
      </c>
      <c r="T101" s="836">
        <v>38991</v>
      </c>
      <c r="U101" s="855"/>
      <c r="V101" s="292" t="s">
        <v>16</v>
      </c>
      <c r="W101" s="292" t="s">
        <v>17</v>
      </c>
      <c r="X101" s="292" t="s">
        <v>18</v>
      </c>
      <c r="Y101" s="292">
        <v>43.2</v>
      </c>
      <c r="Z101" s="532" t="s">
        <v>1443</v>
      </c>
      <c r="AA101" s="829" t="s">
        <v>1444</v>
      </c>
      <c r="AB101" s="829" t="s">
        <v>11</v>
      </c>
      <c r="AC101" s="533">
        <v>6.6</v>
      </c>
      <c r="AD101" s="299"/>
      <c r="AG101" s="300"/>
      <c r="AL101" s="299"/>
      <c r="AO101" s="300"/>
      <c r="AS101" s="300"/>
      <c r="AW101" s="300"/>
      <c r="BA101" s="301"/>
    </row>
    <row r="102" spans="1:53" s="292" customFormat="1" ht="11" customHeight="1">
      <c r="A102" s="292">
        <v>2007</v>
      </c>
      <c r="B102" s="850"/>
      <c r="C102" s="916" t="s">
        <v>45</v>
      </c>
      <c r="D102" s="916"/>
      <c r="E102" s="292">
        <v>10</v>
      </c>
      <c r="F102" s="301"/>
      <c r="G102" s="340">
        <v>3</v>
      </c>
      <c r="H102" s="340">
        <v>8</v>
      </c>
      <c r="I102" s="340"/>
      <c r="J102" s="373">
        <v>12</v>
      </c>
      <c r="K102" s="335">
        <f t="shared" si="28"/>
        <v>25</v>
      </c>
      <c r="L102" s="336">
        <f t="shared" si="29"/>
        <v>66.666666666666657</v>
      </c>
      <c r="M102" s="336">
        <f t="shared" si="30"/>
        <v>0</v>
      </c>
      <c r="N102" s="337">
        <f t="shared" si="23"/>
        <v>91.666666666666657</v>
      </c>
      <c r="O102" s="336">
        <v>6.6</v>
      </c>
      <c r="P102" s="336">
        <v>43.2</v>
      </c>
      <c r="Q102" s="336"/>
      <c r="R102" s="368">
        <f t="shared" si="24"/>
        <v>49.800000000000004</v>
      </c>
      <c r="S102" s="347">
        <v>5</v>
      </c>
      <c r="T102" s="836"/>
      <c r="U102" s="855"/>
      <c r="V102" s="292" t="s">
        <v>16</v>
      </c>
      <c r="W102" s="292" t="s">
        <v>17</v>
      </c>
      <c r="X102" s="292" t="s">
        <v>18</v>
      </c>
      <c r="Y102" s="292">
        <v>43.2</v>
      </c>
      <c r="Z102" s="532" t="s">
        <v>1443</v>
      </c>
      <c r="AA102" s="829" t="s">
        <v>1444</v>
      </c>
      <c r="AB102" s="829" t="s">
        <v>11</v>
      </c>
      <c r="AC102" s="533">
        <v>6.6</v>
      </c>
      <c r="AD102" s="299"/>
      <c r="AG102" s="300"/>
      <c r="AL102" s="299"/>
      <c r="AO102" s="300"/>
      <c r="AS102" s="300"/>
      <c r="AW102" s="300"/>
      <c r="BA102" s="301"/>
    </row>
    <row r="103" spans="1:53" s="73" customFormat="1" ht="11" customHeight="1">
      <c r="A103" s="73">
        <v>2007</v>
      </c>
      <c r="B103" s="847">
        <v>39093</v>
      </c>
      <c r="C103" s="917" t="s">
        <v>46</v>
      </c>
      <c r="D103" s="917"/>
      <c r="E103" s="73">
        <v>355</v>
      </c>
      <c r="F103" s="84">
        <v>1</v>
      </c>
      <c r="G103" s="97"/>
      <c r="H103" s="97">
        <v>7</v>
      </c>
      <c r="I103" s="97">
        <v>7</v>
      </c>
      <c r="J103" s="125">
        <v>14</v>
      </c>
      <c r="K103" s="91">
        <f t="shared" si="28"/>
        <v>0</v>
      </c>
      <c r="L103" s="92">
        <f t="shared" si="29"/>
        <v>50</v>
      </c>
      <c r="M103" s="92">
        <f t="shared" si="30"/>
        <v>50</v>
      </c>
      <c r="N103" s="93">
        <f t="shared" si="23"/>
        <v>100</v>
      </c>
      <c r="O103" s="92"/>
      <c r="P103" s="92">
        <v>36.1</v>
      </c>
      <c r="Q103" s="92">
        <v>37.200000000000003</v>
      </c>
      <c r="R103" s="121">
        <f t="shared" si="24"/>
        <v>73.300000000000011</v>
      </c>
      <c r="S103" s="122">
        <v>2</v>
      </c>
      <c r="T103" s="852"/>
      <c r="U103" s="845">
        <v>39093</v>
      </c>
      <c r="V103" s="73" t="s">
        <v>19</v>
      </c>
      <c r="W103" s="73" t="s">
        <v>20</v>
      </c>
      <c r="X103" s="73" t="s">
        <v>12</v>
      </c>
      <c r="Y103" s="73">
        <v>37.200000000000003</v>
      </c>
      <c r="Z103" s="82" t="s">
        <v>16</v>
      </c>
      <c r="AA103" s="73" t="s">
        <v>17</v>
      </c>
      <c r="AB103" s="73" t="s">
        <v>18</v>
      </c>
      <c r="AC103" s="83">
        <v>36.1</v>
      </c>
      <c r="AD103" s="82"/>
      <c r="AG103" s="83"/>
      <c r="AL103" s="82"/>
      <c r="AO103" s="83"/>
      <c r="AS103" s="83"/>
      <c r="AW103" s="83"/>
      <c r="BA103" s="84"/>
    </row>
    <row r="104" spans="1:53" s="265" customFormat="1" ht="11" customHeight="1">
      <c r="A104" s="265">
        <v>2008</v>
      </c>
      <c r="B104" s="851"/>
      <c r="C104" s="917" t="s">
        <v>46</v>
      </c>
      <c r="D104" s="917"/>
      <c r="E104" s="265">
        <v>336</v>
      </c>
      <c r="F104" s="84"/>
      <c r="G104" s="97"/>
      <c r="H104" s="97">
        <v>7</v>
      </c>
      <c r="I104" s="97">
        <v>7</v>
      </c>
      <c r="J104" s="125">
        <v>14</v>
      </c>
      <c r="K104" s="91">
        <f t="shared" si="28"/>
        <v>0</v>
      </c>
      <c r="L104" s="92">
        <f t="shared" si="29"/>
        <v>50</v>
      </c>
      <c r="M104" s="92">
        <f t="shared" si="30"/>
        <v>50</v>
      </c>
      <c r="N104" s="93">
        <f t="shared" si="23"/>
        <v>100</v>
      </c>
      <c r="O104" s="92"/>
      <c r="P104" s="92">
        <v>36.1</v>
      </c>
      <c r="Q104" s="92">
        <v>37.200000000000003</v>
      </c>
      <c r="R104" s="121">
        <f t="shared" si="24"/>
        <v>73.300000000000011</v>
      </c>
      <c r="S104" s="122">
        <v>2</v>
      </c>
      <c r="T104" s="852"/>
      <c r="U104" s="845"/>
      <c r="V104" s="265" t="s">
        <v>19</v>
      </c>
      <c r="W104" s="265" t="s">
        <v>20</v>
      </c>
      <c r="X104" s="265" t="s">
        <v>12</v>
      </c>
      <c r="Y104" s="265">
        <v>37.200000000000003</v>
      </c>
      <c r="Z104" s="82" t="s">
        <v>16</v>
      </c>
      <c r="AA104" s="265" t="s">
        <v>17</v>
      </c>
      <c r="AB104" s="265" t="s">
        <v>18</v>
      </c>
      <c r="AC104" s="83">
        <v>36.1</v>
      </c>
      <c r="AD104" s="82"/>
      <c r="AG104" s="83"/>
      <c r="AL104" s="82"/>
      <c r="AO104" s="83"/>
      <c r="AS104" s="83"/>
      <c r="AW104" s="83"/>
      <c r="BA104" s="84"/>
    </row>
    <row r="105" spans="1:53" s="292" customFormat="1" ht="11" customHeight="1">
      <c r="A105" s="292">
        <v>2008</v>
      </c>
      <c r="B105" s="848">
        <v>39784</v>
      </c>
      <c r="C105" s="916" t="s">
        <v>47</v>
      </c>
      <c r="D105" s="916"/>
      <c r="E105" s="292">
        <v>30</v>
      </c>
      <c r="F105" s="301">
        <v>1</v>
      </c>
      <c r="G105" s="340"/>
      <c r="H105" s="340">
        <v>7</v>
      </c>
      <c r="I105" s="340">
        <v>7</v>
      </c>
      <c r="J105" s="373">
        <v>14</v>
      </c>
      <c r="K105" s="335">
        <f t="shared" si="28"/>
        <v>0</v>
      </c>
      <c r="L105" s="336">
        <f t="shared" si="29"/>
        <v>50</v>
      </c>
      <c r="M105" s="336">
        <f t="shared" si="30"/>
        <v>50</v>
      </c>
      <c r="N105" s="337">
        <f t="shared" si="23"/>
        <v>100</v>
      </c>
      <c r="O105" s="336"/>
      <c r="P105" s="336">
        <v>27.9</v>
      </c>
      <c r="Q105" s="336">
        <v>31.1</v>
      </c>
      <c r="R105" s="368">
        <f t="shared" si="24"/>
        <v>59</v>
      </c>
      <c r="S105" s="347">
        <v>2</v>
      </c>
      <c r="T105" s="836">
        <v>39719</v>
      </c>
      <c r="U105" s="855">
        <v>39784</v>
      </c>
      <c r="V105" s="292" t="s">
        <v>19</v>
      </c>
      <c r="W105" s="292" t="s">
        <v>20</v>
      </c>
      <c r="X105" s="292" t="s">
        <v>12</v>
      </c>
      <c r="Y105" s="292">
        <v>31.1</v>
      </c>
      <c r="Z105" s="299" t="s">
        <v>16</v>
      </c>
      <c r="AA105" s="292" t="s">
        <v>17</v>
      </c>
      <c r="AB105" s="292" t="s">
        <v>18</v>
      </c>
      <c r="AC105" s="300">
        <v>27.9</v>
      </c>
      <c r="AD105" s="299"/>
      <c r="AG105" s="300"/>
      <c r="AL105" s="299"/>
      <c r="AO105" s="300"/>
      <c r="AS105" s="300"/>
      <c r="AW105" s="300"/>
      <c r="BA105" s="301"/>
    </row>
    <row r="106" spans="1:53" s="292" customFormat="1" ht="11" customHeight="1">
      <c r="A106" s="292">
        <v>2009</v>
      </c>
      <c r="B106" s="836"/>
      <c r="C106" s="916" t="s">
        <v>47</v>
      </c>
      <c r="D106" s="916"/>
      <c r="E106" s="292">
        <v>0</v>
      </c>
      <c r="F106" s="301"/>
      <c r="G106" s="340"/>
      <c r="H106" s="340">
        <v>7</v>
      </c>
      <c r="I106" s="340">
        <v>7</v>
      </c>
      <c r="J106" s="373">
        <v>14</v>
      </c>
      <c r="K106" s="335">
        <f t="shared" si="28"/>
        <v>0</v>
      </c>
      <c r="L106" s="336">
        <f>H106/J106*100</f>
        <v>50</v>
      </c>
      <c r="M106" s="336">
        <f t="shared" si="30"/>
        <v>50</v>
      </c>
      <c r="N106" s="337">
        <f t="shared" si="23"/>
        <v>100</v>
      </c>
      <c r="O106" s="336"/>
      <c r="P106" s="336">
        <v>27.9</v>
      </c>
      <c r="Q106" s="336">
        <v>31.1</v>
      </c>
      <c r="R106" s="368">
        <f t="shared" si="24"/>
        <v>59</v>
      </c>
      <c r="S106" s="347">
        <v>2</v>
      </c>
      <c r="T106" s="836"/>
      <c r="U106" s="855"/>
      <c r="V106" s="292" t="s">
        <v>19</v>
      </c>
      <c r="W106" s="292" t="s">
        <v>20</v>
      </c>
      <c r="X106" s="292" t="s">
        <v>12</v>
      </c>
      <c r="Y106" s="292">
        <v>31.1</v>
      </c>
      <c r="Z106" s="299" t="s">
        <v>16</v>
      </c>
      <c r="AA106" s="292" t="s">
        <v>17</v>
      </c>
      <c r="AB106" s="292" t="s">
        <v>18</v>
      </c>
      <c r="AC106" s="300">
        <v>27.9</v>
      </c>
      <c r="AD106" s="299"/>
      <c r="AG106" s="300"/>
      <c r="AL106" s="299"/>
      <c r="AO106" s="300"/>
      <c r="AS106" s="300"/>
      <c r="AW106" s="300"/>
      <c r="BA106" s="301"/>
    </row>
    <row r="107" spans="1:53" s="292" customFormat="1" ht="11" customHeight="1">
      <c r="A107" s="292">
        <v>2009</v>
      </c>
      <c r="B107" s="836"/>
      <c r="C107" s="916" t="s">
        <v>47</v>
      </c>
      <c r="D107" s="916"/>
      <c r="E107" s="292">
        <v>365</v>
      </c>
      <c r="F107" s="301"/>
      <c r="G107" s="340"/>
      <c r="H107" s="340">
        <v>7</v>
      </c>
      <c r="I107" s="340">
        <v>7</v>
      </c>
      <c r="J107" s="373">
        <v>14</v>
      </c>
      <c r="K107" s="335">
        <f t="shared" si="28"/>
        <v>0</v>
      </c>
      <c r="L107" s="336">
        <f t="shared" si="29"/>
        <v>50</v>
      </c>
      <c r="M107" s="336">
        <f t="shared" si="30"/>
        <v>50</v>
      </c>
      <c r="N107" s="337">
        <f t="shared" si="23"/>
        <v>100</v>
      </c>
      <c r="O107" s="336"/>
      <c r="P107" s="336">
        <v>27.9</v>
      </c>
      <c r="Q107" s="336">
        <v>31.1</v>
      </c>
      <c r="R107" s="368">
        <f t="shared" si="24"/>
        <v>59</v>
      </c>
      <c r="S107" s="347">
        <v>2</v>
      </c>
      <c r="T107" s="836"/>
      <c r="U107" s="855"/>
      <c r="V107" s="292" t="s">
        <v>19</v>
      </c>
      <c r="W107" s="292" t="s">
        <v>20</v>
      </c>
      <c r="X107" s="292" t="s">
        <v>12</v>
      </c>
      <c r="Y107" s="292">
        <v>31.1</v>
      </c>
      <c r="Z107" s="299" t="s">
        <v>16</v>
      </c>
      <c r="AA107" s="292" t="s">
        <v>17</v>
      </c>
      <c r="AB107" s="292" t="s">
        <v>18</v>
      </c>
      <c r="AC107" s="300">
        <v>27.9</v>
      </c>
      <c r="AD107" s="299"/>
      <c r="AG107" s="300"/>
      <c r="AL107" s="299"/>
      <c r="AO107" s="300"/>
      <c r="AS107" s="300"/>
      <c r="AW107" s="300"/>
      <c r="BA107" s="301"/>
    </row>
    <row r="108" spans="1:53" s="292" customFormat="1" ht="11" customHeight="1">
      <c r="A108" s="292">
        <v>2010</v>
      </c>
      <c r="B108" s="836"/>
      <c r="C108" s="916" t="s">
        <v>47</v>
      </c>
      <c r="D108" s="916"/>
      <c r="E108" s="292">
        <v>0</v>
      </c>
      <c r="F108" s="301"/>
      <c r="G108" s="340"/>
      <c r="H108" s="340">
        <v>7</v>
      </c>
      <c r="I108" s="340">
        <v>7</v>
      </c>
      <c r="J108" s="373">
        <v>14</v>
      </c>
      <c r="K108" s="335">
        <f t="shared" si="28"/>
        <v>0</v>
      </c>
      <c r="L108" s="336">
        <f t="shared" si="29"/>
        <v>50</v>
      </c>
      <c r="M108" s="336">
        <f t="shared" si="30"/>
        <v>50</v>
      </c>
      <c r="N108" s="337">
        <f t="shared" si="23"/>
        <v>100</v>
      </c>
      <c r="O108" s="336"/>
      <c r="P108" s="336">
        <v>27.9</v>
      </c>
      <c r="Q108" s="336">
        <v>31.1</v>
      </c>
      <c r="R108" s="368">
        <f t="shared" si="24"/>
        <v>59</v>
      </c>
      <c r="S108" s="347">
        <v>2</v>
      </c>
      <c r="T108" s="836"/>
      <c r="U108" s="855"/>
      <c r="V108" s="292" t="s">
        <v>19</v>
      </c>
      <c r="W108" s="292" t="s">
        <v>20</v>
      </c>
      <c r="X108" s="292" t="s">
        <v>12</v>
      </c>
      <c r="Y108" s="292">
        <v>31.1</v>
      </c>
      <c r="Z108" s="299" t="s">
        <v>16</v>
      </c>
      <c r="AA108" s="292" t="s">
        <v>17</v>
      </c>
      <c r="AB108" s="292" t="s">
        <v>18</v>
      </c>
      <c r="AC108" s="300">
        <v>27.9</v>
      </c>
      <c r="AD108" s="299"/>
      <c r="AG108" s="300"/>
      <c r="AL108" s="299"/>
      <c r="AO108" s="300"/>
      <c r="AS108" s="300"/>
      <c r="AW108" s="300"/>
      <c r="BA108" s="301"/>
    </row>
    <row r="109" spans="1:53" s="292" customFormat="1" ht="11" customHeight="1">
      <c r="A109" s="292">
        <v>2010</v>
      </c>
      <c r="B109" s="836"/>
      <c r="C109" s="916" t="s">
        <v>47</v>
      </c>
      <c r="D109" s="916"/>
      <c r="E109" s="292">
        <v>365</v>
      </c>
      <c r="F109" s="301"/>
      <c r="G109" s="340"/>
      <c r="H109" s="340">
        <v>7</v>
      </c>
      <c r="I109" s="340">
        <v>7</v>
      </c>
      <c r="J109" s="373">
        <v>14</v>
      </c>
      <c r="K109" s="335">
        <f t="shared" si="28"/>
        <v>0</v>
      </c>
      <c r="L109" s="336">
        <f t="shared" si="29"/>
        <v>50</v>
      </c>
      <c r="M109" s="336">
        <f t="shared" si="30"/>
        <v>50</v>
      </c>
      <c r="N109" s="337">
        <f t="shared" si="23"/>
        <v>100</v>
      </c>
      <c r="O109" s="336"/>
      <c r="P109" s="336">
        <v>27.9</v>
      </c>
      <c r="Q109" s="336">
        <v>31.1</v>
      </c>
      <c r="R109" s="368">
        <f t="shared" si="24"/>
        <v>59</v>
      </c>
      <c r="S109" s="347">
        <v>2</v>
      </c>
      <c r="T109" s="836"/>
      <c r="U109" s="855"/>
      <c r="V109" s="292" t="s">
        <v>19</v>
      </c>
      <c r="W109" s="292" t="s">
        <v>20</v>
      </c>
      <c r="X109" s="292" t="s">
        <v>12</v>
      </c>
      <c r="Y109" s="292">
        <v>31.1</v>
      </c>
      <c r="Z109" s="299" t="s">
        <v>16</v>
      </c>
      <c r="AA109" s="292" t="s">
        <v>17</v>
      </c>
      <c r="AB109" s="292" t="s">
        <v>18</v>
      </c>
      <c r="AC109" s="300">
        <v>27.9</v>
      </c>
      <c r="AD109" s="299"/>
      <c r="AG109" s="300"/>
      <c r="AL109" s="299"/>
      <c r="AO109" s="300"/>
      <c r="AS109" s="300"/>
      <c r="AW109" s="300"/>
      <c r="BA109" s="301"/>
    </row>
    <row r="110" spans="1:53" s="292" customFormat="1" ht="11" customHeight="1">
      <c r="A110" s="292">
        <v>2011</v>
      </c>
      <c r="B110" s="836"/>
      <c r="C110" s="916" t="s">
        <v>47</v>
      </c>
      <c r="D110" s="916"/>
      <c r="E110" s="292">
        <v>0</v>
      </c>
      <c r="F110" s="301"/>
      <c r="G110" s="340"/>
      <c r="H110" s="340">
        <v>7</v>
      </c>
      <c r="I110" s="340">
        <v>7</v>
      </c>
      <c r="J110" s="373">
        <v>14</v>
      </c>
      <c r="K110" s="335">
        <f t="shared" si="28"/>
        <v>0</v>
      </c>
      <c r="L110" s="336">
        <f t="shared" si="29"/>
        <v>50</v>
      </c>
      <c r="M110" s="336">
        <f t="shared" si="30"/>
        <v>50</v>
      </c>
      <c r="N110" s="337">
        <f t="shared" si="23"/>
        <v>100</v>
      </c>
      <c r="O110" s="336"/>
      <c r="P110" s="336">
        <v>27.9</v>
      </c>
      <c r="Q110" s="336">
        <v>31.1</v>
      </c>
      <c r="R110" s="368">
        <f t="shared" si="24"/>
        <v>59</v>
      </c>
      <c r="S110" s="347">
        <v>2</v>
      </c>
      <c r="T110" s="836"/>
      <c r="U110" s="855"/>
      <c r="V110" s="292" t="s">
        <v>19</v>
      </c>
      <c r="W110" s="292" t="s">
        <v>20</v>
      </c>
      <c r="X110" s="292" t="s">
        <v>12</v>
      </c>
      <c r="Y110" s="292">
        <v>31.1</v>
      </c>
      <c r="Z110" s="299" t="s">
        <v>16</v>
      </c>
      <c r="AA110" s="292" t="s">
        <v>17</v>
      </c>
      <c r="AB110" s="292" t="s">
        <v>18</v>
      </c>
      <c r="AC110" s="300">
        <v>27.9</v>
      </c>
      <c r="AD110" s="299"/>
      <c r="AG110" s="300"/>
      <c r="AL110" s="299"/>
      <c r="AO110" s="300"/>
      <c r="AS110" s="300"/>
      <c r="AW110" s="300"/>
      <c r="BA110" s="301"/>
    </row>
    <row r="111" spans="1:53" s="292" customFormat="1" ht="11" customHeight="1">
      <c r="A111" s="292">
        <v>2011</v>
      </c>
      <c r="B111" s="836"/>
      <c r="C111" s="916" t="s">
        <v>47</v>
      </c>
      <c r="D111" s="916"/>
      <c r="E111" s="340">
        <v>365</v>
      </c>
      <c r="F111" s="376"/>
      <c r="G111" s="340"/>
      <c r="H111" s="340">
        <v>7</v>
      </c>
      <c r="I111" s="340">
        <v>7</v>
      </c>
      <c r="J111" s="373">
        <v>14</v>
      </c>
      <c r="K111" s="335">
        <f t="shared" si="28"/>
        <v>0</v>
      </c>
      <c r="L111" s="336">
        <f t="shared" si="29"/>
        <v>50</v>
      </c>
      <c r="M111" s="336">
        <f t="shared" si="30"/>
        <v>50</v>
      </c>
      <c r="N111" s="337">
        <f t="shared" si="23"/>
        <v>100</v>
      </c>
      <c r="O111" s="336"/>
      <c r="P111" s="336">
        <v>27.9</v>
      </c>
      <c r="Q111" s="336">
        <v>31.1</v>
      </c>
      <c r="R111" s="368">
        <f t="shared" si="24"/>
        <v>59</v>
      </c>
      <c r="S111" s="347">
        <v>2</v>
      </c>
      <c r="T111" s="836"/>
      <c r="U111" s="855"/>
      <c r="V111" s="292" t="s">
        <v>19</v>
      </c>
      <c r="W111" s="292" t="s">
        <v>20</v>
      </c>
      <c r="X111" s="292" t="s">
        <v>12</v>
      </c>
      <c r="Y111" s="292">
        <v>31.1</v>
      </c>
      <c r="Z111" s="299" t="s">
        <v>16</v>
      </c>
      <c r="AA111" s="292" t="s">
        <v>17</v>
      </c>
      <c r="AB111" s="292" t="s">
        <v>18</v>
      </c>
      <c r="AC111" s="300">
        <v>27.9</v>
      </c>
      <c r="AD111" s="299"/>
      <c r="AG111" s="300"/>
      <c r="AL111" s="299"/>
      <c r="AO111" s="300"/>
      <c r="AS111" s="300"/>
      <c r="AW111" s="300"/>
      <c r="BA111" s="301"/>
    </row>
    <row r="112" spans="1:53" s="292" customFormat="1" ht="11" customHeight="1">
      <c r="A112" s="292">
        <v>2012</v>
      </c>
      <c r="B112" s="836"/>
      <c r="C112" s="916" t="s">
        <v>47</v>
      </c>
      <c r="D112" s="916"/>
      <c r="E112" s="340">
        <v>0</v>
      </c>
      <c r="F112" s="376"/>
      <c r="G112" s="340"/>
      <c r="H112" s="340">
        <v>7</v>
      </c>
      <c r="I112" s="340">
        <v>7</v>
      </c>
      <c r="J112" s="373">
        <v>14</v>
      </c>
      <c r="K112" s="335">
        <f t="shared" ref="K112:K117" si="36">G112/J112*100</f>
        <v>0</v>
      </c>
      <c r="L112" s="336">
        <f t="shared" ref="L112:L117" si="37">H112/J112*100</f>
        <v>50</v>
      </c>
      <c r="M112" s="336">
        <f t="shared" ref="M112:M117" si="38">I112/J112*100</f>
        <v>50</v>
      </c>
      <c r="N112" s="337">
        <f t="shared" si="23"/>
        <v>100</v>
      </c>
      <c r="O112" s="336"/>
      <c r="P112" s="336">
        <v>27.9</v>
      </c>
      <c r="Q112" s="336">
        <v>31.1</v>
      </c>
      <c r="R112" s="368">
        <f t="shared" si="24"/>
        <v>59</v>
      </c>
      <c r="S112" s="347">
        <v>2</v>
      </c>
      <c r="T112" s="836"/>
      <c r="U112" s="855"/>
      <c r="V112" s="292" t="s">
        <v>19</v>
      </c>
      <c r="W112" s="292" t="s">
        <v>20</v>
      </c>
      <c r="X112" s="292" t="s">
        <v>12</v>
      </c>
      <c r="Y112" s="292">
        <v>31.1</v>
      </c>
      <c r="Z112" s="299" t="s">
        <v>16</v>
      </c>
      <c r="AA112" s="292" t="s">
        <v>17</v>
      </c>
      <c r="AB112" s="292" t="s">
        <v>18</v>
      </c>
      <c r="AC112" s="300">
        <v>27.9</v>
      </c>
      <c r="AD112" s="299"/>
      <c r="AG112" s="300"/>
      <c r="AL112" s="299"/>
      <c r="AO112" s="300"/>
      <c r="AS112" s="300"/>
      <c r="AW112" s="300"/>
      <c r="BA112" s="301"/>
    </row>
    <row r="113" spans="1:53" s="292" customFormat="1" ht="11" customHeight="1">
      <c r="A113" s="292">
        <v>2012</v>
      </c>
      <c r="B113" s="836"/>
      <c r="C113" s="916" t="s">
        <v>47</v>
      </c>
      <c r="D113" s="916"/>
      <c r="E113" s="292">
        <v>366</v>
      </c>
      <c r="F113" s="301"/>
      <c r="G113" s="340"/>
      <c r="H113" s="340">
        <v>7</v>
      </c>
      <c r="I113" s="340">
        <v>7</v>
      </c>
      <c r="J113" s="373">
        <v>14</v>
      </c>
      <c r="K113" s="335">
        <f t="shared" si="36"/>
        <v>0</v>
      </c>
      <c r="L113" s="336">
        <f t="shared" si="37"/>
        <v>50</v>
      </c>
      <c r="M113" s="336">
        <f t="shared" si="38"/>
        <v>50</v>
      </c>
      <c r="N113" s="337">
        <f t="shared" si="23"/>
        <v>100</v>
      </c>
      <c r="O113" s="336"/>
      <c r="P113" s="336">
        <v>27.9</v>
      </c>
      <c r="Q113" s="336">
        <v>31.1</v>
      </c>
      <c r="R113" s="368">
        <f t="shared" si="24"/>
        <v>59</v>
      </c>
      <c r="S113" s="347">
        <v>2</v>
      </c>
      <c r="T113" s="836"/>
      <c r="U113" s="855"/>
      <c r="V113" s="292" t="s">
        <v>19</v>
      </c>
      <c r="W113" s="292" t="s">
        <v>20</v>
      </c>
      <c r="X113" s="292" t="s">
        <v>12</v>
      </c>
      <c r="Y113" s="292">
        <v>31.1</v>
      </c>
      <c r="Z113" s="299" t="s">
        <v>16</v>
      </c>
      <c r="AA113" s="292" t="s">
        <v>17</v>
      </c>
      <c r="AB113" s="292" t="s">
        <v>18</v>
      </c>
      <c r="AC113" s="300">
        <v>27.9</v>
      </c>
      <c r="AD113" s="299"/>
      <c r="AG113" s="300"/>
      <c r="AL113" s="299"/>
      <c r="AO113" s="300"/>
      <c r="AS113" s="300"/>
      <c r="AW113" s="300"/>
      <c r="BA113" s="301"/>
    </row>
    <row r="114" spans="1:53" s="292" customFormat="1" ht="11" customHeight="1">
      <c r="A114" s="292">
        <v>2013</v>
      </c>
      <c r="B114" s="836"/>
      <c r="C114" s="916" t="s">
        <v>47</v>
      </c>
      <c r="D114" s="916"/>
      <c r="E114" s="292">
        <v>349</v>
      </c>
      <c r="F114" s="301"/>
      <c r="G114" s="340"/>
      <c r="H114" s="340">
        <v>7</v>
      </c>
      <c r="I114" s="340">
        <v>7</v>
      </c>
      <c r="J114" s="373">
        <v>14</v>
      </c>
      <c r="K114" s="335">
        <f t="shared" si="36"/>
        <v>0</v>
      </c>
      <c r="L114" s="336">
        <f t="shared" si="37"/>
        <v>50</v>
      </c>
      <c r="M114" s="336">
        <f t="shared" si="38"/>
        <v>50</v>
      </c>
      <c r="N114" s="337">
        <f t="shared" si="23"/>
        <v>100</v>
      </c>
      <c r="O114" s="336"/>
      <c r="P114" s="336">
        <v>27.9</v>
      </c>
      <c r="Q114" s="336">
        <v>31.1</v>
      </c>
      <c r="R114" s="368">
        <f t="shared" si="24"/>
        <v>59</v>
      </c>
      <c r="S114" s="347">
        <v>2</v>
      </c>
      <c r="T114" s="836"/>
      <c r="U114" s="855"/>
      <c r="V114" s="292" t="s">
        <v>19</v>
      </c>
      <c r="W114" s="292" t="s">
        <v>20</v>
      </c>
      <c r="X114" s="292" t="s">
        <v>12</v>
      </c>
      <c r="Y114" s="292">
        <v>31.1</v>
      </c>
      <c r="Z114" s="299" t="s">
        <v>16</v>
      </c>
      <c r="AA114" s="292" t="s">
        <v>17</v>
      </c>
      <c r="AB114" s="292" t="s">
        <v>18</v>
      </c>
      <c r="AC114" s="300">
        <v>27.9</v>
      </c>
      <c r="AD114" s="299"/>
      <c r="AG114" s="300"/>
      <c r="AL114" s="299"/>
      <c r="AO114" s="300"/>
      <c r="AS114" s="300"/>
      <c r="AW114" s="300"/>
      <c r="BA114" s="301"/>
    </row>
    <row r="115" spans="1:53" s="265" customFormat="1" ht="11" customHeight="1">
      <c r="A115" s="265">
        <v>2013</v>
      </c>
      <c r="B115" s="851">
        <v>41624</v>
      </c>
      <c r="C115" s="917" t="s">
        <v>1243</v>
      </c>
      <c r="D115" s="917"/>
      <c r="E115" s="265">
        <f>365-E114</f>
        <v>16</v>
      </c>
      <c r="F115" s="84">
        <v>1</v>
      </c>
      <c r="G115" s="97"/>
      <c r="H115" s="97">
        <v>7</v>
      </c>
      <c r="I115" s="97">
        <v>7</v>
      </c>
      <c r="J115" s="125">
        <v>14</v>
      </c>
      <c r="K115" s="91">
        <f t="shared" si="36"/>
        <v>0</v>
      </c>
      <c r="L115" s="92">
        <f t="shared" si="37"/>
        <v>50</v>
      </c>
      <c r="M115" s="92">
        <f t="shared" si="38"/>
        <v>50</v>
      </c>
      <c r="N115" s="93">
        <f t="shared" si="23"/>
        <v>100</v>
      </c>
      <c r="O115" s="92"/>
      <c r="P115" s="92">
        <v>25.7</v>
      </c>
      <c r="Q115" s="92">
        <v>28.4</v>
      </c>
      <c r="R115" s="121">
        <f t="shared" si="24"/>
        <v>54.099999999999994</v>
      </c>
      <c r="S115" s="122">
        <v>2</v>
      </c>
      <c r="T115" s="852">
        <v>41546</v>
      </c>
      <c r="U115" s="845">
        <v>41624</v>
      </c>
      <c r="V115" s="265" t="s">
        <v>19</v>
      </c>
      <c r="W115" s="265" t="s">
        <v>20</v>
      </c>
      <c r="X115" s="265" t="s">
        <v>12</v>
      </c>
      <c r="Y115" s="265">
        <v>28.4</v>
      </c>
      <c r="Z115" s="82" t="s">
        <v>16</v>
      </c>
      <c r="AA115" s="265" t="s">
        <v>17</v>
      </c>
      <c r="AB115" s="265" t="s">
        <v>18</v>
      </c>
      <c r="AC115" s="83">
        <v>25.7</v>
      </c>
      <c r="AD115" s="82"/>
      <c r="AG115" s="83"/>
      <c r="AL115" s="82"/>
      <c r="AO115" s="83"/>
      <c r="AS115" s="83"/>
      <c r="AW115" s="83"/>
      <c r="BA115" s="84"/>
    </row>
    <row r="116" spans="1:53" s="437" customFormat="1" ht="11" customHeight="1">
      <c r="A116" s="437">
        <v>2014</v>
      </c>
      <c r="B116" s="851"/>
      <c r="C116" s="917" t="s">
        <v>1243</v>
      </c>
      <c r="D116" s="917"/>
      <c r="E116" s="437">
        <v>0</v>
      </c>
      <c r="F116" s="407"/>
      <c r="G116" s="97"/>
      <c r="H116" s="97">
        <v>7</v>
      </c>
      <c r="I116" s="97">
        <v>7</v>
      </c>
      <c r="J116" s="125">
        <v>14</v>
      </c>
      <c r="K116" s="408">
        <f t="shared" si="36"/>
        <v>0</v>
      </c>
      <c r="L116" s="409">
        <f t="shared" si="37"/>
        <v>50</v>
      </c>
      <c r="M116" s="409">
        <f t="shared" si="38"/>
        <v>50</v>
      </c>
      <c r="N116" s="410">
        <f t="shared" si="23"/>
        <v>100</v>
      </c>
      <c r="O116" s="409"/>
      <c r="P116" s="409">
        <v>25.7</v>
      </c>
      <c r="Q116" s="409">
        <v>28.4</v>
      </c>
      <c r="R116" s="412">
        <f t="shared" si="24"/>
        <v>54.099999999999994</v>
      </c>
      <c r="S116" s="122">
        <v>2</v>
      </c>
      <c r="T116" s="852"/>
      <c r="U116" s="845"/>
      <c r="V116" s="437" t="s">
        <v>19</v>
      </c>
      <c r="W116" s="437" t="s">
        <v>20</v>
      </c>
      <c r="X116" s="437" t="s">
        <v>12</v>
      </c>
      <c r="Y116" s="437">
        <v>28.4</v>
      </c>
      <c r="Z116" s="405" t="s">
        <v>16</v>
      </c>
      <c r="AA116" s="437" t="s">
        <v>17</v>
      </c>
      <c r="AB116" s="437" t="s">
        <v>18</v>
      </c>
      <c r="AC116" s="406">
        <v>25.7</v>
      </c>
      <c r="AD116" s="405"/>
      <c r="AG116" s="406"/>
      <c r="AL116" s="405"/>
      <c r="AO116" s="406"/>
      <c r="AS116" s="406"/>
      <c r="AW116" s="406"/>
      <c r="BA116" s="407"/>
    </row>
    <row r="117" spans="1:53" s="437" customFormat="1" ht="11" customHeight="1">
      <c r="A117" s="437">
        <v>2014</v>
      </c>
      <c r="B117" s="851"/>
      <c r="C117" s="917" t="s">
        <v>1243</v>
      </c>
      <c r="D117" s="917"/>
      <c r="E117" s="437">
        <v>365</v>
      </c>
      <c r="F117" s="407"/>
      <c r="G117" s="97"/>
      <c r="H117" s="97">
        <v>7</v>
      </c>
      <c r="I117" s="97">
        <v>7</v>
      </c>
      <c r="J117" s="125">
        <v>14</v>
      </c>
      <c r="K117" s="408">
        <f t="shared" si="36"/>
        <v>0</v>
      </c>
      <c r="L117" s="409">
        <f t="shared" si="37"/>
        <v>50</v>
      </c>
      <c r="M117" s="409">
        <f t="shared" si="38"/>
        <v>50</v>
      </c>
      <c r="N117" s="410">
        <f>SUM(K117:M117)</f>
        <v>100</v>
      </c>
      <c r="O117" s="409"/>
      <c r="P117" s="409">
        <v>25.7</v>
      </c>
      <c r="Q117" s="409">
        <v>28.4</v>
      </c>
      <c r="R117" s="412">
        <f t="shared" si="24"/>
        <v>54.099999999999994</v>
      </c>
      <c r="S117" s="122">
        <v>2</v>
      </c>
      <c r="T117" s="852"/>
      <c r="U117" s="845"/>
      <c r="V117" s="437" t="s">
        <v>19</v>
      </c>
      <c r="W117" s="437" t="s">
        <v>20</v>
      </c>
      <c r="X117" s="437" t="s">
        <v>12</v>
      </c>
      <c r="Y117" s="437">
        <v>28.4</v>
      </c>
      <c r="Z117" s="405" t="s">
        <v>16</v>
      </c>
      <c r="AA117" s="437" t="s">
        <v>17</v>
      </c>
      <c r="AB117" s="437" t="s">
        <v>18</v>
      </c>
      <c r="AC117" s="406">
        <v>25.7</v>
      </c>
      <c r="AD117" s="405"/>
      <c r="AG117" s="406"/>
      <c r="AL117" s="405"/>
      <c r="AO117" s="406"/>
      <c r="AS117" s="406"/>
      <c r="AW117" s="406"/>
      <c r="BA117" s="407"/>
    </row>
    <row r="118" spans="1:53" s="568" customFormat="1" ht="11" customHeight="1">
      <c r="A118" s="568">
        <v>2015</v>
      </c>
      <c r="B118" s="851"/>
      <c r="C118" s="917" t="s">
        <v>1243</v>
      </c>
      <c r="D118" s="917"/>
      <c r="E118" s="568">
        <v>0</v>
      </c>
      <c r="F118" s="494"/>
      <c r="G118" s="97"/>
      <c r="H118" s="97">
        <v>7</v>
      </c>
      <c r="I118" s="97">
        <v>7</v>
      </c>
      <c r="J118" s="125">
        <v>14</v>
      </c>
      <c r="K118" s="495">
        <f t="shared" ref="K118:K120" si="39">G118/J118*100</f>
        <v>0</v>
      </c>
      <c r="L118" s="496">
        <f t="shared" ref="L118:L120" si="40">H118/J118*100</f>
        <v>50</v>
      </c>
      <c r="M118" s="496">
        <f t="shared" ref="M118:M120" si="41">I118/J118*100</f>
        <v>50</v>
      </c>
      <c r="N118" s="497">
        <f t="shared" ref="N118:N120" si="42">SUM(K118:M118)</f>
        <v>100</v>
      </c>
      <c r="O118" s="496"/>
      <c r="P118" s="496">
        <v>25.7</v>
      </c>
      <c r="Q118" s="496">
        <v>28.4</v>
      </c>
      <c r="R118" s="499">
        <f t="shared" ref="R118:R121" si="43">SUM(O118:Q118)</f>
        <v>54.099999999999994</v>
      </c>
      <c r="S118" s="122">
        <v>2</v>
      </c>
      <c r="T118" s="852"/>
      <c r="U118" s="845"/>
      <c r="V118" s="568" t="s">
        <v>19</v>
      </c>
      <c r="W118" s="568" t="s">
        <v>20</v>
      </c>
      <c r="X118" s="568" t="s">
        <v>12</v>
      </c>
      <c r="Y118" s="568">
        <v>28.4</v>
      </c>
      <c r="Z118" s="492" t="s">
        <v>16</v>
      </c>
      <c r="AA118" s="568" t="s">
        <v>17</v>
      </c>
      <c r="AB118" s="568" t="s">
        <v>18</v>
      </c>
      <c r="AC118" s="493">
        <v>25.7</v>
      </c>
      <c r="AD118" s="492"/>
      <c r="AG118" s="493"/>
      <c r="AL118" s="492"/>
      <c r="AO118" s="493"/>
      <c r="AS118" s="493"/>
      <c r="AW118" s="493"/>
      <c r="BA118" s="494"/>
    </row>
    <row r="119" spans="1:53" s="568" customFormat="1" ht="11" customHeight="1">
      <c r="A119" s="568">
        <v>2015</v>
      </c>
      <c r="B119" s="851"/>
      <c r="C119" s="917" t="s">
        <v>1243</v>
      </c>
      <c r="D119" s="917"/>
      <c r="E119" s="568">
        <v>365</v>
      </c>
      <c r="F119" s="494"/>
      <c r="G119" s="97"/>
      <c r="H119" s="97">
        <v>7</v>
      </c>
      <c r="I119" s="97">
        <v>7</v>
      </c>
      <c r="J119" s="125">
        <v>14</v>
      </c>
      <c r="K119" s="495">
        <f t="shared" si="39"/>
        <v>0</v>
      </c>
      <c r="L119" s="496">
        <f t="shared" si="40"/>
        <v>50</v>
      </c>
      <c r="M119" s="496">
        <f t="shared" si="41"/>
        <v>50</v>
      </c>
      <c r="N119" s="497">
        <f t="shared" si="42"/>
        <v>100</v>
      </c>
      <c r="O119" s="496"/>
      <c r="P119" s="496">
        <v>25.7</v>
      </c>
      <c r="Q119" s="496">
        <v>28.4</v>
      </c>
      <c r="R119" s="499">
        <f t="shared" si="43"/>
        <v>54.099999999999994</v>
      </c>
      <c r="S119" s="122">
        <v>2</v>
      </c>
      <c r="T119" s="852"/>
      <c r="U119" s="845"/>
      <c r="V119" s="568" t="s">
        <v>19</v>
      </c>
      <c r="W119" s="568" t="s">
        <v>20</v>
      </c>
      <c r="X119" s="568" t="s">
        <v>12</v>
      </c>
      <c r="Y119" s="568">
        <v>28.4</v>
      </c>
      <c r="Z119" s="492" t="s">
        <v>16</v>
      </c>
      <c r="AA119" s="568" t="s">
        <v>17</v>
      </c>
      <c r="AB119" s="568" t="s">
        <v>18</v>
      </c>
      <c r="AC119" s="493">
        <v>25.7</v>
      </c>
      <c r="AD119" s="492"/>
      <c r="AG119" s="493"/>
      <c r="AL119" s="492"/>
      <c r="AO119" s="493"/>
      <c r="AS119" s="493"/>
      <c r="AW119" s="493"/>
      <c r="BA119" s="494"/>
    </row>
    <row r="120" spans="1:53" s="638" customFormat="1" ht="11" customHeight="1">
      <c r="A120" s="638">
        <v>2016</v>
      </c>
      <c r="B120" s="852"/>
      <c r="C120" s="917" t="s">
        <v>1243</v>
      </c>
      <c r="D120" s="917"/>
      <c r="E120" s="638">
        <v>137</v>
      </c>
      <c r="F120" s="494"/>
      <c r="G120" s="97"/>
      <c r="H120" s="97">
        <v>7</v>
      </c>
      <c r="I120" s="97">
        <v>7</v>
      </c>
      <c r="J120" s="125">
        <v>14</v>
      </c>
      <c r="K120" s="495">
        <f t="shared" si="39"/>
        <v>0</v>
      </c>
      <c r="L120" s="496">
        <f t="shared" si="40"/>
        <v>50</v>
      </c>
      <c r="M120" s="496">
        <f t="shared" si="41"/>
        <v>50</v>
      </c>
      <c r="N120" s="497">
        <f t="shared" si="42"/>
        <v>100</v>
      </c>
      <c r="O120" s="496"/>
      <c r="P120" s="496">
        <v>25.7</v>
      </c>
      <c r="Q120" s="496">
        <v>28.4</v>
      </c>
      <c r="R120" s="499">
        <f t="shared" si="43"/>
        <v>54.099999999999994</v>
      </c>
      <c r="S120" s="122">
        <v>2</v>
      </c>
      <c r="T120" s="852"/>
      <c r="U120" s="845"/>
      <c r="V120" s="641" t="s">
        <v>19</v>
      </c>
      <c r="W120" s="641" t="s">
        <v>20</v>
      </c>
      <c r="X120" s="641" t="s">
        <v>12</v>
      </c>
      <c r="Y120" s="641">
        <v>28.4</v>
      </c>
      <c r="Z120" s="492" t="s">
        <v>16</v>
      </c>
      <c r="AA120" s="641" t="s">
        <v>17</v>
      </c>
      <c r="AB120" s="641" t="s">
        <v>18</v>
      </c>
      <c r="AC120" s="493">
        <v>25.7</v>
      </c>
      <c r="AD120" s="492"/>
      <c r="AG120" s="493"/>
      <c r="AL120" s="492"/>
      <c r="AO120" s="493"/>
      <c r="AS120" s="493"/>
      <c r="AW120" s="493"/>
      <c r="BA120" s="494"/>
    </row>
    <row r="121" spans="1:53" s="642" customFormat="1" ht="11" customHeight="1">
      <c r="A121" s="642">
        <v>2016</v>
      </c>
      <c r="B121" s="836">
        <v>42507</v>
      </c>
      <c r="C121" s="916" t="s">
        <v>1339</v>
      </c>
      <c r="D121" s="916"/>
      <c r="E121" s="642">
        <v>229</v>
      </c>
      <c r="F121" s="642">
        <v>2</v>
      </c>
      <c r="G121" s="539"/>
      <c r="H121" s="642">
        <v>7</v>
      </c>
      <c r="I121" s="642">
        <v>7</v>
      </c>
      <c r="J121" s="642">
        <v>14</v>
      </c>
      <c r="K121" s="536">
        <f t="shared" ref="K121" si="44">G121/J121*100</f>
        <v>0</v>
      </c>
      <c r="L121" s="537">
        <f t="shared" ref="L121" si="45">H121/J121*100</f>
        <v>50</v>
      </c>
      <c r="M121" s="537">
        <f t="shared" ref="M121" si="46">I121/J121*100</f>
        <v>50</v>
      </c>
      <c r="N121" s="538">
        <f t="shared" ref="N121" si="47">SUM(K121:M121)</f>
        <v>100</v>
      </c>
      <c r="P121" s="642">
        <v>27.3</v>
      </c>
      <c r="Q121" s="642">
        <v>28.4</v>
      </c>
      <c r="R121" s="540">
        <f t="shared" si="43"/>
        <v>55.7</v>
      </c>
      <c r="S121" s="535">
        <v>2</v>
      </c>
      <c r="T121" s="836"/>
      <c r="U121" s="841">
        <v>42507</v>
      </c>
      <c r="V121" s="532" t="s">
        <v>19</v>
      </c>
      <c r="W121" s="642" t="s">
        <v>20</v>
      </c>
      <c r="X121" s="642" t="s">
        <v>12</v>
      </c>
      <c r="Y121" s="642">
        <v>28.4</v>
      </c>
      <c r="Z121" s="532" t="s">
        <v>16</v>
      </c>
      <c r="AA121" s="642" t="s">
        <v>17</v>
      </c>
      <c r="AB121" s="642" t="s">
        <v>18</v>
      </c>
      <c r="AC121" s="642">
        <v>27.3</v>
      </c>
      <c r="AD121" s="532"/>
    </row>
    <row r="122" spans="1:53" s="721" customFormat="1" ht="11" customHeight="1">
      <c r="A122" s="721">
        <v>2017</v>
      </c>
      <c r="B122" s="836"/>
      <c r="C122" s="916" t="s">
        <v>1339</v>
      </c>
      <c r="D122" s="916"/>
      <c r="E122" s="721">
        <v>351</v>
      </c>
      <c r="G122" s="539"/>
      <c r="H122" s="721">
        <v>7</v>
      </c>
      <c r="I122" s="721">
        <v>7</v>
      </c>
      <c r="J122" s="721">
        <v>14</v>
      </c>
      <c r="K122" s="536">
        <f t="shared" ref="K122" si="48">G122/J122*100</f>
        <v>0</v>
      </c>
      <c r="L122" s="537">
        <f t="shared" ref="L122" si="49">H122/J122*100</f>
        <v>50</v>
      </c>
      <c r="M122" s="537">
        <f t="shared" ref="M122" si="50">I122/J122*100</f>
        <v>50</v>
      </c>
      <c r="N122" s="538">
        <f t="shared" ref="N122" si="51">SUM(K122:M122)</f>
        <v>100</v>
      </c>
      <c r="P122" s="721">
        <v>27.3</v>
      </c>
      <c r="Q122" s="721">
        <v>28.4</v>
      </c>
      <c r="R122" s="540">
        <f t="shared" ref="R122:R123" si="52">SUM(O122:Q122)</f>
        <v>55.7</v>
      </c>
      <c r="S122" s="535">
        <v>2</v>
      </c>
      <c r="T122" s="836"/>
      <c r="U122" s="841"/>
      <c r="V122" s="532" t="s">
        <v>19</v>
      </c>
      <c r="W122" s="721" t="s">
        <v>20</v>
      </c>
      <c r="X122" s="721" t="s">
        <v>12</v>
      </c>
      <c r="Y122" s="721">
        <v>28.4</v>
      </c>
      <c r="Z122" s="532" t="s">
        <v>16</v>
      </c>
      <c r="AA122" s="721" t="s">
        <v>17</v>
      </c>
      <c r="AB122" s="721" t="s">
        <v>18</v>
      </c>
      <c r="AC122" s="721">
        <v>27.3</v>
      </c>
      <c r="AD122" s="532"/>
    </row>
    <row r="123" spans="1:53" s="760" customFormat="1" ht="11" customHeight="1">
      <c r="A123" s="760">
        <v>2017</v>
      </c>
      <c r="B123" s="852">
        <v>43087</v>
      </c>
      <c r="C123" s="917" t="s">
        <v>1368</v>
      </c>
      <c r="D123" s="917"/>
      <c r="E123" s="760">
        <v>14</v>
      </c>
      <c r="F123" s="494">
        <v>1</v>
      </c>
      <c r="G123" s="97">
        <v>6</v>
      </c>
      <c r="H123" s="97">
        <v>8</v>
      </c>
      <c r="I123" s="97"/>
      <c r="J123" s="125">
        <v>14</v>
      </c>
      <c r="K123" s="495">
        <f t="shared" ref="K123" si="53">G123/J123*100</f>
        <v>42.857142857142854</v>
      </c>
      <c r="L123" s="496">
        <f t="shared" ref="L123" si="54">H123/J123*100</f>
        <v>57.142857142857139</v>
      </c>
      <c r="M123" s="496">
        <f t="shared" ref="M123" si="55">I123/J123*100</f>
        <v>0</v>
      </c>
      <c r="N123" s="497">
        <f t="shared" ref="N123" si="56">SUM(K123:M123)</f>
        <v>100</v>
      </c>
      <c r="O123" s="496">
        <v>27.9</v>
      </c>
      <c r="P123" s="496">
        <v>33.9</v>
      </c>
      <c r="Q123" s="496"/>
      <c r="R123" s="499">
        <f t="shared" si="52"/>
        <v>61.8</v>
      </c>
      <c r="S123" s="122">
        <v>2</v>
      </c>
      <c r="T123" s="852">
        <v>43023</v>
      </c>
      <c r="U123" s="845">
        <v>43087</v>
      </c>
      <c r="V123" s="760" t="s">
        <v>16</v>
      </c>
      <c r="W123" s="760" t="s">
        <v>17</v>
      </c>
      <c r="X123" s="760" t="s">
        <v>18</v>
      </c>
      <c r="Y123" s="760">
        <v>33.9</v>
      </c>
      <c r="Z123" s="492" t="s">
        <v>21</v>
      </c>
      <c r="AA123" s="760" t="s">
        <v>27</v>
      </c>
      <c r="AB123" s="760" t="s">
        <v>11</v>
      </c>
      <c r="AC123" s="493">
        <v>27.9</v>
      </c>
      <c r="AD123" s="492"/>
      <c r="AG123" s="493"/>
      <c r="AL123" s="492"/>
      <c r="AO123" s="493"/>
      <c r="AS123" s="493"/>
      <c r="AW123" s="493"/>
      <c r="BA123" s="494"/>
    </row>
    <row r="124" spans="1:53" s="760" customFormat="1" ht="11" customHeight="1">
      <c r="A124" s="760">
        <v>2018</v>
      </c>
      <c r="B124" s="852"/>
      <c r="C124" s="917" t="s">
        <v>1368</v>
      </c>
      <c r="D124" s="917"/>
      <c r="E124" s="760">
        <v>0</v>
      </c>
      <c r="F124" s="494"/>
      <c r="G124" s="97">
        <v>7</v>
      </c>
      <c r="H124" s="97">
        <v>7</v>
      </c>
      <c r="I124" s="97"/>
      <c r="J124" s="125">
        <v>14</v>
      </c>
      <c r="K124" s="495">
        <f t="shared" ref="K124:K125" si="57">G124/J124*100</f>
        <v>50</v>
      </c>
      <c r="L124" s="496">
        <f t="shared" ref="L124:L125" si="58">H124/J124*100</f>
        <v>50</v>
      </c>
      <c r="M124" s="496">
        <f t="shared" ref="M124:M125" si="59">I124/J124*100</f>
        <v>0</v>
      </c>
      <c r="N124" s="497">
        <f t="shared" ref="N124:N125" si="60">SUM(K124:M124)</f>
        <v>100</v>
      </c>
      <c r="O124" s="496">
        <v>27.9</v>
      </c>
      <c r="P124" s="496">
        <v>33.9</v>
      </c>
      <c r="Q124" s="496"/>
      <c r="R124" s="499">
        <f t="shared" ref="R124:R125" si="61">SUM(O124:Q124)</f>
        <v>61.8</v>
      </c>
      <c r="S124" s="122">
        <v>2</v>
      </c>
      <c r="T124" s="852"/>
      <c r="U124" s="845"/>
      <c r="V124" s="760" t="s">
        <v>16</v>
      </c>
      <c r="W124" s="760" t="s">
        <v>17</v>
      </c>
      <c r="X124" s="760" t="s">
        <v>18</v>
      </c>
      <c r="Y124" s="760">
        <v>33.9</v>
      </c>
      <c r="Z124" s="492" t="s">
        <v>21</v>
      </c>
      <c r="AA124" s="760" t="s">
        <v>27</v>
      </c>
      <c r="AB124" s="760" t="s">
        <v>11</v>
      </c>
      <c r="AC124" s="493">
        <v>27.9</v>
      </c>
      <c r="AD124" s="492"/>
      <c r="AG124" s="493"/>
      <c r="AL124" s="492"/>
      <c r="AO124" s="493"/>
      <c r="AS124" s="493"/>
      <c r="AW124" s="493"/>
      <c r="BA124" s="494"/>
    </row>
    <row r="125" spans="1:53" s="760" customFormat="1" ht="11" customHeight="1">
      <c r="A125" s="760">
        <v>2018</v>
      </c>
      <c r="B125" s="852"/>
      <c r="C125" s="917" t="s">
        <v>1368</v>
      </c>
      <c r="D125" s="917"/>
      <c r="E125" s="760">
        <v>365</v>
      </c>
      <c r="F125" s="494"/>
      <c r="G125" s="97">
        <v>7</v>
      </c>
      <c r="H125" s="97">
        <v>7</v>
      </c>
      <c r="I125" s="97"/>
      <c r="J125" s="125">
        <v>14</v>
      </c>
      <c r="K125" s="495">
        <f t="shared" si="57"/>
        <v>50</v>
      </c>
      <c r="L125" s="496">
        <f t="shared" si="58"/>
        <v>50</v>
      </c>
      <c r="M125" s="496">
        <f t="shared" si="59"/>
        <v>0</v>
      </c>
      <c r="N125" s="497">
        <f t="shared" si="60"/>
        <v>100</v>
      </c>
      <c r="O125" s="496">
        <v>27.9</v>
      </c>
      <c r="P125" s="496">
        <v>33.9</v>
      </c>
      <c r="Q125" s="496"/>
      <c r="R125" s="499">
        <f t="shared" si="61"/>
        <v>61.8</v>
      </c>
      <c r="S125" s="122">
        <v>2</v>
      </c>
      <c r="T125" s="852"/>
      <c r="U125" s="845"/>
      <c r="V125" s="760" t="s">
        <v>16</v>
      </c>
      <c r="W125" s="760" t="s">
        <v>17</v>
      </c>
      <c r="X125" s="760" t="s">
        <v>18</v>
      </c>
      <c r="Y125" s="760">
        <v>33.9</v>
      </c>
      <c r="Z125" s="492" t="s">
        <v>21</v>
      </c>
      <c r="AA125" s="760" t="s">
        <v>27</v>
      </c>
      <c r="AB125" s="760" t="s">
        <v>11</v>
      </c>
      <c r="AC125" s="493">
        <v>27.9</v>
      </c>
      <c r="AD125" s="492"/>
      <c r="AG125" s="493"/>
      <c r="AL125" s="492"/>
      <c r="AO125" s="493"/>
      <c r="AS125" s="493"/>
      <c r="AW125" s="493"/>
      <c r="BA125" s="494"/>
    </row>
    <row r="126" spans="1:53" s="780" customFormat="1" ht="11" customHeight="1">
      <c r="A126" s="780">
        <v>2019</v>
      </c>
      <c r="B126" s="852"/>
      <c r="C126" s="917" t="s">
        <v>1368</v>
      </c>
      <c r="D126" s="917"/>
      <c r="E126" s="780">
        <v>141</v>
      </c>
      <c r="F126" s="494"/>
      <c r="G126" s="97">
        <v>7</v>
      </c>
      <c r="H126" s="97">
        <v>7</v>
      </c>
      <c r="I126" s="97"/>
      <c r="J126" s="125">
        <v>14</v>
      </c>
      <c r="K126" s="495">
        <f t="shared" ref="K126" si="62">G126/J126*100</f>
        <v>50</v>
      </c>
      <c r="L126" s="496">
        <f t="shared" ref="L126" si="63">H126/J126*100</f>
        <v>50</v>
      </c>
      <c r="M126" s="496">
        <f t="shared" ref="M126" si="64">I126/J126*100</f>
        <v>0</v>
      </c>
      <c r="N126" s="497">
        <f t="shared" ref="N126" si="65">SUM(K126:M126)</f>
        <v>100</v>
      </c>
      <c r="O126" s="496">
        <v>27.9</v>
      </c>
      <c r="P126" s="496">
        <v>33.9</v>
      </c>
      <c r="Q126" s="496"/>
      <c r="R126" s="499">
        <f t="shared" ref="R126" si="66">SUM(O126:Q126)</f>
        <v>61.8</v>
      </c>
      <c r="S126" s="122">
        <v>2</v>
      </c>
      <c r="T126" s="852"/>
      <c r="U126" s="845"/>
      <c r="V126" s="780" t="s">
        <v>16</v>
      </c>
      <c r="W126" s="780" t="s">
        <v>17</v>
      </c>
      <c r="X126" s="780" t="s">
        <v>18</v>
      </c>
      <c r="Y126" s="780">
        <v>33.9</v>
      </c>
      <c r="Z126" s="492" t="s">
        <v>21</v>
      </c>
      <c r="AA126" s="780" t="s">
        <v>27</v>
      </c>
      <c r="AB126" s="780" t="s">
        <v>11</v>
      </c>
      <c r="AC126" s="493">
        <v>27.9</v>
      </c>
      <c r="AD126" s="492"/>
      <c r="AG126" s="493"/>
      <c r="AL126" s="492"/>
      <c r="AO126" s="493"/>
      <c r="AS126" s="493"/>
      <c r="AW126" s="493"/>
      <c r="BA126" s="494"/>
    </row>
    <row r="127" spans="1:53" s="780" customFormat="1" ht="11" customHeight="1">
      <c r="A127" s="780">
        <v>2019</v>
      </c>
      <c r="B127" s="852">
        <v>43607</v>
      </c>
      <c r="C127" s="917" t="s">
        <v>1368</v>
      </c>
      <c r="D127" s="917"/>
      <c r="E127" s="780">
        <v>6</v>
      </c>
      <c r="F127" s="494">
        <v>4</v>
      </c>
      <c r="G127" s="97"/>
      <c r="H127" s="97">
        <v>8</v>
      </c>
      <c r="I127" s="97"/>
      <c r="J127" s="125">
        <v>13</v>
      </c>
      <c r="K127" s="495">
        <f t="shared" ref="K127" si="67">G127/J127*100</f>
        <v>0</v>
      </c>
      <c r="L127" s="496">
        <f t="shared" ref="L127" si="68">H127/J127*100</f>
        <v>61.53846153846154</v>
      </c>
      <c r="M127" s="496">
        <f t="shared" ref="M127" si="69">I127/J127*100</f>
        <v>0</v>
      </c>
      <c r="N127" s="497">
        <f t="shared" ref="N127" si="70">SUM(K127:M127)</f>
        <v>61.53846153846154</v>
      </c>
      <c r="O127" s="496">
        <v>27.9</v>
      </c>
      <c r="P127" s="496">
        <v>33.9</v>
      </c>
      <c r="Q127" s="496"/>
      <c r="R127" s="499">
        <f t="shared" ref="R127" si="71">SUM(O127:Q127)</f>
        <v>61.8</v>
      </c>
      <c r="S127" s="122">
        <v>4</v>
      </c>
      <c r="T127" s="852"/>
      <c r="U127" s="845"/>
      <c r="V127" s="780" t="s">
        <v>16</v>
      </c>
      <c r="W127" s="780" t="s">
        <v>17</v>
      </c>
      <c r="X127" s="780" t="s">
        <v>18</v>
      </c>
      <c r="Y127" s="780">
        <v>33.9</v>
      </c>
      <c r="Z127" s="492"/>
      <c r="AC127" s="493"/>
      <c r="AD127" s="492"/>
      <c r="AG127" s="493"/>
      <c r="AL127" s="492"/>
      <c r="AO127" s="493"/>
      <c r="AS127" s="493"/>
      <c r="AW127" s="493"/>
      <c r="BA127" s="494"/>
    </row>
    <row r="128" spans="1:53" s="782" customFormat="1" ht="11" customHeight="1">
      <c r="A128" s="782">
        <v>2019</v>
      </c>
      <c r="B128" s="836">
        <v>43613</v>
      </c>
      <c r="C128" s="916" t="s">
        <v>1413</v>
      </c>
      <c r="D128" s="916"/>
      <c r="E128" s="782">
        <v>6</v>
      </c>
      <c r="F128" s="782">
        <v>5</v>
      </c>
      <c r="G128" s="539"/>
      <c r="H128" s="782">
        <v>7</v>
      </c>
      <c r="J128" s="782">
        <v>12</v>
      </c>
      <c r="K128" s="536">
        <f t="shared" ref="K128" si="72">G128/J128*100</f>
        <v>0</v>
      </c>
      <c r="L128" s="537">
        <f t="shared" ref="L128" si="73">H128/J128*100</f>
        <v>58.333333333333336</v>
      </c>
      <c r="M128" s="537">
        <f t="shared" ref="M128" si="74">I128/J128*100</f>
        <v>0</v>
      </c>
      <c r="N128" s="538">
        <f t="shared" ref="N128" si="75">SUM(K128:M128)</f>
        <v>58.333333333333336</v>
      </c>
      <c r="P128" s="782">
        <v>33.9</v>
      </c>
      <c r="R128" s="540">
        <f t="shared" ref="R128" si="76">SUM(O128:Q128)</f>
        <v>33.9</v>
      </c>
      <c r="S128" s="535">
        <v>6</v>
      </c>
      <c r="T128" s="836"/>
      <c r="U128" s="841">
        <v>43613</v>
      </c>
      <c r="V128" s="532" t="s">
        <v>16</v>
      </c>
      <c r="W128" s="782" t="s">
        <v>17</v>
      </c>
      <c r="X128" s="782" t="s">
        <v>18</v>
      </c>
      <c r="Y128" s="782">
        <v>33.9</v>
      </c>
      <c r="Z128" s="532"/>
      <c r="AD128" s="532"/>
    </row>
    <row r="129" spans="1:53" s="780" customFormat="1" ht="11" customHeight="1">
      <c r="A129" s="780">
        <v>2019</v>
      </c>
      <c r="B129" s="852">
        <v>43619</v>
      </c>
      <c r="C129" s="917" t="s">
        <v>1414</v>
      </c>
      <c r="D129" s="917"/>
      <c r="E129" s="780">
        <v>212</v>
      </c>
      <c r="F129" s="494">
        <v>5</v>
      </c>
      <c r="G129" s="97"/>
      <c r="H129" s="97"/>
      <c r="I129" s="97"/>
      <c r="J129" s="125">
        <v>12</v>
      </c>
      <c r="K129" s="495">
        <f t="shared" ref="K129" si="77">G129/J129*100</f>
        <v>0</v>
      </c>
      <c r="L129" s="496">
        <f t="shared" ref="L129" si="78">H129/J129*100</f>
        <v>0</v>
      </c>
      <c r="M129" s="496">
        <f t="shared" ref="M129" si="79">I129/J129*100</f>
        <v>0</v>
      </c>
      <c r="N129" s="497">
        <f t="shared" ref="N129" si="80">SUM(K129:M129)</f>
        <v>0</v>
      </c>
      <c r="O129" s="496"/>
      <c r="P129" s="496"/>
      <c r="Q129" s="496"/>
      <c r="R129" s="499">
        <f t="shared" ref="R129" si="81">SUM(O129:Q129)</f>
        <v>0</v>
      </c>
      <c r="S129" s="122">
        <v>6</v>
      </c>
      <c r="T129" s="852">
        <v>43737</v>
      </c>
      <c r="U129" s="845">
        <v>43619</v>
      </c>
      <c r="V129" s="795" t="s">
        <v>800</v>
      </c>
      <c r="Z129" s="492"/>
      <c r="AC129" s="493"/>
      <c r="AD129" s="492"/>
      <c r="AG129" s="493"/>
      <c r="AL129" s="492"/>
      <c r="AO129" s="493"/>
      <c r="AS129" s="493"/>
      <c r="AW129" s="493"/>
      <c r="BA129" s="494"/>
    </row>
    <row r="130" spans="1:53" ht="9" customHeight="1"/>
    <row r="131" spans="1:53" ht="18" customHeight="1">
      <c r="B131" s="22" t="s">
        <v>1269</v>
      </c>
    </row>
    <row r="132" spans="1:53" ht="9" customHeight="1"/>
    <row r="133" spans="1:53" s="317" customFormat="1" ht="9" customHeight="1">
      <c r="A133" s="315"/>
      <c r="B133" s="316" t="s">
        <v>1220</v>
      </c>
      <c r="C133" s="316"/>
      <c r="D133" s="316"/>
      <c r="E133" s="316"/>
      <c r="F133" s="316"/>
      <c r="G133" s="316" t="s">
        <v>1221</v>
      </c>
      <c r="H133" s="316"/>
      <c r="I133" s="316"/>
      <c r="J133" s="316"/>
      <c r="K133" s="316"/>
      <c r="L133" s="316"/>
      <c r="M133" s="316"/>
      <c r="N133" s="316"/>
      <c r="R133" s="895" t="s">
        <v>1222</v>
      </c>
      <c r="S133" s="895"/>
      <c r="T133" s="895"/>
      <c r="U133" s="895"/>
      <c r="V133" s="895"/>
      <c r="W133" s="895"/>
      <c r="X133" s="318"/>
      <c r="Y133" s="318"/>
      <c r="AA133" s="318"/>
      <c r="AB133" s="318"/>
      <c r="AC133" s="318"/>
      <c r="AD133" s="318"/>
    </row>
    <row r="134" spans="1:53" s="322" customFormat="1" ht="9" customHeight="1">
      <c r="A134" s="319"/>
      <c r="B134" s="320" t="s">
        <v>1224</v>
      </c>
      <c r="C134" s="321"/>
      <c r="D134" s="321"/>
      <c r="E134" s="321"/>
      <c r="F134" s="321"/>
      <c r="G134" s="320" t="s">
        <v>1223</v>
      </c>
      <c r="H134" s="321"/>
      <c r="I134" s="321"/>
      <c r="J134" s="321"/>
      <c r="K134" s="321"/>
      <c r="L134" s="321"/>
      <c r="M134" s="321"/>
      <c r="N134" s="321"/>
      <c r="R134" s="323" t="s">
        <v>1225</v>
      </c>
      <c r="S134" s="324"/>
      <c r="T134" s="325"/>
      <c r="U134" s="325"/>
      <c r="V134" s="325"/>
      <c r="W134" s="323" t="s">
        <v>1226</v>
      </c>
      <c r="X134" s="325"/>
      <c r="Y134" s="325"/>
      <c r="AA134" s="325"/>
      <c r="AB134" s="325"/>
      <c r="AC134" s="325"/>
      <c r="AD134" s="325"/>
    </row>
    <row r="135" spans="1:53" s="307" customFormat="1" ht="12" customHeight="1">
      <c r="A135" s="326" t="s">
        <v>3</v>
      </c>
      <c r="B135" s="327" t="s">
        <v>8</v>
      </c>
      <c r="C135" s="327" t="s">
        <v>9</v>
      </c>
      <c r="D135" s="327" t="s">
        <v>10</v>
      </c>
      <c r="E135" s="328" t="s">
        <v>1200</v>
      </c>
      <c r="F135" s="327"/>
      <c r="G135" s="307" t="s">
        <v>3</v>
      </c>
      <c r="H135" s="896" t="s">
        <v>0</v>
      </c>
      <c r="I135" s="896"/>
      <c r="J135" s="896" t="s">
        <v>1</v>
      </c>
      <c r="K135" s="896"/>
      <c r="L135" s="896" t="s">
        <v>2</v>
      </c>
      <c r="M135" s="896"/>
      <c r="N135" s="897" t="s">
        <v>1200</v>
      </c>
      <c r="O135" s="897"/>
      <c r="P135" s="329"/>
      <c r="Q135" s="329"/>
      <c r="R135" s="330" t="s">
        <v>3</v>
      </c>
      <c r="S135" s="331" t="s">
        <v>136</v>
      </c>
      <c r="T135" s="329" t="s">
        <v>134</v>
      </c>
      <c r="U135" s="327" t="s">
        <v>135</v>
      </c>
      <c r="V135" s="329"/>
      <c r="W135" s="332" t="s">
        <v>26</v>
      </c>
    </row>
    <row r="136" spans="1:53" s="227" customFormat="1" ht="9" customHeight="1">
      <c r="A136" s="227">
        <v>1959</v>
      </c>
      <c r="B136" s="230">
        <f>(K6*($E6/365)) + (K7*($E7/365))</f>
        <v>0</v>
      </c>
      <c r="C136" s="230">
        <f>(L6*($E6/365)) + (L7*($E7/365))</f>
        <v>54.474885844748862</v>
      </c>
      <c r="D136" s="230">
        <f>(M6*($E6/365)) + (M7*($E7/365))</f>
        <v>45.525114155251146</v>
      </c>
      <c r="E136" s="231">
        <f>B136+C136+D136</f>
        <v>100</v>
      </c>
      <c r="F136" s="240"/>
      <c r="G136" s="233">
        <v>1959</v>
      </c>
      <c r="H136" s="927">
        <f xml:space="preserve"> (O6/$R6*100*($E6/365))+ (O7/$R7*100*($E7/365))</f>
        <v>0</v>
      </c>
      <c r="I136" s="927"/>
      <c r="J136" s="927">
        <f xml:space="preserve"> (P6/$R6*100*($E6/365))+ (P7/$R7*100*($E7/365))</f>
        <v>51.538094385394956</v>
      </c>
      <c r="K136" s="927"/>
      <c r="L136" s="927">
        <f xml:space="preserve"> (Q6/$R6*100*($E6/365))+ (Q7/$R7*100*($E7/365))</f>
        <v>48.461905614605044</v>
      </c>
      <c r="M136" s="927"/>
      <c r="N136" s="926">
        <f>H136+J136+K136</f>
        <v>51.538094385394956</v>
      </c>
      <c r="O136" s="926"/>
      <c r="R136" s="233">
        <v>1959</v>
      </c>
      <c r="S136" s="230">
        <f>O6*($E6/365) + O7*($E7/365)</f>
        <v>0</v>
      </c>
      <c r="T136" s="230">
        <f>P6*($E6/365) + P7*($E7/365)</f>
        <v>48.866575342465751</v>
      </c>
      <c r="U136" s="230">
        <f>Q6*($E6/365) + Q7*($E7/365)</f>
        <v>45.957534246575335</v>
      </c>
      <c r="V136" s="241"/>
      <c r="W136" s="230">
        <f>S136+T136+U136</f>
        <v>94.824109589041086</v>
      </c>
    </row>
    <row r="137" spans="1:53" ht="9" customHeight="1">
      <c r="A137" s="2">
        <v>1960</v>
      </c>
      <c r="B137" s="8">
        <f>(K8*($E8/366))+(K9*($E9/366))</f>
        <v>0</v>
      </c>
      <c r="C137" s="8">
        <f>(L8*($E8/366))+(L9*($E9/366))</f>
        <v>50.000000000000007</v>
      </c>
      <c r="D137" s="8">
        <f>(M8*($E8/366))+(M9*($E9/366))</f>
        <v>50.000000000000007</v>
      </c>
      <c r="E137" s="24">
        <f t="shared" ref="E137:E166" si="82">SUM(B137:D137)</f>
        <v>100.00000000000001</v>
      </c>
      <c r="F137" s="6"/>
      <c r="G137" s="20">
        <v>1960</v>
      </c>
      <c r="H137" s="918">
        <f>(O8*100*($E8/366)/($O8+$P8+$Q8))+(O9*100*($E9/366)/($O9+$P9+$Q9))</f>
        <v>0</v>
      </c>
      <c r="I137" s="918"/>
      <c r="J137" s="918">
        <f>(P8*100*($E8/366)/($O8+$P8+$Q8))+(P9*100*($E9/366)/($O9+$P9+$Q9))</f>
        <v>50.315126050420176</v>
      </c>
      <c r="K137" s="918"/>
      <c r="L137" s="918">
        <f>(Q8*100*($E8/366)/($O8+$P8+$Q8))+(Q9*100*($E9/366)/($O9+$P9+$Q9))</f>
        <v>49.684873949579845</v>
      </c>
      <c r="M137" s="918"/>
      <c r="N137" s="919">
        <f>SUM(H137:M137)</f>
        <v>100.00000000000003</v>
      </c>
      <c r="O137" s="919"/>
      <c r="R137" s="20">
        <v>1960</v>
      </c>
      <c r="S137" s="8">
        <f>O8*($E8/366) + O9*($E9/366)</f>
        <v>0</v>
      </c>
      <c r="T137" s="8">
        <f>P8*($E8/366) + P9*($E9/366)</f>
        <v>47.900000000000006</v>
      </c>
      <c r="U137" s="8">
        <f>Q8*($E8/366) + Q9*($E9/366)</f>
        <v>47.3</v>
      </c>
      <c r="V137" s="13"/>
      <c r="W137" s="8">
        <f>R8*($E8/366) + R9*($E9/366)</f>
        <v>95.199999999999989</v>
      </c>
    </row>
    <row r="138" spans="1:53" ht="9" customHeight="1">
      <c r="A138" s="2">
        <v>1961</v>
      </c>
      <c r="B138" s="8">
        <f>(K10*($E10/365))+(K11*($E11/365))</f>
        <v>0</v>
      </c>
      <c r="C138" s="8">
        <f>(L10*($E10/365))+(L11*($E11/365))</f>
        <v>50</v>
      </c>
      <c r="D138" s="8">
        <f>(M10*($E10/365))+(M11*($E11/365))</f>
        <v>50</v>
      </c>
      <c r="E138" s="24">
        <f t="shared" si="82"/>
        <v>100</v>
      </c>
      <c r="F138" s="6"/>
      <c r="G138" s="20">
        <v>1961</v>
      </c>
      <c r="H138" s="918">
        <f>(O10*100*($E10/365)/($O10+$P10+$Q10))+(O11*100*($E11/365)/($O11+$P11+$Q11))</f>
        <v>0</v>
      </c>
      <c r="I138" s="918"/>
      <c r="J138" s="918">
        <f>(P10*100*($E10/365)/($O10+$P10+$Q10))+(P11*100*($E11/365)/($O11+$P11+$Q11))</f>
        <v>50.315126050420176</v>
      </c>
      <c r="K138" s="918"/>
      <c r="L138" s="918">
        <f>(Q10*100*($E10/365)/($O10+$P10+$Q10))+(Q11*100*($E11/365)/($O11+$P11+$Q11))</f>
        <v>49.684873949579838</v>
      </c>
      <c r="M138" s="918"/>
      <c r="N138" s="919">
        <f t="shared" ref="N138:N189" si="83">SUM(H138:M138)</f>
        <v>100.00000000000001</v>
      </c>
      <c r="O138" s="919"/>
      <c r="R138" s="20">
        <v>1961</v>
      </c>
      <c r="S138" s="8">
        <f>O10*($E10/365) + O11*($E11/365)</f>
        <v>0</v>
      </c>
      <c r="T138" s="8">
        <f>P10*($E10/365) + P11*($E11/365)</f>
        <v>47.9</v>
      </c>
      <c r="U138" s="8">
        <f>Q10*($E10/365) + Q11*($E11/365)</f>
        <v>47.3</v>
      </c>
      <c r="V138" s="13"/>
      <c r="W138" s="8">
        <f>R10*($E10/365) + R11*($E11/365)</f>
        <v>95.199999999999989</v>
      </c>
    </row>
    <row r="139" spans="1:53" ht="9" customHeight="1">
      <c r="A139" s="2">
        <v>1962</v>
      </c>
      <c r="B139" s="8">
        <f>(K12*($E12/365))+(K13*($E13/365))</f>
        <v>0</v>
      </c>
      <c r="C139" s="8">
        <f>(L12*($E12/365))+(L13*($E13/365))</f>
        <v>50</v>
      </c>
      <c r="D139" s="8">
        <f>(M12*($E12/365))+(M13*($E13/365))</f>
        <v>50</v>
      </c>
      <c r="E139" s="24">
        <f t="shared" si="82"/>
        <v>100</v>
      </c>
      <c r="F139" s="6"/>
      <c r="G139" s="20">
        <v>1962</v>
      </c>
      <c r="H139" s="918">
        <f>(O12*100*($E12/365)/($O12+$P12+$Q12))+(O13*100*($E13/365)/($O13+$P13+$Q13))</f>
        <v>0</v>
      </c>
      <c r="I139" s="918"/>
      <c r="J139" s="918">
        <f>(P12*100*($E12/365)/($O12+$P12+$Q12))+(P13*100*($E13/365)/($O13+$P13+$Q13))</f>
        <v>50.315126050420176</v>
      </c>
      <c r="K139" s="918"/>
      <c r="L139" s="918">
        <f>(Q12*100*($E12/365)/($O12+$P12+$Q12))+(Q13*100*($E13/365)/($O13+$P13+$Q13))</f>
        <v>49.684873949579838</v>
      </c>
      <c r="M139" s="918"/>
      <c r="N139" s="919">
        <f t="shared" si="83"/>
        <v>100.00000000000001</v>
      </c>
      <c r="O139" s="919"/>
      <c r="R139" s="20">
        <v>1962</v>
      </c>
      <c r="S139" s="8">
        <f>O12*($E12/365) + O13*($E13/365)</f>
        <v>0</v>
      </c>
      <c r="T139" s="8">
        <f>P12*($E12/365) + P13*($E13/365)</f>
        <v>47.9</v>
      </c>
      <c r="U139" s="8">
        <f>Q12*($E12/365) + Q13*($E13/365)</f>
        <v>47.3</v>
      </c>
      <c r="V139" s="13"/>
      <c r="W139" s="8">
        <f>R12*($E12/365) + R13*($E13/365)</f>
        <v>95.199999999999989</v>
      </c>
    </row>
    <row r="140" spans="1:53" ht="9" customHeight="1">
      <c r="A140" s="2">
        <v>1963</v>
      </c>
      <c r="B140" s="8">
        <f>(K14*($E14/365))+(K15*($E15/365))</f>
        <v>0</v>
      </c>
      <c r="C140" s="8">
        <f>(L14*($E14/365))+(L15*($E15/365))</f>
        <v>50</v>
      </c>
      <c r="D140" s="8">
        <f>(M14*($E14/365))+(M15*($E15/365))</f>
        <v>50</v>
      </c>
      <c r="E140" s="24">
        <f t="shared" si="82"/>
        <v>100</v>
      </c>
      <c r="F140" s="6"/>
      <c r="G140" s="20">
        <v>1963</v>
      </c>
      <c r="H140" s="918">
        <f>(O14*100*($E14/365)/($O14+$P14+$Q14))+(O15*100*($E15/365)/($O15+$P15+$Q15))</f>
        <v>0</v>
      </c>
      <c r="I140" s="918"/>
      <c r="J140" s="918">
        <f>(P14*100*($E14/365)/($O14+$P14+$Q14))+(P15*100*($E15/365)/($O15+$P15+$Q15))</f>
        <v>51.292448486243813</v>
      </c>
      <c r="K140" s="918"/>
      <c r="L140" s="918">
        <f>(Q14*100*($E14/365)/($O14+$P14+$Q14))+(Q15*100*($E15/365)/($O15+$P15+$Q15))</f>
        <v>48.707551513756194</v>
      </c>
      <c r="M140" s="918"/>
      <c r="N140" s="919">
        <f t="shared" si="83"/>
        <v>100</v>
      </c>
      <c r="O140" s="919"/>
      <c r="R140" s="20">
        <v>1963</v>
      </c>
      <c r="S140" s="8">
        <f>O14*($E14/365) + O15*($E15/365)</f>
        <v>0</v>
      </c>
      <c r="T140" s="8">
        <f>P14*($E14/365) + P15*($E15/365)</f>
        <v>48.83041095890411</v>
      </c>
      <c r="U140" s="8">
        <f>Q14*($E14/365) + Q15*($E15/365)</f>
        <v>46.369589041095892</v>
      </c>
      <c r="V140" s="13"/>
      <c r="W140" s="8">
        <f>R14*($E14/365) + R15*($E15/365)</f>
        <v>95.2</v>
      </c>
    </row>
    <row r="141" spans="1:53" ht="9" customHeight="1">
      <c r="A141" s="2">
        <v>1964</v>
      </c>
      <c r="B141" s="8">
        <f>(K16*($E16/366))+(K17*($E17/366))</f>
        <v>0</v>
      </c>
      <c r="C141" s="8">
        <f>(L16*($E16/366))+(L17*($E17/366))</f>
        <v>50</v>
      </c>
      <c r="D141" s="8">
        <f>(M16*($E16/366))+(M17*($E17/366))</f>
        <v>50</v>
      </c>
      <c r="E141" s="24">
        <f t="shared" si="82"/>
        <v>100</v>
      </c>
      <c r="F141" s="6"/>
      <c r="G141" s="20">
        <v>1964</v>
      </c>
      <c r="H141" s="918">
        <f>(O16*100*($E16/366)/($O16+$P16+$Q16))+(O17*100*($E17/366)/($O17+$P17+$Q17))</f>
        <v>0</v>
      </c>
      <c r="I141" s="918"/>
      <c r="J141" s="918">
        <f>(P16*100*($E16/366)/($O16+$P16+$Q16))+(P17*100*($E17/366)/($O17+$P17+$Q17))</f>
        <v>51.575630252100837</v>
      </c>
      <c r="K141" s="918"/>
      <c r="L141" s="918">
        <f>(Q16*100*($E16/366)/($O16+$P16+$Q16))+(Q17*100*($E17/366)/($O17+$P17+$Q17))</f>
        <v>48.424369747899163</v>
      </c>
      <c r="M141" s="918"/>
      <c r="N141" s="919">
        <f t="shared" si="83"/>
        <v>100</v>
      </c>
      <c r="O141" s="919"/>
      <c r="R141" s="20">
        <v>1964</v>
      </c>
      <c r="S141" s="8">
        <f>O16*($E16/366) + O17*($E17/366)</f>
        <v>0</v>
      </c>
      <c r="T141" s="8">
        <f>P16*($E16/366) + P17*($E17/366)</f>
        <v>49.100000000000009</v>
      </c>
      <c r="U141" s="8">
        <f>Q16*($E16/366) + Q17*($E17/366)</f>
        <v>46.1</v>
      </c>
      <c r="V141" s="13"/>
      <c r="W141" s="8">
        <f>R16*($E16/366) + R17*($E17/366)</f>
        <v>95.200000000000017</v>
      </c>
    </row>
    <row r="142" spans="1:53" ht="9" customHeight="1">
      <c r="A142" s="2">
        <v>1965</v>
      </c>
      <c r="B142" s="8">
        <f>(K18*($E18/365))+(K19*($E19/365))</f>
        <v>0</v>
      </c>
      <c r="C142" s="8">
        <f>(L18*($E18/365))+(L19*($E19/365))</f>
        <v>50</v>
      </c>
      <c r="D142" s="8">
        <f>(M18*($E18/365))+(M19*($E19/365))</f>
        <v>50</v>
      </c>
      <c r="E142" s="24">
        <f t="shared" si="82"/>
        <v>100</v>
      </c>
      <c r="F142" s="6"/>
      <c r="G142" s="20">
        <v>1965</v>
      </c>
      <c r="H142" s="918">
        <f>(O18*100*($E18/365)/($O18+$P18+$Q18))+(O19*100*($E19/365)/($O19+$P19+$Q19))</f>
        <v>0</v>
      </c>
      <c r="I142" s="918"/>
      <c r="J142" s="918">
        <f>(P18*100*($E18/365)/($O18+$P18+$Q18))+(P19*100*($E19/365)/($O19+$P19+$Q19))</f>
        <v>51.575630252100837</v>
      </c>
      <c r="K142" s="918"/>
      <c r="L142" s="918">
        <f>(Q18*100*($E18/365)/($O18+$P18+$Q18))+(Q19*100*($E19/365)/($O19+$P19+$Q19))</f>
        <v>48.424369747899163</v>
      </c>
      <c r="M142" s="918"/>
      <c r="N142" s="919">
        <f t="shared" si="83"/>
        <v>100</v>
      </c>
      <c r="O142" s="919"/>
      <c r="R142" s="20">
        <v>1965</v>
      </c>
      <c r="S142" s="8">
        <f>O18*($E18/365) + O19*($E19/365)</f>
        <v>0</v>
      </c>
      <c r="T142" s="8">
        <f>P18*($E18/365) + P19*($E19/365)</f>
        <v>49.1</v>
      </c>
      <c r="U142" s="8">
        <f>Q18*($E18/365) + Q19*($E19/365)</f>
        <v>46.099999999999994</v>
      </c>
      <c r="V142" s="13"/>
      <c r="W142" s="8">
        <f>R18*($E18/365) + R19*($E19/365)</f>
        <v>95.2</v>
      </c>
    </row>
    <row r="143" spans="1:53" ht="9" customHeight="1">
      <c r="A143" s="2">
        <v>1966</v>
      </c>
      <c r="B143" s="8">
        <f>(K20*($E20/365))+(K21*($E21/365))</f>
        <v>0</v>
      </c>
      <c r="C143" s="8">
        <f>(L20*($E20/365))+(L21*($E21/365))</f>
        <v>85.205479452054803</v>
      </c>
      <c r="D143" s="8">
        <f>(M20*($E20/365))+(M21*($E21/365))</f>
        <v>14.794520547945206</v>
      </c>
      <c r="E143" s="24">
        <f t="shared" si="82"/>
        <v>100.00000000000001</v>
      </c>
      <c r="F143" s="6"/>
      <c r="G143" s="20">
        <v>1966</v>
      </c>
      <c r="H143" s="918">
        <f>(O20*100*($E20/365)/($O20+$P20+$Q20))+(O21*100*($E21/365)/($O21+$P21+$Q21))</f>
        <v>0</v>
      </c>
      <c r="I143" s="918"/>
      <c r="J143" s="918">
        <f>(P20*100*($E20/365)/($O20+$P20+$Q20))+(P21*100*($E21/365)/($O21+$P21+$Q21))</f>
        <v>85.671693334868195</v>
      </c>
      <c r="K143" s="918"/>
      <c r="L143" s="918">
        <f>(Q20*100*($E20/365)/($O20+$P20+$Q20))+(Q21*100*($E21/365)/($O21+$P21+$Q21))</f>
        <v>14.328306665131807</v>
      </c>
      <c r="M143" s="918"/>
      <c r="N143" s="919">
        <f t="shared" si="83"/>
        <v>100</v>
      </c>
      <c r="O143" s="919"/>
      <c r="R143" s="20">
        <v>1966</v>
      </c>
      <c r="S143" s="8">
        <f>O20*($E20/365) + O21*($E21/365)</f>
        <v>0</v>
      </c>
      <c r="T143" s="8">
        <f>P20*($E20/365) + P21*($E21/365)</f>
        <v>50.789863013698636</v>
      </c>
      <c r="U143" s="8">
        <f>Q20*($E20/365) + Q21*($E21/365)</f>
        <v>13.64054794520548</v>
      </c>
      <c r="V143" s="13"/>
      <c r="W143" s="8">
        <f>R20*($E20/365) + R21*($E21/365)</f>
        <v>64.430410958904105</v>
      </c>
    </row>
    <row r="144" spans="1:53" ht="9" customHeight="1">
      <c r="A144" s="2">
        <v>1967</v>
      </c>
      <c r="B144" s="8">
        <f>(K22*($E22/365))+(K23*($E23/365))</f>
        <v>0</v>
      </c>
      <c r="C144" s="8">
        <f>(L22*($E22/365))+(L23*($E23/365))</f>
        <v>100</v>
      </c>
      <c r="D144" s="8">
        <f>(M22*($E22/365))+(M23*($E23/365))</f>
        <v>0</v>
      </c>
      <c r="E144" s="24">
        <f t="shared" si="82"/>
        <v>100</v>
      </c>
      <c r="F144" s="6"/>
      <c r="G144" s="20">
        <v>1967</v>
      </c>
      <c r="H144" s="918">
        <f>(O22*100*($E22/365)/($O22+$P22+$Q22))+(O23*100*($E23/365)/($O23+$P23+$Q23))</f>
        <v>0</v>
      </c>
      <c r="I144" s="918"/>
      <c r="J144" s="918">
        <f>(P22*100*($E22/365)/($O22+$P22+$Q22))+(P23*100*($E23/365)/($O23+$P23+$Q23))</f>
        <v>100</v>
      </c>
      <c r="K144" s="918"/>
      <c r="L144" s="918">
        <f>(Q22*100*($E22/365)/($O22+$P22+$Q22))+(Q23*100*($E23/365)/($O23+$P23+$Q23))</f>
        <v>0</v>
      </c>
      <c r="M144" s="918"/>
      <c r="N144" s="919">
        <f t="shared" si="83"/>
        <v>100</v>
      </c>
      <c r="O144" s="919"/>
      <c r="R144" s="20">
        <v>1967</v>
      </c>
      <c r="S144" s="8">
        <f>O22*($E22/365) + O23*($E23/365)</f>
        <v>0</v>
      </c>
      <c r="T144" s="8">
        <f>P22*($E22/365) + P23*($E23/365)</f>
        <v>51.5</v>
      </c>
      <c r="U144" s="8">
        <f>Q22*($E22/365) + Q23*($E23/365)</f>
        <v>0</v>
      </c>
      <c r="V144" s="13"/>
      <c r="W144" s="8">
        <f>R22*($E22/365) + R23*($E23/365)</f>
        <v>51.5</v>
      </c>
    </row>
    <row r="145" spans="1:23" ht="9" customHeight="1">
      <c r="A145" s="2">
        <v>1968</v>
      </c>
      <c r="B145" s="8">
        <f>(K24*($E24/366))+(K25*($E25/366))</f>
        <v>0</v>
      </c>
      <c r="C145" s="8">
        <f>(L24*($E24/366))+(L25*($E25/366))</f>
        <v>100</v>
      </c>
      <c r="D145" s="8">
        <f>(M24*($E24/366))+(M25*($E25/366))</f>
        <v>0</v>
      </c>
      <c r="E145" s="24">
        <f t="shared" si="82"/>
        <v>100</v>
      </c>
      <c r="F145" s="6"/>
      <c r="G145" s="20">
        <v>1968</v>
      </c>
      <c r="H145" s="918">
        <f>(O24*100*($E24/366)/($O24+$P24+$Q24))+(O25*100*($E25/366)/($O25+$P25+$Q25))</f>
        <v>0</v>
      </c>
      <c r="I145" s="918"/>
      <c r="J145" s="918">
        <f>(P24*100*($E24/366)/($O24+$P24+$Q24))+(P25*100*($E25/366)/($O25+$P25+$Q25))</f>
        <v>100</v>
      </c>
      <c r="K145" s="918"/>
      <c r="L145" s="918">
        <f>(Q24*100*($E24/366)/($O24+$P24+$Q24))+(Q25*100*($E25/366)/($O25+$P25+$Q25))</f>
        <v>0</v>
      </c>
      <c r="M145" s="918"/>
      <c r="N145" s="919">
        <f t="shared" si="83"/>
        <v>100</v>
      </c>
      <c r="O145" s="919"/>
      <c r="R145" s="20">
        <v>1968</v>
      </c>
      <c r="S145" s="8">
        <f>O24*($E24/366) + O25*($E25/366)</f>
        <v>0</v>
      </c>
      <c r="T145" s="8">
        <f>P24*($E24/366) + P25*($E25/366)</f>
        <v>51.5</v>
      </c>
      <c r="U145" s="8">
        <f>Q24*($E24/366) + Q25*($E25/366)</f>
        <v>0</v>
      </c>
      <c r="V145" s="13"/>
      <c r="W145" s="8">
        <f>R24*($E24/366) + R25*($E25/366)</f>
        <v>51.5</v>
      </c>
    </row>
    <row r="146" spans="1:23" ht="9" customHeight="1">
      <c r="A146" s="2">
        <v>1969</v>
      </c>
      <c r="B146" s="8">
        <f>(K26*($E26/365))+(K27*($E27/365))</f>
        <v>0</v>
      </c>
      <c r="C146" s="8">
        <f>(L26*($E26/365))+(L27*($E27/365))</f>
        <v>100</v>
      </c>
      <c r="D146" s="8">
        <f>(M26*($E26/365))+(M27*($E27/365))</f>
        <v>0</v>
      </c>
      <c r="E146" s="24">
        <f t="shared" si="82"/>
        <v>100</v>
      </c>
      <c r="F146" s="6"/>
      <c r="G146" s="20">
        <v>1969</v>
      </c>
      <c r="H146" s="918">
        <f>(O26*100*($E26/365)/($O26+$P26+$Q26))+(O27*100*($E27/365)/($O27+$P27+$Q27))</f>
        <v>0</v>
      </c>
      <c r="I146" s="918"/>
      <c r="J146" s="918">
        <f>(P26*100*($E26/365)/($O26+$P26+$Q26))+(P27*100*($E27/365)/($O27+$P27+$Q27))</f>
        <v>100</v>
      </c>
      <c r="K146" s="918"/>
      <c r="L146" s="918">
        <f>(Q26*100*($E26/365)/($O26+$P26+$Q26))+(Q27*100*($E27/365)/($O27+$P27+$Q27))</f>
        <v>0</v>
      </c>
      <c r="M146" s="918"/>
      <c r="N146" s="919">
        <f t="shared" si="83"/>
        <v>100</v>
      </c>
      <c r="O146" s="919"/>
      <c r="R146" s="20">
        <v>1969</v>
      </c>
      <c r="S146" s="8">
        <f>O26*($E26/365) + O27*($E27/365)</f>
        <v>0</v>
      </c>
      <c r="T146" s="8">
        <f>P26*($E26/365) + P27*($E27/365)</f>
        <v>51.5</v>
      </c>
      <c r="U146" s="8">
        <f>Q26*($E26/365) + Q27*($E27/365)</f>
        <v>0</v>
      </c>
      <c r="V146" s="13"/>
      <c r="W146" s="8">
        <f>R26*($E26/365) + R27*($E27/365)</f>
        <v>51.5</v>
      </c>
    </row>
    <row r="147" spans="1:23" ht="9" customHeight="1">
      <c r="A147" s="2">
        <v>1970</v>
      </c>
      <c r="B147" s="8">
        <f>(K28*($E28/365))+(K29*($E29/365))</f>
        <v>0</v>
      </c>
      <c r="C147" s="8">
        <f>(L28*($E28/365))+(L29*($E29/365))</f>
        <v>30.410958904109592</v>
      </c>
      <c r="D147" s="8">
        <f>(M28*($E28/365))+(M29*($E29/365))</f>
        <v>64.236037934668076</v>
      </c>
      <c r="E147" s="24">
        <f t="shared" si="82"/>
        <v>94.646996838777667</v>
      </c>
      <c r="F147" s="6"/>
      <c r="G147" s="20">
        <v>1970</v>
      </c>
      <c r="H147" s="918">
        <f>(O28*100*($E28/365)/($O28+$P28+$Q28))+(O29*100*($E29/365)/($O29+$P29+$Q29))</f>
        <v>0</v>
      </c>
      <c r="I147" s="918"/>
      <c r="J147" s="918">
        <f>(P28*100*($E28/365)/($O28+$P28+$Q28))+(P29*100*($E29/365)/($O29+$P29+$Q29))</f>
        <v>30.410958904109592</v>
      </c>
      <c r="K147" s="918"/>
      <c r="L147" s="918">
        <f>(Q28*100*($E28/365)/($O28+$P28+$Q28))+(Q29*100*($E29/365)/($O29+$P29+$Q29))</f>
        <v>69.589041095890408</v>
      </c>
      <c r="M147" s="918"/>
      <c r="N147" s="919">
        <f t="shared" si="83"/>
        <v>100</v>
      </c>
      <c r="O147" s="919"/>
      <c r="R147" s="20">
        <v>1970</v>
      </c>
      <c r="S147" s="8">
        <f>O28*($E28/365) + O29*($E29/365)</f>
        <v>0</v>
      </c>
      <c r="T147" s="8">
        <f>P28*($E28/365) + P29*($E29/365)</f>
        <v>15.66164383561644</v>
      </c>
      <c r="U147" s="8">
        <f>Q28*($E28/365) + Q29*($E29/365)</f>
        <v>34.168219178082197</v>
      </c>
      <c r="V147" s="13"/>
      <c r="W147" s="8">
        <f>R28*($E28/365) + R29*($E29/365)</f>
        <v>49.829863013698635</v>
      </c>
    </row>
    <row r="148" spans="1:23" ht="9" customHeight="1">
      <c r="A148" s="2">
        <v>1971</v>
      </c>
      <c r="B148" s="8">
        <f>(K30*($E30/365))+(K31*($E31/365))</f>
        <v>0</v>
      </c>
      <c r="C148" s="8">
        <f>(L30*($E30/365))+(L31*($E31/365))</f>
        <v>0</v>
      </c>
      <c r="D148" s="8">
        <f>(M30*($E30/365))+(M31*($E31/365))</f>
        <v>91.025139244317316</v>
      </c>
      <c r="E148" s="24">
        <f t="shared" si="82"/>
        <v>91.025139244317316</v>
      </c>
      <c r="F148" s="6"/>
      <c r="G148" s="20">
        <v>1971</v>
      </c>
      <c r="H148" s="918">
        <f>(O30*100*($E30/365)/($O30+$P30+$Q30))+(O31*100*($E31/365)/($O31+$P31+$Q31))</f>
        <v>0</v>
      </c>
      <c r="I148" s="918"/>
      <c r="J148" s="918">
        <f>(P30*100*($E30/365)/($O30+$P30+$Q30))+(P31*100*($E31/365)/($O31+$P31+$Q31))</f>
        <v>0</v>
      </c>
      <c r="K148" s="918"/>
      <c r="L148" s="918">
        <f>(Q30*100*($E30/365)/($O30+$P30+$Q30))+(Q31*100*($E31/365)/($O31+$P31+$Q31))</f>
        <v>100</v>
      </c>
      <c r="M148" s="918"/>
      <c r="N148" s="919">
        <f t="shared" si="83"/>
        <v>100</v>
      </c>
      <c r="O148" s="919"/>
      <c r="R148" s="20">
        <v>1971</v>
      </c>
      <c r="S148" s="8">
        <f>O30*($E30/365) + O31*($E31/365)</f>
        <v>0</v>
      </c>
      <c r="T148" s="8">
        <f>P30*($E30/365) + P31*($E31/365)</f>
        <v>0</v>
      </c>
      <c r="U148" s="8">
        <f>Q30*($E30/365) + Q31*($E31/365)</f>
        <v>49.430684931506853</v>
      </c>
      <c r="V148" s="13"/>
      <c r="W148" s="8">
        <f>R30*($E30/365) + R31*($E31/365)</f>
        <v>49.430684931506853</v>
      </c>
    </row>
    <row r="149" spans="1:23" ht="9" customHeight="1">
      <c r="A149" s="2">
        <v>1972</v>
      </c>
      <c r="B149" s="8">
        <f>(K32*($E32/366))+(K33*($E33/366))</f>
        <v>0</v>
      </c>
      <c r="C149" s="8">
        <f>(L32*($E32/366))+(L33*($E33/366))</f>
        <v>0</v>
      </c>
      <c r="D149" s="8">
        <f>(M32*($E32/366))+(M33*($E33/366))</f>
        <v>85.714285714285708</v>
      </c>
      <c r="E149" s="24">
        <f t="shared" si="82"/>
        <v>85.714285714285708</v>
      </c>
      <c r="F149" s="6"/>
      <c r="G149" s="20">
        <v>1972</v>
      </c>
      <c r="H149" s="918">
        <f>(O32*100*($E32/366)/($O32+$P32+$Q32))+(O33*100*($E33/366)/($O33+$P33+$Q33))</f>
        <v>0</v>
      </c>
      <c r="I149" s="918"/>
      <c r="J149" s="918">
        <f>(P32*100*($E32/366)/($O32+$P32+$Q32))+(P33*100*($E33/366)/($O33+$P33+$Q33))</f>
        <v>0</v>
      </c>
      <c r="K149" s="918"/>
      <c r="L149" s="918">
        <f>(Q32*100*($E32/366)/($O32+$P32+$Q32))+(Q33*100*($E33/366)/($O33+$P33+$Q33))</f>
        <v>100</v>
      </c>
      <c r="M149" s="918"/>
      <c r="N149" s="919">
        <f t="shared" si="83"/>
        <v>100</v>
      </c>
      <c r="O149" s="919"/>
      <c r="R149" s="20">
        <v>1972</v>
      </c>
      <c r="S149" s="8">
        <f>O32*($E32/366) + O33*($E33/366)</f>
        <v>0</v>
      </c>
      <c r="T149" s="8">
        <f>P32*($E32/366) + P33*($E33/366)</f>
        <v>0</v>
      </c>
      <c r="U149" s="8">
        <f>Q32*($E32/366) + Q33*($E33/366)</f>
        <v>50.8</v>
      </c>
      <c r="V149" s="13"/>
      <c r="W149" s="8">
        <f>R32*($E32/366) + R33*($E33/366)</f>
        <v>50.8</v>
      </c>
    </row>
    <row r="150" spans="1:23" ht="9" customHeight="1">
      <c r="A150" s="2">
        <v>1973</v>
      </c>
      <c r="B150" s="8">
        <f>(K34*($E34/365))+(K35*($E35/365))</f>
        <v>0</v>
      </c>
      <c r="C150" s="8">
        <f>(L34*($E34/365))+(L35*($E35/365))</f>
        <v>0</v>
      </c>
      <c r="D150" s="8">
        <f>(M34*($E34/365))+(M35*($E35/365))</f>
        <v>85.714285714285708</v>
      </c>
      <c r="E150" s="24">
        <f t="shared" si="82"/>
        <v>85.714285714285708</v>
      </c>
      <c r="F150" s="6"/>
      <c r="G150" s="20">
        <v>1973</v>
      </c>
      <c r="H150" s="918">
        <f>(O34*100*($E34/365)/($O34+$P34+$Q34))+(O35*100*($E35/365)/($O35+$P35+$Q35))</f>
        <v>0</v>
      </c>
      <c r="I150" s="918"/>
      <c r="J150" s="918">
        <f>(P34*100*($E34/365)/($O34+$P34+$Q34))+(P35*100*($E35/365)/($O35+$P35+$Q35))</f>
        <v>0</v>
      </c>
      <c r="K150" s="918"/>
      <c r="L150" s="918">
        <f>(Q34*100*($E34/365)/($O34+$P34+$Q34))+(Q35*100*($E35/365)/($O35+$P35+$Q35))</f>
        <v>100</v>
      </c>
      <c r="M150" s="918"/>
      <c r="N150" s="919">
        <f t="shared" si="83"/>
        <v>100</v>
      </c>
      <c r="O150" s="919"/>
      <c r="R150" s="20">
        <v>1973</v>
      </c>
      <c r="S150" s="8">
        <f>O34*($E34/365) + O35*($E35/365)</f>
        <v>0</v>
      </c>
      <c r="T150" s="8">
        <f>P34*($E34/365) + P35*($E35/365)</f>
        <v>0</v>
      </c>
      <c r="U150" s="8">
        <f>Q34*($E34/365) + Q35*($E35/365)</f>
        <v>50.8</v>
      </c>
      <c r="V150" s="13"/>
      <c r="W150" s="8">
        <f>R34*($E34/365) + R35*($E35/365)</f>
        <v>50.8</v>
      </c>
    </row>
    <row r="151" spans="1:23" ht="9" customHeight="1">
      <c r="A151" s="2">
        <v>1974</v>
      </c>
      <c r="B151" s="8">
        <f>(K36*($E36/365))+(K37*($E37/365))</f>
        <v>0</v>
      </c>
      <c r="C151" s="8">
        <f>(L36*($E36/365))+(L37*($E37/365))</f>
        <v>0</v>
      </c>
      <c r="D151" s="8">
        <f>(M36*($E36/365))+(M37*($E37/365))</f>
        <v>85.714285714285708</v>
      </c>
      <c r="E151" s="24">
        <f t="shared" si="82"/>
        <v>85.714285714285708</v>
      </c>
      <c r="F151" s="6"/>
      <c r="G151" s="20">
        <v>1974</v>
      </c>
      <c r="H151" s="918">
        <f>(O36*100*($E36/365)/($O36+$P36+$Q36))+(O37*100*($E37/365)/($O37+$P37+$Q37))</f>
        <v>0</v>
      </c>
      <c r="I151" s="918"/>
      <c r="J151" s="918">
        <f>(P36*100*($E36/365)/($O36+$P36+$Q36))+(P37*100*($E37/365)/($O37+$P37+$Q37))</f>
        <v>0</v>
      </c>
      <c r="K151" s="918"/>
      <c r="L151" s="918">
        <f>(Q36*100*($E36/365)/($O36+$P36+$Q36))+(Q37*100*($E37/365)/($O37+$P37+$Q37))</f>
        <v>100</v>
      </c>
      <c r="M151" s="918"/>
      <c r="N151" s="919">
        <f t="shared" si="83"/>
        <v>100</v>
      </c>
      <c r="O151" s="919"/>
      <c r="R151" s="20">
        <v>1974</v>
      </c>
      <c r="S151" s="8">
        <f>O36*($E36/365) + O37*($E37/365)</f>
        <v>0</v>
      </c>
      <c r="T151" s="8">
        <f>P36*($E36/365) + P37*($E37/365)</f>
        <v>0</v>
      </c>
      <c r="U151" s="8">
        <f>Q36*($E36/365) + Q37*($E37/365)</f>
        <v>50.8</v>
      </c>
      <c r="V151" s="13"/>
      <c r="W151" s="8">
        <f>R36*($E36/365) + R37*($E37/365)</f>
        <v>50.8</v>
      </c>
    </row>
    <row r="152" spans="1:23" ht="9" customHeight="1">
      <c r="A152" s="2">
        <v>1975</v>
      </c>
      <c r="B152" s="8">
        <f>(K38*($E38/365))+(K39*($E39/365))</f>
        <v>0</v>
      </c>
      <c r="C152" s="8">
        <f>(L38*($E38/365))+(L39*($E39/365))</f>
        <v>0</v>
      </c>
      <c r="D152" s="8">
        <f>(M38*($E38/365))+(M39*($E39/365))</f>
        <v>85.714285714285708</v>
      </c>
      <c r="E152" s="24">
        <f t="shared" si="82"/>
        <v>85.714285714285708</v>
      </c>
      <c r="F152" s="6"/>
      <c r="G152" s="20">
        <v>1975</v>
      </c>
      <c r="H152" s="918">
        <f>(O38*100*($E38/365)/($O38+$P38+$Q38))+(O39*100*($E39/365)/($O39+$P39+$Q39))</f>
        <v>0</v>
      </c>
      <c r="I152" s="918"/>
      <c r="J152" s="918">
        <f>(P38*100*($E38/365)/($O38+$P38+$Q38))+(P39*100*($E39/365)/($O39+$P39+$Q39))</f>
        <v>0</v>
      </c>
      <c r="K152" s="918"/>
      <c r="L152" s="918">
        <f>(Q38*100*($E38/365)/($O38+$P38+$Q38))+(Q39*100*($E39/365)/($O39+$P39+$Q39))</f>
        <v>100</v>
      </c>
      <c r="M152" s="918"/>
      <c r="N152" s="919">
        <f t="shared" si="83"/>
        <v>100</v>
      </c>
      <c r="O152" s="919"/>
      <c r="R152" s="20">
        <v>1975</v>
      </c>
      <c r="S152" s="8">
        <f>O38*($E38/365) + O39*($E39/365)</f>
        <v>0</v>
      </c>
      <c r="T152" s="8">
        <f>P38*($E38/365) + P39*($E39/365)</f>
        <v>0</v>
      </c>
      <c r="U152" s="8">
        <f>Q38*($E38/365) + Q39*($E39/365)</f>
        <v>50.800000000000004</v>
      </c>
      <c r="V152" s="13"/>
      <c r="W152" s="8">
        <f>R38*($E38/365) + R39*($E39/365)</f>
        <v>50.800000000000004</v>
      </c>
    </row>
    <row r="153" spans="1:23" ht="9" customHeight="1">
      <c r="A153" s="2">
        <v>1976</v>
      </c>
      <c r="B153" s="8">
        <f>(K40*($E40/366))+(K41*($E41/366))</f>
        <v>0</v>
      </c>
      <c r="C153" s="8">
        <f>(L40*($E40/366))+(L41*($E41/366))</f>
        <v>0</v>
      </c>
      <c r="D153" s="8">
        <f>(M40*($E40/366))+(M41*($E41/366))</f>
        <v>85.714285714285708</v>
      </c>
      <c r="E153" s="24">
        <f t="shared" si="82"/>
        <v>85.714285714285708</v>
      </c>
      <c r="F153" s="6"/>
      <c r="G153" s="20">
        <v>1976</v>
      </c>
      <c r="H153" s="918">
        <f>(O40*100*($E40/366)/($O40+$P40+$Q40))+(O41*100*($E41/366)/($O41+$P41+$Q41))</f>
        <v>0</v>
      </c>
      <c r="I153" s="918"/>
      <c r="J153" s="918">
        <f>(P40*100*($E40/366)/($O40+$P40+$Q40))+(P41*100*($E41/366)/($O41+$P41+$Q41))</f>
        <v>0</v>
      </c>
      <c r="K153" s="918"/>
      <c r="L153" s="918">
        <f>(Q40*100*($E40/366)/($O40+$P40+$Q40))+(Q41*100*($E41/366)/($O41+$P41+$Q41))</f>
        <v>100</v>
      </c>
      <c r="M153" s="918"/>
      <c r="N153" s="919">
        <f t="shared" si="83"/>
        <v>100</v>
      </c>
      <c r="O153" s="919"/>
      <c r="R153" s="20">
        <v>1976</v>
      </c>
      <c r="S153" s="8">
        <f>O40*($E40/366) + O41*($E41/366)</f>
        <v>0</v>
      </c>
      <c r="T153" s="8">
        <f>P40*($E40/366) + P41*($E41/366)</f>
        <v>0</v>
      </c>
      <c r="U153" s="8">
        <f>Q40*($E40/366) + Q41*($E41/366)</f>
        <v>50.8</v>
      </c>
      <c r="V153" s="13"/>
      <c r="W153" s="8">
        <f>R40*($E40/366) + R41*($E41/366)</f>
        <v>50.8</v>
      </c>
    </row>
    <row r="154" spans="1:23" ht="9" customHeight="1">
      <c r="A154" s="2">
        <v>1977</v>
      </c>
      <c r="B154" s="8">
        <f>(K42*($E42/365))+(K43*($E43/365))</f>
        <v>0</v>
      </c>
      <c r="C154" s="8">
        <f>(L42*($E42/365))+(L43*($E43/365))</f>
        <v>0</v>
      </c>
      <c r="D154" s="8">
        <f>(M42*($E42/365))+(M43*($E43/365))</f>
        <v>85.714285714285708</v>
      </c>
      <c r="E154" s="24">
        <f t="shared" si="82"/>
        <v>85.714285714285708</v>
      </c>
      <c r="F154" s="6"/>
      <c r="G154" s="20">
        <v>1977</v>
      </c>
      <c r="H154" s="918">
        <f>(O42*100*($E42/365)/($O42+$P42+$Q42))+(O43*100*($E43/365)/($O43+$P43+$Q43))</f>
        <v>0</v>
      </c>
      <c r="I154" s="918"/>
      <c r="J154" s="918">
        <f>(P42*100*($E42/365)/($O42+$P42+$Q42))+(P43*100*($E43/365)/($O43+$P43+$Q43))</f>
        <v>0</v>
      </c>
      <c r="K154" s="918"/>
      <c r="L154" s="918">
        <f>(Q42*100*($E42/365)/($O42+$P42+$Q42))+(Q43*100*($E43/365)/($O43+$P43+$Q43))</f>
        <v>100</v>
      </c>
      <c r="M154" s="918"/>
      <c r="N154" s="919">
        <f t="shared" si="83"/>
        <v>100</v>
      </c>
      <c r="O154" s="919"/>
      <c r="R154" s="20">
        <v>1977</v>
      </c>
      <c r="S154" s="8">
        <f>O42*($E42/365) + O43*($E43/365)</f>
        <v>0</v>
      </c>
      <c r="T154" s="8">
        <f>P42*($E42/365) + P43*($E43/365)</f>
        <v>0</v>
      </c>
      <c r="U154" s="8">
        <f>Q42*($E42/365) + Q43*($E43/365)</f>
        <v>50.8</v>
      </c>
      <c r="V154" s="13"/>
      <c r="W154" s="8">
        <f>R42*($E42/365) + R43*($E43/365)</f>
        <v>50.8</v>
      </c>
    </row>
    <row r="155" spans="1:23" ht="9" customHeight="1">
      <c r="A155" s="2">
        <v>1978</v>
      </c>
      <c r="B155" s="8">
        <f>(K44*($E44/365))+(K45*($E45/365))</f>
        <v>0</v>
      </c>
      <c r="C155" s="8">
        <f>(L44*($E44/365))+(L45*($E45/365))</f>
        <v>0</v>
      </c>
      <c r="D155" s="8">
        <f>(M44*($E44/365))+(M45*($E45/365))</f>
        <v>85.714285714285708</v>
      </c>
      <c r="E155" s="24">
        <f t="shared" si="82"/>
        <v>85.714285714285708</v>
      </c>
      <c r="F155" s="6"/>
      <c r="G155" s="20">
        <v>1978</v>
      </c>
      <c r="H155" s="918">
        <f>(O44*100*($E44/365)/($O44+$P44+$Q44))+(O45*100*($E45/365)/($O45+$P45+$Q45))</f>
        <v>0</v>
      </c>
      <c r="I155" s="918"/>
      <c r="J155" s="918">
        <f>(P44*100*($E44/365)/($O44+$P44+$Q44))+(P45*100*($E45/365)/($O45+$P45+$Q45))</f>
        <v>0</v>
      </c>
      <c r="K155" s="918"/>
      <c r="L155" s="918">
        <f>(Q44*100*($E44/365)/($O44+$P44+$Q44))+(Q45*100*($E45/365)/($O45+$P45+$Q45))</f>
        <v>100</v>
      </c>
      <c r="M155" s="918"/>
      <c r="N155" s="919">
        <f t="shared" si="83"/>
        <v>100</v>
      </c>
      <c r="O155" s="919"/>
      <c r="R155" s="20">
        <v>1978</v>
      </c>
      <c r="S155" s="8">
        <f>O44*($E44/365) + O45*($E45/365)</f>
        <v>0</v>
      </c>
      <c r="T155" s="8">
        <f>P44*($E44/365) + P45*($E45/365)</f>
        <v>0</v>
      </c>
      <c r="U155" s="8">
        <f>Q44*($E44/365) + Q45*($E45/365)</f>
        <v>50.8</v>
      </c>
      <c r="V155" s="13"/>
      <c r="W155" s="8">
        <f>R44*($E44/365) + R45*($E45/365)</f>
        <v>50.8</v>
      </c>
    </row>
    <row r="156" spans="1:23" ht="9" customHeight="1">
      <c r="A156" s="2">
        <v>1979</v>
      </c>
      <c r="B156" s="8">
        <f>(K46*($E46/365))+(K47*($E47/365))</f>
        <v>0</v>
      </c>
      <c r="C156" s="8">
        <f>(L46*($E46/365))+(L47*($E47/365))</f>
        <v>0</v>
      </c>
      <c r="D156" s="8">
        <f>(M46*($E46/365))+(M47*($E47/365))</f>
        <v>94.951076320939336</v>
      </c>
      <c r="E156" s="24">
        <f t="shared" si="82"/>
        <v>94.951076320939336</v>
      </c>
      <c r="F156" s="6"/>
      <c r="G156" s="20">
        <v>1979</v>
      </c>
      <c r="H156" s="918">
        <f>(O46*100*($E46/365)/($O46+$P46+$Q46))+(O47*100*($E47/365)/($O47+$P47+$Q47))</f>
        <v>0</v>
      </c>
      <c r="I156" s="918"/>
      <c r="J156" s="918">
        <f>(P46*100*($E46/365)/($O46+$P46+$Q46))+(P47*100*($E47/365)/($O47+$P47+$Q47))</f>
        <v>0</v>
      </c>
      <c r="K156" s="918"/>
      <c r="L156" s="918">
        <f>(Q46*100*($E46/365)/($O46+$P46+$Q46))+(Q47*100*($E47/365)/($O47+$P47+$Q47))</f>
        <v>100</v>
      </c>
      <c r="M156" s="918"/>
      <c r="N156" s="919">
        <f t="shared" si="83"/>
        <v>100</v>
      </c>
      <c r="O156" s="919"/>
      <c r="R156" s="20">
        <v>1979</v>
      </c>
      <c r="S156" s="8">
        <f>O46*($E46/365) + O47*($E47/365)</f>
        <v>0</v>
      </c>
      <c r="T156" s="8">
        <f>P46*($E46/365) + P47*($E47/365)</f>
        <v>0</v>
      </c>
      <c r="U156" s="8">
        <f>Q46*($E46/365) + Q47*($E47/365)</f>
        <v>51.511232876712327</v>
      </c>
      <c r="V156" s="13"/>
      <c r="W156" s="8">
        <f>R46*($E46/365) + R47*($E47/365)</f>
        <v>51.511232876712327</v>
      </c>
    </row>
    <row r="157" spans="1:23" ht="9" customHeight="1">
      <c r="A157" s="2">
        <v>1980</v>
      </c>
      <c r="B157" s="8">
        <f>(K48*($E48/366))+(K49*($E49/366))</f>
        <v>0</v>
      </c>
      <c r="C157" s="8">
        <f>(L48*($E48/366))+(L49*($E49/366))</f>
        <v>0</v>
      </c>
      <c r="D157" s="8">
        <f>(M48*($E48/366))+(M49*($E49/366))</f>
        <v>100</v>
      </c>
      <c r="E157" s="24">
        <f t="shared" si="82"/>
        <v>100</v>
      </c>
      <c r="F157" s="6"/>
      <c r="G157" s="20">
        <v>1980</v>
      </c>
      <c r="H157" s="918">
        <f>(O48*100*($E48/366)/($O48+$P48+$Q48))+(O49*100*($E49/366)/($O49+$P49+$Q49))</f>
        <v>0</v>
      </c>
      <c r="I157" s="918"/>
      <c r="J157" s="918">
        <f>(P48*100*($E48/366)/($O48+$P48+$Q48))+(P49*100*($E49/366)/($O49+$P49+$Q49))</f>
        <v>0</v>
      </c>
      <c r="K157" s="918"/>
      <c r="L157" s="918">
        <f>(Q48*100*($E48/366)/($O48+$P48+$Q48))+(Q49*100*($E49/366)/($O49+$P49+$Q49))</f>
        <v>100</v>
      </c>
      <c r="M157" s="918"/>
      <c r="N157" s="919">
        <f t="shared" si="83"/>
        <v>100</v>
      </c>
      <c r="O157" s="919"/>
      <c r="R157" s="20">
        <v>1980</v>
      </c>
      <c r="S157" s="8">
        <f>O48*($E48/366) + O49*($E49/366)</f>
        <v>0</v>
      </c>
      <c r="T157" s="8">
        <f>P48*($E48/366) + P49*($E49/366)</f>
        <v>0</v>
      </c>
      <c r="U157" s="8">
        <f>Q48*($E48/366) + Q49*($E49/366)</f>
        <v>51.9</v>
      </c>
      <c r="V157" s="13"/>
      <c r="W157" s="8">
        <f>R48*($E48/366) + R49*($E49/366)</f>
        <v>51.9</v>
      </c>
    </row>
    <row r="158" spans="1:23" ht="9" customHeight="1">
      <c r="A158" s="2">
        <v>1981</v>
      </c>
      <c r="B158" s="8">
        <f>(K50*($E50/365))+(K51*($E51/365))</f>
        <v>0</v>
      </c>
      <c r="C158" s="8">
        <f>(L50*($E50/365))+(L51*($E51/365))</f>
        <v>0</v>
      </c>
      <c r="D158" s="8">
        <f>(M50*($E50/365))+(M51*($E51/365))</f>
        <v>100</v>
      </c>
      <c r="E158" s="24">
        <f t="shared" si="82"/>
        <v>100</v>
      </c>
      <c r="F158" s="6"/>
      <c r="G158" s="20">
        <v>1981</v>
      </c>
      <c r="H158" s="918">
        <f>(O50*100*($E50/365)/($O50+$P50+$Q50))+(O51*100*($E51/365)/($O51+$P51+$Q51))</f>
        <v>0</v>
      </c>
      <c r="I158" s="918"/>
      <c r="J158" s="918">
        <f>(P50*100*($E50/365)/($O50+$P50+$Q50))+(P51*100*($E51/365)/($O51+$P51+$Q51))</f>
        <v>0</v>
      </c>
      <c r="K158" s="918"/>
      <c r="L158" s="918">
        <f>(Q50*100*($E50/365)/($O50+$P50+$Q50))+(Q51*100*($E51/365)/($O51+$P51+$Q51))</f>
        <v>100</v>
      </c>
      <c r="M158" s="918"/>
      <c r="N158" s="919">
        <f t="shared" si="83"/>
        <v>100</v>
      </c>
      <c r="O158" s="919"/>
      <c r="R158" s="20">
        <v>1981</v>
      </c>
      <c r="S158" s="8">
        <f>O50*($E50/365) + O51*($E51/365)</f>
        <v>0</v>
      </c>
      <c r="T158" s="8">
        <f>P50*($E50/365) + P51*($E51/365)</f>
        <v>0</v>
      </c>
      <c r="U158" s="8">
        <f>Q50*($E50/365) + Q51*($E51/365)</f>
        <v>51.9</v>
      </c>
      <c r="V158" s="13"/>
      <c r="W158" s="8">
        <f>R50*($E50/365) + R51*($E51/365)</f>
        <v>51.9</v>
      </c>
    </row>
    <row r="159" spans="1:23" ht="9" customHeight="1">
      <c r="A159" s="2">
        <v>1982</v>
      </c>
      <c r="B159" s="8">
        <f>(K52*($E52/365))+(K53*($E53/365))</f>
        <v>0</v>
      </c>
      <c r="C159" s="8">
        <f>(L52*($E52/365))+(L53*($E53/365))</f>
        <v>0</v>
      </c>
      <c r="D159" s="8">
        <f>(M52*($E52/365))+(M53*($E53/365))</f>
        <v>100</v>
      </c>
      <c r="E159" s="24">
        <f t="shared" si="82"/>
        <v>100</v>
      </c>
      <c r="F159" s="6"/>
      <c r="G159" s="20">
        <v>1982</v>
      </c>
      <c r="H159" s="918">
        <f>(O52*100*($E52/365)/($O52+$P52+$Q52))+(O53*100*($E53/365)/($O53+$P53+$Q53))</f>
        <v>0</v>
      </c>
      <c r="I159" s="918"/>
      <c r="J159" s="918">
        <f>(P52*100*($E52/365)/($O52+$P52+$Q52))+(P53*100*($E53/365)/($O53+$P53+$Q53))</f>
        <v>0</v>
      </c>
      <c r="K159" s="918"/>
      <c r="L159" s="918">
        <f>(Q52*100*($E52/365)/($O52+$P52+$Q52))+(Q53*100*($E53/365)/($O53+$P53+$Q53))</f>
        <v>100</v>
      </c>
      <c r="M159" s="918"/>
      <c r="N159" s="919">
        <f t="shared" si="83"/>
        <v>100</v>
      </c>
      <c r="O159" s="919"/>
      <c r="R159" s="20">
        <v>1982</v>
      </c>
      <c r="S159" s="8">
        <f>O52*($E52/365) + O53*($E53/365)</f>
        <v>0</v>
      </c>
      <c r="T159" s="8">
        <f>P52*($E52/365) + P53*($E53/365)</f>
        <v>0</v>
      </c>
      <c r="U159" s="8">
        <f>Q52*($E52/365) + Q53*($E53/365)</f>
        <v>51.9</v>
      </c>
      <c r="V159" s="13"/>
      <c r="W159" s="8">
        <f>R52*($E52/365) + R53*($E53/365)</f>
        <v>51.9</v>
      </c>
    </row>
    <row r="160" spans="1:23" ht="9" customHeight="1">
      <c r="A160" s="2">
        <v>1983</v>
      </c>
      <c r="B160" s="8">
        <f>(K54*($E54/365))+(K55*($E55/365))</f>
        <v>12.164383561643836</v>
      </c>
      <c r="C160" s="8">
        <f>(L54*($E54/365))+(L55*($E55/365))</f>
        <v>0</v>
      </c>
      <c r="D160" s="8">
        <f>(M54*($E54/365))+(M55*($E55/365))</f>
        <v>87.835616438356169</v>
      </c>
      <c r="E160" s="24">
        <f t="shared" si="82"/>
        <v>100</v>
      </c>
      <c r="F160" s="6"/>
      <c r="G160" s="20">
        <v>1983</v>
      </c>
      <c r="H160" s="918">
        <f>(O54*100*($E54/365)/($O54+$P54+$Q54))+(O55*100*($E55/365)/($O55+$P55+$Q55))</f>
        <v>7.1939902783915155</v>
      </c>
      <c r="I160" s="918"/>
      <c r="J160" s="918">
        <f>(P54*100*($E54/365)/($O54+$P54+$Q54))+(P55*100*($E55/365)/($O55+$P55+$Q55))</f>
        <v>0</v>
      </c>
      <c r="K160" s="918"/>
      <c r="L160" s="918">
        <f>(Q54*100*($E54/365)/($O54+$P54+$Q54))+(Q55*100*($E55/365)/($O55+$P55+$Q55))</f>
        <v>92.80600972160849</v>
      </c>
      <c r="M160" s="918"/>
      <c r="N160" s="919">
        <f t="shared" si="83"/>
        <v>100</v>
      </c>
      <c r="O160" s="919"/>
      <c r="R160" s="20">
        <v>1983</v>
      </c>
      <c r="S160" s="8">
        <f>O54*($E54/365) + O55*($E55/365)</f>
        <v>4.0142465753424661</v>
      </c>
      <c r="T160" s="8">
        <f>P54*($E54/365) + P55*($E55/365)</f>
        <v>0</v>
      </c>
      <c r="U160" s="8">
        <f>Q54*($E54/365) + Q55*($E55/365)</f>
        <v>50.257808219178088</v>
      </c>
      <c r="V160" s="13"/>
      <c r="W160" s="8">
        <f>R54*($E54/365) + R55*($E55/365)</f>
        <v>54.27205479452055</v>
      </c>
    </row>
    <row r="161" spans="1:23" ht="9" customHeight="1">
      <c r="A161" s="2">
        <v>1984</v>
      </c>
      <c r="B161" s="8">
        <f>(K56*($E56/366))+(K57*($E57/366))</f>
        <v>20</v>
      </c>
      <c r="C161" s="8">
        <f>(L56*($E56/366))+(L57*($E57/366))</f>
        <v>0</v>
      </c>
      <c r="D161" s="8">
        <f>(M56*($E56/366))+(M57*($E57/366))</f>
        <v>80</v>
      </c>
      <c r="E161" s="24">
        <f t="shared" si="82"/>
        <v>100</v>
      </c>
      <c r="F161" s="6"/>
      <c r="G161" s="20">
        <v>1984</v>
      </c>
      <c r="H161" s="918">
        <f>(O56*100*($E56/366)/($O56+$P56+$Q56))+(O57*100*($E57/366)/($O57+$P57+$Q57))</f>
        <v>11.82795698924731</v>
      </c>
      <c r="I161" s="918"/>
      <c r="J161" s="918">
        <f>(P56*100*($E56/366)/($O56+$P56+$Q56))+(P57*100*($E57/366)/($O57+$P57+$Q57))</f>
        <v>0</v>
      </c>
      <c r="K161" s="918"/>
      <c r="L161" s="918">
        <f>(Q56*100*($E56/366)/($O56+$P56+$Q56))+(Q57*100*($E57/366)/($O57+$P57+$Q57))</f>
        <v>88.172043010752688</v>
      </c>
      <c r="M161" s="918"/>
      <c r="N161" s="919">
        <f t="shared" si="83"/>
        <v>100</v>
      </c>
      <c r="O161" s="919"/>
      <c r="R161" s="20">
        <v>1984</v>
      </c>
      <c r="S161" s="8">
        <f>O56*($E56/366) + O57*($E57/366)</f>
        <v>6.6</v>
      </c>
      <c r="T161" s="8">
        <f>P56*($E56/366) + P57*($E57/366)</f>
        <v>0</v>
      </c>
      <c r="U161" s="8">
        <f>Q56*($E56/366) + Q57*($E57/366)</f>
        <v>49.2</v>
      </c>
      <c r="V161" s="13"/>
      <c r="W161" s="8">
        <f>R56*($E56/366) + R57*($E57/366)</f>
        <v>55.800000000000004</v>
      </c>
    </row>
    <row r="162" spans="1:23" ht="9" customHeight="1">
      <c r="A162" s="2">
        <v>1985</v>
      </c>
      <c r="B162" s="8">
        <f>(K58*($E58/365))+(K59*($E59/365))</f>
        <v>20</v>
      </c>
      <c r="C162" s="8">
        <f>(L58*($E58/365))+(L59*($E59/365))</f>
        <v>0</v>
      </c>
      <c r="D162" s="8">
        <f>(M58*($E58/365))+(M59*($E59/365))</f>
        <v>80</v>
      </c>
      <c r="E162" s="24">
        <f t="shared" si="82"/>
        <v>100</v>
      </c>
      <c r="F162" s="6"/>
      <c r="G162" s="20">
        <v>1985</v>
      </c>
      <c r="H162" s="918">
        <f>(O58*100*($E58/365)/($O58+$P58+$Q58))+(O59*100*($E59/365)/($O59+$P59+$Q59))</f>
        <v>11.82795698924731</v>
      </c>
      <c r="I162" s="918"/>
      <c r="J162" s="918">
        <f>(P58*100*($E58/365)/($O58+$P58+$Q58))+(P59*100*($E59/365)/($O59+$P59+$Q59))</f>
        <v>0</v>
      </c>
      <c r="K162" s="918"/>
      <c r="L162" s="918">
        <f>(Q58*100*($E58/365)/($O58+$P58+$Q58))+(Q59*100*($E59/365)/($O59+$P59+$Q59))</f>
        <v>88.172043010752688</v>
      </c>
      <c r="M162" s="918"/>
      <c r="N162" s="919">
        <f t="shared" si="83"/>
        <v>100</v>
      </c>
      <c r="O162" s="919"/>
      <c r="R162" s="20">
        <v>1985</v>
      </c>
      <c r="S162" s="8">
        <f>O58*($E58/365) + O59*($E59/365)</f>
        <v>6.6</v>
      </c>
      <c r="T162" s="8">
        <f>P58*($E58/365) + P59*($E59/365)</f>
        <v>0</v>
      </c>
      <c r="U162" s="8">
        <f>Q58*($E58/365) + Q59*($E59/365)</f>
        <v>49.2</v>
      </c>
      <c r="V162" s="13"/>
      <c r="W162" s="8">
        <f>R58*($E58/365) + R59*($E59/365)</f>
        <v>55.800000000000004</v>
      </c>
    </row>
    <row r="163" spans="1:23" ht="9" customHeight="1">
      <c r="A163" s="2">
        <v>1986</v>
      </c>
      <c r="B163" s="8">
        <f>(K60*($E60/365))+(K61*($E61/365))</f>
        <v>19.31849315068493</v>
      </c>
      <c r="C163" s="8">
        <f>(L60*($E60/365))+(L61*($E61/365))</f>
        <v>0</v>
      </c>
      <c r="D163" s="8">
        <f>(M60*($E60/365))+(M61*($E61/365))</f>
        <v>80.68150684931507</v>
      </c>
      <c r="E163" s="24">
        <f t="shared" si="82"/>
        <v>100</v>
      </c>
      <c r="F163" s="6"/>
      <c r="G163" s="20">
        <v>1986</v>
      </c>
      <c r="H163" s="918">
        <f>(O60*100*($E60/365)/($O60+$P60+$Q60))+(O61*100*($E61/365)/($O61+$P61+$Q61))</f>
        <v>11.827956989247312</v>
      </c>
      <c r="I163" s="918"/>
      <c r="J163" s="918">
        <f>(P60*100*($E60/365)/($O60+$P60+$Q60))+(P61*100*($E61/365)/($O61+$P61+$Q61))</f>
        <v>0</v>
      </c>
      <c r="K163" s="918"/>
      <c r="L163" s="918">
        <f>(Q60*100*($E60/365)/($O60+$P60+$Q60))+(Q61*100*($E61/365)/($O61+$P61+$Q61))</f>
        <v>88.172043010752674</v>
      </c>
      <c r="M163" s="918"/>
      <c r="N163" s="919">
        <f t="shared" si="83"/>
        <v>99.999999999999986</v>
      </c>
      <c r="O163" s="919"/>
      <c r="R163" s="20">
        <v>1986</v>
      </c>
      <c r="S163" s="8">
        <f>O60*($E60/365) + O61*($E61/365)</f>
        <v>6.6</v>
      </c>
      <c r="T163" s="8">
        <f>P60*($E60/365) + P61*($E61/365)</f>
        <v>0</v>
      </c>
      <c r="U163" s="8">
        <f>Q60*($E60/365) + Q61*($E61/365)</f>
        <v>49.2</v>
      </c>
      <c r="V163" s="13"/>
      <c r="W163" s="8">
        <f>R60*($E60/365) + R61*($E61/365)</f>
        <v>55.800000000000004</v>
      </c>
    </row>
    <row r="164" spans="1:23" ht="9" customHeight="1">
      <c r="A164" s="2">
        <v>1987</v>
      </c>
      <c r="B164" s="8">
        <f>(K62*($E62/365))+(K63*($E63/365))</f>
        <v>1.0273972602739725</v>
      </c>
      <c r="C164" s="8">
        <f>(L62*($E62/365))+(L63*($E63/365))</f>
        <v>44.109589041095887</v>
      </c>
      <c r="D164" s="8">
        <f>(M62*($E62/365))+(M63*($E63/365))</f>
        <v>48.561643835616437</v>
      </c>
      <c r="E164" s="24">
        <f t="shared" si="82"/>
        <v>93.698630136986296</v>
      </c>
      <c r="F164" s="6"/>
      <c r="G164" s="20">
        <v>1987</v>
      </c>
      <c r="H164" s="918">
        <f>(O62*100*($E62/365)/($O62+$P62+$Q62))+(O63*100*($E63/365)/($O63+$P63+$Q63))</f>
        <v>0.64810723228752376</v>
      </c>
      <c r="I164" s="918"/>
      <c r="J164" s="918">
        <f>(P62*100*($E62/365)/($O62+$P62+$Q62))+(P63*100*($E63/365)/($O63+$P63+$Q63))</f>
        <v>46.378963502251167</v>
      </c>
      <c r="K164" s="918"/>
      <c r="L164" s="918">
        <f>(Q62*100*($E62/365)/($O62+$P62+$Q62))+(Q63*100*($E63/365)/($O63+$P63+$Q63))</f>
        <v>52.972929265461303</v>
      </c>
      <c r="M164" s="918"/>
      <c r="N164" s="919">
        <f t="shared" si="83"/>
        <v>100</v>
      </c>
      <c r="O164" s="919"/>
      <c r="R164" s="20">
        <v>1987</v>
      </c>
      <c r="S164" s="8">
        <f>O62*($E62/365) + O63*($E63/365)</f>
        <v>0.36164383561643831</v>
      </c>
      <c r="T164" s="8">
        <f>P62*($E62/365) + P63*($E63/365)</f>
        <v>39.793150684931511</v>
      </c>
      <c r="U164" s="8">
        <f>Q62*($E62/365) + Q63*($E63/365)</f>
        <v>44.0013698630137</v>
      </c>
      <c r="V164" s="13"/>
      <c r="W164" s="8">
        <f>R62*($E62/365) + R63*($E63/365)</f>
        <v>84.156164383561659</v>
      </c>
    </row>
    <row r="165" spans="1:23" ht="9" customHeight="1">
      <c r="A165" s="2">
        <v>1988</v>
      </c>
      <c r="B165" s="8">
        <f>(K64*($E64/366))+(K65*($E65/366))</f>
        <v>0</v>
      </c>
      <c r="C165" s="8">
        <f>(L64*($E64/366))+(L65*($E65/366))</f>
        <v>46.666666666666664</v>
      </c>
      <c r="D165" s="8">
        <f>(M64*($E64/366))+(M65*($E65/366))</f>
        <v>46.666666666666664</v>
      </c>
      <c r="E165" s="24">
        <f t="shared" si="82"/>
        <v>93.333333333333329</v>
      </c>
      <c r="F165" s="6"/>
      <c r="G165" s="20">
        <v>1988</v>
      </c>
      <c r="H165" s="918">
        <f>(O64*100*($E64/366)/($O64+$P64+$Q64))+(O65*100*($E65/366)/($O65+$P65+$Q65))</f>
        <v>0</v>
      </c>
      <c r="I165" s="918"/>
      <c r="J165" s="918">
        <f>(P64*100*($E64/366)/($O64+$P64+$Q64))+(P65*100*($E65/366)/($O65+$P65+$Q65))</f>
        <v>49.067599067599062</v>
      </c>
      <c r="K165" s="918"/>
      <c r="L165" s="918">
        <f>(Q64*100*($E64/366)/($O64+$P64+$Q64))+(Q65*100*($E65/366)/($O65+$P65+$Q65))</f>
        <v>50.932400932400924</v>
      </c>
      <c r="M165" s="918"/>
      <c r="N165" s="919">
        <f t="shared" si="83"/>
        <v>99.999999999999986</v>
      </c>
      <c r="O165" s="919"/>
      <c r="R165" s="20">
        <v>1988</v>
      </c>
      <c r="S165" s="8">
        <f>O64*($E64/366) + O65*($E65/366)</f>
        <v>0</v>
      </c>
      <c r="T165" s="8">
        <f>P64*($E64/366) + P65*($E65/366)</f>
        <v>42.1</v>
      </c>
      <c r="U165" s="8">
        <f>Q64*($E64/366) + Q65*($E65/366)</f>
        <v>43.7</v>
      </c>
      <c r="V165" s="13"/>
      <c r="W165" s="8">
        <f>R64*($E64/366) + R65*($E65/366)</f>
        <v>85.800000000000011</v>
      </c>
    </row>
    <row r="166" spans="1:23" s="4" customFormat="1" ht="9" customHeight="1">
      <c r="A166" s="4">
        <v>1989</v>
      </c>
      <c r="B166" s="11">
        <f>(K66*($E66/365))+(K67*($E67/365))</f>
        <v>0</v>
      </c>
      <c r="C166" s="11">
        <f>(L65*($E65/365))+(L66*($E66/365))</f>
        <v>46.794520547945204</v>
      </c>
      <c r="D166" s="11">
        <f>(M65*($E65/365))+(M66*($E66/365))</f>
        <v>46.794520547945204</v>
      </c>
      <c r="E166" s="25">
        <f t="shared" si="82"/>
        <v>93.589041095890408</v>
      </c>
      <c r="F166" s="19"/>
      <c r="G166" s="21">
        <v>1989</v>
      </c>
      <c r="H166" s="920">
        <f>(O66*100*($E66/365)/($O66+$P66+$Q66))+(O67*100*($E67/365)/($O67+$P67+$Q67))</f>
        <v>0</v>
      </c>
      <c r="I166" s="920"/>
      <c r="J166" s="920">
        <f>(P66*100*($E66/365)/($O66+$P66+$Q66))+(P67*100*($E67/365)/($O67+$P67+$Q67))</f>
        <v>49.067599067599062</v>
      </c>
      <c r="K166" s="920"/>
      <c r="L166" s="920">
        <f>(Q66*100*($E66/365)/($O66+$P66+$Q66))+(Q67*100*($E67/365)/($O67+$P67+$Q67))</f>
        <v>50.932400932400924</v>
      </c>
      <c r="M166" s="920"/>
      <c r="N166" s="893">
        <f t="shared" si="83"/>
        <v>99.999999999999986</v>
      </c>
      <c r="O166" s="893"/>
      <c r="R166" s="21">
        <v>1989</v>
      </c>
      <c r="S166" s="11">
        <f>O66*($E66/365) + O67*($E67/365)</f>
        <v>0</v>
      </c>
      <c r="T166" s="11">
        <f>P66*($E66/365) + P67*($E67/365)</f>
        <v>42.1</v>
      </c>
      <c r="U166" s="11">
        <f>Q66*($E66/365) + Q67*($E67/365)</f>
        <v>43.7</v>
      </c>
      <c r="V166" s="27"/>
      <c r="W166" s="11">
        <f>R66*($E66/365) + R67*($E67/365)</f>
        <v>85.800000000000011</v>
      </c>
    </row>
    <row r="167" spans="1:23" ht="9" customHeight="1">
      <c r="A167" s="2">
        <v>1990</v>
      </c>
      <c r="B167" s="8">
        <f>(K68*(E68/365))+(K69*(E69/365))</f>
        <v>0</v>
      </c>
      <c r="C167" s="8">
        <f>(L68*(E68/365))+(L69*(E69/365))</f>
        <v>46.714746172441579</v>
      </c>
      <c r="D167" s="8">
        <f>(M68*(E68/365))+(M69*(E69/365))</f>
        <v>46.714746172441579</v>
      </c>
      <c r="E167" s="24">
        <f t="shared" ref="E167:E193" si="84">SUM(B167:D167)</f>
        <v>93.429492344883158</v>
      </c>
      <c r="F167" s="6"/>
      <c r="G167" s="2">
        <v>1990</v>
      </c>
      <c r="H167" s="918">
        <f>(O68*100*(E68/365)/(O68+P68+Q68))+(O69*100*(E69/365)/(O69+P69+Q69))</f>
        <v>0</v>
      </c>
      <c r="I167" s="918"/>
      <c r="J167" s="918">
        <f>(P68*100*(E68/365)/(P68+Q68+O68))+(P69*100*(E69/365)/(P69+Q69+O69))</f>
        <v>48.813142270031868</v>
      </c>
      <c r="K167" s="918"/>
      <c r="L167" s="918">
        <f>(Q68*100*(E68/365)/(Q68+P68+O68))+(Q69*100*(E69/365)/(Q69+P69+O69))</f>
        <v>51.186857729968111</v>
      </c>
      <c r="M167" s="918"/>
      <c r="N167" s="919">
        <f t="shared" si="83"/>
        <v>99.999999999999972</v>
      </c>
      <c r="O167" s="919"/>
      <c r="R167" s="2">
        <v>1990</v>
      </c>
      <c r="S167" s="8">
        <f>O68*($E68/365) + O69*($E69/365)</f>
        <v>0</v>
      </c>
      <c r="T167" s="8">
        <f>P68*($E68/365) + P69*($E69/365)</f>
        <v>41.717808219178082</v>
      </c>
      <c r="U167" s="8">
        <f>Q68*($E68/365) + Q69*($E69/365)</f>
        <v>43.7</v>
      </c>
      <c r="V167" s="13"/>
      <c r="W167" s="8">
        <f>R68*($E68/365) + R69*($E69/365)</f>
        <v>85.417808219178085</v>
      </c>
    </row>
    <row r="168" spans="1:23" ht="9" customHeight="1">
      <c r="A168" s="2">
        <v>1991</v>
      </c>
      <c r="B168" s="8">
        <f>(K70*(E70/365))+(K71*(E71/365))</f>
        <v>0</v>
      </c>
      <c r="C168" s="8">
        <f>(L70*(E70/365))+(L71*(E71/365))</f>
        <v>47.058823529411761</v>
      </c>
      <c r="D168" s="8">
        <f>(M70*(E70/365))+(M71*(E71/365))</f>
        <v>47.058823529411761</v>
      </c>
      <c r="E168" s="24">
        <f t="shared" si="84"/>
        <v>94.117647058823522</v>
      </c>
      <c r="F168" s="6"/>
      <c r="G168" s="2">
        <v>1991</v>
      </c>
      <c r="H168" s="918">
        <f>(O70*100*(E70/365)/(O70+P70+Q70))+(O71*100*(E71/365)/(O71+P71+Q71))</f>
        <v>0</v>
      </c>
      <c r="I168" s="918"/>
      <c r="J168" s="918">
        <f>(P70*100*(E70/365)/(P70+Q70+O70))+(P71*100*(E71/365)/(P71+Q71+O71))</f>
        <v>42.875816993464049</v>
      </c>
      <c r="K168" s="918"/>
      <c r="L168" s="918">
        <f>(Q70*100*(E70/365)/(Q70+P70+O70))+(Q71*100*(E71/365)/(Q71+P71+O71))</f>
        <v>57.124183006535951</v>
      </c>
      <c r="M168" s="918"/>
      <c r="N168" s="919">
        <f t="shared" si="83"/>
        <v>100</v>
      </c>
      <c r="O168" s="919"/>
      <c r="R168" s="2">
        <v>1991</v>
      </c>
      <c r="S168" s="8">
        <f>O70*($E70/365) + O71*($E71/365)</f>
        <v>0</v>
      </c>
      <c r="T168" s="8">
        <f>P70*($E70/365) + P71*($E71/365)</f>
        <v>32.799999999999997</v>
      </c>
      <c r="U168" s="8">
        <f>Q70*($E70/365) + Q71*($E71/365)</f>
        <v>43.7</v>
      </c>
      <c r="V168" s="13"/>
      <c r="W168" s="8">
        <f>R70*($E70/365) + R71*($E71/365)</f>
        <v>76.5</v>
      </c>
    </row>
    <row r="169" spans="1:23" ht="9" customHeight="1">
      <c r="A169" s="2">
        <v>1992</v>
      </c>
      <c r="B169" s="8">
        <f>(K72*(E72/366))+(K73*(E73/366))</f>
        <v>0</v>
      </c>
      <c r="C169" s="8">
        <f>(L72*(E72/366))+(L73*(E73/366))</f>
        <v>43.75</v>
      </c>
      <c r="D169" s="8">
        <f>(M72*(E72/366))+(M73*(E73/366))</f>
        <v>50</v>
      </c>
      <c r="E169" s="24">
        <f t="shared" si="84"/>
        <v>93.75</v>
      </c>
      <c r="F169" s="6"/>
      <c r="G169" s="2">
        <v>1992</v>
      </c>
      <c r="H169" s="918">
        <f>(O72*100*(E72/366)/(O72+P72+Q72))+(O73*100*(E73/366)/(O73+P73+Q73))</f>
        <v>0</v>
      </c>
      <c r="I169" s="918"/>
      <c r="J169" s="918">
        <f>(P72*100*(E72/366)/(P72+Q72+O72))+(P73*100*(E73/366)/(P73+Q73+O73))</f>
        <v>42.875816993464049</v>
      </c>
      <c r="K169" s="918"/>
      <c r="L169" s="918">
        <f>(Q72*100*(E72/366)/(Q72+P72+O72))+(Q73*100*(E73/366)/(Q73+P73+O73))</f>
        <v>57.124183006535951</v>
      </c>
      <c r="M169" s="918"/>
      <c r="N169" s="919">
        <f t="shared" si="83"/>
        <v>100</v>
      </c>
      <c r="O169" s="919"/>
      <c r="R169" s="2">
        <v>1992</v>
      </c>
      <c r="S169" s="8">
        <f>O72*($E72/366) + O73*($E73/366)</f>
        <v>0</v>
      </c>
      <c r="T169" s="8">
        <f>P72*($E72/366) + P73*($E73/366)</f>
        <v>32.799999999999997</v>
      </c>
      <c r="U169" s="8">
        <f>Q72*($E72/366) + Q73*($E73/366)</f>
        <v>43.7</v>
      </c>
      <c r="V169" s="13"/>
      <c r="W169" s="8">
        <f>R72*($E72/366) + R73*($E73/366)</f>
        <v>76.5</v>
      </c>
    </row>
    <row r="170" spans="1:23" ht="9" customHeight="1">
      <c r="A170" s="2">
        <v>1993</v>
      </c>
      <c r="B170" s="8">
        <f>(K74*(E74/365))+(K75*(E75/365))</f>
        <v>0</v>
      </c>
      <c r="C170" s="8">
        <f>(L74*(E74/365))+(L75*(E75/365))</f>
        <v>43.75</v>
      </c>
      <c r="D170" s="8">
        <f>(M74*(E74/365))+(M75*(E75/365))</f>
        <v>50</v>
      </c>
      <c r="E170" s="24">
        <f t="shared" si="84"/>
        <v>93.75</v>
      </c>
      <c r="F170" s="6"/>
      <c r="G170" s="2">
        <v>1993</v>
      </c>
      <c r="H170" s="918">
        <f>(O74*100*(E74/365)/(O74+P74+Q74))+(O75*100*(E75/365)/(O75+P75+Q75))</f>
        <v>0</v>
      </c>
      <c r="I170" s="918"/>
      <c r="J170" s="918">
        <f>(P74*100*(E74/365)/(P74+Q74+O74))+(P75*100*(E75/365)/(P75+Q75+O75))</f>
        <v>42.875816993464049</v>
      </c>
      <c r="K170" s="918"/>
      <c r="L170" s="918">
        <f>(Q74*100*(E74/365)/(Q74+P74+O74))+(Q75*100*(E75/365)/(Q75+P75+O75))</f>
        <v>57.124183006535951</v>
      </c>
      <c r="M170" s="918"/>
      <c r="N170" s="919">
        <f t="shared" si="83"/>
        <v>100</v>
      </c>
      <c r="O170" s="919"/>
      <c r="R170" s="2">
        <v>1993</v>
      </c>
      <c r="S170" s="8">
        <f>O74*($E74/365) + O75*($E75/365)</f>
        <v>0</v>
      </c>
      <c r="T170" s="8">
        <f>P74*($E74/365) + P75*($E75/365)</f>
        <v>32.799999999999997</v>
      </c>
      <c r="U170" s="8">
        <f>Q74*($E74/365) + Q75*($E75/365)</f>
        <v>43.7</v>
      </c>
      <c r="V170" s="13"/>
      <c r="W170" s="8">
        <f>R74*($E74/365) + R75*($E75/365)</f>
        <v>76.5</v>
      </c>
    </row>
    <row r="171" spans="1:23" ht="9" customHeight="1">
      <c r="A171" s="2">
        <v>1994</v>
      </c>
      <c r="B171" s="8">
        <f>(K76*(E76/365))+(K77*(E77/365))</f>
        <v>0</v>
      </c>
      <c r="C171" s="8">
        <f>(L76*(E76/365))+(L77*(E77/365))</f>
        <v>43.75</v>
      </c>
      <c r="D171" s="8">
        <f>(M76*(E76/365))+(M77*(E77/365))</f>
        <v>50</v>
      </c>
      <c r="E171" s="24">
        <f t="shared" si="84"/>
        <v>93.75</v>
      </c>
      <c r="F171" s="6"/>
      <c r="G171" s="2">
        <v>1994</v>
      </c>
      <c r="H171" s="918">
        <f>(O76*100*(E76/365)/(O76+P76+Q76))+(O77*100*(E77/365)/(O77+P77+Q77))</f>
        <v>0</v>
      </c>
      <c r="I171" s="918"/>
      <c r="J171" s="918">
        <f>(P76*100*(E76/365)/(P76+Q76+O76))+(P77*100*(E77/365)/(P77+Q77+O77))</f>
        <v>43.017638105470496</v>
      </c>
      <c r="K171" s="918"/>
      <c r="L171" s="918">
        <f>(Q76*100*(E76/365)/(Q76+P76+O76))+(Q77*100*(E77/365)/(Q77+P77+O77))</f>
        <v>56.982361894529504</v>
      </c>
      <c r="M171" s="918"/>
      <c r="N171" s="919">
        <f t="shared" si="83"/>
        <v>100</v>
      </c>
      <c r="O171" s="919"/>
      <c r="R171" s="2">
        <v>1994</v>
      </c>
      <c r="S171" s="8">
        <f>O76*($E76/365) + O77*($E77/365)</f>
        <v>0</v>
      </c>
      <c r="T171" s="8">
        <f>P76*($E76/365) + P77*($E77/365)</f>
        <v>32.402191780821916</v>
      </c>
      <c r="U171" s="8">
        <f>Q76*($E76/365) + Q77*($E77/365)</f>
        <v>42.958630136986301</v>
      </c>
      <c r="V171" s="13"/>
      <c r="W171" s="8">
        <f>R76*($E76/365) + R77*($E77/365)</f>
        <v>75.360821917808224</v>
      </c>
    </row>
    <row r="172" spans="1:23" ht="9" customHeight="1">
      <c r="A172" s="2">
        <v>1995</v>
      </c>
      <c r="B172" s="8">
        <f>(K78*(E78/365))+(K79*(E79/365))</f>
        <v>0</v>
      </c>
      <c r="C172" s="8">
        <f>(L78*(E78/365))+(L79*(E79/365))</f>
        <v>43.75</v>
      </c>
      <c r="D172" s="8">
        <f>(M78*(E78/365))+(M79*(E79/365))</f>
        <v>50</v>
      </c>
      <c r="E172" s="24">
        <f t="shared" si="84"/>
        <v>93.75</v>
      </c>
      <c r="F172" s="6"/>
      <c r="G172" s="2">
        <v>1995</v>
      </c>
      <c r="H172" s="918">
        <f>(O78*100*(E78/365)/(O78+P78+Q78))+(O79*100*(E79/365)/(O79+P79+Q79))</f>
        <v>0</v>
      </c>
      <c r="I172" s="918"/>
      <c r="J172" s="918">
        <f>(P78*100*(E78/365)/(P78+Q78+O78))+(P79*100*(E79/365)/(P79+Q79+O79))</f>
        <v>44.444444444444443</v>
      </c>
      <c r="K172" s="918"/>
      <c r="L172" s="918">
        <f>(Q78*100*(E78/365)/(Q78+P78+O78))+(Q79*100*(E79/365)/(Q79+P79+O79))</f>
        <v>55.555555555555557</v>
      </c>
      <c r="M172" s="918"/>
      <c r="N172" s="919">
        <f t="shared" si="83"/>
        <v>100</v>
      </c>
      <c r="O172" s="919"/>
      <c r="R172" s="2">
        <v>1995</v>
      </c>
      <c r="S172" s="8">
        <f>O78*($E78/365) + O79*($E79/365)</f>
        <v>0</v>
      </c>
      <c r="T172" s="8">
        <f>P78*($E78/365) + P79*($E79/365)</f>
        <v>28.4</v>
      </c>
      <c r="U172" s="8">
        <f>Q78*($E78/365) + Q79*($E79/365)</f>
        <v>35.5</v>
      </c>
      <c r="V172" s="13"/>
      <c r="W172" s="8">
        <f>R78*($E78/365) + R79*($E79/365)</f>
        <v>63.9</v>
      </c>
    </row>
    <row r="173" spans="1:23" ht="9" customHeight="1">
      <c r="A173" s="2">
        <v>1996</v>
      </c>
      <c r="B173" s="8">
        <f>(K80*(E80/366))+(K81*(E81/366))</f>
        <v>0</v>
      </c>
      <c r="C173" s="8">
        <f>(L80*(E80/366))+(L81*(E81/366))</f>
        <v>43.030347384855574</v>
      </c>
      <c r="D173" s="8">
        <f>(M80*(E80/366))+(M81*(E81/366))</f>
        <v>50</v>
      </c>
      <c r="E173" s="24">
        <f t="shared" si="84"/>
        <v>93.030347384855574</v>
      </c>
      <c r="F173" s="6"/>
      <c r="G173" s="2">
        <v>1996</v>
      </c>
      <c r="H173" s="918">
        <f>(O80*100*(E80/366)/(O80+P80+Q80))+(O81*100*(E81/366)/(O81+P81+Q81))</f>
        <v>0</v>
      </c>
      <c r="I173" s="918"/>
      <c r="J173" s="918">
        <f>(P80*100*(E80/366)/(P80+Q80+O80))+(P81*100*(E81/366)/(P81+Q81+O81))</f>
        <v>42.685293607424761</v>
      </c>
      <c r="K173" s="918"/>
      <c r="L173" s="918">
        <f>(Q80*100*(E80/366)/(Q80+P80+O80))+(Q81*100*(E81/366)/(Q81+P81+O81))</f>
        <v>57.314706392575253</v>
      </c>
      <c r="M173" s="918"/>
      <c r="N173" s="919">
        <f t="shared" si="83"/>
        <v>100.00000000000001</v>
      </c>
      <c r="O173" s="919"/>
      <c r="R173" s="2">
        <v>1996</v>
      </c>
      <c r="S173" s="8">
        <f>O80*($E80/366) + O81*($E81/366)</f>
        <v>0</v>
      </c>
      <c r="T173" s="8">
        <f>P80*($E80/366) + P81*($E81/366)</f>
        <v>28.4</v>
      </c>
      <c r="U173" s="8">
        <f>Q80*($E80/366) + Q81*($E81/366)</f>
        <v>38.159836065573771</v>
      </c>
      <c r="V173" s="13"/>
      <c r="W173" s="8">
        <f>R80*($E80/366) + R81*($E81/366)</f>
        <v>66.559836065573762</v>
      </c>
    </row>
    <row r="174" spans="1:23" ht="9" customHeight="1">
      <c r="A174" s="2">
        <v>1997</v>
      </c>
      <c r="B174" s="8">
        <f>(K82*(E82/365))+(K83*(E83/365))</f>
        <v>0</v>
      </c>
      <c r="C174" s="8">
        <f>(L82*(E82/365))+(L83*(E83/365))</f>
        <v>45.909980430528378</v>
      </c>
      <c r="D174" s="8">
        <f>(M82*(E82/365))+(M83*(E83/365))</f>
        <v>46.438356164383563</v>
      </c>
      <c r="E174" s="24">
        <f t="shared" si="84"/>
        <v>92.348336594911942</v>
      </c>
      <c r="F174" s="6"/>
      <c r="G174" s="2">
        <v>1997</v>
      </c>
      <c r="H174" s="918">
        <f>(O82*100*(E82/365)/(O82+P82+Q82))+(O83*100*(E83/365)/(O83+P83+Q83))</f>
        <v>0</v>
      </c>
      <c r="I174" s="918"/>
      <c r="J174" s="918">
        <f>(P82*100*(E82/365)/(P82+Q82+O82))+(P83*100*(E83/365)/(P83+Q83+O83))</f>
        <v>42.261904761904766</v>
      </c>
      <c r="K174" s="918"/>
      <c r="L174" s="918">
        <f>(Q82*100*(E82/365)/(Q82+P82+O82))+(Q83*100*(E83/365)/(Q83+P83+O83))</f>
        <v>57.738095238095234</v>
      </c>
      <c r="M174" s="918"/>
      <c r="N174" s="919">
        <f t="shared" si="83"/>
        <v>100</v>
      </c>
      <c r="O174" s="919"/>
      <c r="R174" s="2">
        <v>1997</v>
      </c>
      <c r="S174" s="8">
        <f>O82*($E82/365) + O83*($E83/365)</f>
        <v>0</v>
      </c>
      <c r="T174" s="8">
        <f>P82*($E82/365) + P83*($E83/365)</f>
        <v>28.4</v>
      </c>
      <c r="U174" s="8">
        <f>Q82*($E82/365) + Q83*($E83/365)</f>
        <v>38.799999999999997</v>
      </c>
      <c r="V174" s="13"/>
      <c r="W174" s="8">
        <f>R82*($E82/365) + R83*($E83/365)</f>
        <v>67.199999999999989</v>
      </c>
    </row>
    <row r="175" spans="1:23" ht="9" customHeight="1">
      <c r="A175" s="2">
        <v>1998</v>
      </c>
      <c r="B175" s="8">
        <f>(K84*(E84/365))+(K85*(E85/365))</f>
        <v>0</v>
      </c>
      <c r="C175" s="8">
        <f>(L84*(E84/365))+(L85*(E85/365))</f>
        <v>46.153846153846153</v>
      </c>
      <c r="D175" s="8">
        <f>(M84*(E84/365))+(M85*(E85/365))</f>
        <v>46.153846153846153</v>
      </c>
      <c r="E175" s="24">
        <f t="shared" si="84"/>
        <v>92.307692307692307</v>
      </c>
      <c r="F175" s="6"/>
      <c r="G175" s="2">
        <v>1998</v>
      </c>
      <c r="H175" s="918">
        <f>(O84*100*(E84/365)/(O84+P84+Q84))+(O85*100*(E85/365)/(O85+P85+Q85))</f>
        <v>0</v>
      </c>
      <c r="I175" s="918"/>
      <c r="J175" s="918">
        <f>(P84*100*(E84/365)/(P84+Q84+O84))+(P85*100*(E85/365)/(P85+Q85+O85))</f>
        <v>42.261904761904766</v>
      </c>
      <c r="K175" s="918"/>
      <c r="L175" s="918">
        <f>(Q84*100*(E84/365)/(Q84+P84+O84))+(Q85*100*(E85/365)/(Q85+P85+O85))</f>
        <v>57.738095238095241</v>
      </c>
      <c r="M175" s="918"/>
      <c r="N175" s="919">
        <f t="shared" si="83"/>
        <v>100</v>
      </c>
      <c r="O175" s="919"/>
      <c r="R175" s="2">
        <v>1998</v>
      </c>
      <c r="S175" s="8">
        <f>O84*($E84/365) + O85*($E85/365)</f>
        <v>0</v>
      </c>
      <c r="T175" s="8">
        <f>P84*($E84/365) + P85*($E85/365)</f>
        <v>28.4</v>
      </c>
      <c r="U175" s="8">
        <f>Q84*($E84/365) + Q85*($E85/365)</f>
        <v>38.799999999999997</v>
      </c>
      <c r="V175" s="13"/>
      <c r="W175" s="8">
        <f>R84*($E84/365) + R85*($E85/365)</f>
        <v>67.199999999999989</v>
      </c>
    </row>
    <row r="176" spans="1:23" ht="9" customHeight="1">
      <c r="A176" s="2">
        <v>1999</v>
      </c>
      <c r="B176" s="8">
        <f>(K86*(E86/365))+(K87*(E87/365))</f>
        <v>0</v>
      </c>
      <c r="C176" s="8">
        <f>(L86*(E86/365))+(L87*(E87/365))</f>
        <v>46.153846153846153</v>
      </c>
      <c r="D176" s="8">
        <f>(M86*(E86/365))+(M87*(E87/365))</f>
        <v>46.153846153846153</v>
      </c>
      <c r="E176" s="24">
        <f t="shared" si="84"/>
        <v>92.307692307692307</v>
      </c>
      <c r="F176" s="6"/>
      <c r="G176" s="2">
        <v>1999</v>
      </c>
      <c r="H176" s="918">
        <f>(O86*100*(E86/365)/(O86+P86+Q86))+(O87*100*(E87/365)/(O87+P87+Q87))</f>
        <v>0</v>
      </c>
      <c r="I176" s="918"/>
      <c r="J176" s="918">
        <f>(P86*100*(E86/365)/(P86+Q86+O86))+(P87*100*(E87/365)/(P87+Q87+O87))</f>
        <v>42.261904761904766</v>
      </c>
      <c r="K176" s="918"/>
      <c r="L176" s="918">
        <f>(Q86*100*(E86/365)/(Q86+P86+O86))+(Q87*100*(E87/365)/(Q87+P87+O87))</f>
        <v>57.738095238095241</v>
      </c>
      <c r="M176" s="918"/>
      <c r="N176" s="919">
        <f t="shared" si="83"/>
        <v>100</v>
      </c>
      <c r="O176" s="919"/>
      <c r="R176" s="2">
        <v>1999</v>
      </c>
      <c r="S176" s="8">
        <f>O86*($E86/365) + O87*($E87/365)</f>
        <v>0</v>
      </c>
      <c r="T176" s="8">
        <f>P86*($E86/365) + P87*($E87/365)</f>
        <v>28.4</v>
      </c>
      <c r="U176" s="8">
        <f>Q86*($E86/365) + Q87*($E87/365)</f>
        <v>38.799999999999997</v>
      </c>
      <c r="V176" s="13"/>
      <c r="W176" s="8">
        <f>R86*($E86/365) + R87*($E87/365)</f>
        <v>67.199999999999989</v>
      </c>
    </row>
    <row r="177" spans="1:24" ht="9" customHeight="1">
      <c r="A177" s="2">
        <v>2000</v>
      </c>
      <c r="B177" s="8">
        <f>(K88*(E88/366))+(K89*(E89/366))</f>
        <v>45.355191256830601</v>
      </c>
      <c r="C177" s="8">
        <f>(L88*(E88/366))+(L89*(E89/366))</f>
        <v>49.642707019756202</v>
      </c>
      <c r="D177" s="8">
        <f>(M88*(E88/366))+(M89*(E89/366))</f>
        <v>4.2875157629255991</v>
      </c>
      <c r="E177" s="24">
        <f t="shared" si="84"/>
        <v>99.285414039512389</v>
      </c>
      <c r="F177" s="6"/>
      <c r="G177" s="2">
        <v>2000</v>
      </c>
      <c r="H177" s="918">
        <f>(O88*100*(E88/366)/(O88+P88+Q88))+(O89*100*(E89/366)/(O89+P89+Q89))</f>
        <v>45.355191256830608</v>
      </c>
      <c r="I177" s="918"/>
      <c r="J177" s="918">
        <f>(P88*100*(E88/366)/(P88+Q88+O88))+(P89*100*(E89/366)/(P89+Q89+O89))</f>
        <v>49.281160551652363</v>
      </c>
      <c r="K177" s="918"/>
      <c r="L177" s="918">
        <f>(Q88*100*(E88/366)/(Q88+P88+O88))+(Q89*100*(E89/366)/(Q89+P89+O89))</f>
        <v>5.3636481915170453</v>
      </c>
      <c r="M177" s="918"/>
      <c r="N177" s="919">
        <f t="shared" si="83"/>
        <v>100.00000000000001</v>
      </c>
      <c r="O177" s="919"/>
      <c r="R177" s="2">
        <v>2000</v>
      </c>
      <c r="S177" s="8">
        <f>O88*($E88/366) + O89*($E89/366)</f>
        <v>25.76174863387978</v>
      </c>
      <c r="T177" s="8">
        <f>P88*($E88/366) + P89*($E89/366)</f>
        <v>28.4</v>
      </c>
      <c r="U177" s="8">
        <f>Q88*($E88/366) + Q89*($E89/366)</f>
        <v>3.6043715846994537</v>
      </c>
      <c r="V177" s="13"/>
      <c r="W177" s="8">
        <f>R88*($E88/366) + R89*($E89/366)</f>
        <v>57.766120218579232</v>
      </c>
    </row>
    <row r="178" spans="1:24" ht="9" customHeight="1">
      <c r="A178" s="2">
        <v>2001</v>
      </c>
      <c r="B178" s="8">
        <f>(K90*(E90/365))+(K91*(E91/365))</f>
        <v>50</v>
      </c>
      <c r="C178" s="8">
        <f>(L90*(E90/365))+(L91*(E91/365))</f>
        <v>50</v>
      </c>
      <c r="D178" s="8">
        <f>(M90*(E90/365))+(M91*(E91/365))</f>
        <v>0</v>
      </c>
      <c r="E178" s="24">
        <f t="shared" si="84"/>
        <v>100</v>
      </c>
      <c r="F178" s="6"/>
      <c r="G178" s="2">
        <v>2001</v>
      </c>
      <c r="H178" s="918">
        <f>(O90*100*(E90/365)/(O90+P90+Q90))+(O91*100*(E91/365)/(O91+P91+Q91))</f>
        <v>50</v>
      </c>
      <c r="I178" s="918"/>
      <c r="J178" s="918">
        <f>(P90*100*(E90/365)/(P90+Q90+O90))+(P91*100*(E91/365)/(P91+Q91+O91))</f>
        <v>50</v>
      </c>
      <c r="K178" s="918"/>
      <c r="L178" s="918">
        <f>(Q90*100*(E90/365)/(Q90+P90+O90))+(Q91*100*(E91/365)/(Q91+P91+O91))</f>
        <v>0</v>
      </c>
      <c r="M178" s="918"/>
      <c r="N178" s="919">
        <f t="shared" si="83"/>
        <v>100</v>
      </c>
      <c r="O178" s="919"/>
      <c r="R178" s="2">
        <v>2001</v>
      </c>
      <c r="S178" s="8">
        <f>O90*($E90/365) + O91*($E91/365)</f>
        <v>28.4</v>
      </c>
      <c r="T178" s="8">
        <f>P90*($E90/365) + P91*($E91/365)</f>
        <v>28.4</v>
      </c>
      <c r="U178" s="8">
        <f>Q90*($E90/365) + Q91*($E91/365)</f>
        <v>0</v>
      </c>
      <c r="V178" s="13"/>
      <c r="W178" s="8">
        <f>R90*($E90/365) + R91*($E91/365)</f>
        <v>56.8</v>
      </c>
    </row>
    <row r="179" spans="1:24" ht="9" customHeight="1">
      <c r="A179" s="2">
        <v>2002</v>
      </c>
      <c r="B179" s="8">
        <f>(K92*(E92/365))+(K93*(E93/365))</f>
        <v>50</v>
      </c>
      <c r="C179" s="8">
        <f>(L92*(E92/365))+(L93*(E93/365))</f>
        <v>50</v>
      </c>
      <c r="D179" s="8">
        <f>(M92*(E92/365))+(M93*(E93/365))</f>
        <v>0</v>
      </c>
      <c r="E179" s="24">
        <f t="shared" si="84"/>
        <v>100</v>
      </c>
      <c r="F179" s="6"/>
      <c r="G179" s="2">
        <v>2002</v>
      </c>
      <c r="H179" s="918">
        <f>(O92*100*(E92/365)/(O92+P92+Q92))+(O93*100*(E93/365)/(O93+P93+Q93))</f>
        <v>50</v>
      </c>
      <c r="I179" s="918"/>
      <c r="J179" s="918">
        <f>(P92*100*(E92/365)/(P92+Q92+O92))+(P93*100*(E93/365)/(P93+Q93+O93))</f>
        <v>50</v>
      </c>
      <c r="K179" s="918"/>
      <c r="L179" s="918">
        <f>(Q92*100*(E92/365)/(Q92+P92+O92))+(Q93*100*(E93/365)/(Q93+P93+O93))</f>
        <v>0</v>
      </c>
      <c r="M179" s="918"/>
      <c r="N179" s="919">
        <f t="shared" si="83"/>
        <v>100</v>
      </c>
      <c r="O179" s="919"/>
      <c r="R179" s="2">
        <v>2002</v>
      </c>
      <c r="S179" s="8">
        <f>O92*($E92/365) + O93*($E93/365)</f>
        <v>28.4</v>
      </c>
      <c r="T179" s="8">
        <f>P92*($E92/365) + P93*($E93/365)</f>
        <v>28.4</v>
      </c>
      <c r="U179" s="8">
        <f>Q92*($E92/365) + Q93*($E93/365)</f>
        <v>0</v>
      </c>
      <c r="V179" s="13"/>
      <c r="W179" s="8">
        <f>R92*($E92/365) + R93*($E93/365)</f>
        <v>56.8</v>
      </c>
    </row>
    <row r="180" spans="1:24" ht="9" customHeight="1">
      <c r="A180" s="2">
        <v>2003</v>
      </c>
      <c r="B180" s="8">
        <f>(K94*(E94/365))+(K95*(E95/365))</f>
        <v>28.972602739726028</v>
      </c>
      <c r="C180" s="8">
        <f>(L94*(E94/365))+(L95*(E95/365))</f>
        <v>64.018264840182638</v>
      </c>
      <c r="D180" s="8">
        <f>(M94*(E94/365))+(M95*(E95/365))</f>
        <v>0</v>
      </c>
      <c r="E180" s="24">
        <f t="shared" si="84"/>
        <v>92.990867579908667</v>
      </c>
      <c r="F180" s="6"/>
      <c r="G180" s="2">
        <v>2003</v>
      </c>
      <c r="H180" s="918">
        <f>(O94*100*(E94/365)/(O94+P94+Q94))+(O95*100*(E95/365)/(O95+P95+Q95))</f>
        <v>23.497544585164128</v>
      </c>
      <c r="I180" s="918"/>
      <c r="J180" s="918">
        <f>(P94*100*(E94/365)/(P94+Q94+O94))+(P95*100*(E95/365)/(P95+Q95+O95))</f>
        <v>76.502455414835879</v>
      </c>
      <c r="K180" s="918"/>
      <c r="L180" s="918">
        <f>(Q94*100*(E94/365)/(Q94+P94+O94))+(Q95*100*(E95/365)/(Q95+P95+O95))</f>
        <v>0</v>
      </c>
      <c r="M180" s="918"/>
      <c r="N180" s="919">
        <f t="shared" si="83"/>
        <v>100</v>
      </c>
      <c r="O180" s="919"/>
      <c r="R180" s="2">
        <v>2003</v>
      </c>
      <c r="S180" s="8">
        <f>O94*($E94/365) + O95*($E95/365)</f>
        <v>12.755616438356165</v>
      </c>
      <c r="T180" s="8">
        <f>P94*($E94/365) + P95*($E95/365)</f>
        <v>40.848219178082196</v>
      </c>
      <c r="U180" s="8">
        <f>Q94*($E94/365) + Q95*($E95/365)</f>
        <v>0</v>
      </c>
      <c r="V180" s="13"/>
      <c r="W180" s="8">
        <f>R94*($E94/365) + R95*($E95/365)</f>
        <v>53.60383561643836</v>
      </c>
    </row>
    <row r="181" spans="1:24" ht="9" customHeight="1">
      <c r="A181" s="2">
        <v>2004</v>
      </c>
      <c r="B181" s="8">
        <f>(K96*(E96/366))+(K97*(E97/366))</f>
        <v>25</v>
      </c>
      <c r="C181" s="8">
        <f>(L96*(E96/366))+(L97*(E97/366))</f>
        <v>66.666666666666657</v>
      </c>
      <c r="D181" s="8">
        <f>(M96*(E96/366))+(M97*(E97/366))</f>
        <v>0</v>
      </c>
      <c r="E181" s="24">
        <f t="shared" si="84"/>
        <v>91.666666666666657</v>
      </c>
      <c r="F181" s="6"/>
      <c r="G181" s="2">
        <v>2004</v>
      </c>
      <c r="H181" s="918">
        <f>(O96*100*(E96/366)/(O96+P96+Q96))+(O97*100*(E97/366)/(O97+P97+Q97))</f>
        <v>18.490566037735853</v>
      </c>
      <c r="I181" s="918"/>
      <c r="J181" s="918">
        <f>(P96*100*(E96/366)/(P96+Q96+O96))+(P97*100*(E97/366)/(P97+Q97+O97))</f>
        <v>81.509433962264154</v>
      </c>
      <c r="K181" s="918"/>
      <c r="L181" s="918">
        <f>(Q96*100*(E96/366)/(Q96+P96+O96))+(Q97*100*(E97/366)/(Q97+P97+O97))</f>
        <v>0</v>
      </c>
      <c r="M181" s="918"/>
      <c r="N181" s="919">
        <f t="shared" si="83"/>
        <v>100</v>
      </c>
      <c r="O181" s="919"/>
      <c r="R181" s="2">
        <v>2004</v>
      </c>
      <c r="S181" s="8">
        <f>O96*($E96/366) + O97*($E97/366)</f>
        <v>9.8000000000000007</v>
      </c>
      <c r="T181" s="8">
        <f>P96*($E96/366) + P97*($E97/366)</f>
        <v>43.2</v>
      </c>
      <c r="U181" s="8">
        <f>Q96*($E96/366) + Q97*($E97/366)</f>
        <v>0</v>
      </c>
      <c r="V181" s="13"/>
      <c r="W181" s="8">
        <f>R96*($E96/366) + R97*($E97/366)</f>
        <v>53</v>
      </c>
    </row>
    <row r="182" spans="1:24" ht="9" customHeight="1">
      <c r="A182" s="2">
        <v>2005</v>
      </c>
      <c r="B182" s="8">
        <f>(K98*(E98/365))+(K99*(E99/365))</f>
        <v>25</v>
      </c>
      <c r="C182" s="828">
        <f>(L98*(E98/365))+(L99*(E99/365))</f>
        <v>66.666666666666657</v>
      </c>
      <c r="D182" s="828">
        <f t="shared" ref="D182" si="85">(M98*(G98/365))+(M99*(G99/365))</f>
        <v>0</v>
      </c>
      <c r="E182" s="827">
        <f t="shared" si="84"/>
        <v>91.666666666666657</v>
      </c>
      <c r="F182" s="6"/>
      <c r="G182" s="2">
        <v>2005</v>
      </c>
      <c r="H182" s="918">
        <f>(O98*100*(E98/365)/(R98))+(O99*100*(E99/365)/(R99))</f>
        <v>14.601861568787424</v>
      </c>
      <c r="I182" s="918"/>
      <c r="J182" s="918">
        <f>(P98*100*(E98/365)/(R98))+(P99*100*(E99/365)/(R99))</f>
        <v>85.398138431212573</v>
      </c>
      <c r="K182" s="918"/>
      <c r="L182" s="918">
        <f>(M98*100*(E98/365)/(N98))+(M99*100*(E99/365)/(N99))</f>
        <v>0</v>
      </c>
      <c r="M182" s="918"/>
      <c r="N182" s="919">
        <f t="shared" si="83"/>
        <v>100</v>
      </c>
      <c r="O182" s="919"/>
      <c r="R182" s="2">
        <v>2005</v>
      </c>
      <c r="S182" s="8">
        <f>O98*(E98/365) + O99*($E99/365)</f>
        <v>7.4241095890410955</v>
      </c>
      <c r="T182" s="828">
        <f>P98*(E98/365) + P99*($E99/365)</f>
        <v>43.2</v>
      </c>
      <c r="U182" s="828">
        <f>Q98*(E98/365) + Q99*($E99/365)</f>
        <v>0</v>
      </c>
      <c r="V182" s="13"/>
      <c r="W182" s="8">
        <f>R98*(E98/365) + R99*($E99/365)</f>
        <v>50.624109589041097</v>
      </c>
    </row>
    <row r="183" spans="1:24" ht="9" customHeight="1">
      <c r="A183" s="2">
        <v>2006</v>
      </c>
      <c r="B183" s="8">
        <f>(K100*(E100/365))+(K101*(E101/365))</f>
        <v>25</v>
      </c>
      <c r="C183" s="8">
        <f>(L100*(E100/365))+(L101*(E101/365))</f>
        <v>66.666666666666657</v>
      </c>
      <c r="D183" s="8">
        <f>(M100*(E100/365))+(M101*(E101/365))</f>
        <v>0</v>
      </c>
      <c r="E183" s="24">
        <f t="shared" si="84"/>
        <v>91.666666666666657</v>
      </c>
      <c r="F183" s="6"/>
      <c r="G183" s="2">
        <v>2006</v>
      </c>
      <c r="H183" s="918">
        <f>(O100*100*(E100/365)/(O100+P100+Q100))+(O101*100*(E101/365)/(O101+P101+Q101))</f>
        <v>13.253012048192771</v>
      </c>
      <c r="I183" s="918"/>
      <c r="J183" s="918">
        <f>(P100*100*(E100/365)/(P100+Q100+O100))+(P101*100*(E101/365)/(P101+Q101+O101))</f>
        <v>86.746987951807228</v>
      </c>
      <c r="K183" s="918"/>
      <c r="L183" s="918">
        <f>(Q100*100*(E100/365)/(Q100+P100+O100))+(Q101*100*(E101/365)/(Q101+P101+O101))</f>
        <v>0</v>
      </c>
      <c r="M183" s="918"/>
      <c r="N183" s="919">
        <f t="shared" si="83"/>
        <v>100</v>
      </c>
      <c r="O183" s="919"/>
      <c r="R183" s="2">
        <v>2006</v>
      </c>
      <c r="S183" s="8">
        <f>O100*($E100/365) + O101*($E101/365)</f>
        <v>6.6</v>
      </c>
      <c r="T183" s="8">
        <f>P100*($E100/365) + P101*($E101/365)</f>
        <v>43.2</v>
      </c>
      <c r="U183" s="8">
        <f>Q100*($E100/365) + Q101*($E101/365)</f>
        <v>0</v>
      </c>
      <c r="V183" s="13"/>
      <c r="W183" s="8">
        <f>R100*($E100/365) + R101*($E101/365)</f>
        <v>49.800000000000004</v>
      </c>
    </row>
    <row r="184" spans="1:24" ht="9" customHeight="1">
      <c r="A184" s="2">
        <v>2007</v>
      </c>
      <c r="B184" s="8">
        <f>(K102*(E102/365))+(K103*(E103/365))</f>
        <v>0.68493150684931503</v>
      </c>
      <c r="C184" s="8">
        <f>(L102*(E102/365))+(L103*(E103/365))</f>
        <v>50.456621004566216</v>
      </c>
      <c r="D184" s="8">
        <f>(M102*(E102/365))+(M103*(E103/365))</f>
        <v>48.630136986301373</v>
      </c>
      <c r="E184" s="24">
        <f t="shared" si="84"/>
        <v>99.771689497716906</v>
      </c>
      <c r="F184" s="6"/>
      <c r="G184" s="2">
        <v>2007</v>
      </c>
      <c r="H184" s="918">
        <f>(O102*100*(E102/365)/(O102+P102+Q102))+(O103*100*(E103/365)/(O103+P103+Q103))</f>
        <v>0.36309622049843199</v>
      </c>
      <c r="I184" s="918"/>
      <c r="J184" s="918">
        <f>(P102*100*(E102/365)/(P102+Q102+O102))+(P103*100*(E103/365)/(P103+Q103+O103))</f>
        <v>50.276983018508083</v>
      </c>
      <c r="K184" s="918"/>
      <c r="L184" s="918">
        <f>(Q102*100*(E102/365)/(Q102+P102+O102))+(Q103*100*(E103/365)/(Q103+P103+O103))</f>
        <v>49.359920760993475</v>
      </c>
      <c r="M184" s="918"/>
      <c r="N184" s="919">
        <f t="shared" si="83"/>
        <v>100</v>
      </c>
      <c r="O184" s="919"/>
      <c r="R184" s="2">
        <v>2007</v>
      </c>
      <c r="S184" s="8">
        <f>O102*($E102/365) + O103*($E103/365)</f>
        <v>0.18082191780821916</v>
      </c>
      <c r="T184" s="8">
        <f>P102*($E102/365) + P103*($E103/365)</f>
        <v>36.294520547945204</v>
      </c>
      <c r="U184" s="8">
        <f>Q102*($E102/365) + Q103*($E103/365)</f>
        <v>36.180821917808224</v>
      </c>
      <c r="V184" s="13"/>
      <c r="W184" s="8">
        <f>R102*($E102/365) + R103*($E103/365)</f>
        <v>72.656164383561659</v>
      </c>
    </row>
    <row r="185" spans="1:24" ht="9" customHeight="1">
      <c r="A185" s="2">
        <v>2008</v>
      </c>
      <c r="B185" s="8">
        <f>(K104*(E104/366))+(K105*(E105/366))</f>
        <v>0</v>
      </c>
      <c r="C185" s="8">
        <f>(L104*(E104/366))+(L105*(E105/366))</f>
        <v>50</v>
      </c>
      <c r="D185" s="8">
        <f>(M104*(E104/366))+(M105*(E105/366))</f>
        <v>50</v>
      </c>
      <c r="E185" s="24">
        <f t="shared" si="84"/>
        <v>100</v>
      </c>
      <c r="F185" s="6"/>
      <c r="G185" s="2">
        <v>2008</v>
      </c>
      <c r="H185" s="918">
        <f>(O104*100*(E104/366)/(O104+P104+Q104))+(O105*100*(E105/366)/(O105+P105+Q105))</f>
        <v>0</v>
      </c>
      <c r="I185" s="918"/>
      <c r="J185" s="918">
        <f>(P104*100*(E104/366)/(O104+P104+Q104))+(P105*100*(E105/366)/(O105+P105+Q105))</f>
        <v>49.088878334022603</v>
      </c>
      <c r="K185" s="918"/>
      <c r="L185" s="918">
        <f>(Q104*100*(E104/366)/(O104+P104+Q104))+(Q105*100*(E105/366)/(O105+P105+Q105))</f>
        <v>50.911121665977397</v>
      </c>
      <c r="M185" s="918"/>
      <c r="N185" s="919">
        <f t="shared" si="83"/>
        <v>100</v>
      </c>
      <c r="O185" s="919"/>
      <c r="R185" s="2">
        <v>2008</v>
      </c>
      <c r="S185" s="8">
        <f>O104*($E104/366) + O105*($E105/366)</f>
        <v>0</v>
      </c>
      <c r="T185" s="8">
        <f>P104*($E104/366) + P105*($E105/366)</f>
        <v>35.427868852459014</v>
      </c>
      <c r="U185" s="8">
        <f>Q104*($E104/366) + Q105*($E105/366)</f>
        <v>36.700000000000003</v>
      </c>
      <c r="V185" s="13"/>
      <c r="W185" s="8">
        <f>R104*($E104/366) + R105*($E105/366)</f>
        <v>72.127868852459031</v>
      </c>
    </row>
    <row r="186" spans="1:24" ht="9" customHeight="1">
      <c r="A186" s="2">
        <v>2009</v>
      </c>
      <c r="B186" s="8">
        <f>(K106*(E106/365))+(K107*(E107/365))</f>
        <v>0</v>
      </c>
      <c r="C186" s="8">
        <f>(L106*(E106/365))+(L107*(E107/365))</f>
        <v>50</v>
      </c>
      <c r="D186" s="8">
        <f>(M106*(E106/365))+(M107*(E107/365))</f>
        <v>50</v>
      </c>
      <c r="E186" s="24">
        <f t="shared" si="84"/>
        <v>100</v>
      </c>
      <c r="F186" s="6"/>
      <c r="G186" s="2">
        <v>2009</v>
      </c>
      <c r="H186" s="918">
        <f>(O106*100*(E106/365)/(O106+P106+Q106))+(O107*100*(E107/365)/(O107+P107+Q107))</f>
        <v>0</v>
      </c>
      <c r="I186" s="918"/>
      <c r="J186" s="918">
        <f>(P106*100*(E106/365)/(O106+P106+Q106))+(P107*100*(E107/365)/(O107+P107+Q107))</f>
        <v>47.288135593220339</v>
      </c>
      <c r="K186" s="918"/>
      <c r="L186" s="918">
        <f>(Q106*100*(E106/365)/(O106+P106+Q106))+(Q107*100*(E107/365)/(O107+P107+Q107))</f>
        <v>52.711864406779661</v>
      </c>
      <c r="M186" s="918"/>
      <c r="N186" s="919">
        <f t="shared" si="83"/>
        <v>100</v>
      </c>
      <c r="O186" s="919"/>
      <c r="R186" s="2">
        <v>2009</v>
      </c>
      <c r="S186" s="8">
        <f>O106*($E106/365) + O107*($E107/365)</f>
        <v>0</v>
      </c>
      <c r="T186" s="8">
        <f>P106*($E106/365) + P107*($E107/365)</f>
        <v>27.9</v>
      </c>
      <c r="U186" s="8">
        <f>Q106*($E106/365) + Q107*($E107/365)</f>
        <v>31.1</v>
      </c>
      <c r="V186" s="13"/>
      <c r="W186" s="8">
        <f>R106*($E106/365) + R107*($E107/365)</f>
        <v>59</v>
      </c>
    </row>
    <row r="187" spans="1:24" ht="9" customHeight="1">
      <c r="A187" s="2">
        <v>2010</v>
      </c>
      <c r="B187" s="8">
        <f>(K108*($E108/365))+(K109*($E109/365))</f>
        <v>0</v>
      </c>
      <c r="C187" s="8">
        <f>(L108*($E108/365))+(L109*($E109/365))</f>
        <v>50</v>
      </c>
      <c r="D187" s="8">
        <f>(M108*($E108/365))+(M109*($E109/365))</f>
        <v>50</v>
      </c>
      <c r="E187" s="24">
        <f t="shared" si="84"/>
        <v>100</v>
      </c>
      <c r="F187" s="6"/>
      <c r="G187" s="2">
        <v>2010</v>
      </c>
      <c r="H187" s="918">
        <f>(O108*100*($E108/365)/($O108+$P108+$Q108))+(O109*100*($E109/365)/($O109+$P109+$Q109))</f>
        <v>0</v>
      </c>
      <c r="I187" s="918"/>
      <c r="J187" s="918">
        <f>(P108*100*($E108/365)/($O108+$P108+$Q108))+(P109*100*($E109/365)/($O109+$P109+$Q109))</f>
        <v>47.288135593220339</v>
      </c>
      <c r="K187" s="918"/>
      <c r="L187" s="918">
        <f>(Q108*100*($E108/365)/($O108+$P108+$Q108))+(Q109*100*($E109/365)/($O109+$P109+$Q109))</f>
        <v>52.711864406779661</v>
      </c>
      <c r="M187" s="918"/>
      <c r="N187" s="919">
        <f t="shared" si="83"/>
        <v>100</v>
      </c>
      <c r="O187" s="919"/>
      <c r="R187" s="2">
        <v>2010</v>
      </c>
      <c r="S187" s="8">
        <f>O108*($E108/365) + O109*($E109/365)</f>
        <v>0</v>
      </c>
      <c r="T187" s="8">
        <f>P108*($E108/365) + P109*($E109/365)</f>
        <v>27.9</v>
      </c>
      <c r="U187" s="8">
        <f>Q108*($E108/365) + Q109*($E109/365)</f>
        <v>31.1</v>
      </c>
      <c r="V187" s="13"/>
      <c r="W187" s="8">
        <f>R108*($E108/365) + R109*($E109/365)</f>
        <v>59</v>
      </c>
    </row>
    <row r="188" spans="1:24" ht="9" customHeight="1">
      <c r="A188" s="2">
        <v>2011</v>
      </c>
      <c r="B188" s="8">
        <f>(K110*($E110/365))+(K111*($E111/365))</f>
        <v>0</v>
      </c>
      <c r="C188" s="8">
        <f>(L110*($E110/365))+(L111*($E111/365))</f>
        <v>50</v>
      </c>
      <c r="D188" s="8">
        <f>(M110*($E110/365))+(M111*($E111/365))</f>
        <v>50</v>
      </c>
      <c r="E188" s="24">
        <f t="shared" si="84"/>
        <v>100</v>
      </c>
      <c r="F188" s="6"/>
      <c r="G188" s="2">
        <v>2011</v>
      </c>
      <c r="H188" s="918">
        <f>(O110*100*($E110/365)/($O110+$P110+$Q110))+(O111*100*($E111/365)/($O111+$P111+$Q111))</f>
        <v>0</v>
      </c>
      <c r="I188" s="918"/>
      <c r="J188" s="918">
        <f>(P110*100*($E110/365)/($O110+$P110+$Q110))+(P111*100*($E111/365)/($O111+$P111+$Q111))</f>
        <v>47.288135593220339</v>
      </c>
      <c r="K188" s="918"/>
      <c r="L188" s="918">
        <f>(Q110*100*($E110/365)/($O110+$P110+$Q110))+(Q111*100*($E111/365)/($O111+$P111+$Q111))</f>
        <v>52.711864406779661</v>
      </c>
      <c r="M188" s="918"/>
      <c r="N188" s="919">
        <f t="shared" si="83"/>
        <v>100</v>
      </c>
      <c r="O188" s="919"/>
      <c r="R188" s="2">
        <v>2011</v>
      </c>
      <c r="S188" s="8">
        <f>O110*($E110/365) + O111*($E111/365)</f>
        <v>0</v>
      </c>
      <c r="T188" s="8">
        <f>P110*($E110/365) + P111*($E111/365)</f>
        <v>27.9</v>
      </c>
      <c r="U188" s="8">
        <f>Q110*($E110/365) + Q111*($E111/365)</f>
        <v>31.1</v>
      </c>
      <c r="V188" s="13"/>
      <c r="W188" s="8">
        <f>R110*($E110/365) + R111*($E111/365)</f>
        <v>59</v>
      </c>
    </row>
    <row r="189" spans="1:24" ht="9" customHeight="1">
      <c r="A189" s="2">
        <v>2012</v>
      </c>
      <c r="B189" s="8">
        <f>(K112*($E112/366))+(K113*($E113/366))</f>
        <v>0</v>
      </c>
      <c r="C189" s="8">
        <f>(L112*($E112/366))+(L113*($E113/366))</f>
        <v>50</v>
      </c>
      <c r="D189" s="8">
        <f>(M112*($E112/366))+(M113*($E113/366))</f>
        <v>50</v>
      </c>
      <c r="E189" s="24">
        <f t="shared" si="84"/>
        <v>100</v>
      </c>
      <c r="F189" s="6"/>
      <c r="G189" s="2">
        <v>2012</v>
      </c>
      <c r="H189" s="918">
        <f>(O112*100*($E112/366)/($O112+$P112+$Q112))+(O113*100*($E113/366)/($O113+$P113+$Q113))</f>
        <v>0</v>
      </c>
      <c r="I189" s="918"/>
      <c r="J189" s="918">
        <f>(P112*100*($E112/366)/($O112+$P112+$Q112))+(P113*100*($E113/366)/($O113+$P113+$Q113))</f>
        <v>47.288135593220339</v>
      </c>
      <c r="K189" s="918"/>
      <c r="L189" s="918">
        <f>(Q112*100*($E112/366)/($O112+$P112+$Q112))+(Q113*100*($E113/366)/($O113+$P113+$Q113))</f>
        <v>52.711864406779661</v>
      </c>
      <c r="M189" s="918"/>
      <c r="N189" s="919">
        <f t="shared" si="83"/>
        <v>100</v>
      </c>
      <c r="O189" s="919"/>
      <c r="R189" s="2">
        <v>2012</v>
      </c>
      <c r="S189" s="8">
        <f>O112*($E112/366) + O113*($E113/366)</f>
        <v>0</v>
      </c>
      <c r="T189" s="8">
        <f>P112*($E112/366) + P113*($E113/366)</f>
        <v>27.9</v>
      </c>
      <c r="U189" s="8">
        <f>Q112*($E112/366) + Q113*($E113/366)</f>
        <v>31.1</v>
      </c>
      <c r="V189" s="13"/>
      <c r="W189" s="8">
        <f>R112*($E112/366) + R113*($E113/366)</f>
        <v>59</v>
      </c>
    </row>
    <row r="190" spans="1:24" ht="9" customHeight="1">
      <c r="A190" s="2">
        <v>2013</v>
      </c>
      <c r="B190" s="639">
        <f>(K114*($E114/365))+(K115*($E115/365))</f>
        <v>0</v>
      </c>
      <c r="C190" s="8">
        <f>(L114*($E114/365))+(L115*($E115/365))</f>
        <v>50</v>
      </c>
      <c r="D190" s="8">
        <f>(M114*($E114/365))+(M115*($E115/365))</f>
        <v>50</v>
      </c>
      <c r="E190" s="261">
        <f t="shared" si="84"/>
        <v>100</v>
      </c>
      <c r="G190" s="2">
        <v>2013</v>
      </c>
      <c r="H190" s="918">
        <f>(O114*100*($E114/365)/($O114+$P114+$Q114))+(O115*100*($E115/365)/($O115+$P115+$Q115))</f>
        <v>0</v>
      </c>
      <c r="I190" s="918"/>
      <c r="J190" s="918">
        <f>(P114*100*($E114/365)/($O114+$P114+$Q114))+(P115*100*($E115/365)/($O115+$P115+$Q115))</f>
        <v>47.297625367636485</v>
      </c>
      <c r="K190" s="918"/>
      <c r="L190" s="918">
        <f>(Q114*100*($E114/365)/($O114+$P114+$Q114))+(Q115*100*($E115/365)/($O115+$P115+$Q115))</f>
        <v>52.702374632363515</v>
      </c>
      <c r="M190" s="918"/>
      <c r="N190" s="919">
        <f t="shared" ref="N190:N194" si="86">SUM(H190:M190)</f>
        <v>100</v>
      </c>
      <c r="O190" s="919"/>
      <c r="R190" s="2">
        <v>2013</v>
      </c>
      <c r="S190" s="8">
        <f>O114*($E114/365) + O115*($E115/365)</f>
        <v>0</v>
      </c>
      <c r="T190" s="8">
        <f>P114*($E114/365) + P115*($E115/365)</f>
        <v>27.803561643835614</v>
      </c>
      <c r="U190" s="8">
        <f>Q114*($E114/365) + Q115*($E115/365)</f>
        <v>30.981643835616438</v>
      </c>
      <c r="W190" s="8">
        <f>R114*($E114/365) + R115*($E115/365)</f>
        <v>58.785205479452053</v>
      </c>
      <c r="X190" s="6"/>
    </row>
    <row r="191" spans="1:24" ht="9" customHeight="1">
      <c r="A191" s="2">
        <v>2014</v>
      </c>
      <c r="B191" s="8">
        <f>(K116*($E116/365))+(K117*($E117/365))</f>
        <v>0</v>
      </c>
      <c r="C191" s="8">
        <f>(L116*($E116/365))+(L117*($E117/365))</f>
        <v>50</v>
      </c>
      <c r="D191" s="8">
        <f>(M116*($E116/365))+(M117*($E117/365))</f>
        <v>50</v>
      </c>
      <c r="E191" s="435">
        <f t="shared" si="84"/>
        <v>100</v>
      </c>
      <c r="G191" s="2">
        <v>2014</v>
      </c>
      <c r="H191" s="918">
        <f>(O116*100*($E116/365)/($O116+$P116+$Q116))+(O117*100*($E117/365)/($O117+$P117+$Q117))</f>
        <v>0</v>
      </c>
      <c r="I191" s="918"/>
      <c r="J191" s="918">
        <f>(P116*100*($E116/365)/($O116+$P116+$Q116))+(P117*100*($E117/365)/($O117+$P117+$Q117))</f>
        <v>47.504621072088732</v>
      </c>
      <c r="K191" s="918"/>
      <c r="L191" s="918">
        <f>(Q116*100*($E116/365)/($O116+$P116+$Q116))+(Q117*100*($E117/365)/($O117+$P117+$Q117))</f>
        <v>52.495378927911283</v>
      </c>
      <c r="M191" s="918"/>
      <c r="N191" s="919">
        <f t="shared" si="86"/>
        <v>100.00000000000001</v>
      </c>
      <c r="O191" s="919"/>
      <c r="R191" s="2">
        <v>2014</v>
      </c>
      <c r="S191" s="8">
        <f>O116*($E116/365) + O117*($E117/365)</f>
        <v>0</v>
      </c>
      <c r="T191" s="8">
        <f>P116*($E116/365) + P117*($E117/365)</f>
        <v>25.7</v>
      </c>
      <c r="U191" s="8">
        <f>Q116*($E116/365) + Q117*($E117/365)</f>
        <v>28.4</v>
      </c>
      <c r="W191" s="8">
        <f>R116*($E116/365) + R117*($E117/365)</f>
        <v>54.099999999999994</v>
      </c>
      <c r="X191" s="6"/>
    </row>
    <row r="192" spans="1:24" s="570" customFormat="1" ht="9" customHeight="1">
      <c r="A192" s="570">
        <v>2015</v>
      </c>
      <c r="B192" s="8">
        <f>(K118*($E118/365))+(K119*($E119/365))</f>
        <v>0</v>
      </c>
      <c r="C192" s="566">
        <f>(L118*($E118/365))+(L119*($E119/365))</f>
        <v>50</v>
      </c>
      <c r="D192" s="566">
        <f>(M118*($E118/365))+(M119*($E119/365))</f>
        <v>50</v>
      </c>
      <c r="E192" s="567">
        <f>SUM(B192:D192)</f>
        <v>100</v>
      </c>
      <c r="G192" s="570">
        <v>2015</v>
      </c>
      <c r="H192" s="918">
        <f>(O118*100*($E118/365)/($O118+$P118+$Q118))+(O119*100*($E119/365)/($O119+$P119+$Q119))</f>
        <v>0</v>
      </c>
      <c r="I192" s="918"/>
      <c r="J192" s="918">
        <f>(P118*100*($E118/365)/($O118+$P118+$Q118))+(P119*100*($E119/365)/($O119+$P119+$Q119))</f>
        <v>47.504621072088732</v>
      </c>
      <c r="K192" s="918"/>
      <c r="L192" s="918">
        <f>(Q118*100*($E118/365)/($O118+$P118+$Q118))+(Q119*100*($E119/365)/($O119+$P119+$Q119))</f>
        <v>52.495378927911283</v>
      </c>
      <c r="M192" s="918"/>
      <c r="N192" s="919">
        <f t="shared" si="86"/>
        <v>100.00000000000001</v>
      </c>
      <c r="O192" s="919"/>
      <c r="R192" s="570">
        <v>2015</v>
      </c>
      <c r="S192" s="566">
        <f>O118*($E118/365) + O119*($E119/365)</f>
        <v>0</v>
      </c>
      <c r="T192" s="566">
        <f>P118*($E118/365) + P119*($E119/365)</f>
        <v>25.7</v>
      </c>
      <c r="U192" s="566">
        <f>Q118*($E118/365) + Q119*($E119/365)</f>
        <v>28.4</v>
      </c>
      <c r="W192" s="566">
        <f>R118*($E118/365) + R119*($E119/365)</f>
        <v>54.099999999999994</v>
      </c>
      <c r="X192" s="6"/>
    </row>
    <row r="193" spans="1:24" s="570" customFormat="1" ht="9" customHeight="1">
      <c r="A193" s="570">
        <v>2016</v>
      </c>
      <c r="B193" s="639">
        <f>(K120*($E120/366))+(K121*($E121/366))</f>
        <v>0</v>
      </c>
      <c r="C193" s="639">
        <f>(L120*($E120/366))+(L121*($E121/366))</f>
        <v>50</v>
      </c>
      <c r="D193" s="639">
        <f>(M120*($E120/366))+(M121*($E121/366))</f>
        <v>50</v>
      </c>
      <c r="E193" s="640">
        <f t="shared" si="84"/>
        <v>100</v>
      </c>
      <c r="G193" s="570">
        <v>2016</v>
      </c>
      <c r="H193" s="918">
        <f>(O120*100*($E120/366)/($O120+$P120+$Q120))+(O121*100*($E121/366)/($O121+$P121+$Q121))</f>
        <v>0</v>
      </c>
      <c r="I193" s="918"/>
      <c r="J193" s="918">
        <f>(P120*100*($E120/366)/($O120+$P120+$Q120))+(P121*100*($E121/366)/($O121+$P121+$Q121))</f>
        <v>48.448117498062501</v>
      </c>
      <c r="K193" s="918"/>
      <c r="L193" s="918">
        <f>(Q120*100*($E120/366)/($O120+$P120+$Q120))+(Q121*100*($E121/366)/($O121+$P121+$Q121))</f>
        <v>51.551882501937492</v>
      </c>
      <c r="M193" s="918"/>
      <c r="N193" s="919">
        <f t="shared" si="86"/>
        <v>100</v>
      </c>
      <c r="O193" s="919"/>
      <c r="R193" s="570">
        <v>2016</v>
      </c>
      <c r="S193" s="639">
        <f>O120*($E120/366) + O121*($E121/366)</f>
        <v>0</v>
      </c>
      <c r="T193" s="639">
        <f>P120*($E120/366) + P121*($E121/366)</f>
        <v>26.701092896174863</v>
      </c>
      <c r="U193" s="639">
        <f>Q120*($E120/366) + Q121*($E121/366)</f>
        <v>28.4</v>
      </c>
      <c r="W193" s="639">
        <f>R120*($E120/366) + R121*($E121/366)</f>
        <v>55.101092896174862</v>
      </c>
      <c r="X193" s="6"/>
    </row>
    <row r="194" spans="1:24">
      <c r="A194" s="738">
        <v>2017</v>
      </c>
      <c r="B194" s="736">
        <f>(K122*($E122/365))+(K123*($E123/365))</f>
        <v>1.6438356164383561</v>
      </c>
      <c r="C194" s="736">
        <f>(L122*($E122/365))+(L123*($E123/365))</f>
        <v>50.273972602739732</v>
      </c>
      <c r="D194" s="736">
        <f>(M122*($E122/365))+(M123*($E123/365))</f>
        <v>48.082191780821923</v>
      </c>
      <c r="E194" s="737">
        <f>SUM(B194:D194)</f>
        <v>100.00000000000001</v>
      </c>
      <c r="F194" s="738"/>
      <c r="G194" s="738">
        <v>2017</v>
      </c>
      <c r="H194" s="918">
        <f>(O122*100*($E122/365)/($O122+$P122+$Q122))+(O123*100*($E123/365)/($O123+$P123+$Q123))</f>
        <v>1.7316132464423462</v>
      </c>
      <c r="I194" s="918"/>
      <c r="J194" s="918">
        <f>(P122*100*($E122/365)/($O122+$P122+$Q122))+(P123*100*($E123/365)/($O123+$P123+$Q123))</f>
        <v>49.236636427692574</v>
      </c>
      <c r="K194" s="918"/>
      <c r="L194" s="918">
        <f>(Q122*100*($E122/365)/($O122+$P122+$Q122))+(Q123*100*($E123/365)/($O123+$P123+$Q123))</f>
        <v>49.031750325865076</v>
      </c>
      <c r="M194" s="918"/>
      <c r="N194" s="919">
        <f t="shared" si="86"/>
        <v>100</v>
      </c>
      <c r="O194" s="919"/>
      <c r="P194" s="738"/>
      <c r="Q194" s="738"/>
      <c r="R194" s="738">
        <v>2017</v>
      </c>
      <c r="S194" s="736">
        <f>O122*($E122/365) + O123*($E123/365)</f>
        <v>1.0701369863013699</v>
      </c>
      <c r="T194" s="736">
        <f t="shared" ref="T194:U194" si="87">P122*($E122/365) + P123*($E123/365)</f>
        <v>27.553150684931509</v>
      </c>
      <c r="U194" s="736">
        <f t="shared" si="87"/>
        <v>27.310684931506849</v>
      </c>
      <c r="V194" s="738"/>
      <c r="W194" s="736">
        <f>R122*($E122/365) + R123*($E123/365)</f>
        <v>55.933972602739729</v>
      </c>
    </row>
    <row r="195" spans="1:24">
      <c r="A195" s="761">
        <v>2018</v>
      </c>
      <c r="B195" s="757">
        <f>(K124*($E124/365))+(K125*($E125/365))</f>
        <v>50</v>
      </c>
      <c r="C195" s="757">
        <f>(L124*($E124/365))+(L125*($E125/365))</f>
        <v>50</v>
      </c>
      <c r="D195" s="757">
        <f>(M124*($E124/365))+(M125*($E125/365))</f>
        <v>0</v>
      </c>
      <c r="E195" s="758">
        <f>SUM(B195:D195)</f>
        <v>100</v>
      </c>
      <c r="F195" s="761"/>
      <c r="G195" s="761">
        <v>2018</v>
      </c>
      <c r="H195" s="918">
        <f>(O124*100*($E124/365)/($O124+$P124+$Q124))+(O125*100*($E125/365)/($O125+$P125+$Q125))</f>
        <v>45.145631067961169</v>
      </c>
      <c r="I195" s="918"/>
      <c r="J195" s="918">
        <f>(P124*100*($E124/365)/($O124+$P124+$Q124))+(P125*100*($E125/365)/($O125+$P125+$Q125))</f>
        <v>54.854368932038838</v>
      </c>
      <c r="K195" s="918"/>
      <c r="L195" s="918">
        <f>(Q124*100*($E124/365)/($O124+$P124+$Q124))+(Q125*100*($E125/365)/($O125+$P125+$Q125))</f>
        <v>0</v>
      </c>
      <c r="M195" s="918"/>
      <c r="N195" s="919">
        <f>SUM(H195:M195)</f>
        <v>100</v>
      </c>
      <c r="O195" s="919"/>
      <c r="P195" s="761"/>
      <c r="Q195" s="761"/>
      <c r="R195" s="761">
        <v>2018</v>
      </c>
      <c r="S195" s="757">
        <f>O124*($E124/365) + O125*($E125/365)</f>
        <v>27.9</v>
      </c>
      <c r="T195" s="757">
        <f>P124*($E124/365) + P125*($E125/365)</f>
        <v>33.9</v>
      </c>
      <c r="U195" s="757">
        <f>Q124*($E124/365) + Q125*($E125/365)</f>
        <v>0</v>
      </c>
      <c r="V195" s="761"/>
      <c r="W195" s="757">
        <f>R124*($E124/365) + R125*($E125/365)</f>
        <v>61.8</v>
      </c>
    </row>
    <row r="196" spans="1:24">
      <c r="A196" s="2">
        <v>2019</v>
      </c>
      <c r="B196" s="781">
        <f>(K126*($E126/365))+(K127*($E127/365))+(K128*(E128/365))+(K129*(E129/365))</f>
        <v>19.315068493150687</v>
      </c>
      <c r="C196" s="781">
        <f>(L126*($E126/365))+(L127*($E127/365))+(L128*(E128/365))+(L129*(E129/365))</f>
        <v>21.285563751317177</v>
      </c>
      <c r="D196" s="781">
        <f>(M126*($E126/365))+(M127*($E127/365))+(M128*(E128/365))+(M129*(E129/365))</f>
        <v>0</v>
      </c>
      <c r="E196" s="824">
        <f>SUM(B196:D196)</f>
        <v>40.60063224446786</v>
      </c>
      <c r="F196" s="783"/>
      <c r="G196" s="783">
        <v>2019</v>
      </c>
      <c r="H196" s="918">
        <f>(O126*100*($E126/365)/($O126+$P126+$Q126))+(O127*100*($E127/365)/($O127+$P127+$Q127))+(O128*100*(E128/365)/(O128+P128+Q128))</f>
        <v>18.181939087644636</v>
      </c>
      <c r="I196" s="918"/>
      <c r="J196" s="918">
        <f>(P126*100*($E126/365)/($O126+$P126+$Q126))+(P127*100*($E127/365)/(PO127+$P127+$Q127))+(P128*100*(E128/365)/(Q128+R128+S128))</f>
        <v>24.230795768514252</v>
      </c>
      <c r="K196" s="918"/>
      <c r="L196" s="918">
        <f>(Q126*100*($E126/365)/($O126+$P126+$Q126))+(Q127*100*($E127/365)/($O127+$P127+$Q127))+(Q128*100*(E128/365)/(Q128+R128+S128))</f>
        <v>0</v>
      </c>
      <c r="M196" s="918"/>
      <c r="N196" s="919">
        <f>SUM(H196:M196)</f>
        <v>42.412734856158892</v>
      </c>
      <c r="O196" s="919"/>
      <c r="P196" s="783"/>
      <c r="Q196" s="783"/>
      <c r="R196" s="783">
        <v>2019</v>
      </c>
      <c r="S196" s="781">
        <f>O126*($E126/365) + O127*($E127/365)+O128*(E128/365) +O129*(E129/365)</f>
        <v>11.236438356164383</v>
      </c>
      <c r="T196" s="781">
        <f>P126*($E126/365) + P127*($E127/365)+P128*(E128/365) +P129*(E129/365)</f>
        <v>14.21013698630137</v>
      </c>
      <c r="U196" s="781">
        <f>Q126*($E126/365) + Q127*($E127/365)+Q128*(E128/365) +Q129*(E129/365)</f>
        <v>0</v>
      </c>
      <c r="V196" s="783"/>
      <c r="W196" s="781">
        <f>R126*($E126/365) + R127*($E127/365)</f>
        <v>24.889315068493151</v>
      </c>
    </row>
  </sheetData>
  <mergeCells count="394">
    <mergeCell ref="N196:O196"/>
    <mergeCell ref="H196:I196"/>
    <mergeCell ref="L196:M196"/>
    <mergeCell ref="J196:K196"/>
    <mergeCell ref="C126:D126"/>
    <mergeCell ref="C128:D128"/>
    <mergeCell ref="C129:D129"/>
    <mergeCell ref="C127:D127"/>
    <mergeCell ref="C124:D124"/>
    <mergeCell ref="C125:D125"/>
    <mergeCell ref="H195:I195"/>
    <mergeCell ref="J195:K195"/>
    <mergeCell ref="L195:M195"/>
    <mergeCell ref="N195:O195"/>
    <mergeCell ref="H194:I194"/>
    <mergeCell ref="J194:K194"/>
    <mergeCell ref="L194:M194"/>
    <mergeCell ref="N194:O194"/>
    <mergeCell ref="H136:I136"/>
    <mergeCell ref="J136:K136"/>
    <mergeCell ref="L136:M136"/>
    <mergeCell ref="J145:K145"/>
    <mergeCell ref="J146:K146"/>
    <mergeCell ref="H135:I135"/>
    <mergeCell ref="J142:K142"/>
    <mergeCell ref="J143:K143"/>
    <mergeCell ref="J144:K144"/>
    <mergeCell ref="J147:K147"/>
    <mergeCell ref="J148:K148"/>
    <mergeCell ref="J149:K149"/>
    <mergeCell ref="H143:I143"/>
    <mergeCell ref="C122:D122"/>
    <mergeCell ref="C123:D123"/>
    <mergeCell ref="H147:I147"/>
    <mergeCell ref="H148:I148"/>
    <mergeCell ref="H149:I149"/>
    <mergeCell ref="H137:I137"/>
    <mergeCell ref="H138:I138"/>
    <mergeCell ref="H139:I139"/>
    <mergeCell ref="H140:I140"/>
    <mergeCell ref="H145:I145"/>
    <mergeCell ref="J138:K138"/>
    <mergeCell ref="J139:K139"/>
    <mergeCell ref="J140:K140"/>
    <mergeCell ref="H141:I141"/>
    <mergeCell ref="H142:I142"/>
    <mergeCell ref="J137:K137"/>
    <mergeCell ref="L190:M190"/>
    <mergeCell ref="N190:O190"/>
    <mergeCell ref="C115:D115"/>
    <mergeCell ref="H167:I167"/>
    <mergeCell ref="L177:M177"/>
    <mergeCell ref="L178:M178"/>
    <mergeCell ref="J187:K187"/>
    <mergeCell ref="J188:K188"/>
    <mergeCell ref="J189:K189"/>
    <mergeCell ref="H182:I182"/>
    <mergeCell ref="J169:K169"/>
    <mergeCell ref="H179:I179"/>
    <mergeCell ref="H180:I180"/>
    <mergeCell ref="J184:K184"/>
    <mergeCell ref="J185:K185"/>
    <mergeCell ref="J186:K186"/>
    <mergeCell ref="H181:I181"/>
    <mergeCell ref="H183:I183"/>
    <mergeCell ref="L135:M135"/>
    <mergeCell ref="L148:M148"/>
    <mergeCell ref="L149:M149"/>
    <mergeCell ref="H144:I144"/>
    <mergeCell ref="L137:M137"/>
    <mergeCell ref="H146:I146"/>
    <mergeCell ref="C114:D114"/>
    <mergeCell ref="H190:I190"/>
    <mergeCell ref="J190:K190"/>
    <mergeCell ref="N136:O136"/>
    <mergeCell ref="L187:M187"/>
    <mergeCell ref="L188:M188"/>
    <mergeCell ref="L189:M189"/>
    <mergeCell ref="L179:M179"/>
    <mergeCell ref="L180:M180"/>
    <mergeCell ref="L169:M169"/>
    <mergeCell ref="L170:M170"/>
    <mergeCell ref="L171:M171"/>
    <mergeCell ref="L172:M172"/>
    <mergeCell ref="L173:M173"/>
    <mergeCell ref="L186:M186"/>
    <mergeCell ref="L174:M174"/>
    <mergeCell ref="L181:M181"/>
    <mergeCell ref="L182:M182"/>
    <mergeCell ref="L183:M183"/>
    <mergeCell ref="L184:M184"/>
    <mergeCell ref="L185:M185"/>
    <mergeCell ref="J167:K167"/>
    <mergeCell ref="J168:K168"/>
    <mergeCell ref="H178:I178"/>
    <mergeCell ref="G3:M3"/>
    <mergeCell ref="O3:Q3"/>
    <mergeCell ref="J135:K135"/>
    <mergeCell ref="N135:O135"/>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30:D30"/>
    <mergeCell ref="C31:D31"/>
    <mergeCell ref="C32:D32"/>
    <mergeCell ref="C33:D33"/>
    <mergeCell ref="C34:D34"/>
    <mergeCell ref="C35:D35"/>
    <mergeCell ref="C24:D24"/>
    <mergeCell ref="C25:D25"/>
    <mergeCell ref="C26:D26"/>
    <mergeCell ref="C27:D27"/>
    <mergeCell ref="C28:D28"/>
    <mergeCell ref="C29:D29"/>
    <mergeCell ref="C42:D42"/>
    <mergeCell ref="C43:D43"/>
    <mergeCell ref="C44:D44"/>
    <mergeCell ref="C45:D45"/>
    <mergeCell ref="C46:D46"/>
    <mergeCell ref="C47:D47"/>
    <mergeCell ref="C36:D36"/>
    <mergeCell ref="C37:D37"/>
    <mergeCell ref="C38:D38"/>
    <mergeCell ref="C39:D39"/>
    <mergeCell ref="C40:D40"/>
    <mergeCell ref="C41:D41"/>
    <mergeCell ref="C65:D65"/>
    <mergeCell ref="C54:D54"/>
    <mergeCell ref="C55:D55"/>
    <mergeCell ref="C56:D56"/>
    <mergeCell ref="C57:D57"/>
    <mergeCell ref="C58:D58"/>
    <mergeCell ref="C59:D59"/>
    <mergeCell ref="C48:D48"/>
    <mergeCell ref="C49:D49"/>
    <mergeCell ref="C50:D50"/>
    <mergeCell ref="C51:D51"/>
    <mergeCell ref="C52:D52"/>
    <mergeCell ref="C53:D53"/>
    <mergeCell ref="C113:D113"/>
    <mergeCell ref="C102:D102"/>
    <mergeCell ref="C103:D103"/>
    <mergeCell ref="C104:D104"/>
    <mergeCell ref="C105:D105"/>
    <mergeCell ref="C106:D106"/>
    <mergeCell ref="C107:D107"/>
    <mergeCell ref="C96:D96"/>
    <mergeCell ref="C97:D97"/>
    <mergeCell ref="C98:D98"/>
    <mergeCell ref="C100:D100"/>
    <mergeCell ref="C101:D101"/>
    <mergeCell ref="C108:D108"/>
    <mergeCell ref="C99:D99"/>
    <mergeCell ref="A4:A5"/>
    <mergeCell ref="C4:D5"/>
    <mergeCell ref="B4:B5"/>
    <mergeCell ref="E4:E5"/>
    <mergeCell ref="F4:F5"/>
    <mergeCell ref="C109:D109"/>
    <mergeCell ref="C110:D110"/>
    <mergeCell ref="C111:D111"/>
    <mergeCell ref="C112:D112"/>
    <mergeCell ref="C90:D90"/>
    <mergeCell ref="C91:D91"/>
    <mergeCell ref="C92:D92"/>
    <mergeCell ref="C93:D93"/>
    <mergeCell ref="C94:D94"/>
    <mergeCell ref="C95:D95"/>
    <mergeCell ref="C84:D84"/>
    <mergeCell ref="C85:D85"/>
    <mergeCell ref="C86:D86"/>
    <mergeCell ref="C87:D87"/>
    <mergeCell ref="C88:D88"/>
    <mergeCell ref="C89:D89"/>
    <mergeCell ref="C78:D78"/>
    <mergeCell ref="C79:D79"/>
    <mergeCell ref="C80:D80"/>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C69:D69"/>
    <mergeCell ref="C70:D70"/>
    <mergeCell ref="C71:D71"/>
    <mergeCell ref="C60:D60"/>
    <mergeCell ref="C61:D61"/>
    <mergeCell ref="C62:D62"/>
    <mergeCell ref="C63:D63"/>
    <mergeCell ref="C64:D64"/>
    <mergeCell ref="G4:J4"/>
    <mergeCell ref="H150:I150"/>
    <mergeCell ref="H151:I151"/>
    <mergeCell ref="H152:I152"/>
    <mergeCell ref="H153:I153"/>
    <mergeCell ref="H154:I154"/>
    <mergeCell ref="H155:I155"/>
    <mergeCell ref="J157:K157"/>
    <mergeCell ref="J158:K158"/>
    <mergeCell ref="J159:K159"/>
    <mergeCell ref="J156:K156"/>
    <mergeCell ref="H171:I171"/>
    <mergeCell ref="H172:I172"/>
    <mergeCell ref="H184:I184"/>
    <mergeCell ref="H185:I185"/>
    <mergeCell ref="H186:I186"/>
    <mergeCell ref="L175:M175"/>
    <mergeCell ref="L176:M176"/>
    <mergeCell ref="J153:K153"/>
    <mergeCell ref="J154:K154"/>
    <mergeCell ref="J155:K155"/>
    <mergeCell ref="J160:K160"/>
    <mergeCell ref="H173:I173"/>
    <mergeCell ref="H174:I174"/>
    <mergeCell ref="H176:I176"/>
    <mergeCell ref="H177:I177"/>
    <mergeCell ref="H164:I164"/>
    <mergeCell ref="J164:K164"/>
    <mergeCell ref="J165:K165"/>
    <mergeCell ref="H162:I162"/>
    <mergeCell ref="J166:K166"/>
    <mergeCell ref="H156:I156"/>
    <mergeCell ref="H157:I157"/>
    <mergeCell ref="H158:I158"/>
    <mergeCell ref="H159:I159"/>
    <mergeCell ref="H188:I188"/>
    <mergeCell ref="H189:I189"/>
    <mergeCell ref="J161:K161"/>
    <mergeCell ref="J170:K170"/>
    <mergeCell ref="J171:K171"/>
    <mergeCell ref="J172:K172"/>
    <mergeCell ref="J173:K173"/>
    <mergeCell ref="J174:K174"/>
    <mergeCell ref="J175:K175"/>
    <mergeCell ref="J176:K176"/>
    <mergeCell ref="J177:K177"/>
    <mergeCell ref="J178:K178"/>
    <mergeCell ref="J179:K179"/>
    <mergeCell ref="J180:K180"/>
    <mergeCell ref="J181:K181"/>
    <mergeCell ref="J182:K182"/>
    <mergeCell ref="J183:K183"/>
    <mergeCell ref="H187:I187"/>
    <mergeCell ref="J162:K162"/>
    <mergeCell ref="H165:I165"/>
    <mergeCell ref="H166:I166"/>
    <mergeCell ref="H170:I170"/>
    <mergeCell ref="H175:I175"/>
    <mergeCell ref="H161:I161"/>
    <mergeCell ref="H160:I160"/>
    <mergeCell ref="H163:I163"/>
    <mergeCell ref="H168:I168"/>
    <mergeCell ref="H169:I169"/>
    <mergeCell ref="J163:K163"/>
    <mergeCell ref="AT4:AW4"/>
    <mergeCell ref="AX4:BA4"/>
    <mergeCell ref="N188:O188"/>
    <mergeCell ref="N154:O154"/>
    <mergeCell ref="N155:O155"/>
    <mergeCell ref="N160:O160"/>
    <mergeCell ref="N161:O161"/>
    <mergeCell ref="N162:O162"/>
    <mergeCell ref="N163:O163"/>
    <mergeCell ref="N158:O158"/>
    <mergeCell ref="N159:O159"/>
    <mergeCell ref="AD4:AG4"/>
    <mergeCell ref="AH4:AK4"/>
    <mergeCell ref="AL4:AO4"/>
    <mergeCell ref="AP4:AS4"/>
    <mergeCell ref="V4:Y4"/>
    <mergeCell ref="K4:N4"/>
    <mergeCell ref="O4:R4"/>
    <mergeCell ref="Z4:AC4"/>
    <mergeCell ref="R133:W133"/>
    <mergeCell ref="N137:O137"/>
    <mergeCell ref="J150:K150"/>
    <mergeCell ref="J151:K151"/>
    <mergeCell ref="J152:K152"/>
    <mergeCell ref="N189:O189"/>
    <mergeCell ref="N176:O176"/>
    <mergeCell ref="N177:O177"/>
    <mergeCell ref="N184:O184"/>
    <mergeCell ref="N185:O185"/>
    <mergeCell ref="N186:O186"/>
    <mergeCell ref="N187:O187"/>
    <mergeCell ref="N165:O165"/>
    <mergeCell ref="N172:O172"/>
    <mergeCell ref="N173:O173"/>
    <mergeCell ref="N174:O174"/>
    <mergeCell ref="N175:O175"/>
    <mergeCell ref="N167:O167"/>
    <mergeCell ref="N168:O168"/>
    <mergeCell ref="N169:O169"/>
    <mergeCell ref="N170:O170"/>
    <mergeCell ref="N171:O171"/>
    <mergeCell ref="N166:O166"/>
    <mergeCell ref="J141:K141"/>
    <mergeCell ref="C116:D116"/>
    <mergeCell ref="C117:D117"/>
    <mergeCell ref="N191:O191"/>
    <mergeCell ref="N180:O180"/>
    <mergeCell ref="N181:O181"/>
    <mergeCell ref="N164:O164"/>
    <mergeCell ref="N140:O140"/>
    <mergeCell ref="N141:O141"/>
    <mergeCell ref="N150:O150"/>
    <mergeCell ref="N151:O151"/>
    <mergeCell ref="N152:O152"/>
    <mergeCell ref="N153:O153"/>
    <mergeCell ref="N142:O142"/>
    <mergeCell ref="N143:O143"/>
    <mergeCell ref="N144:O144"/>
    <mergeCell ref="N149:O149"/>
    <mergeCell ref="N182:O182"/>
    <mergeCell ref="N183:O183"/>
    <mergeCell ref="N178:O178"/>
    <mergeCell ref="N179:O179"/>
    <mergeCell ref="L167:M167"/>
    <mergeCell ref="L168:M168"/>
    <mergeCell ref="N145:O145"/>
    <mergeCell ref="N146:O146"/>
    <mergeCell ref="C118:D118"/>
    <mergeCell ref="C119:D119"/>
    <mergeCell ref="H191:I191"/>
    <mergeCell ref="J191:K191"/>
    <mergeCell ref="L191:M191"/>
    <mergeCell ref="N147:O147"/>
    <mergeCell ref="N148:O148"/>
    <mergeCell ref="L166:M166"/>
    <mergeCell ref="N156:O156"/>
    <mergeCell ref="N157:O157"/>
    <mergeCell ref="L156:M156"/>
    <mergeCell ref="L147:M147"/>
    <mergeCell ref="L154:M154"/>
    <mergeCell ref="L155:M155"/>
    <mergeCell ref="L157:M157"/>
    <mergeCell ref="L158:M158"/>
    <mergeCell ref="N138:O138"/>
    <mergeCell ref="N139:O139"/>
    <mergeCell ref="L160:M160"/>
    <mergeCell ref="L161:M161"/>
    <mergeCell ref="L162:M162"/>
    <mergeCell ref="L163:M163"/>
    <mergeCell ref="L164:M164"/>
    <mergeCell ref="L165:M165"/>
    <mergeCell ref="C121:D121"/>
    <mergeCell ref="C120:D120"/>
    <mergeCell ref="H193:I193"/>
    <mergeCell ref="J193:K193"/>
    <mergeCell ref="L193:M193"/>
    <mergeCell ref="N193:O193"/>
    <mergeCell ref="H192:I192"/>
    <mergeCell ref="J192:K192"/>
    <mergeCell ref="L192:M192"/>
    <mergeCell ref="N192:O192"/>
    <mergeCell ref="L159:M159"/>
    <mergeCell ref="L138:M138"/>
    <mergeCell ref="L139:M139"/>
    <mergeCell ref="L140:M140"/>
    <mergeCell ref="L141:M141"/>
    <mergeCell ref="L150:M150"/>
    <mergeCell ref="L151:M151"/>
    <mergeCell ref="L152:M152"/>
    <mergeCell ref="L153:M153"/>
    <mergeCell ref="L142:M142"/>
    <mergeCell ref="L143:M143"/>
    <mergeCell ref="L144:M144"/>
    <mergeCell ref="L145:M145"/>
    <mergeCell ref="L146:M146"/>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205"/>
  <sheetViews>
    <sheetView zoomScale="150" zoomScaleNormal="120" workbookViewId="0">
      <pane xSplit="1" ySplit="5" topLeftCell="B102" activePane="bottomRight" state="frozen"/>
      <selection pane="topRight" activeCell="B1" sqref="B1"/>
      <selection pane="bottomLeft" activeCell="A6" sqref="A6"/>
      <selection pane="bottomRight" activeCell="B137" sqref="B13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c r="K1" s="36"/>
    </row>
    <row r="2" spans="1:53" s="2" customFormat="1" ht="15" customHeight="1">
      <c r="B2" s="22" t="s">
        <v>49</v>
      </c>
      <c r="J2" s="36"/>
      <c r="K2" s="36"/>
      <c r="L2" s="36"/>
      <c r="M2" s="36"/>
      <c r="N2" s="36"/>
      <c r="O2" s="36"/>
      <c r="P2" s="36"/>
      <c r="Q2" s="36"/>
      <c r="R2" s="36"/>
      <c r="S2" s="36"/>
      <c r="T2" s="36"/>
      <c r="U2" s="36"/>
    </row>
    <row r="3" spans="1:53" s="2" customFormat="1">
      <c r="G3" s="924"/>
      <c r="H3" s="924"/>
      <c r="I3" s="924"/>
      <c r="J3" s="924"/>
      <c r="K3" s="924"/>
      <c r="L3" s="924"/>
      <c r="M3" s="924"/>
      <c r="O3" s="924"/>
      <c r="P3" s="924"/>
      <c r="Q3" s="924"/>
      <c r="R3" s="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222"/>
      <c r="C6" s="925" t="s">
        <v>195</v>
      </c>
      <c r="D6" s="925"/>
      <c r="E6" s="227">
        <v>0</v>
      </c>
      <c r="G6" s="235">
        <v>7</v>
      </c>
      <c r="H6" s="227">
        <v>14</v>
      </c>
      <c r="J6" s="242">
        <v>21</v>
      </c>
      <c r="K6" s="218">
        <f>G6/J6*100</f>
        <v>33.333333333333329</v>
      </c>
      <c r="L6" s="218">
        <f>H6/J6*100</f>
        <v>66.666666666666657</v>
      </c>
      <c r="M6" s="218">
        <f>I6/J6*100</f>
        <v>0</v>
      </c>
      <c r="N6" s="237">
        <f>SUM(K6:M6)</f>
        <v>99.999999999999986</v>
      </c>
      <c r="O6" s="217">
        <v>9.9</v>
      </c>
      <c r="P6" s="218">
        <v>49.1</v>
      </c>
      <c r="Q6" s="218"/>
      <c r="R6" s="219">
        <f>SUM(O6:Q6)</f>
        <v>59</v>
      </c>
      <c r="S6" s="224">
        <v>2</v>
      </c>
      <c r="T6" s="221"/>
      <c r="U6" s="222"/>
      <c r="V6" s="226" t="s">
        <v>81</v>
      </c>
      <c r="W6" s="227" t="s">
        <v>17</v>
      </c>
      <c r="X6" s="227" t="s">
        <v>18</v>
      </c>
      <c r="Y6" s="228">
        <v>49.1</v>
      </c>
      <c r="Z6" s="227" t="s">
        <v>83</v>
      </c>
      <c r="AA6" s="227" t="s">
        <v>22</v>
      </c>
      <c r="AB6" s="227" t="s">
        <v>11</v>
      </c>
      <c r="AC6" s="227">
        <v>9.9</v>
      </c>
      <c r="AD6" s="226"/>
      <c r="AG6" s="228"/>
      <c r="AL6" s="226"/>
      <c r="AO6" s="228"/>
      <c r="AP6" s="226"/>
      <c r="AS6" s="228"/>
      <c r="AW6" s="228"/>
      <c r="BA6" s="229"/>
    </row>
    <row r="7" spans="1:53" s="227" customFormat="1">
      <c r="A7" s="233">
        <v>1959</v>
      </c>
      <c r="B7" s="222"/>
      <c r="C7" s="925" t="s">
        <v>195</v>
      </c>
      <c r="D7" s="925"/>
      <c r="E7" s="227">
        <v>365</v>
      </c>
      <c r="G7" s="235">
        <v>7</v>
      </c>
      <c r="H7" s="227">
        <v>14</v>
      </c>
      <c r="J7" s="242">
        <v>21</v>
      </c>
      <c r="K7" s="218">
        <f>G7/J7*100</f>
        <v>33.333333333333329</v>
      </c>
      <c r="L7" s="218">
        <f>H7/J7*100</f>
        <v>66.666666666666657</v>
      </c>
      <c r="M7" s="218">
        <f>I7/J7*100</f>
        <v>0</v>
      </c>
      <c r="N7" s="237">
        <f>SUM(K7:M7)</f>
        <v>99.999999999999986</v>
      </c>
      <c r="O7" s="217">
        <v>9.9</v>
      </c>
      <c r="P7" s="218">
        <v>49.1</v>
      </c>
      <c r="Q7" s="218"/>
      <c r="R7" s="219">
        <f>SUM(O7:Q7)</f>
        <v>59</v>
      </c>
      <c r="S7" s="224">
        <v>2</v>
      </c>
      <c r="T7" s="221"/>
      <c r="U7" s="222"/>
      <c r="V7" s="226" t="s">
        <v>81</v>
      </c>
      <c r="W7" s="227" t="s">
        <v>17</v>
      </c>
      <c r="X7" s="227" t="s">
        <v>18</v>
      </c>
      <c r="Y7" s="228">
        <v>49.1</v>
      </c>
      <c r="Z7" s="227" t="s">
        <v>83</v>
      </c>
      <c r="AA7" s="227" t="s">
        <v>22</v>
      </c>
      <c r="AB7" s="227" t="s">
        <v>11</v>
      </c>
      <c r="AC7" s="227">
        <v>9.9</v>
      </c>
      <c r="AD7" s="226"/>
      <c r="AG7" s="228"/>
      <c r="AL7" s="226"/>
      <c r="AO7" s="228"/>
      <c r="AP7" s="226"/>
      <c r="AS7" s="228"/>
      <c r="AW7" s="228"/>
      <c r="BA7" s="229"/>
    </row>
    <row r="8" spans="1:53" s="73" customFormat="1">
      <c r="A8" s="101">
        <v>1960</v>
      </c>
      <c r="B8" s="85"/>
      <c r="C8" s="917" t="s">
        <v>195</v>
      </c>
      <c r="D8" s="917"/>
      <c r="E8" s="73">
        <v>245</v>
      </c>
      <c r="G8" s="119">
        <v>7</v>
      </c>
      <c r="H8" s="73">
        <v>14</v>
      </c>
      <c r="J8" s="126">
        <v>21</v>
      </c>
      <c r="K8" s="92">
        <f>G8/J8*100</f>
        <v>33.333333333333329</v>
      </c>
      <c r="L8" s="92">
        <f>H8/J8*100</f>
        <v>66.666666666666657</v>
      </c>
      <c r="M8" s="92">
        <f>I8/J8*100</f>
        <v>0</v>
      </c>
      <c r="N8" s="121">
        <f t="shared" ref="N8:N71" si="0">SUM(K8:M8)</f>
        <v>99.999999999999986</v>
      </c>
      <c r="O8" s="91">
        <v>9.9</v>
      </c>
      <c r="P8" s="92">
        <v>49.1</v>
      </c>
      <c r="Q8" s="92"/>
      <c r="R8" s="93">
        <f>SUM(O8:Q8)</f>
        <v>59</v>
      </c>
      <c r="S8" s="97">
        <v>2</v>
      </c>
      <c r="T8" s="95"/>
      <c r="U8" s="85"/>
      <c r="V8" s="82" t="s">
        <v>81</v>
      </c>
      <c r="W8" s="73" t="s">
        <v>17</v>
      </c>
      <c r="X8" s="73" t="s">
        <v>18</v>
      </c>
      <c r="Y8" s="83">
        <v>49.1</v>
      </c>
      <c r="Z8" s="73" t="s">
        <v>83</v>
      </c>
      <c r="AA8" s="73" t="s">
        <v>22</v>
      </c>
      <c r="AB8" s="73" t="s">
        <v>11</v>
      </c>
      <c r="AC8" s="73">
        <v>9.9</v>
      </c>
      <c r="AD8" s="82"/>
      <c r="AG8" s="83"/>
      <c r="AL8" s="82"/>
      <c r="AO8" s="83"/>
      <c r="AP8" s="82"/>
      <c r="AS8" s="83"/>
      <c r="AW8" s="83"/>
      <c r="BA8" s="84"/>
    </row>
    <row r="9" spans="1:53" s="73" customFormat="1">
      <c r="A9" s="101">
        <v>1960</v>
      </c>
      <c r="B9" s="857">
        <v>22161</v>
      </c>
      <c r="C9" s="917" t="s">
        <v>195</v>
      </c>
      <c r="D9" s="917"/>
      <c r="E9" s="73">
        <v>121</v>
      </c>
      <c r="F9" s="123">
        <v>0</v>
      </c>
      <c r="G9" s="119">
        <v>7</v>
      </c>
      <c r="H9" s="73">
        <v>13</v>
      </c>
      <c r="J9" s="126">
        <v>20</v>
      </c>
      <c r="K9" s="92">
        <f t="shared" ref="K9:K14" si="1">G9/J9*100</f>
        <v>35</v>
      </c>
      <c r="L9" s="92">
        <f t="shared" ref="L9:L14" si="2">H9/J9*100</f>
        <v>65</v>
      </c>
      <c r="M9" s="92">
        <f t="shared" ref="M9:M14" si="3">I9/J9*100</f>
        <v>0</v>
      </c>
      <c r="N9" s="121">
        <f t="shared" si="0"/>
        <v>100</v>
      </c>
      <c r="O9" s="91">
        <v>9.9</v>
      </c>
      <c r="P9" s="92">
        <v>49.1</v>
      </c>
      <c r="Q9" s="92"/>
      <c r="R9" s="93">
        <f t="shared" ref="R9:R72" si="4">SUM(O9:Q9)</f>
        <v>59</v>
      </c>
      <c r="S9" s="97">
        <v>2</v>
      </c>
      <c r="T9" s="95"/>
      <c r="U9" s="85"/>
      <c r="V9" s="82" t="s">
        <v>81</v>
      </c>
      <c r="W9" s="73" t="s">
        <v>17</v>
      </c>
      <c r="X9" s="73" t="s">
        <v>18</v>
      </c>
      <c r="Y9" s="83">
        <v>49.1</v>
      </c>
      <c r="Z9" s="73" t="s">
        <v>83</v>
      </c>
      <c r="AA9" s="73" t="s">
        <v>22</v>
      </c>
      <c r="AB9" s="73" t="s">
        <v>11</v>
      </c>
      <c r="AC9" s="73">
        <v>9.9</v>
      </c>
      <c r="AD9" s="82"/>
      <c r="AG9" s="83"/>
      <c r="AL9" s="82"/>
      <c r="AO9" s="83"/>
      <c r="AP9" s="82"/>
      <c r="AS9" s="83"/>
      <c r="AW9" s="83"/>
      <c r="BA9" s="84"/>
    </row>
    <row r="10" spans="1:53" s="73" customFormat="1">
      <c r="A10" s="101">
        <v>1961</v>
      </c>
      <c r="B10" s="852"/>
      <c r="C10" s="917" t="s">
        <v>195</v>
      </c>
      <c r="D10" s="917"/>
      <c r="E10" s="73">
        <v>114</v>
      </c>
      <c r="G10" s="119">
        <v>7</v>
      </c>
      <c r="H10" s="73">
        <v>13</v>
      </c>
      <c r="J10" s="126">
        <v>20</v>
      </c>
      <c r="K10" s="92">
        <f t="shared" si="1"/>
        <v>35</v>
      </c>
      <c r="L10" s="92">
        <f t="shared" si="2"/>
        <v>65</v>
      </c>
      <c r="M10" s="92">
        <f t="shared" si="3"/>
        <v>0</v>
      </c>
      <c r="N10" s="121">
        <f t="shared" si="0"/>
        <v>100</v>
      </c>
      <c r="O10" s="91">
        <v>9.9</v>
      </c>
      <c r="P10" s="92">
        <v>49.1</v>
      </c>
      <c r="Q10" s="92"/>
      <c r="R10" s="93">
        <f t="shared" si="4"/>
        <v>59</v>
      </c>
      <c r="S10" s="97">
        <v>2</v>
      </c>
      <c r="T10" s="95"/>
      <c r="U10" s="85"/>
      <c r="V10" s="82" t="s">
        <v>81</v>
      </c>
      <c r="W10" s="73" t="s">
        <v>17</v>
      </c>
      <c r="X10" s="73" t="s">
        <v>18</v>
      </c>
      <c r="Y10" s="83">
        <v>49.1</v>
      </c>
      <c r="Z10" s="73" t="s">
        <v>83</v>
      </c>
      <c r="AA10" s="73" t="s">
        <v>22</v>
      </c>
      <c r="AB10" s="73" t="s">
        <v>11</v>
      </c>
      <c r="AC10" s="73">
        <v>9.9</v>
      </c>
      <c r="AD10" s="82"/>
      <c r="AG10" s="83"/>
      <c r="AL10" s="82"/>
      <c r="AO10" s="83"/>
      <c r="AP10" s="82"/>
      <c r="AS10" s="83"/>
      <c r="AW10" s="83"/>
      <c r="BA10" s="84"/>
    </row>
    <row r="11" spans="1:53" s="292" customFormat="1">
      <c r="A11" s="338">
        <v>1961</v>
      </c>
      <c r="B11" s="836">
        <v>22396</v>
      </c>
      <c r="C11" s="909" t="s">
        <v>1187</v>
      </c>
      <c r="D11" s="909"/>
      <c r="E11" s="292">
        <v>251</v>
      </c>
      <c r="F11" s="292">
        <v>1</v>
      </c>
      <c r="G11" s="366"/>
      <c r="H11" s="292">
        <v>10</v>
      </c>
      <c r="I11" s="292">
        <v>7</v>
      </c>
      <c r="J11" s="377">
        <v>17</v>
      </c>
      <c r="K11" s="336">
        <f t="shared" si="1"/>
        <v>0</v>
      </c>
      <c r="L11" s="336">
        <f t="shared" si="2"/>
        <v>58.82352941176471</v>
      </c>
      <c r="M11" s="336">
        <f t="shared" si="3"/>
        <v>41.17647058823529</v>
      </c>
      <c r="N11" s="368">
        <f t="shared" si="0"/>
        <v>100</v>
      </c>
      <c r="O11" s="335"/>
      <c r="P11" s="336">
        <v>45.3</v>
      </c>
      <c r="Q11" s="336">
        <v>39.6</v>
      </c>
      <c r="R11" s="337">
        <f t="shared" si="4"/>
        <v>84.9</v>
      </c>
      <c r="S11" s="340">
        <v>2</v>
      </c>
      <c r="T11" s="838">
        <v>22366</v>
      </c>
      <c r="U11" s="836">
        <v>22396</v>
      </c>
      <c r="V11" s="299" t="s">
        <v>81</v>
      </c>
      <c r="W11" s="292" t="s">
        <v>17</v>
      </c>
      <c r="X11" s="292" t="s">
        <v>18</v>
      </c>
      <c r="Y11" s="300">
        <v>45.3</v>
      </c>
      <c r="Z11" s="292" t="s">
        <v>84</v>
      </c>
      <c r="AA11" s="292" t="s">
        <v>20</v>
      </c>
      <c r="AB11" s="292" t="s">
        <v>12</v>
      </c>
      <c r="AC11" s="292">
        <v>39.6</v>
      </c>
      <c r="AD11" s="299"/>
      <c r="AG11" s="300"/>
      <c r="AL11" s="299"/>
      <c r="AO11" s="300"/>
      <c r="AP11" s="299"/>
      <c r="AS11" s="300"/>
      <c r="AW11" s="300"/>
      <c r="BA11" s="301"/>
    </row>
    <row r="12" spans="1:53" s="292" customFormat="1">
      <c r="A12" s="338">
        <v>1962</v>
      </c>
      <c r="B12" s="836"/>
      <c r="C12" s="909" t="s">
        <v>1187</v>
      </c>
      <c r="D12" s="909"/>
      <c r="E12" s="292">
        <v>0</v>
      </c>
      <c r="G12" s="366"/>
      <c r="H12" s="292">
        <v>10</v>
      </c>
      <c r="I12" s="292">
        <v>7</v>
      </c>
      <c r="J12" s="377">
        <v>17</v>
      </c>
      <c r="K12" s="336">
        <f t="shared" si="1"/>
        <v>0</v>
      </c>
      <c r="L12" s="336">
        <f t="shared" si="2"/>
        <v>58.82352941176471</v>
      </c>
      <c r="M12" s="336">
        <f t="shared" si="3"/>
        <v>41.17647058823529</v>
      </c>
      <c r="N12" s="368">
        <f t="shared" si="0"/>
        <v>100</v>
      </c>
      <c r="O12" s="335"/>
      <c r="P12" s="336">
        <v>45.3</v>
      </c>
      <c r="Q12" s="336">
        <v>39.6</v>
      </c>
      <c r="R12" s="337">
        <f t="shared" si="4"/>
        <v>84.9</v>
      </c>
      <c r="S12" s="340">
        <v>2</v>
      </c>
      <c r="T12" s="838"/>
      <c r="U12" s="836"/>
      <c r="V12" s="299" t="s">
        <v>81</v>
      </c>
      <c r="W12" s="292" t="s">
        <v>17</v>
      </c>
      <c r="X12" s="292" t="s">
        <v>18</v>
      </c>
      <c r="Y12" s="300">
        <v>45.3</v>
      </c>
      <c r="Z12" s="292" t="s">
        <v>84</v>
      </c>
      <c r="AA12" s="292" t="s">
        <v>20</v>
      </c>
      <c r="AB12" s="292" t="s">
        <v>12</v>
      </c>
      <c r="AC12" s="292">
        <v>39.6</v>
      </c>
      <c r="AD12" s="299"/>
      <c r="AG12" s="300"/>
      <c r="AL12" s="299"/>
      <c r="AO12" s="300"/>
      <c r="AP12" s="299"/>
      <c r="AS12" s="300"/>
      <c r="AW12" s="300"/>
      <c r="BA12" s="301"/>
    </row>
    <row r="13" spans="1:53" s="292" customFormat="1">
      <c r="A13" s="338">
        <v>1962</v>
      </c>
      <c r="B13" s="836"/>
      <c r="C13" s="909" t="s">
        <v>1187</v>
      </c>
      <c r="D13" s="909"/>
      <c r="E13" s="292">
        <v>365</v>
      </c>
      <c r="G13" s="366"/>
      <c r="H13" s="292">
        <v>10</v>
      </c>
      <c r="I13" s="292">
        <v>7</v>
      </c>
      <c r="J13" s="377">
        <v>17</v>
      </c>
      <c r="K13" s="336">
        <f t="shared" si="1"/>
        <v>0</v>
      </c>
      <c r="L13" s="336">
        <f t="shared" si="2"/>
        <v>58.82352941176471</v>
      </c>
      <c r="M13" s="336">
        <f t="shared" si="3"/>
        <v>41.17647058823529</v>
      </c>
      <c r="N13" s="368">
        <f t="shared" si="0"/>
        <v>100</v>
      </c>
      <c r="O13" s="335"/>
      <c r="P13" s="336">
        <v>45.3</v>
      </c>
      <c r="Q13" s="336">
        <v>39.6</v>
      </c>
      <c r="R13" s="337">
        <f t="shared" si="4"/>
        <v>84.9</v>
      </c>
      <c r="S13" s="340">
        <v>2</v>
      </c>
      <c r="T13" s="838"/>
      <c r="U13" s="836"/>
      <c r="V13" s="299" t="s">
        <v>81</v>
      </c>
      <c r="W13" s="292" t="s">
        <v>17</v>
      </c>
      <c r="X13" s="292" t="s">
        <v>18</v>
      </c>
      <c r="Y13" s="300">
        <v>45.3</v>
      </c>
      <c r="Z13" s="292" t="s">
        <v>84</v>
      </c>
      <c r="AA13" s="292" t="s">
        <v>20</v>
      </c>
      <c r="AB13" s="292" t="s">
        <v>12</v>
      </c>
      <c r="AC13" s="292">
        <v>39.6</v>
      </c>
      <c r="AD13" s="299"/>
      <c r="AG13" s="300"/>
      <c r="AL13" s="299"/>
      <c r="AO13" s="300"/>
      <c r="AP13" s="299"/>
      <c r="AS13" s="300"/>
      <c r="AW13" s="300"/>
      <c r="BA13" s="301"/>
    </row>
    <row r="14" spans="1:53" s="292" customFormat="1">
      <c r="A14" s="338">
        <v>1962.6</v>
      </c>
      <c r="B14" s="836"/>
      <c r="C14" s="909" t="s">
        <v>1187</v>
      </c>
      <c r="D14" s="909"/>
      <c r="E14" s="292">
        <v>0</v>
      </c>
      <c r="G14" s="366"/>
      <c r="H14" s="292">
        <v>10</v>
      </c>
      <c r="I14" s="292">
        <v>7</v>
      </c>
      <c r="J14" s="377">
        <v>17</v>
      </c>
      <c r="K14" s="336">
        <f t="shared" si="1"/>
        <v>0</v>
      </c>
      <c r="L14" s="336">
        <f t="shared" si="2"/>
        <v>58.82352941176471</v>
      </c>
      <c r="M14" s="336">
        <f t="shared" si="3"/>
        <v>41.17647058823529</v>
      </c>
      <c r="N14" s="368">
        <f t="shared" si="0"/>
        <v>100</v>
      </c>
      <c r="O14" s="335"/>
      <c r="P14" s="336">
        <v>45.3</v>
      </c>
      <c r="Q14" s="336">
        <v>39.6</v>
      </c>
      <c r="R14" s="337">
        <f t="shared" si="4"/>
        <v>84.9</v>
      </c>
      <c r="S14" s="340">
        <v>2</v>
      </c>
      <c r="T14" s="838"/>
      <c r="U14" s="836"/>
      <c r="V14" s="299" t="s">
        <v>81</v>
      </c>
      <c r="W14" s="292" t="s">
        <v>17</v>
      </c>
      <c r="X14" s="292" t="s">
        <v>18</v>
      </c>
      <c r="Y14" s="300">
        <v>45.3</v>
      </c>
      <c r="Z14" s="292" t="s">
        <v>84</v>
      </c>
      <c r="AA14" s="292" t="s">
        <v>20</v>
      </c>
      <c r="AB14" s="292" t="s">
        <v>12</v>
      </c>
      <c r="AC14" s="292">
        <v>39.6</v>
      </c>
      <c r="AD14" s="299"/>
      <c r="AG14" s="300"/>
      <c r="AL14" s="299"/>
      <c r="AO14" s="300"/>
      <c r="AP14" s="299"/>
      <c r="AS14" s="300"/>
      <c r="AW14" s="300"/>
      <c r="BA14" s="301"/>
    </row>
    <row r="15" spans="1:53" s="292" customFormat="1">
      <c r="A15" s="338">
        <v>1963.05714285714</v>
      </c>
      <c r="B15" s="836"/>
      <c r="C15" s="909" t="s">
        <v>1187</v>
      </c>
      <c r="D15" s="909"/>
      <c r="E15" s="292">
        <v>365</v>
      </c>
      <c r="G15" s="366"/>
      <c r="H15" s="292">
        <v>10</v>
      </c>
      <c r="I15" s="292">
        <v>7</v>
      </c>
      <c r="J15" s="377">
        <v>17</v>
      </c>
      <c r="K15" s="336">
        <f>G15/J15*100</f>
        <v>0</v>
      </c>
      <c r="L15" s="336">
        <f>H15/J15*100</f>
        <v>58.82352941176471</v>
      </c>
      <c r="M15" s="336">
        <f>I15/J15*100</f>
        <v>41.17647058823529</v>
      </c>
      <c r="N15" s="368">
        <f t="shared" si="0"/>
        <v>100</v>
      </c>
      <c r="O15" s="335"/>
      <c r="P15" s="336">
        <v>45.3</v>
      </c>
      <c r="Q15" s="336">
        <v>39.6</v>
      </c>
      <c r="R15" s="337">
        <f t="shared" si="4"/>
        <v>84.9</v>
      </c>
      <c r="S15" s="340">
        <v>2</v>
      </c>
      <c r="T15" s="838"/>
      <c r="U15" s="836"/>
      <c r="V15" s="299" t="s">
        <v>81</v>
      </c>
      <c r="W15" s="292" t="s">
        <v>17</v>
      </c>
      <c r="X15" s="292" t="s">
        <v>18</v>
      </c>
      <c r="Y15" s="300">
        <v>45.3</v>
      </c>
      <c r="Z15" s="292" t="s">
        <v>84</v>
      </c>
      <c r="AA15" s="292" t="s">
        <v>20</v>
      </c>
      <c r="AB15" s="292" t="s">
        <v>12</v>
      </c>
      <c r="AC15" s="292">
        <v>39.6</v>
      </c>
      <c r="AD15" s="299"/>
      <c r="AG15" s="300"/>
      <c r="AL15" s="299"/>
      <c r="AO15" s="300"/>
      <c r="AP15" s="299"/>
      <c r="AS15" s="300"/>
      <c r="AW15" s="300"/>
      <c r="BA15" s="301"/>
    </row>
    <row r="16" spans="1:53" s="292" customFormat="1">
      <c r="A16" s="338">
        <v>1963.5142857142901</v>
      </c>
      <c r="B16" s="836"/>
      <c r="C16" s="909" t="s">
        <v>1187</v>
      </c>
      <c r="D16" s="909"/>
      <c r="E16" s="292">
        <v>0</v>
      </c>
      <c r="G16" s="366"/>
      <c r="H16" s="292">
        <v>10</v>
      </c>
      <c r="I16" s="292">
        <v>7</v>
      </c>
      <c r="J16" s="377">
        <v>17</v>
      </c>
      <c r="K16" s="336">
        <f t="shared" ref="K16:K21" si="5">G16/J16*100</f>
        <v>0</v>
      </c>
      <c r="L16" s="336">
        <f t="shared" ref="L16:L21" si="6">H16/J16*100</f>
        <v>58.82352941176471</v>
      </c>
      <c r="M16" s="336">
        <f t="shared" ref="M16:M21" si="7">I16/J16*100</f>
        <v>41.17647058823529</v>
      </c>
      <c r="N16" s="368">
        <f t="shared" si="0"/>
        <v>100</v>
      </c>
      <c r="O16" s="335"/>
      <c r="P16" s="336">
        <v>45.3</v>
      </c>
      <c r="Q16" s="336">
        <v>39.6</v>
      </c>
      <c r="R16" s="337">
        <f t="shared" si="4"/>
        <v>84.9</v>
      </c>
      <c r="S16" s="340">
        <v>2</v>
      </c>
      <c r="T16" s="838"/>
      <c r="U16" s="836"/>
      <c r="V16" s="299" t="s">
        <v>81</v>
      </c>
      <c r="W16" s="292" t="s">
        <v>17</v>
      </c>
      <c r="X16" s="292" t="s">
        <v>18</v>
      </c>
      <c r="Y16" s="300">
        <v>45.3</v>
      </c>
      <c r="Z16" s="292" t="s">
        <v>84</v>
      </c>
      <c r="AA16" s="292" t="s">
        <v>20</v>
      </c>
      <c r="AB16" s="292" t="s">
        <v>12</v>
      </c>
      <c r="AC16" s="292">
        <v>39.6</v>
      </c>
      <c r="AD16" s="299"/>
      <c r="AG16" s="300"/>
      <c r="AL16" s="299"/>
      <c r="AO16" s="300"/>
      <c r="AP16" s="299"/>
      <c r="AS16" s="300"/>
      <c r="AW16" s="300"/>
      <c r="BA16" s="301"/>
    </row>
    <row r="17" spans="1:53" s="292" customFormat="1">
      <c r="A17" s="338">
        <v>1963.9714285714299</v>
      </c>
      <c r="B17" s="836"/>
      <c r="C17" s="909" t="s">
        <v>1187</v>
      </c>
      <c r="D17" s="909"/>
      <c r="E17" s="292">
        <v>366</v>
      </c>
      <c r="G17" s="366"/>
      <c r="H17" s="292">
        <v>10</v>
      </c>
      <c r="I17" s="292">
        <v>7</v>
      </c>
      <c r="J17" s="377">
        <v>17</v>
      </c>
      <c r="K17" s="336">
        <f t="shared" si="5"/>
        <v>0</v>
      </c>
      <c r="L17" s="336">
        <f t="shared" si="6"/>
        <v>58.82352941176471</v>
      </c>
      <c r="M17" s="336">
        <f t="shared" si="7"/>
        <v>41.17647058823529</v>
      </c>
      <c r="N17" s="368">
        <f t="shared" si="0"/>
        <v>100</v>
      </c>
      <c r="O17" s="335"/>
      <c r="P17" s="336">
        <v>45.3</v>
      </c>
      <c r="Q17" s="336">
        <v>39.6</v>
      </c>
      <c r="R17" s="337">
        <f t="shared" si="4"/>
        <v>84.9</v>
      </c>
      <c r="S17" s="340">
        <v>2</v>
      </c>
      <c r="T17" s="838"/>
      <c r="U17" s="836"/>
      <c r="V17" s="299" t="s">
        <v>81</v>
      </c>
      <c r="W17" s="292" t="s">
        <v>17</v>
      </c>
      <c r="X17" s="292" t="s">
        <v>18</v>
      </c>
      <c r="Y17" s="300">
        <v>45.3</v>
      </c>
      <c r="Z17" s="292" t="s">
        <v>84</v>
      </c>
      <c r="AA17" s="292" t="s">
        <v>20</v>
      </c>
      <c r="AB17" s="292" t="s">
        <v>12</v>
      </c>
      <c r="AC17" s="292">
        <v>39.6</v>
      </c>
      <c r="AD17" s="299"/>
      <c r="AG17" s="300"/>
      <c r="AL17" s="299"/>
      <c r="AO17" s="300"/>
      <c r="AP17" s="299"/>
      <c r="AS17" s="300"/>
      <c r="AW17" s="300"/>
      <c r="BA17" s="301"/>
    </row>
    <row r="18" spans="1:53" s="292" customFormat="1">
      <c r="A18" s="338">
        <v>1965</v>
      </c>
      <c r="B18" s="836"/>
      <c r="C18" s="909" t="s">
        <v>1187</v>
      </c>
      <c r="D18" s="909"/>
      <c r="E18" s="292">
        <v>208</v>
      </c>
      <c r="G18" s="366"/>
      <c r="H18" s="292">
        <v>10</v>
      </c>
      <c r="I18" s="292">
        <v>7</v>
      </c>
      <c r="J18" s="377">
        <v>17</v>
      </c>
      <c r="K18" s="336">
        <f t="shared" si="5"/>
        <v>0</v>
      </c>
      <c r="L18" s="336">
        <f t="shared" si="6"/>
        <v>58.82352941176471</v>
      </c>
      <c r="M18" s="336">
        <f t="shared" si="7"/>
        <v>41.17647058823529</v>
      </c>
      <c r="N18" s="368">
        <f t="shared" si="0"/>
        <v>100</v>
      </c>
      <c r="O18" s="335"/>
      <c r="P18" s="336">
        <v>45.3</v>
      </c>
      <c r="Q18" s="336">
        <v>39.6</v>
      </c>
      <c r="R18" s="337">
        <f t="shared" si="4"/>
        <v>84.9</v>
      </c>
      <c r="S18" s="340">
        <v>2</v>
      </c>
      <c r="T18" s="838"/>
      <c r="U18" s="836"/>
      <c r="V18" s="299" t="s">
        <v>81</v>
      </c>
      <c r="W18" s="292" t="s">
        <v>17</v>
      </c>
      <c r="X18" s="292" t="s">
        <v>18</v>
      </c>
      <c r="Y18" s="300">
        <v>45.3</v>
      </c>
      <c r="Z18" s="292" t="s">
        <v>84</v>
      </c>
      <c r="AA18" s="292" t="s">
        <v>20</v>
      </c>
      <c r="AB18" s="292" t="s">
        <v>12</v>
      </c>
      <c r="AC18" s="292">
        <v>39.6</v>
      </c>
      <c r="AD18" s="299"/>
      <c r="AG18" s="300"/>
      <c r="AL18" s="299"/>
      <c r="AO18" s="300"/>
      <c r="AP18" s="299"/>
      <c r="AS18" s="300"/>
      <c r="AW18" s="300"/>
      <c r="BA18" s="301"/>
    </row>
    <row r="19" spans="1:53" s="73" customFormat="1">
      <c r="A19" s="101">
        <v>1964.88571428572</v>
      </c>
      <c r="B19" s="852">
        <v>23951</v>
      </c>
      <c r="C19" s="901" t="s">
        <v>197</v>
      </c>
      <c r="D19" s="901"/>
      <c r="E19" s="73">
        <v>157</v>
      </c>
      <c r="F19" s="73">
        <v>1</v>
      </c>
      <c r="G19" s="119"/>
      <c r="H19" s="73">
        <v>12</v>
      </c>
      <c r="I19" s="73">
        <v>8</v>
      </c>
      <c r="J19" s="126">
        <v>20</v>
      </c>
      <c r="K19" s="92">
        <f t="shared" si="5"/>
        <v>0</v>
      </c>
      <c r="L19" s="92">
        <f t="shared" si="6"/>
        <v>60</v>
      </c>
      <c r="M19" s="92">
        <f t="shared" si="7"/>
        <v>40</v>
      </c>
      <c r="N19" s="121">
        <f t="shared" si="0"/>
        <v>100</v>
      </c>
      <c r="O19" s="91"/>
      <c r="P19" s="92">
        <v>36.299999999999997</v>
      </c>
      <c r="Q19" s="92">
        <v>30.2</v>
      </c>
      <c r="R19" s="93">
        <f t="shared" si="4"/>
        <v>66.5</v>
      </c>
      <c r="S19" s="97">
        <v>2</v>
      </c>
      <c r="T19" s="839">
        <v>23885</v>
      </c>
      <c r="U19" s="852">
        <v>23951</v>
      </c>
      <c r="V19" s="82" t="s">
        <v>81</v>
      </c>
      <c r="W19" s="73" t="s">
        <v>17</v>
      </c>
      <c r="X19" s="73" t="s">
        <v>18</v>
      </c>
      <c r="Y19" s="83">
        <v>36.299999999999997</v>
      </c>
      <c r="Z19" s="73" t="s">
        <v>84</v>
      </c>
      <c r="AA19" s="73" t="s">
        <v>20</v>
      </c>
      <c r="AB19" s="73" t="s">
        <v>12</v>
      </c>
      <c r="AC19" s="73">
        <v>30.2</v>
      </c>
      <c r="AD19" s="82"/>
      <c r="AG19" s="83"/>
      <c r="AL19" s="82"/>
      <c r="AO19" s="83"/>
      <c r="AP19" s="82"/>
      <c r="AS19" s="83"/>
      <c r="AW19" s="83"/>
      <c r="BA19" s="84"/>
    </row>
    <row r="20" spans="1:53" s="73" customFormat="1">
      <c r="A20" s="101">
        <v>1966</v>
      </c>
      <c r="B20" s="852"/>
      <c r="C20" s="901" t="s">
        <v>197</v>
      </c>
      <c r="D20" s="901"/>
      <c r="E20" s="73">
        <v>78</v>
      </c>
      <c r="G20" s="119"/>
      <c r="H20" s="73">
        <v>12</v>
      </c>
      <c r="I20" s="73">
        <v>8</v>
      </c>
      <c r="J20" s="126">
        <v>20</v>
      </c>
      <c r="K20" s="92">
        <f t="shared" si="5"/>
        <v>0</v>
      </c>
      <c r="L20" s="92">
        <f t="shared" si="6"/>
        <v>60</v>
      </c>
      <c r="M20" s="92">
        <f t="shared" si="7"/>
        <v>40</v>
      </c>
      <c r="N20" s="121">
        <f t="shared" si="0"/>
        <v>100</v>
      </c>
      <c r="O20" s="91"/>
      <c r="P20" s="92">
        <v>36.299999999999997</v>
      </c>
      <c r="Q20" s="92">
        <v>30.2</v>
      </c>
      <c r="R20" s="93">
        <f t="shared" si="4"/>
        <v>66.5</v>
      </c>
      <c r="S20" s="97">
        <v>2</v>
      </c>
      <c r="T20" s="839"/>
      <c r="U20" s="852"/>
      <c r="V20" s="82" t="s">
        <v>81</v>
      </c>
      <c r="W20" s="73" t="s">
        <v>17</v>
      </c>
      <c r="X20" s="73" t="s">
        <v>18</v>
      </c>
      <c r="Y20" s="83">
        <v>36.299999999999997</v>
      </c>
      <c r="Z20" s="73" t="s">
        <v>84</v>
      </c>
      <c r="AA20" s="73" t="s">
        <v>20</v>
      </c>
      <c r="AB20" s="73" t="s">
        <v>12</v>
      </c>
      <c r="AC20" s="73">
        <v>30.2</v>
      </c>
      <c r="AD20" s="82"/>
      <c r="AG20" s="83"/>
      <c r="AL20" s="82"/>
      <c r="AO20" s="83"/>
      <c r="AP20" s="82"/>
      <c r="AS20" s="83"/>
      <c r="AW20" s="83"/>
      <c r="BA20" s="84"/>
    </row>
    <row r="21" spans="1:53" s="292" customFormat="1">
      <c r="A21" s="338">
        <v>1965.8</v>
      </c>
      <c r="B21" s="836">
        <v>24186</v>
      </c>
      <c r="C21" s="909" t="s">
        <v>1188</v>
      </c>
      <c r="D21" s="909"/>
      <c r="E21" s="292">
        <v>287</v>
      </c>
      <c r="F21" s="292">
        <v>4</v>
      </c>
      <c r="G21" s="366">
        <v>7</v>
      </c>
      <c r="H21" s="292">
        <v>12</v>
      </c>
      <c r="J21" s="377">
        <v>19</v>
      </c>
      <c r="K21" s="336">
        <f t="shared" si="5"/>
        <v>36.84210526315789</v>
      </c>
      <c r="L21" s="336">
        <f t="shared" si="6"/>
        <v>63.157894736842103</v>
      </c>
      <c r="M21" s="336">
        <f t="shared" si="7"/>
        <v>0</v>
      </c>
      <c r="N21" s="368">
        <f t="shared" si="0"/>
        <v>100</v>
      </c>
      <c r="O21" s="335">
        <v>22.6</v>
      </c>
      <c r="P21" s="336">
        <v>36.299999999999997</v>
      </c>
      <c r="Q21" s="336"/>
      <c r="R21" s="337">
        <f t="shared" si="4"/>
        <v>58.9</v>
      </c>
      <c r="S21" s="340">
        <v>2</v>
      </c>
      <c r="T21" s="838"/>
      <c r="U21" s="836">
        <v>24186</v>
      </c>
      <c r="V21" s="299" t="s">
        <v>81</v>
      </c>
      <c r="W21" s="292" t="s">
        <v>17</v>
      </c>
      <c r="X21" s="292" t="s">
        <v>18</v>
      </c>
      <c r="Y21" s="300">
        <v>36.299999999999997</v>
      </c>
      <c r="Z21" s="292" t="s">
        <v>83</v>
      </c>
      <c r="AA21" s="292" t="s">
        <v>22</v>
      </c>
      <c r="AB21" s="292" t="s">
        <v>11</v>
      </c>
      <c r="AC21" s="292">
        <v>22.6</v>
      </c>
      <c r="AD21" s="299"/>
      <c r="AG21" s="300"/>
      <c r="AL21" s="299"/>
      <c r="AO21" s="300"/>
      <c r="AP21" s="299"/>
      <c r="AS21" s="300"/>
      <c r="AW21" s="300"/>
      <c r="BA21" s="301"/>
    </row>
    <row r="22" spans="1:53" s="292" customFormat="1">
      <c r="A22" s="338">
        <v>1967</v>
      </c>
      <c r="B22" s="836"/>
      <c r="C22" s="909" t="s">
        <v>1188</v>
      </c>
      <c r="D22" s="909"/>
      <c r="E22" s="292">
        <v>0</v>
      </c>
      <c r="G22" s="366">
        <v>7</v>
      </c>
      <c r="H22" s="292">
        <v>12</v>
      </c>
      <c r="J22" s="377">
        <v>19</v>
      </c>
      <c r="K22" s="336">
        <f>G22/J22*100</f>
        <v>36.84210526315789</v>
      </c>
      <c r="L22" s="336">
        <f>H22/J22*100</f>
        <v>63.157894736842103</v>
      </c>
      <c r="M22" s="336">
        <f>I22/J22*100</f>
        <v>0</v>
      </c>
      <c r="N22" s="368">
        <f t="shared" si="0"/>
        <v>100</v>
      </c>
      <c r="O22" s="335">
        <v>22.6</v>
      </c>
      <c r="P22" s="336">
        <v>36.299999999999997</v>
      </c>
      <c r="Q22" s="336"/>
      <c r="R22" s="337">
        <f t="shared" si="4"/>
        <v>58.9</v>
      </c>
      <c r="S22" s="340">
        <v>2</v>
      </c>
      <c r="T22" s="838"/>
      <c r="U22" s="836"/>
      <c r="V22" s="299" t="s">
        <v>81</v>
      </c>
      <c r="W22" s="292" t="s">
        <v>17</v>
      </c>
      <c r="X22" s="292" t="s">
        <v>18</v>
      </c>
      <c r="Y22" s="300">
        <v>36.299999999999997</v>
      </c>
      <c r="Z22" s="292" t="s">
        <v>83</v>
      </c>
      <c r="AA22" s="292" t="s">
        <v>22</v>
      </c>
      <c r="AB22" s="292" t="s">
        <v>11</v>
      </c>
      <c r="AC22" s="292">
        <v>22.6</v>
      </c>
      <c r="AD22" s="299"/>
      <c r="AG22" s="300"/>
      <c r="AL22" s="299"/>
      <c r="AO22" s="300"/>
      <c r="AP22" s="299"/>
      <c r="AS22" s="300"/>
      <c r="AW22" s="300"/>
      <c r="BA22" s="301"/>
    </row>
    <row r="23" spans="1:53" s="292" customFormat="1">
      <c r="A23" s="338">
        <v>1966.7142857142901</v>
      </c>
      <c r="B23" s="836"/>
      <c r="C23" s="909" t="s">
        <v>1188</v>
      </c>
      <c r="D23" s="909"/>
      <c r="E23" s="292">
        <v>365</v>
      </c>
      <c r="G23" s="366">
        <v>7</v>
      </c>
      <c r="H23" s="292">
        <v>12</v>
      </c>
      <c r="J23" s="377">
        <v>19</v>
      </c>
      <c r="K23" s="336">
        <f t="shared" ref="K23:K28" si="8">G23/J23*100</f>
        <v>36.84210526315789</v>
      </c>
      <c r="L23" s="336">
        <f t="shared" ref="L23:L28" si="9">H23/J23*100</f>
        <v>63.157894736842103</v>
      </c>
      <c r="M23" s="336">
        <f t="shared" ref="M23:M28" si="10">I23/J23*100</f>
        <v>0</v>
      </c>
      <c r="N23" s="368">
        <f t="shared" si="0"/>
        <v>100</v>
      </c>
      <c r="O23" s="335">
        <v>22.6</v>
      </c>
      <c r="P23" s="336">
        <v>36.299999999999997</v>
      </c>
      <c r="Q23" s="336"/>
      <c r="R23" s="337">
        <f t="shared" si="4"/>
        <v>58.9</v>
      </c>
      <c r="S23" s="340">
        <v>2</v>
      </c>
      <c r="T23" s="838"/>
      <c r="U23" s="836"/>
      <c r="V23" s="299" t="s">
        <v>81</v>
      </c>
      <c r="W23" s="292" t="s">
        <v>17</v>
      </c>
      <c r="X23" s="292" t="s">
        <v>18</v>
      </c>
      <c r="Y23" s="300">
        <v>36.299999999999997</v>
      </c>
      <c r="Z23" s="292" t="s">
        <v>83</v>
      </c>
      <c r="AA23" s="292" t="s">
        <v>22</v>
      </c>
      <c r="AB23" s="292" t="s">
        <v>11</v>
      </c>
      <c r="AC23" s="292">
        <v>22.6</v>
      </c>
      <c r="AD23" s="299"/>
      <c r="AG23" s="300"/>
      <c r="AL23" s="299"/>
      <c r="AO23" s="300"/>
      <c r="AP23" s="299"/>
      <c r="AS23" s="300"/>
      <c r="AW23" s="300"/>
      <c r="BA23" s="301"/>
    </row>
    <row r="24" spans="1:53" s="292" customFormat="1">
      <c r="A24" s="338">
        <v>1968</v>
      </c>
      <c r="B24" s="836"/>
      <c r="C24" s="909" t="s">
        <v>1188</v>
      </c>
      <c r="D24" s="909"/>
      <c r="E24" s="292">
        <v>169</v>
      </c>
      <c r="G24" s="366">
        <v>7</v>
      </c>
      <c r="H24" s="292">
        <v>12</v>
      </c>
      <c r="J24" s="377">
        <v>19</v>
      </c>
      <c r="K24" s="336">
        <f t="shared" si="8"/>
        <v>36.84210526315789</v>
      </c>
      <c r="L24" s="336">
        <f t="shared" si="9"/>
        <v>63.157894736842103</v>
      </c>
      <c r="M24" s="336">
        <f t="shared" si="10"/>
        <v>0</v>
      </c>
      <c r="N24" s="368">
        <f t="shared" si="0"/>
        <v>100</v>
      </c>
      <c r="O24" s="335">
        <v>22.6</v>
      </c>
      <c r="P24" s="336">
        <v>36.299999999999997</v>
      </c>
      <c r="Q24" s="336"/>
      <c r="R24" s="337">
        <f t="shared" si="4"/>
        <v>58.9</v>
      </c>
      <c r="S24" s="340">
        <v>2</v>
      </c>
      <c r="T24" s="838"/>
      <c r="U24" s="836"/>
      <c r="V24" s="299" t="s">
        <v>81</v>
      </c>
      <c r="W24" s="292" t="s">
        <v>17</v>
      </c>
      <c r="X24" s="292" t="s">
        <v>18</v>
      </c>
      <c r="Y24" s="300">
        <v>36.299999999999997</v>
      </c>
      <c r="Z24" s="292" t="s">
        <v>83</v>
      </c>
      <c r="AA24" s="292" t="s">
        <v>22</v>
      </c>
      <c r="AB24" s="292" t="s">
        <v>11</v>
      </c>
      <c r="AC24" s="292">
        <v>22.6</v>
      </c>
      <c r="AD24" s="299"/>
      <c r="AG24" s="300"/>
      <c r="AL24" s="299"/>
      <c r="AO24" s="300"/>
      <c r="AP24" s="299"/>
      <c r="AS24" s="300"/>
      <c r="AW24" s="300"/>
      <c r="BA24" s="301"/>
    </row>
    <row r="25" spans="1:53" s="73" customFormat="1">
      <c r="A25" s="101">
        <v>1967.62857142857</v>
      </c>
      <c r="B25" s="852">
        <v>25007</v>
      </c>
      <c r="C25" s="917" t="s">
        <v>196</v>
      </c>
      <c r="D25" s="917"/>
      <c r="E25" s="73">
        <v>197</v>
      </c>
      <c r="F25" s="73">
        <v>6</v>
      </c>
      <c r="G25" s="119"/>
      <c r="H25" s="73">
        <v>16</v>
      </c>
      <c r="I25" s="73">
        <v>11</v>
      </c>
      <c r="J25" s="126">
        <v>27</v>
      </c>
      <c r="K25" s="92">
        <f t="shared" si="8"/>
        <v>0</v>
      </c>
      <c r="L25" s="92">
        <f t="shared" si="9"/>
        <v>59.259259259259252</v>
      </c>
      <c r="M25" s="92">
        <f t="shared" si="10"/>
        <v>40.74074074074074</v>
      </c>
      <c r="N25" s="121">
        <f t="shared" si="0"/>
        <v>100</v>
      </c>
      <c r="O25" s="91"/>
      <c r="P25" s="92">
        <v>32.6</v>
      </c>
      <c r="Q25" s="92">
        <v>27.8</v>
      </c>
      <c r="R25" s="93">
        <f t="shared" si="4"/>
        <v>60.400000000000006</v>
      </c>
      <c r="S25" s="97">
        <v>2</v>
      </c>
      <c r="T25" s="839">
        <v>24928</v>
      </c>
      <c r="U25" s="852">
        <v>25007</v>
      </c>
      <c r="V25" s="82" t="s">
        <v>81</v>
      </c>
      <c r="W25" s="73" t="s">
        <v>82</v>
      </c>
      <c r="X25" s="73" t="s">
        <v>18</v>
      </c>
      <c r="Y25" s="83">
        <v>23.6</v>
      </c>
      <c r="Z25" s="73" t="s">
        <v>85</v>
      </c>
      <c r="AA25" s="73" t="s">
        <v>86</v>
      </c>
      <c r="AB25" s="73" t="s">
        <v>18</v>
      </c>
      <c r="AC25" s="73">
        <v>9</v>
      </c>
      <c r="AD25" s="82" t="s">
        <v>84</v>
      </c>
      <c r="AE25" s="73" t="s">
        <v>20</v>
      </c>
      <c r="AF25" s="73" t="s">
        <v>12</v>
      </c>
      <c r="AG25" s="83">
        <v>27.8</v>
      </c>
      <c r="AL25" s="82"/>
      <c r="AO25" s="83"/>
      <c r="AP25" s="82"/>
      <c r="AS25" s="83"/>
      <c r="AW25" s="83"/>
      <c r="BA25" s="84"/>
    </row>
    <row r="26" spans="1:53" s="73" customFormat="1">
      <c r="A26" s="101">
        <v>1969</v>
      </c>
      <c r="B26" s="852"/>
      <c r="C26" s="917" t="s">
        <v>196</v>
      </c>
      <c r="D26" s="917"/>
      <c r="E26" s="73">
        <v>0</v>
      </c>
      <c r="G26" s="119"/>
      <c r="H26" s="73">
        <v>16</v>
      </c>
      <c r="I26" s="73">
        <v>11</v>
      </c>
      <c r="J26" s="126">
        <v>27</v>
      </c>
      <c r="K26" s="92">
        <f t="shared" si="8"/>
        <v>0</v>
      </c>
      <c r="L26" s="92">
        <f t="shared" si="9"/>
        <v>59.259259259259252</v>
      </c>
      <c r="M26" s="92">
        <f t="shared" si="10"/>
        <v>40.74074074074074</v>
      </c>
      <c r="N26" s="121">
        <f t="shared" si="0"/>
        <v>100</v>
      </c>
      <c r="O26" s="91"/>
      <c r="P26" s="92">
        <v>32.6</v>
      </c>
      <c r="Q26" s="92">
        <v>27.8</v>
      </c>
      <c r="R26" s="93">
        <f t="shared" si="4"/>
        <v>60.400000000000006</v>
      </c>
      <c r="S26" s="97">
        <v>2</v>
      </c>
      <c r="T26" s="839"/>
      <c r="U26" s="852"/>
      <c r="V26" s="82" t="s">
        <v>81</v>
      </c>
      <c r="W26" s="73" t="s">
        <v>82</v>
      </c>
      <c r="X26" s="73" t="s">
        <v>18</v>
      </c>
      <c r="Y26" s="83">
        <v>23.6</v>
      </c>
      <c r="Z26" s="73" t="s">
        <v>85</v>
      </c>
      <c r="AA26" s="73" t="s">
        <v>86</v>
      </c>
      <c r="AB26" s="73" t="s">
        <v>18</v>
      </c>
      <c r="AC26" s="73">
        <v>9</v>
      </c>
      <c r="AD26" s="82" t="s">
        <v>84</v>
      </c>
      <c r="AE26" s="73" t="s">
        <v>20</v>
      </c>
      <c r="AF26" s="73" t="s">
        <v>12</v>
      </c>
      <c r="AG26" s="83">
        <v>27.8</v>
      </c>
      <c r="AL26" s="82"/>
      <c r="AO26" s="83"/>
      <c r="AP26" s="82"/>
      <c r="AS26" s="83"/>
      <c r="AW26" s="83"/>
      <c r="BA26" s="84"/>
    </row>
    <row r="27" spans="1:53" s="73" customFormat="1">
      <c r="A27" s="101">
        <v>1968.5428571428599</v>
      </c>
      <c r="B27" s="852"/>
      <c r="C27" s="917" t="s">
        <v>196</v>
      </c>
      <c r="D27" s="917"/>
      <c r="E27" s="73">
        <v>365</v>
      </c>
      <c r="G27" s="119"/>
      <c r="H27" s="73">
        <v>16</v>
      </c>
      <c r="I27" s="73">
        <v>11</v>
      </c>
      <c r="J27" s="126">
        <v>27</v>
      </c>
      <c r="K27" s="92">
        <f t="shared" si="8"/>
        <v>0</v>
      </c>
      <c r="L27" s="92">
        <f t="shared" si="9"/>
        <v>59.259259259259252</v>
      </c>
      <c r="M27" s="92">
        <f t="shared" si="10"/>
        <v>40.74074074074074</v>
      </c>
      <c r="N27" s="121">
        <f t="shared" si="0"/>
        <v>100</v>
      </c>
      <c r="O27" s="91"/>
      <c r="P27" s="92">
        <v>32.6</v>
      </c>
      <c r="Q27" s="92">
        <v>27.8</v>
      </c>
      <c r="R27" s="93">
        <f t="shared" si="4"/>
        <v>60.400000000000006</v>
      </c>
      <c r="S27" s="97">
        <v>2</v>
      </c>
      <c r="T27" s="839"/>
      <c r="U27" s="852"/>
      <c r="V27" s="82" t="s">
        <v>81</v>
      </c>
      <c r="W27" s="73" t="s">
        <v>82</v>
      </c>
      <c r="X27" s="73" t="s">
        <v>18</v>
      </c>
      <c r="Y27" s="83">
        <v>23.6</v>
      </c>
      <c r="Z27" s="73" t="s">
        <v>85</v>
      </c>
      <c r="AA27" s="73" t="s">
        <v>86</v>
      </c>
      <c r="AB27" s="73" t="s">
        <v>18</v>
      </c>
      <c r="AC27" s="73">
        <v>9</v>
      </c>
      <c r="AD27" s="82" t="s">
        <v>84</v>
      </c>
      <c r="AE27" s="73" t="s">
        <v>20</v>
      </c>
      <c r="AF27" s="73" t="s">
        <v>12</v>
      </c>
      <c r="AG27" s="83">
        <v>27.8</v>
      </c>
      <c r="AL27" s="82"/>
      <c r="AO27" s="83"/>
      <c r="AP27" s="82"/>
      <c r="AS27" s="83"/>
      <c r="AW27" s="83"/>
      <c r="BA27" s="84"/>
    </row>
    <row r="28" spans="1:53" s="73" customFormat="1">
      <c r="A28" s="101">
        <v>1970</v>
      </c>
      <c r="B28" s="852"/>
      <c r="C28" s="917" t="s">
        <v>196</v>
      </c>
      <c r="D28" s="917"/>
      <c r="E28" s="73">
        <v>0</v>
      </c>
      <c r="G28" s="119"/>
      <c r="H28" s="73">
        <v>16</v>
      </c>
      <c r="I28" s="73">
        <v>11</v>
      </c>
      <c r="J28" s="126">
        <v>27</v>
      </c>
      <c r="K28" s="92">
        <f t="shared" si="8"/>
        <v>0</v>
      </c>
      <c r="L28" s="92">
        <f t="shared" si="9"/>
        <v>59.259259259259252</v>
      </c>
      <c r="M28" s="92">
        <f t="shared" si="10"/>
        <v>40.74074074074074</v>
      </c>
      <c r="N28" s="121">
        <f t="shared" si="0"/>
        <v>100</v>
      </c>
      <c r="O28" s="91"/>
      <c r="P28" s="92">
        <v>32.6</v>
      </c>
      <c r="Q28" s="92">
        <v>27.8</v>
      </c>
      <c r="R28" s="93">
        <f t="shared" si="4"/>
        <v>60.400000000000006</v>
      </c>
      <c r="S28" s="97">
        <v>2</v>
      </c>
      <c r="T28" s="839"/>
      <c r="U28" s="852"/>
      <c r="V28" s="82" t="s">
        <v>81</v>
      </c>
      <c r="W28" s="73" t="s">
        <v>82</v>
      </c>
      <c r="X28" s="73" t="s">
        <v>18</v>
      </c>
      <c r="Y28" s="83">
        <v>23.6</v>
      </c>
      <c r="Z28" s="73" t="s">
        <v>85</v>
      </c>
      <c r="AA28" s="73" t="s">
        <v>86</v>
      </c>
      <c r="AB28" s="73" t="s">
        <v>18</v>
      </c>
      <c r="AC28" s="73">
        <v>9</v>
      </c>
      <c r="AD28" s="82" t="s">
        <v>84</v>
      </c>
      <c r="AE28" s="73" t="s">
        <v>20</v>
      </c>
      <c r="AF28" s="73" t="s">
        <v>12</v>
      </c>
      <c r="AG28" s="83">
        <v>27.8</v>
      </c>
      <c r="AL28" s="82"/>
      <c r="AO28" s="83"/>
      <c r="AP28" s="82"/>
      <c r="AS28" s="83"/>
      <c r="AW28" s="83"/>
      <c r="BA28" s="84"/>
    </row>
    <row r="29" spans="1:53" s="73" customFormat="1">
      <c r="A29" s="101">
        <v>1970</v>
      </c>
      <c r="B29" s="852"/>
      <c r="C29" s="917" t="s">
        <v>196</v>
      </c>
      <c r="D29" s="917"/>
      <c r="E29" s="73">
        <v>365</v>
      </c>
      <c r="G29" s="119"/>
      <c r="H29" s="73">
        <v>16</v>
      </c>
      <c r="I29" s="73">
        <v>11</v>
      </c>
      <c r="J29" s="126">
        <v>27</v>
      </c>
      <c r="K29" s="92">
        <f>G29/J29*100</f>
        <v>0</v>
      </c>
      <c r="L29" s="92">
        <f>H29/J29*100</f>
        <v>59.259259259259252</v>
      </c>
      <c r="M29" s="92">
        <f>I29/J29*100</f>
        <v>40.74074074074074</v>
      </c>
      <c r="N29" s="121">
        <f t="shared" si="0"/>
        <v>100</v>
      </c>
      <c r="O29" s="91"/>
      <c r="P29" s="92">
        <v>32.6</v>
      </c>
      <c r="Q29" s="92">
        <v>27.8</v>
      </c>
      <c r="R29" s="93">
        <f t="shared" si="4"/>
        <v>60.400000000000006</v>
      </c>
      <c r="S29" s="97">
        <v>2</v>
      </c>
      <c r="T29" s="839"/>
      <c r="U29" s="852"/>
      <c r="V29" s="82" t="s">
        <v>81</v>
      </c>
      <c r="W29" s="73" t="s">
        <v>82</v>
      </c>
      <c r="X29" s="73" t="s">
        <v>18</v>
      </c>
      <c r="Y29" s="83">
        <v>23.6</v>
      </c>
      <c r="Z29" s="73" t="s">
        <v>85</v>
      </c>
      <c r="AA29" s="73" t="s">
        <v>86</v>
      </c>
      <c r="AB29" s="73" t="s">
        <v>18</v>
      </c>
      <c r="AC29" s="73">
        <v>9</v>
      </c>
      <c r="AD29" s="82" t="s">
        <v>84</v>
      </c>
      <c r="AE29" s="73" t="s">
        <v>20</v>
      </c>
      <c r="AF29" s="73" t="s">
        <v>12</v>
      </c>
      <c r="AG29" s="83">
        <v>27.8</v>
      </c>
      <c r="AL29" s="82"/>
      <c r="AO29" s="83"/>
      <c r="AP29" s="82"/>
      <c r="AS29" s="83"/>
      <c r="AW29" s="83"/>
      <c r="BA29" s="84"/>
    </row>
    <row r="30" spans="1:53" s="73" customFormat="1">
      <c r="A30" s="101">
        <v>1971</v>
      </c>
      <c r="B30" s="852"/>
      <c r="C30" s="917" t="s">
        <v>196</v>
      </c>
      <c r="D30" s="917"/>
      <c r="E30" s="73">
        <v>0</v>
      </c>
      <c r="G30" s="119"/>
      <c r="H30" s="73">
        <v>16</v>
      </c>
      <c r="I30" s="73">
        <v>11</v>
      </c>
      <c r="J30" s="126">
        <v>27</v>
      </c>
      <c r="K30" s="92">
        <f t="shared" ref="K30:K35" si="11">G30/J30*100</f>
        <v>0</v>
      </c>
      <c r="L30" s="92">
        <f t="shared" ref="L30:L35" si="12">H30/J30*100</f>
        <v>59.259259259259252</v>
      </c>
      <c r="M30" s="92">
        <f t="shared" ref="M30:M35" si="13">I30/J30*100</f>
        <v>40.74074074074074</v>
      </c>
      <c r="N30" s="121">
        <f t="shared" si="0"/>
        <v>100</v>
      </c>
      <c r="O30" s="91"/>
      <c r="P30" s="92">
        <v>32.6</v>
      </c>
      <c r="Q30" s="92">
        <v>27.8</v>
      </c>
      <c r="R30" s="93">
        <f t="shared" si="4"/>
        <v>60.400000000000006</v>
      </c>
      <c r="S30" s="97">
        <v>2</v>
      </c>
      <c r="T30" s="839"/>
      <c r="U30" s="852"/>
      <c r="V30" s="82" t="s">
        <v>81</v>
      </c>
      <c r="W30" s="73" t="s">
        <v>82</v>
      </c>
      <c r="X30" s="73" t="s">
        <v>18</v>
      </c>
      <c r="Y30" s="83">
        <v>23.6</v>
      </c>
      <c r="Z30" s="73" t="s">
        <v>85</v>
      </c>
      <c r="AA30" s="73" t="s">
        <v>86</v>
      </c>
      <c r="AB30" s="73" t="s">
        <v>18</v>
      </c>
      <c r="AC30" s="73">
        <v>9</v>
      </c>
      <c r="AD30" s="82" t="s">
        <v>84</v>
      </c>
      <c r="AE30" s="73" t="s">
        <v>20</v>
      </c>
      <c r="AF30" s="73" t="s">
        <v>12</v>
      </c>
      <c r="AG30" s="83">
        <v>27.8</v>
      </c>
      <c r="AL30" s="82"/>
      <c r="AO30" s="83"/>
      <c r="AP30" s="82"/>
      <c r="AS30" s="83"/>
      <c r="AW30" s="83"/>
      <c r="BA30" s="84"/>
    </row>
    <row r="31" spans="1:53" s="73" customFormat="1">
      <c r="A31" s="101">
        <v>1971</v>
      </c>
      <c r="B31" s="852"/>
      <c r="C31" s="917" t="s">
        <v>196</v>
      </c>
      <c r="D31" s="917"/>
      <c r="E31" s="73">
        <v>365</v>
      </c>
      <c r="G31" s="119"/>
      <c r="H31" s="73">
        <v>16</v>
      </c>
      <c r="I31" s="73">
        <v>11</v>
      </c>
      <c r="J31" s="126">
        <v>27</v>
      </c>
      <c r="K31" s="92">
        <f t="shared" si="11"/>
        <v>0</v>
      </c>
      <c r="L31" s="92">
        <f t="shared" si="12"/>
        <v>59.259259259259252</v>
      </c>
      <c r="M31" s="92">
        <f t="shared" si="13"/>
        <v>40.74074074074074</v>
      </c>
      <c r="N31" s="121">
        <f t="shared" si="0"/>
        <v>100</v>
      </c>
      <c r="O31" s="91"/>
      <c r="P31" s="92">
        <v>32.6</v>
      </c>
      <c r="Q31" s="92">
        <v>27.8</v>
      </c>
      <c r="R31" s="93">
        <f t="shared" si="4"/>
        <v>60.400000000000006</v>
      </c>
      <c r="S31" s="97">
        <v>2</v>
      </c>
      <c r="T31" s="839">
        <v>26244</v>
      </c>
      <c r="U31" s="852"/>
      <c r="V31" s="82" t="s">
        <v>81</v>
      </c>
      <c r="W31" s="73" t="s">
        <v>82</v>
      </c>
      <c r="X31" s="73" t="s">
        <v>18</v>
      </c>
      <c r="Y31" s="83">
        <v>23.6</v>
      </c>
      <c r="Z31" s="73" t="s">
        <v>85</v>
      </c>
      <c r="AA31" s="73" t="s">
        <v>86</v>
      </c>
      <c r="AB31" s="73" t="s">
        <v>18</v>
      </c>
      <c r="AC31" s="73">
        <v>9</v>
      </c>
      <c r="AD31" s="82" t="s">
        <v>84</v>
      </c>
      <c r="AE31" s="73" t="s">
        <v>20</v>
      </c>
      <c r="AF31" s="73" t="s">
        <v>12</v>
      </c>
      <c r="AG31" s="83">
        <v>27.8</v>
      </c>
      <c r="AL31" s="82"/>
      <c r="AO31" s="83"/>
      <c r="AP31" s="82"/>
      <c r="AS31" s="83"/>
      <c r="AW31" s="83"/>
      <c r="BA31" s="84"/>
    </row>
    <row r="32" spans="1:53" s="73" customFormat="1">
      <c r="A32" s="101">
        <v>1972</v>
      </c>
      <c r="B32" s="852"/>
      <c r="C32" s="917" t="s">
        <v>196</v>
      </c>
      <c r="D32" s="917"/>
      <c r="E32" s="73">
        <v>20</v>
      </c>
      <c r="G32" s="119"/>
      <c r="H32" s="73">
        <v>16</v>
      </c>
      <c r="I32" s="73">
        <v>11</v>
      </c>
      <c r="J32" s="126">
        <v>27</v>
      </c>
      <c r="K32" s="92">
        <f t="shared" si="11"/>
        <v>0</v>
      </c>
      <c r="L32" s="92">
        <f t="shared" si="12"/>
        <v>59.259259259259252</v>
      </c>
      <c r="M32" s="92">
        <f t="shared" si="13"/>
        <v>40.74074074074074</v>
      </c>
      <c r="N32" s="121">
        <f t="shared" si="0"/>
        <v>100</v>
      </c>
      <c r="O32" s="91"/>
      <c r="P32" s="92">
        <v>32.6</v>
      </c>
      <c r="Q32" s="92">
        <v>27.8</v>
      </c>
      <c r="R32" s="93">
        <f t="shared" si="4"/>
        <v>60.400000000000006</v>
      </c>
      <c r="S32" s="97">
        <v>2</v>
      </c>
      <c r="T32" s="839"/>
      <c r="U32" s="852"/>
      <c r="V32" s="82" t="s">
        <v>81</v>
      </c>
      <c r="W32" s="73" t="s">
        <v>82</v>
      </c>
      <c r="X32" s="73" t="s">
        <v>18</v>
      </c>
      <c r="Y32" s="83">
        <v>23.6</v>
      </c>
      <c r="Z32" s="73" t="s">
        <v>85</v>
      </c>
      <c r="AA32" s="73" t="s">
        <v>86</v>
      </c>
      <c r="AB32" s="73" t="s">
        <v>18</v>
      </c>
      <c r="AC32" s="73">
        <v>9</v>
      </c>
      <c r="AD32" s="82" t="s">
        <v>84</v>
      </c>
      <c r="AE32" s="73" t="s">
        <v>20</v>
      </c>
      <c r="AF32" s="73" t="s">
        <v>12</v>
      </c>
      <c r="AG32" s="83">
        <v>27.8</v>
      </c>
      <c r="AL32" s="82"/>
      <c r="AO32" s="83"/>
      <c r="AP32" s="82"/>
      <c r="AS32" s="83"/>
      <c r="AW32" s="83"/>
      <c r="BA32" s="84"/>
    </row>
    <row r="33" spans="1:53" s="73" customFormat="1">
      <c r="A33" s="101">
        <v>1972</v>
      </c>
      <c r="B33" s="857">
        <v>26319</v>
      </c>
      <c r="C33" s="917" t="s">
        <v>196</v>
      </c>
      <c r="D33" s="917"/>
      <c r="E33" s="73">
        <v>346</v>
      </c>
      <c r="F33" s="123">
        <v>0</v>
      </c>
      <c r="G33" s="119"/>
      <c r="H33" s="73">
        <v>10</v>
      </c>
      <c r="I33" s="73">
        <v>9</v>
      </c>
      <c r="J33" s="126">
        <v>19</v>
      </c>
      <c r="K33" s="92">
        <f t="shared" si="11"/>
        <v>0</v>
      </c>
      <c r="L33" s="92">
        <f t="shared" si="12"/>
        <v>52.631578947368418</v>
      </c>
      <c r="M33" s="92">
        <f t="shared" si="13"/>
        <v>47.368421052631575</v>
      </c>
      <c r="N33" s="121">
        <f t="shared" si="0"/>
        <v>100</v>
      </c>
      <c r="O33" s="91"/>
      <c r="P33" s="92">
        <v>32.6</v>
      </c>
      <c r="Q33" s="92">
        <v>27.8</v>
      </c>
      <c r="R33" s="93">
        <f t="shared" si="4"/>
        <v>60.400000000000006</v>
      </c>
      <c r="S33" s="97">
        <v>2</v>
      </c>
      <c r="T33" s="839"/>
      <c r="U33" s="852"/>
      <c r="V33" s="82" t="s">
        <v>81</v>
      </c>
      <c r="W33" s="73" t="s">
        <v>82</v>
      </c>
      <c r="X33" s="73" t="s">
        <v>18</v>
      </c>
      <c r="Y33" s="83">
        <v>23.6</v>
      </c>
      <c r="Z33" s="73" t="s">
        <v>85</v>
      </c>
      <c r="AA33" s="73" t="s">
        <v>86</v>
      </c>
      <c r="AB33" s="73" t="s">
        <v>18</v>
      </c>
      <c r="AC33" s="73">
        <v>9</v>
      </c>
      <c r="AD33" s="82" t="s">
        <v>84</v>
      </c>
      <c r="AE33" s="73" t="s">
        <v>20</v>
      </c>
      <c r="AF33" s="73" t="s">
        <v>12</v>
      </c>
      <c r="AG33" s="83">
        <v>27.8</v>
      </c>
      <c r="AL33" s="82"/>
      <c r="AO33" s="83"/>
      <c r="AP33" s="82"/>
      <c r="AS33" s="83"/>
      <c r="AW33" s="83"/>
      <c r="BA33" s="84"/>
    </row>
    <row r="34" spans="1:53" s="73" customFormat="1">
      <c r="A34" s="101">
        <v>1973</v>
      </c>
      <c r="B34" s="852"/>
      <c r="C34" s="917" t="s">
        <v>196</v>
      </c>
      <c r="D34" s="917"/>
      <c r="E34" s="73">
        <v>25</v>
      </c>
      <c r="G34" s="119"/>
      <c r="H34" s="73">
        <v>10</v>
      </c>
      <c r="I34" s="73">
        <v>9</v>
      </c>
      <c r="J34" s="126">
        <v>19</v>
      </c>
      <c r="K34" s="92">
        <f t="shared" si="11"/>
        <v>0</v>
      </c>
      <c r="L34" s="92">
        <f t="shared" si="12"/>
        <v>52.631578947368418</v>
      </c>
      <c r="M34" s="92">
        <f t="shared" si="13"/>
        <v>47.368421052631575</v>
      </c>
      <c r="N34" s="121">
        <f t="shared" si="0"/>
        <v>100</v>
      </c>
      <c r="O34" s="91"/>
      <c r="P34" s="92">
        <v>32.6</v>
      </c>
      <c r="Q34" s="92">
        <v>27.8</v>
      </c>
      <c r="R34" s="93">
        <f t="shared" si="4"/>
        <v>60.400000000000006</v>
      </c>
      <c r="S34" s="97">
        <v>2</v>
      </c>
      <c r="T34" s="839"/>
      <c r="U34" s="852"/>
      <c r="V34" s="82" t="s">
        <v>81</v>
      </c>
      <c r="W34" s="73" t="s">
        <v>82</v>
      </c>
      <c r="X34" s="73" t="s">
        <v>18</v>
      </c>
      <c r="Y34" s="83">
        <v>23.6</v>
      </c>
      <c r="Z34" s="73" t="s">
        <v>85</v>
      </c>
      <c r="AA34" s="73" t="s">
        <v>86</v>
      </c>
      <c r="AB34" s="73" t="s">
        <v>18</v>
      </c>
      <c r="AC34" s="73">
        <v>9</v>
      </c>
      <c r="AD34" s="82" t="s">
        <v>84</v>
      </c>
      <c r="AE34" s="73" t="s">
        <v>20</v>
      </c>
      <c r="AF34" s="73" t="s">
        <v>12</v>
      </c>
      <c r="AG34" s="83">
        <v>27.8</v>
      </c>
      <c r="AL34" s="82"/>
      <c r="AO34" s="83"/>
      <c r="AP34" s="82"/>
      <c r="AS34" s="83"/>
      <c r="AW34" s="83"/>
      <c r="BA34" s="84"/>
    </row>
    <row r="35" spans="1:53" s="292" customFormat="1">
      <c r="A35" s="338">
        <v>1973</v>
      </c>
      <c r="B35" s="836">
        <v>26690</v>
      </c>
      <c r="C35" s="909" t="s">
        <v>198</v>
      </c>
      <c r="D35" s="909"/>
      <c r="E35" s="292">
        <v>340</v>
      </c>
      <c r="F35" s="292">
        <v>7</v>
      </c>
      <c r="G35" s="366">
        <v>4</v>
      </c>
      <c r="H35" s="292">
        <v>9</v>
      </c>
      <c r="I35" s="292">
        <v>9</v>
      </c>
      <c r="J35" s="377">
        <v>22</v>
      </c>
      <c r="K35" s="336">
        <f t="shared" si="11"/>
        <v>18.181818181818183</v>
      </c>
      <c r="L35" s="336">
        <f t="shared" si="12"/>
        <v>40.909090909090914</v>
      </c>
      <c r="M35" s="336">
        <f t="shared" si="13"/>
        <v>40.909090909090914</v>
      </c>
      <c r="N35" s="368">
        <f t="shared" si="0"/>
        <v>100</v>
      </c>
      <c r="O35" s="335">
        <v>9.4</v>
      </c>
      <c r="P35" s="336">
        <v>31.6</v>
      </c>
      <c r="Q35" s="336">
        <v>28.8</v>
      </c>
      <c r="R35" s="337">
        <f t="shared" si="4"/>
        <v>69.8</v>
      </c>
      <c r="S35" s="340">
        <v>3</v>
      </c>
      <c r="T35" s="838"/>
      <c r="U35" s="836">
        <v>26690</v>
      </c>
      <c r="V35" s="299" t="s">
        <v>81</v>
      </c>
      <c r="W35" s="292" t="s">
        <v>82</v>
      </c>
      <c r="X35" s="292" t="s">
        <v>18</v>
      </c>
      <c r="Y35" s="300">
        <v>22.2</v>
      </c>
      <c r="Z35" s="292" t="s">
        <v>85</v>
      </c>
      <c r="AA35" s="292" t="s">
        <v>86</v>
      </c>
      <c r="AB35" s="292" t="s">
        <v>18</v>
      </c>
      <c r="AC35" s="292">
        <v>9.4</v>
      </c>
      <c r="AD35" s="299" t="s">
        <v>84</v>
      </c>
      <c r="AE35" s="292" t="s">
        <v>20</v>
      </c>
      <c r="AF35" s="292" t="s">
        <v>12</v>
      </c>
      <c r="AG35" s="300">
        <v>28.8</v>
      </c>
      <c r="AH35" s="292" t="s">
        <v>87</v>
      </c>
      <c r="AI35" s="292" t="s">
        <v>88</v>
      </c>
      <c r="AJ35" s="292" t="s">
        <v>11</v>
      </c>
      <c r="AK35" s="292">
        <v>9.4</v>
      </c>
      <c r="AL35" s="299"/>
      <c r="AO35" s="300"/>
      <c r="AP35" s="299"/>
      <c r="AS35" s="300"/>
      <c r="AW35" s="300"/>
      <c r="BA35" s="301"/>
    </row>
    <row r="36" spans="1:53" s="292" customFormat="1">
      <c r="A36" s="338">
        <v>1974</v>
      </c>
      <c r="B36" s="836"/>
      <c r="C36" s="909" t="s">
        <v>198</v>
      </c>
      <c r="D36" s="909"/>
      <c r="E36" s="292">
        <v>114</v>
      </c>
      <c r="G36" s="366">
        <v>4</v>
      </c>
      <c r="H36" s="292">
        <v>9</v>
      </c>
      <c r="I36" s="292">
        <v>9</v>
      </c>
      <c r="J36" s="377">
        <v>22</v>
      </c>
      <c r="K36" s="336">
        <f>G36/J36*100</f>
        <v>18.181818181818183</v>
      </c>
      <c r="L36" s="336">
        <f>H36/J36*100</f>
        <v>40.909090909090914</v>
      </c>
      <c r="M36" s="336">
        <f>I36/J36*100</f>
        <v>40.909090909090914</v>
      </c>
      <c r="N36" s="368">
        <f t="shared" si="0"/>
        <v>100</v>
      </c>
      <c r="O36" s="335">
        <v>9.4</v>
      </c>
      <c r="P36" s="336">
        <v>31.6</v>
      </c>
      <c r="Q36" s="336">
        <v>28.8</v>
      </c>
      <c r="R36" s="337">
        <f t="shared" si="4"/>
        <v>69.8</v>
      </c>
      <c r="S36" s="340">
        <v>3</v>
      </c>
      <c r="T36" s="838"/>
      <c r="U36" s="836"/>
      <c r="V36" s="299" t="s">
        <v>81</v>
      </c>
      <c r="W36" s="292" t="s">
        <v>82</v>
      </c>
      <c r="X36" s="292" t="s">
        <v>18</v>
      </c>
      <c r="Y36" s="300">
        <v>22.2</v>
      </c>
      <c r="Z36" s="292" t="s">
        <v>85</v>
      </c>
      <c r="AA36" s="292" t="s">
        <v>86</v>
      </c>
      <c r="AB36" s="292" t="s">
        <v>18</v>
      </c>
      <c r="AC36" s="292">
        <v>9.4</v>
      </c>
      <c r="AD36" s="299" t="s">
        <v>84</v>
      </c>
      <c r="AE36" s="292" t="s">
        <v>20</v>
      </c>
      <c r="AF36" s="292" t="s">
        <v>12</v>
      </c>
      <c r="AG36" s="300">
        <v>28.8</v>
      </c>
      <c r="AH36" s="292" t="s">
        <v>87</v>
      </c>
      <c r="AI36" s="292" t="s">
        <v>88</v>
      </c>
      <c r="AJ36" s="292" t="s">
        <v>11</v>
      </c>
      <c r="AK36" s="292">
        <v>9.4</v>
      </c>
      <c r="AL36" s="299"/>
      <c r="AO36" s="300"/>
      <c r="AP36" s="299"/>
      <c r="AS36" s="300"/>
      <c r="AW36" s="300"/>
      <c r="BA36" s="301"/>
    </row>
    <row r="37" spans="1:53" s="73" customFormat="1">
      <c r="A37" s="101">
        <v>1974</v>
      </c>
      <c r="B37" s="852">
        <v>27144</v>
      </c>
      <c r="C37" s="901" t="s">
        <v>199</v>
      </c>
      <c r="D37" s="901"/>
      <c r="E37" s="73">
        <v>48</v>
      </c>
      <c r="F37" s="73">
        <v>5</v>
      </c>
      <c r="G37" s="119">
        <v>6</v>
      </c>
      <c r="H37" s="73">
        <v>13</v>
      </c>
      <c r="J37" s="126">
        <v>19</v>
      </c>
      <c r="K37" s="92">
        <f>G37/J37*100</f>
        <v>31.578947368421051</v>
      </c>
      <c r="L37" s="92">
        <f>H37/J37*100</f>
        <v>68.421052631578945</v>
      </c>
      <c r="M37" s="92">
        <f>I37/J37*100</f>
        <v>0</v>
      </c>
      <c r="N37" s="121">
        <f t="shared" si="0"/>
        <v>100</v>
      </c>
      <c r="O37" s="91">
        <v>9.1999999999999993</v>
      </c>
      <c r="P37" s="92">
        <v>44.4</v>
      </c>
      <c r="Q37" s="92"/>
      <c r="R37" s="93">
        <f t="shared" si="4"/>
        <v>53.599999999999994</v>
      </c>
      <c r="S37" s="97">
        <v>2</v>
      </c>
      <c r="T37" s="839">
        <v>27098</v>
      </c>
      <c r="U37" s="852">
        <v>27144</v>
      </c>
      <c r="V37" s="82" t="s">
        <v>81</v>
      </c>
      <c r="W37" s="73" t="s">
        <v>82</v>
      </c>
      <c r="X37" s="73" t="s">
        <v>18</v>
      </c>
      <c r="Y37" s="83">
        <v>23.6</v>
      </c>
      <c r="Z37" s="73" t="s">
        <v>85</v>
      </c>
      <c r="AA37" s="73" t="s">
        <v>86</v>
      </c>
      <c r="AB37" s="73" t="s">
        <v>18</v>
      </c>
      <c r="AC37" s="73">
        <v>10.4</v>
      </c>
      <c r="AD37" s="82" t="s">
        <v>87</v>
      </c>
      <c r="AE37" s="73" t="s">
        <v>88</v>
      </c>
      <c r="AF37" s="73" t="s">
        <v>11</v>
      </c>
      <c r="AG37" s="83">
        <v>9.1999999999999993</v>
      </c>
      <c r="AH37" s="73" t="s">
        <v>89</v>
      </c>
      <c r="AI37" s="73" t="s">
        <v>90</v>
      </c>
      <c r="AJ37" s="73" t="s">
        <v>18</v>
      </c>
      <c r="AK37" s="73">
        <v>10.4</v>
      </c>
      <c r="AL37" s="82"/>
      <c r="AO37" s="83"/>
      <c r="AP37" s="82"/>
      <c r="AS37" s="83"/>
      <c r="AW37" s="83"/>
      <c r="BA37" s="84"/>
    </row>
    <row r="38" spans="1:53" s="292" customFormat="1">
      <c r="A38" s="338">
        <v>1974</v>
      </c>
      <c r="B38" s="836">
        <v>27192</v>
      </c>
      <c r="C38" s="909" t="s">
        <v>200</v>
      </c>
      <c r="D38" s="909"/>
      <c r="E38" s="292">
        <v>203</v>
      </c>
      <c r="F38" s="292">
        <v>7</v>
      </c>
      <c r="G38" s="366">
        <v>6</v>
      </c>
      <c r="H38" s="292">
        <v>15</v>
      </c>
      <c r="J38" s="377">
        <v>21</v>
      </c>
      <c r="K38" s="336">
        <f t="shared" ref="K38:K43" si="14">G38/J38*100</f>
        <v>28.571428571428569</v>
      </c>
      <c r="L38" s="336">
        <f t="shared" ref="L38:L43" si="15">H38/J38*100</f>
        <v>71.428571428571431</v>
      </c>
      <c r="M38" s="336">
        <f t="shared" ref="M38:M43" si="16">I38/J38*100</f>
        <v>0</v>
      </c>
      <c r="N38" s="368">
        <f t="shared" si="0"/>
        <v>100</v>
      </c>
      <c r="O38" s="335">
        <v>9.1999999999999993</v>
      </c>
      <c r="P38" s="336">
        <v>50.5</v>
      </c>
      <c r="Q38" s="336"/>
      <c r="R38" s="337">
        <f t="shared" si="4"/>
        <v>59.7</v>
      </c>
      <c r="S38" s="340">
        <v>3</v>
      </c>
      <c r="T38" s="838"/>
      <c r="U38" s="836">
        <v>27192</v>
      </c>
      <c r="V38" s="299" t="s">
        <v>81</v>
      </c>
      <c r="W38" s="292" t="s">
        <v>82</v>
      </c>
      <c r="X38" s="292" t="s">
        <v>18</v>
      </c>
      <c r="Y38" s="300">
        <v>23.6</v>
      </c>
      <c r="Z38" s="292" t="s">
        <v>85</v>
      </c>
      <c r="AA38" s="292" t="s">
        <v>86</v>
      </c>
      <c r="AB38" s="292" t="s">
        <v>18</v>
      </c>
      <c r="AC38" s="292">
        <v>10.4</v>
      </c>
      <c r="AD38" s="299" t="s">
        <v>87</v>
      </c>
      <c r="AE38" s="292" t="s">
        <v>88</v>
      </c>
      <c r="AF38" s="292" t="s">
        <v>11</v>
      </c>
      <c r="AG38" s="300">
        <v>9.1999999999999993</v>
      </c>
      <c r="AH38" s="292" t="s">
        <v>89</v>
      </c>
      <c r="AI38" s="292" t="s">
        <v>90</v>
      </c>
      <c r="AJ38" s="292" t="s">
        <v>18</v>
      </c>
      <c r="AK38" s="292">
        <v>10.4</v>
      </c>
      <c r="AL38" s="299" t="s">
        <v>91</v>
      </c>
      <c r="AM38" s="292" t="s">
        <v>92</v>
      </c>
      <c r="AN38" s="292" t="s">
        <v>18</v>
      </c>
      <c r="AO38" s="300">
        <v>6.1</v>
      </c>
      <c r="AP38" s="299"/>
      <c r="AS38" s="300"/>
      <c r="AW38" s="300"/>
      <c r="BA38" s="301"/>
    </row>
    <row r="39" spans="1:53" s="292" customFormat="1">
      <c r="A39" s="338">
        <v>1975</v>
      </c>
      <c r="B39" s="836"/>
      <c r="C39" s="909" t="s">
        <v>200</v>
      </c>
      <c r="D39" s="909"/>
      <c r="E39" s="292">
        <v>0</v>
      </c>
      <c r="G39" s="366">
        <v>6</v>
      </c>
      <c r="H39" s="292">
        <v>15</v>
      </c>
      <c r="J39" s="377">
        <v>21</v>
      </c>
      <c r="K39" s="336">
        <f t="shared" si="14"/>
        <v>28.571428571428569</v>
      </c>
      <c r="L39" s="336">
        <f t="shared" si="15"/>
        <v>71.428571428571431</v>
      </c>
      <c r="M39" s="336">
        <f t="shared" si="16"/>
        <v>0</v>
      </c>
      <c r="N39" s="368">
        <f t="shared" si="0"/>
        <v>100</v>
      </c>
      <c r="O39" s="335">
        <v>9.1999999999999993</v>
      </c>
      <c r="P39" s="336">
        <v>50.5</v>
      </c>
      <c r="Q39" s="336"/>
      <c r="R39" s="337">
        <f t="shared" si="4"/>
        <v>59.7</v>
      </c>
      <c r="S39" s="340">
        <v>3</v>
      </c>
      <c r="T39" s="838"/>
      <c r="U39" s="836"/>
      <c r="V39" s="299" t="s">
        <v>81</v>
      </c>
      <c r="W39" s="292" t="s">
        <v>82</v>
      </c>
      <c r="X39" s="292" t="s">
        <v>18</v>
      </c>
      <c r="Y39" s="300">
        <v>23.6</v>
      </c>
      <c r="Z39" s="292" t="s">
        <v>85</v>
      </c>
      <c r="AA39" s="292" t="s">
        <v>86</v>
      </c>
      <c r="AB39" s="292" t="s">
        <v>18</v>
      </c>
      <c r="AC39" s="292">
        <v>10.4</v>
      </c>
      <c r="AD39" s="299" t="s">
        <v>87</v>
      </c>
      <c r="AE39" s="292" t="s">
        <v>88</v>
      </c>
      <c r="AF39" s="292" t="s">
        <v>11</v>
      </c>
      <c r="AG39" s="300">
        <v>9.1999999999999993</v>
      </c>
      <c r="AH39" s="292" t="s">
        <v>89</v>
      </c>
      <c r="AI39" s="292" t="s">
        <v>90</v>
      </c>
      <c r="AJ39" s="292" t="s">
        <v>18</v>
      </c>
      <c r="AK39" s="292">
        <v>10.4</v>
      </c>
      <c r="AL39" s="299" t="s">
        <v>91</v>
      </c>
      <c r="AM39" s="292" t="s">
        <v>92</v>
      </c>
      <c r="AN39" s="292" t="s">
        <v>18</v>
      </c>
      <c r="AO39" s="300">
        <v>6.1</v>
      </c>
      <c r="AP39" s="299"/>
      <c r="AS39" s="300"/>
      <c r="AW39" s="300"/>
      <c r="BA39" s="301"/>
    </row>
    <row r="40" spans="1:53" s="292" customFormat="1">
      <c r="A40" s="338">
        <v>1975</v>
      </c>
      <c r="B40" s="836"/>
      <c r="C40" s="909" t="s">
        <v>200</v>
      </c>
      <c r="D40" s="909"/>
      <c r="E40" s="292">
        <v>365</v>
      </c>
      <c r="G40" s="366">
        <v>6</v>
      </c>
      <c r="H40" s="292">
        <v>15</v>
      </c>
      <c r="J40" s="377">
        <v>21</v>
      </c>
      <c r="K40" s="336">
        <f t="shared" si="14"/>
        <v>28.571428571428569</v>
      </c>
      <c r="L40" s="336">
        <f t="shared" si="15"/>
        <v>71.428571428571431</v>
      </c>
      <c r="M40" s="336">
        <f t="shared" si="16"/>
        <v>0</v>
      </c>
      <c r="N40" s="368">
        <f t="shared" si="0"/>
        <v>100</v>
      </c>
      <c r="O40" s="335">
        <v>9.1999999999999993</v>
      </c>
      <c r="P40" s="336">
        <v>50.5</v>
      </c>
      <c r="Q40" s="336"/>
      <c r="R40" s="337">
        <f t="shared" si="4"/>
        <v>59.7</v>
      </c>
      <c r="S40" s="340">
        <v>3</v>
      </c>
      <c r="T40" s="838"/>
      <c r="U40" s="836"/>
      <c r="V40" s="299" t="s">
        <v>81</v>
      </c>
      <c r="W40" s="292" t="s">
        <v>82</v>
      </c>
      <c r="X40" s="292" t="s">
        <v>18</v>
      </c>
      <c r="Y40" s="300">
        <v>23.6</v>
      </c>
      <c r="Z40" s="292" t="s">
        <v>85</v>
      </c>
      <c r="AA40" s="292" t="s">
        <v>86</v>
      </c>
      <c r="AB40" s="292" t="s">
        <v>18</v>
      </c>
      <c r="AC40" s="292">
        <v>10.4</v>
      </c>
      <c r="AD40" s="299" t="s">
        <v>87</v>
      </c>
      <c r="AE40" s="292" t="s">
        <v>88</v>
      </c>
      <c r="AF40" s="292" t="s">
        <v>11</v>
      </c>
      <c r="AG40" s="300">
        <v>9.1999999999999993</v>
      </c>
      <c r="AH40" s="292" t="s">
        <v>89</v>
      </c>
      <c r="AI40" s="292" t="s">
        <v>90</v>
      </c>
      <c r="AJ40" s="292" t="s">
        <v>18</v>
      </c>
      <c r="AK40" s="292">
        <v>10.4</v>
      </c>
      <c r="AL40" s="299" t="s">
        <v>91</v>
      </c>
      <c r="AM40" s="292" t="s">
        <v>92</v>
      </c>
      <c r="AN40" s="292" t="s">
        <v>18</v>
      </c>
      <c r="AO40" s="300">
        <v>6.1</v>
      </c>
      <c r="AP40" s="299"/>
      <c r="AS40" s="300"/>
      <c r="AW40" s="300"/>
      <c r="BA40" s="301"/>
    </row>
    <row r="41" spans="1:53" s="292" customFormat="1">
      <c r="A41" s="338">
        <v>1976</v>
      </c>
      <c r="B41" s="836"/>
      <c r="C41" s="909" t="s">
        <v>200</v>
      </c>
      <c r="D41" s="909"/>
      <c r="E41" s="292">
        <v>343</v>
      </c>
      <c r="G41" s="366">
        <v>6</v>
      </c>
      <c r="H41" s="292">
        <v>15</v>
      </c>
      <c r="J41" s="377">
        <v>21</v>
      </c>
      <c r="K41" s="336">
        <f t="shared" si="14"/>
        <v>28.571428571428569</v>
      </c>
      <c r="L41" s="336">
        <f t="shared" si="15"/>
        <v>71.428571428571431</v>
      </c>
      <c r="M41" s="336">
        <f t="shared" si="16"/>
        <v>0</v>
      </c>
      <c r="N41" s="368">
        <f t="shared" si="0"/>
        <v>100</v>
      </c>
      <c r="O41" s="335">
        <v>9.1999999999999993</v>
      </c>
      <c r="P41" s="336">
        <v>50.5</v>
      </c>
      <c r="Q41" s="336"/>
      <c r="R41" s="337">
        <f t="shared" si="4"/>
        <v>59.7</v>
      </c>
      <c r="S41" s="340">
        <v>3</v>
      </c>
      <c r="T41" s="838"/>
      <c r="U41" s="836"/>
      <c r="V41" s="299" t="s">
        <v>81</v>
      </c>
      <c r="W41" s="292" t="s">
        <v>82</v>
      </c>
      <c r="X41" s="292" t="s">
        <v>18</v>
      </c>
      <c r="Y41" s="300">
        <v>23.6</v>
      </c>
      <c r="Z41" s="292" t="s">
        <v>85</v>
      </c>
      <c r="AA41" s="292" t="s">
        <v>86</v>
      </c>
      <c r="AB41" s="292" t="s">
        <v>18</v>
      </c>
      <c r="AC41" s="292">
        <v>10.4</v>
      </c>
      <c r="AD41" s="299" t="s">
        <v>87</v>
      </c>
      <c r="AE41" s="292" t="s">
        <v>88</v>
      </c>
      <c r="AF41" s="292" t="s">
        <v>11</v>
      </c>
      <c r="AG41" s="300">
        <v>9.1999999999999993</v>
      </c>
      <c r="AH41" s="292" t="s">
        <v>89</v>
      </c>
      <c r="AI41" s="292" t="s">
        <v>90</v>
      </c>
      <c r="AJ41" s="292" t="s">
        <v>18</v>
      </c>
      <c r="AK41" s="292">
        <v>10.4</v>
      </c>
      <c r="AL41" s="299" t="s">
        <v>91</v>
      </c>
      <c r="AM41" s="292" t="s">
        <v>92</v>
      </c>
      <c r="AN41" s="292" t="s">
        <v>18</v>
      </c>
      <c r="AO41" s="300">
        <v>6.1</v>
      </c>
      <c r="AP41" s="299"/>
      <c r="AS41" s="300"/>
      <c r="AW41" s="300"/>
      <c r="BA41" s="301"/>
    </row>
    <row r="42" spans="1:53" s="292" customFormat="1">
      <c r="A42" s="338">
        <v>1976</v>
      </c>
      <c r="B42" s="858">
        <v>28103</v>
      </c>
      <c r="C42" s="909" t="s">
        <v>200</v>
      </c>
      <c r="D42" s="909"/>
      <c r="E42" s="292">
        <v>23</v>
      </c>
      <c r="F42" s="314">
        <v>0</v>
      </c>
      <c r="G42" s="366">
        <v>8</v>
      </c>
      <c r="H42" s="292">
        <v>17</v>
      </c>
      <c r="J42" s="377">
        <v>25</v>
      </c>
      <c r="K42" s="336">
        <f t="shared" si="14"/>
        <v>32</v>
      </c>
      <c r="L42" s="336">
        <f t="shared" si="15"/>
        <v>68</v>
      </c>
      <c r="M42" s="336">
        <f t="shared" si="16"/>
        <v>0</v>
      </c>
      <c r="N42" s="368">
        <f t="shared" si="0"/>
        <v>100</v>
      </c>
      <c r="O42" s="335">
        <v>9.1999999999999993</v>
      </c>
      <c r="P42" s="336">
        <v>50.5</v>
      </c>
      <c r="Q42" s="336"/>
      <c r="R42" s="337">
        <f t="shared" si="4"/>
        <v>59.7</v>
      </c>
      <c r="S42" s="340">
        <v>3</v>
      </c>
      <c r="T42" s="838"/>
      <c r="U42" s="836"/>
      <c r="V42" s="299" t="s">
        <v>81</v>
      </c>
      <c r="W42" s="292" t="s">
        <v>82</v>
      </c>
      <c r="X42" s="292" t="s">
        <v>18</v>
      </c>
      <c r="Y42" s="300">
        <v>23.6</v>
      </c>
      <c r="Z42" s="292" t="s">
        <v>85</v>
      </c>
      <c r="AA42" s="292" t="s">
        <v>86</v>
      </c>
      <c r="AB42" s="292" t="s">
        <v>18</v>
      </c>
      <c r="AC42" s="292">
        <v>10.4</v>
      </c>
      <c r="AD42" s="299" t="s">
        <v>87</v>
      </c>
      <c r="AE42" s="292" t="s">
        <v>88</v>
      </c>
      <c r="AF42" s="292" t="s">
        <v>11</v>
      </c>
      <c r="AG42" s="300">
        <v>9.1999999999999993</v>
      </c>
      <c r="AH42" s="292" t="s">
        <v>89</v>
      </c>
      <c r="AI42" s="292" t="s">
        <v>90</v>
      </c>
      <c r="AJ42" s="292" t="s">
        <v>18</v>
      </c>
      <c r="AK42" s="292">
        <v>10.4</v>
      </c>
      <c r="AL42" s="299" t="s">
        <v>91</v>
      </c>
      <c r="AM42" s="292" t="s">
        <v>92</v>
      </c>
      <c r="AN42" s="292" t="s">
        <v>18</v>
      </c>
      <c r="AO42" s="300">
        <v>6.1</v>
      </c>
      <c r="AP42" s="299"/>
      <c r="AS42" s="300"/>
      <c r="AW42" s="300"/>
      <c r="BA42" s="301"/>
    </row>
    <row r="43" spans="1:53" s="292" customFormat="1">
      <c r="A43" s="338">
        <v>1977</v>
      </c>
      <c r="B43" s="836"/>
      <c r="C43" s="909" t="s">
        <v>200</v>
      </c>
      <c r="D43" s="909"/>
      <c r="E43" s="292">
        <v>153</v>
      </c>
      <c r="G43" s="366">
        <v>8</v>
      </c>
      <c r="H43" s="292">
        <v>17</v>
      </c>
      <c r="J43" s="377">
        <v>25</v>
      </c>
      <c r="K43" s="336">
        <f t="shared" si="14"/>
        <v>32</v>
      </c>
      <c r="L43" s="336">
        <f t="shared" si="15"/>
        <v>68</v>
      </c>
      <c r="M43" s="336">
        <f t="shared" si="16"/>
        <v>0</v>
      </c>
      <c r="N43" s="368">
        <f t="shared" si="0"/>
        <v>100</v>
      </c>
      <c r="O43" s="335">
        <v>9.1999999999999993</v>
      </c>
      <c r="P43" s="336">
        <v>50.5</v>
      </c>
      <c r="Q43" s="336"/>
      <c r="R43" s="337">
        <f t="shared" si="4"/>
        <v>59.7</v>
      </c>
      <c r="S43" s="340">
        <v>3</v>
      </c>
      <c r="T43" s="838"/>
      <c r="U43" s="836"/>
      <c r="V43" s="299" t="s">
        <v>81</v>
      </c>
      <c r="W43" s="292" t="s">
        <v>82</v>
      </c>
      <c r="X43" s="292" t="s">
        <v>18</v>
      </c>
      <c r="Y43" s="300">
        <v>23.6</v>
      </c>
      <c r="Z43" s="292" t="s">
        <v>85</v>
      </c>
      <c r="AA43" s="292" t="s">
        <v>86</v>
      </c>
      <c r="AB43" s="292" t="s">
        <v>18</v>
      </c>
      <c r="AC43" s="292">
        <v>10.4</v>
      </c>
      <c r="AD43" s="299" t="s">
        <v>87</v>
      </c>
      <c r="AE43" s="292" t="s">
        <v>88</v>
      </c>
      <c r="AF43" s="292" t="s">
        <v>11</v>
      </c>
      <c r="AG43" s="300">
        <v>9.1999999999999993</v>
      </c>
      <c r="AH43" s="292" t="s">
        <v>89</v>
      </c>
      <c r="AI43" s="292" t="s">
        <v>90</v>
      </c>
      <c r="AJ43" s="292" t="s">
        <v>18</v>
      </c>
      <c r="AK43" s="292">
        <v>10.4</v>
      </c>
      <c r="AL43" s="299" t="s">
        <v>91</v>
      </c>
      <c r="AM43" s="292" t="s">
        <v>92</v>
      </c>
      <c r="AN43" s="292" t="s">
        <v>18</v>
      </c>
      <c r="AO43" s="300">
        <v>6.1</v>
      </c>
      <c r="AP43" s="299"/>
      <c r="AS43" s="300"/>
      <c r="AW43" s="300"/>
      <c r="BA43" s="301"/>
    </row>
    <row r="44" spans="1:53" s="73" customFormat="1">
      <c r="A44" s="101">
        <v>1977</v>
      </c>
      <c r="B44" s="852">
        <v>28279</v>
      </c>
      <c r="C44" s="901" t="s">
        <v>201</v>
      </c>
      <c r="D44" s="901"/>
      <c r="E44" s="73">
        <v>212</v>
      </c>
      <c r="F44" s="73">
        <v>5</v>
      </c>
      <c r="G44" s="119"/>
      <c r="H44" s="73">
        <v>14</v>
      </c>
      <c r="I44" s="73">
        <v>9</v>
      </c>
      <c r="J44" s="126">
        <v>23</v>
      </c>
      <c r="K44" s="92">
        <f>G44/J44*100</f>
        <v>0</v>
      </c>
      <c r="L44" s="92">
        <f>H44/J44*100</f>
        <v>60.869565217391312</v>
      </c>
      <c r="M44" s="92">
        <f>I44/J44*100</f>
        <v>39.130434782608695</v>
      </c>
      <c r="N44" s="121">
        <f t="shared" si="0"/>
        <v>100</v>
      </c>
      <c r="O44" s="91"/>
      <c r="P44" s="92">
        <v>51.8</v>
      </c>
      <c r="Q44" s="92">
        <v>29.2</v>
      </c>
      <c r="R44" s="93">
        <f t="shared" si="4"/>
        <v>81</v>
      </c>
      <c r="S44" s="97">
        <v>3</v>
      </c>
      <c r="T44" s="839">
        <v>28232</v>
      </c>
      <c r="U44" s="852">
        <v>28279</v>
      </c>
      <c r="V44" s="82" t="s">
        <v>81</v>
      </c>
      <c r="W44" s="73" t="s">
        <v>82</v>
      </c>
      <c r="X44" s="73" t="s">
        <v>18</v>
      </c>
      <c r="Y44" s="83">
        <v>26.4</v>
      </c>
      <c r="Z44" s="73" t="s">
        <v>85</v>
      </c>
      <c r="AA44" s="73" t="s">
        <v>86</v>
      </c>
      <c r="AB44" s="73" t="s">
        <v>18</v>
      </c>
      <c r="AC44" s="73">
        <v>11.3</v>
      </c>
      <c r="AD44" s="82" t="s">
        <v>84</v>
      </c>
      <c r="AE44" s="73" t="s">
        <v>20</v>
      </c>
      <c r="AF44" s="73" t="s">
        <v>12</v>
      </c>
      <c r="AG44" s="83">
        <v>29.2</v>
      </c>
      <c r="AH44" s="73" t="s">
        <v>89</v>
      </c>
      <c r="AI44" s="73" t="s">
        <v>90</v>
      </c>
      <c r="AJ44" s="73" t="s">
        <v>18</v>
      </c>
      <c r="AK44" s="73">
        <v>9.4</v>
      </c>
      <c r="AL44" s="82" t="s">
        <v>93</v>
      </c>
      <c r="AM44" s="73" t="s">
        <v>94</v>
      </c>
      <c r="AN44" s="73" t="s">
        <v>18</v>
      </c>
      <c r="AO44" s="83">
        <v>4.7</v>
      </c>
      <c r="AP44" s="82"/>
      <c r="AS44" s="83"/>
      <c r="AW44" s="83"/>
      <c r="BA44" s="84"/>
    </row>
    <row r="45" spans="1:53" s="73" customFormat="1">
      <c r="A45" s="101">
        <v>1978</v>
      </c>
      <c r="B45" s="852"/>
      <c r="C45" s="901" t="s">
        <v>201</v>
      </c>
      <c r="D45" s="901"/>
      <c r="E45" s="73">
        <v>292</v>
      </c>
      <c r="G45" s="119"/>
      <c r="H45" s="73">
        <v>14</v>
      </c>
      <c r="I45" s="73">
        <v>9</v>
      </c>
      <c r="J45" s="126">
        <v>23</v>
      </c>
      <c r="K45" s="92">
        <f t="shared" ref="K45:K52" si="17">G45/J45*100</f>
        <v>0</v>
      </c>
      <c r="L45" s="92">
        <f t="shared" ref="L45:L52" si="18">H45/J45*100</f>
        <v>60.869565217391312</v>
      </c>
      <c r="M45" s="92">
        <f t="shared" ref="M45:M52" si="19">I45/J45*100</f>
        <v>39.130434782608695</v>
      </c>
      <c r="N45" s="121">
        <f t="shared" si="0"/>
        <v>100</v>
      </c>
      <c r="O45" s="91"/>
      <c r="P45" s="92">
        <v>51.8</v>
      </c>
      <c r="Q45" s="92">
        <v>29.2</v>
      </c>
      <c r="R45" s="93">
        <f t="shared" si="4"/>
        <v>81</v>
      </c>
      <c r="S45" s="97">
        <v>3</v>
      </c>
      <c r="T45" s="839"/>
      <c r="U45" s="852"/>
      <c r="V45" s="82" t="s">
        <v>81</v>
      </c>
      <c r="W45" s="73" t="s">
        <v>82</v>
      </c>
      <c r="X45" s="73" t="s">
        <v>18</v>
      </c>
      <c r="Y45" s="83">
        <v>26.4</v>
      </c>
      <c r="Z45" s="73" t="s">
        <v>85</v>
      </c>
      <c r="AA45" s="73" t="s">
        <v>86</v>
      </c>
      <c r="AB45" s="73" t="s">
        <v>18</v>
      </c>
      <c r="AC45" s="73">
        <v>11.3</v>
      </c>
      <c r="AD45" s="82" t="s">
        <v>84</v>
      </c>
      <c r="AE45" s="73" t="s">
        <v>20</v>
      </c>
      <c r="AF45" s="73" t="s">
        <v>12</v>
      </c>
      <c r="AG45" s="83">
        <v>29.2</v>
      </c>
      <c r="AH45" s="73" t="s">
        <v>89</v>
      </c>
      <c r="AI45" s="73" t="s">
        <v>90</v>
      </c>
      <c r="AJ45" s="73" t="s">
        <v>18</v>
      </c>
      <c r="AK45" s="73">
        <v>9.4</v>
      </c>
      <c r="AL45" s="82" t="s">
        <v>93</v>
      </c>
      <c r="AM45" s="73" t="s">
        <v>94</v>
      </c>
      <c r="AN45" s="73" t="s">
        <v>18</v>
      </c>
      <c r="AO45" s="83">
        <v>4.7</v>
      </c>
      <c r="AP45" s="82"/>
      <c r="AS45" s="83"/>
      <c r="AW45" s="83"/>
      <c r="BA45" s="84"/>
    </row>
    <row r="46" spans="1:53" s="292" customFormat="1">
      <c r="A46" s="338">
        <v>1978</v>
      </c>
      <c r="B46" s="836">
        <v>28783</v>
      </c>
      <c r="C46" s="909" t="s">
        <v>1189</v>
      </c>
      <c r="D46" s="909"/>
      <c r="E46" s="292">
        <v>73</v>
      </c>
      <c r="F46" s="292">
        <v>2</v>
      </c>
      <c r="G46" s="366"/>
      <c r="H46" s="292">
        <v>13</v>
      </c>
      <c r="I46" s="292">
        <v>9</v>
      </c>
      <c r="J46" s="377">
        <v>22</v>
      </c>
      <c r="K46" s="336">
        <f t="shared" si="17"/>
        <v>0</v>
      </c>
      <c r="L46" s="336">
        <f t="shared" si="18"/>
        <v>59.090909090909093</v>
      </c>
      <c r="M46" s="336">
        <f t="shared" si="19"/>
        <v>40.909090909090914</v>
      </c>
      <c r="N46" s="368">
        <f t="shared" si="0"/>
        <v>100</v>
      </c>
      <c r="O46" s="335"/>
      <c r="P46" s="336">
        <v>51.8</v>
      </c>
      <c r="Q46" s="336">
        <v>29.2</v>
      </c>
      <c r="R46" s="337">
        <f t="shared" si="4"/>
        <v>81</v>
      </c>
      <c r="S46" s="340">
        <v>6</v>
      </c>
      <c r="T46" s="838"/>
      <c r="U46" s="836">
        <v>28783</v>
      </c>
      <c r="V46" s="299" t="s">
        <v>81</v>
      </c>
      <c r="W46" s="292" t="s">
        <v>82</v>
      </c>
      <c r="X46" s="292" t="s">
        <v>18</v>
      </c>
      <c r="Y46" s="300">
        <v>26.4</v>
      </c>
      <c r="Z46" s="292" t="s">
        <v>85</v>
      </c>
      <c r="AA46" s="292" t="s">
        <v>86</v>
      </c>
      <c r="AB46" s="292" t="s">
        <v>18</v>
      </c>
      <c r="AC46" s="292">
        <v>11.3</v>
      </c>
      <c r="AD46" s="299" t="s">
        <v>84</v>
      </c>
      <c r="AE46" s="292" t="s">
        <v>20</v>
      </c>
      <c r="AF46" s="292" t="s">
        <v>12</v>
      </c>
      <c r="AG46" s="300">
        <v>29.2</v>
      </c>
      <c r="AH46" s="292" t="s">
        <v>89</v>
      </c>
      <c r="AI46" s="292" t="s">
        <v>90</v>
      </c>
      <c r="AJ46" s="292" t="s">
        <v>18</v>
      </c>
      <c r="AK46" s="292">
        <v>9.4</v>
      </c>
      <c r="AL46" s="299" t="s">
        <v>93</v>
      </c>
      <c r="AM46" s="292" t="s">
        <v>94</v>
      </c>
      <c r="AN46" s="292" t="s">
        <v>18</v>
      </c>
      <c r="AO46" s="300">
        <v>4.7</v>
      </c>
      <c r="AP46" s="299"/>
      <c r="AS46" s="300"/>
      <c r="AW46" s="300"/>
      <c r="BA46" s="301"/>
    </row>
    <row r="47" spans="1:53" s="292" customFormat="1">
      <c r="A47" s="338">
        <v>1979</v>
      </c>
      <c r="B47" s="836"/>
      <c r="C47" s="909" t="s">
        <v>1189</v>
      </c>
      <c r="D47" s="909"/>
      <c r="E47" s="292">
        <v>92</v>
      </c>
      <c r="G47" s="366"/>
      <c r="H47" s="292">
        <v>13</v>
      </c>
      <c r="I47" s="292">
        <v>9</v>
      </c>
      <c r="J47" s="377">
        <v>22</v>
      </c>
      <c r="K47" s="336">
        <f t="shared" si="17"/>
        <v>0</v>
      </c>
      <c r="L47" s="336">
        <f t="shared" si="18"/>
        <v>59.090909090909093</v>
      </c>
      <c r="M47" s="336">
        <f t="shared" si="19"/>
        <v>40.909090909090914</v>
      </c>
      <c r="N47" s="368">
        <f t="shared" si="0"/>
        <v>100</v>
      </c>
      <c r="O47" s="335"/>
      <c r="P47" s="336">
        <v>51.8</v>
      </c>
      <c r="Q47" s="336">
        <v>29.2</v>
      </c>
      <c r="R47" s="337">
        <f t="shared" si="4"/>
        <v>81</v>
      </c>
      <c r="S47" s="340">
        <v>6</v>
      </c>
      <c r="T47" s="838">
        <v>28841</v>
      </c>
      <c r="U47" s="836"/>
      <c r="V47" s="299" t="s">
        <v>81</v>
      </c>
      <c r="W47" s="292" t="s">
        <v>82</v>
      </c>
      <c r="X47" s="292" t="s">
        <v>18</v>
      </c>
      <c r="Y47" s="300">
        <v>26.4</v>
      </c>
      <c r="Z47" s="292" t="s">
        <v>85</v>
      </c>
      <c r="AA47" s="292" t="s">
        <v>86</v>
      </c>
      <c r="AB47" s="292" t="s">
        <v>18</v>
      </c>
      <c r="AC47" s="292">
        <v>11.3</v>
      </c>
      <c r="AD47" s="299" t="s">
        <v>84</v>
      </c>
      <c r="AE47" s="292" t="s">
        <v>20</v>
      </c>
      <c r="AF47" s="292" t="s">
        <v>12</v>
      </c>
      <c r="AG47" s="300">
        <v>29.2</v>
      </c>
      <c r="AH47" s="292" t="s">
        <v>89</v>
      </c>
      <c r="AI47" s="292" t="s">
        <v>90</v>
      </c>
      <c r="AJ47" s="292" t="s">
        <v>18</v>
      </c>
      <c r="AK47" s="292">
        <v>9.4</v>
      </c>
      <c r="AL47" s="299" t="s">
        <v>93</v>
      </c>
      <c r="AM47" s="292" t="s">
        <v>94</v>
      </c>
      <c r="AN47" s="292" t="s">
        <v>18</v>
      </c>
      <c r="AO47" s="300">
        <v>4.7</v>
      </c>
      <c r="AP47" s="299"/>
      <c r="AS47" s="300"/>
      <c r="AW47" s="300"/>
      <c r="BA47" s="301"/>
    </row>
    <row r="48" spans="1:53" s="73" customFormat="1">
      <c r="A48" s="101">
        <v>1979</v>
      </c>
      <c r="B48" s="852">
        <v>28948</v>
      </c>
      <c r="C48" s="901" t="s">
        <v>202</v>
      </c>
      <c r="D48" s="901"/>
      <c r="E48" s="73">
        <v>273</v>
      </c>
      <c r="F48" s="73">
        <v>1</v>
      </c>
      <c r="G48" s="119"/>
      <c r="H48" s="73">
        <v>15</v>
      </c>
      <c r="I48" s="73">
        <v>10</v>
      </c>
      <c r="J48" s="126">
        <v>25</v>
      </c>
      <c r="K48" s="92">
        <f t="shared" si="17"/>
        <v>0</v>
      </c>
      <c r="L48" s="92">
        <f t="shared" si="18"/>
        <v>60</v>
      </c>
      <c r="M48" s="92">
        <f t="shared" si="19"/>
        <v>40</v>
      </c>
      <c r="N48" s="121">
        <f t="shared" si="0"/>
        <v>100</v>
      </c>
      <c r="O48" s="91"/>
      <c r="P48" s="92">
        <v>43.9</v>
      </c>
      <c r="Q48" s="92">
        <v>27.4</v>
      </c>
      <c r="R48" s="93">
        <f t="shared" si="4"/>
        <v>71.3</v>
      </c>
      <c r="S48" s="97">
        <v>3</v>
      </c>
      <c r="T48" s="839"/>
      <c r="U48" s="852">
        <v>28948</v>
      </c>
      <c r="V48" s="82" t="s">
        <v>81</v>
      </c>
      <c r="W48" s="73" t="s">
        <v>82</v>
      </c>
      <c r="X48" s="73" t="s">
        <v>18</v>
      </c>
      <c r="Y48" s="83">
        <v>26.9</v>
      </c>
      <c r="Z48" s="73" t="s">
        <v>85</v>
      </c>
      <c r="AA48" s="73" t="s">
        <v>86</v>
      </c>
      <c r="AB48" s="73" t="s">
        <v>18</v>
      </c>
      <c r="AC48" s="73">
        <v>11.8</v>
      </c>
      <c r="AD48" s="82" t="s">
        <v>96</v>
      </c>
      <c r="AE48" s="73" t="s">
        <v>97</v>
      </c>
      <c r="AF48" s="73" t="s">
        <v>12</v>
      </c>
      <c r="AG48" s="83">
        <v>15.1</v>
      </c>
      <c r="AH48" s="82" t="s">
        <v>95</v>
      </c>
      <c r="AI48" s="73" t="s">
        <v>98</v>
      </c>
      <c r="AJ48" s="73" t="s">
        <v>12</v>
      </c>
      <c r="AK48" s="73">
        <v>12.3</v>
      </c>
      <c r="AL48" s="82" t="s">
        <v>93</v>
      </c>
      <c r="AM48" s="73" t="s">
        <v>94</v>
      </c>
      <c r="AN48" s="73" t="s">
        <v>18</v>
      </c>
      <c r="AO48" s="83">
        <v>5.2</v>
      </c>
      <c r="AP48" s="82"/>
      <c r="AS48" s="83"/>
      <c r="AW48" s="83"/>
      <c r="BA48" s="84"/>
    </row>
    <row r="49" spans="1:53" s="73" customFormat="1">
      <c r="A49" s="101">
        <v>1980</v>
      </c>
      <c r="B49" s="852"/>
      <c r="C49" s="901" t="s">
        <v>202</v>
      </c>
      <c r="D49" s="901"/>
      <c r="E49" s="73">
        <v>22</v>
      </c>
      <c r="G49" s="119"/>
      <c r="H49" s="73">
        <v>15</v>
      </c>
      <c r="I49" s="73">
        <v>10</v>
      </c>
      <c r="J49" s="126">
        <v>25</v>
      </c>
      <c r="K49" s="92">
        <f t="shared" si="17"/>
        <v>0</v>
      </c>
      <c r="L49" s="92">
        <f t="shared" si="18"/>
        <v>60</v>
      </c>
      <c r="M49" s="92">
        <f t="shared" si="19"/>
        <v>40</v>
      </c>
      <c r="N49" s="121">
        <f t="shared" si="0"/>
        <v>100</v>
      </c>
      <c r="O49" s="91"/>
      <c r="P49" s="92">
        <v>43.9</v>
      </c>
      <c r="Q49" s="92">
        <v>27.4</v>
      </c>
      <c r="R49" s="93">
        <f t="shared" si="4"/>
        <v>71.3</v>
      </c>
      <c r="S49" s="97">
        <v>3</v>
      </c>
      <c r="T49" s="839"/>
      <c r="U49" s="852"/>
      <c r="V49" s="82" t="s">
        <v>81</v>
      </c>
      <c r="W49" s="73" t="s">
        <v>82</v>
      </c>
      <c r="X49" s="73" t="s">
        <v>18</v>
      </c>
      <c r="Y49" s="83">
        <v>26.9</v>
      </c>
      <c r="Z49" s="73" t="s">
        <v>85</v>
      </c>
      <c r="AA49" s="73" t="s">
        <v>86</v>
      </c>
      <c r="AB49" s="73" t="s">
        <v>18</v>
      </c>
      <c r="AC49" s="73">
        <v>11.8</v>
      </c>
      <c r="AD49" s="82" t="s">
        <v>96</v>
      </c>
      <c r="AE49" s="73" t="s">
        <v>97</v>
      </c>
      <c r="AF49" s="73" t="s">
        <v>12</v>
      </c>
      <c r="AG49" s="83">
        <v>15.1</v>
      </c>
      <c r="AH49" s="73" t="s">
        <v>95</v>
      </c>
      <c r="AI49" s="73" t="s">
        <v>98</v>
      </c>
      <c r="AJ49" s="73" t="s">
        <v>12</v>
      </c>
      <c r="AK49" s="73">
        <v>12.3</v>
      </c>
      <c r="AL49" s="82" t="s">
        <v>93</v>
      </c>
      <c r="AM49" s="73" t="s">
        <v>94</v>
      </c>
      <c r="AN49" s="73" t="s">
        <v>18</v>
      </c>
      <c r="AO49" s="83">
        <v>5.2</v>
      </c>
      <c r="AP49" s="82"/>
      <c r="AS49" s="83"/>
      <c r="AW49" s="83"/>
      <c r="BA49" s="84"/>
    </row>
    <row r="50" spans="1:53" s="292" customFormat="1">
      <c r="A50" s="338">
        <v>1980</v>
      </c>
      <c r="B50" s="836">
        <v>29243</v>
      </c>
      <c r="C50" s="909" t="s">
        <v>203</v>
      </c>
      <c r="D50" s="909"/>
      <c r="E50" s="292">
        <v>116</v>
      </c>
      <c r="F50" s="292">
        <v>4</v>
      </c>
      <c r="G50" s="366"/>
      <c r="H50" s="292">
        <v>12</v>
      </c>
      <c r="I50" s="292">
        <v>12</v>
      </c>
      <c r="J50" s="377">
        <v>24</v>
      </c>
      <c r="K50" s="336">
        <f>G50/J50*100</f>
        <v>0</v>
      </c>
      <c r="L50" s="336">
        <f>H50/J50*100</f>
        <v>50</v>
      </c>
      <c r="M50" s="336">
        <f>I50/J50*100</f>
        <v>50</v>
      </c>
      <c r="N50" s="368">
        <f t="shared" si="0"/>
        <v>100</v>
      </c>
      <c r="O50" s="335"/>
      <c r="P50" s="336">
        <v>38.700000000000003</v>
      </c>
      <c r="Q50" s="336">
        <v>27.4</v>
      </c>
      <c r="R50" s="337">
        <f t="shared" si="4"/>
        <v>66.099999999999994</v>
      </c>
      <c r="S50" s="340">
        <v>3</v>
      </c>
      <c r="T50" s="838"/>
      <c r="U50" s="836">
        <v>29243</v>
      </c>
      <c r="V50" s="299" t="s">
        <v>81</v>
      </c>
      <c r="W50" s="292" t="s">
        <v>82</v>
      </c>
      <c r="X50" s="292" t="s">
        <v>18</v>
      </c>
      <c r="Y50" s="300">
        <v>26.9</v>
      </c>
      <c r="Z50" s="292" t="s">
        <v>85</v>
      </c>
      <c r="AA50" s="292" t="s">
        <v>86</v>
      </c>
      <c r="AB50" s="292" t="s">
        <v>18</v>
      </c>
      <c r="AC50" s="292">
        <v>11.8</v>
      </c>
      <c r="AD50" s="299" t="s">
        <v>96</v>
      </c>
      <c r="AE50" s="292" t="s">
        <v>97</v>
      </c>
      <c r="AF50" s="292" t="s">
        <v>12</v>
      </c>
      <c r="AG50" s="300">
        <v>15.1</v>
      </c>
      <c r="AH50" s="299" t="s">
        <v>95</v>
      </c>
      <c r="AI50" s="292" t="s">
        <v>98</v>
      </c>
      <c r="AJ50" s="292" t="s">
        <v>12</v>
      </c>
      <c r="AK50" s="292">
        <v>12.3</v>
      </c>
      <c r="AL50" s="299"/>
      <c r="AO50" s="300"/>
      <c r="AP50" s="299"/>
      <c r="AS50" s="300"/>
      <c r="AW50" s="300"/>
      <c r="BA50" s="301"/>
    </row>
    <row r="51" spans="1:53" s="73" customFormat="1">
      <c r="A51" s="101">
        <v>1980</v>
      </c>
      <c r="B51" s="852">
        <v>29359</v>
      </c>
      <c r="C51" s="901" t="s">
        <v>204</v>
      </c>
      <c r="D51" s="901"/>
      <c r="E51" s="73">
        <v>157</v>
      </c>
      <c r="F51" s="73">
        <v>5</v>
      </c>
      <c r="G51" s="119">
        <v>5</v>
      </c>
      <c r="H51" s="73">
        <v>12</v>
      </c>
      <c r="I51" s="73">
        <v>10</v>
      </c>
      <c r="J51" s="126">
        <v>27</v>
      </c>
      <c r="K51" s="92">
        <f>G51/J51*100</f>
        <v>18.518518518518519</v>
      </c>
      <c r="L51" s="92">
        <f>H51/J51*100</f>
        <v>44.444444444444443</v>
      </c>
      <c r="M51" s="92">
        <f>I51/J51*100</f>
        <v>37.037037037037038</v>
      </c>
      <c r="N51" s="121">
        <f t="shared" si="0"/>
        <v>100</v>
      </c>
      <c r="O51" s="91">
        <v>10.4</v>
      </c>
      <c r="P51" s="92">
        <v>38.700000000000003</v>
      </c>
      <c r="Q51" s="92">
        <v>27.4</v>
      </c>
      <c r="R51" s="93">
        <f t="shared" si="4"/>
        <v>76.5</v>
      </c>
      <c r="S51" s="97">
        <v>3</v>
      </c>
      <c r="T51" s="839"/>
      <c r="U51" s="852">
        <v>29359</v>
      </c>
      <c r="V51" s="82" t="s">
        <v>81</v>
      </c>
      <c r="W51" s="73" t="s">
        <v>82</v>
      </c>
      <c r="X51" s="73" t="s">
        <v>18</v>
      </c>
      <c r="Y51" s="83">
        <v>26.9</v>
      </c>
      <c r="Z51" s="73" t="s">
        <v>85</v>
      </c>
      <c r="AA51" s="73" t="s">
        <v>86</v>
      </c>
      <c r="AB51" s="73" t="s">
        <v>18</v>
      </c>
      <c r="AC51" s="73">
        <v>11.8</v>
      </c>
      <c r="AD51" s="82" t="s">
        <v>96</v>
      </c>
      <c r="AE51" s="73" t="s">
        <v>97</v>
      </c>
      <c r="AF51" s="73" t="s">
        <v>12</v>
      </c>
      <c r="AG51" s="83">
        <v>15.1</v>
      </c>
      <c r="AH51" s="73" t="s">
        <v>95</v>
      </c>
      <c r="AI51" s="73" t="s">
        <v>98</v>
      </c>
      <c r="AJ51" s="73" t="s">
        <v>12</v>
      </c>
      <c r="AK51" s="73">
        <v>12.3</v>
      </c>
      <c r="AL51" s="82" t="s">
        <v>87</v>
      </c>
      <c r="AM51" s="73" t="s">
        <v>88</v>
      </c>
      <c r="AN51" s="73" t="s">
        <v>11</v>
      </c>
      <c r="AO51" s="83">
        <v>10.4</v>
      </c>
      <c r="AP51" s="82"/>
      <c r="AS51" s="83"/>
      <c r="AW51" s="83"/>
      <c r="BA51" s="84"/>
    </row>
    <row r="52" spans="1:53" s="292" customFormat="1">
      <c r="A52" s="338">
        <v>1980</v>
      </c>
      <c r="B52" s="836">
        <v>29516</v>
      </c>
      <c r="C52" s="909" t="s">
        <v>205</v>
      </c>
      <c r="D52" s="909"/>
      <c r="E52" s="292">
        <v>71</v>
      </c>
      <c r="F52" s="292">
        <v>4</v>
      </c>
      <c r="G52" s="366"/>
      <c r="H52" s="292">
        <v>13</v>
      </c>
      <c r="I52" s="292">
        <v>12</v>
      </c>
      <c r="J52" s="377">
        <v>25</v>
      </c>
      <c r="K52" s="336">
        <f t="shared" si="17"/>
        <v>0</v>
      </c>
      <c r="L52" s="336">
        <f t="shared" si="18"/>
        <v>52</v>
      </c>
      <c r="M52" s="336">
        <f t="shared" si="19"/>
        <v>48</v>
      </c>
      <c r="N52" s="368">
        <f t="shared" si="0"/>
        <v>100</v>
      </c>
      <c r="O52" s="335"/>
      <c r="P52" s="336">
        <v>38.700000000000003</v>
      </c>
      <c r="Q52" s="336">
        <v>27.4</v>
      </c>
      <c r="R52" s="337">
        <f t="shared" si="4"/>
        <v>66.099999999999994</v>
      </c>
      <c r="S52" s="340">
        <v>3</v>
      </c>
      <c r="T52" s="838"/>
      <c r="U52" s="836">
        <v>29516</v>
      </c>
      <c r="V52" s="299" t="s">
        <v>81</v>
      </c>
      <c r="W52" s="292" t="s">
        <v>82</v>
      </c>
      <c r="X52" s="292" t="s">
        <v>18</v>
      </c>
      <c r="Y52" s="300">
        <v>26.9</v>
      </c>
      <c r="Z52" s="292" t="s">
        <v>85</v>
      </c>
      <c r="AA52" s="292" t="s">
        <v>86</v>
      </c>
      <c r="AB52" s="292" t="s">
        <v>18</v>
      </c>
      <c r="AC52" s="292">
        <v>11.8</v>
      </c>
      <c r="AD52" s="299" t="s">
        <v>96</v>
      </c>
      <c r="AE52" s="292" t="s">
        <v>97</v>
      </c>
      <c r="AF52" s="292" t="s">
        <v>12</v>
      </c>
      <c r="AG52" s="300">
        <v>15.1</v>
      </c>
      <c r="AH52" s="292" t="s">
        <v>95</v>
      </c>
      <c r="AI52" s="292" t="s">
        <v>98</v>
      </c>
      <c r="AJ52" s="292" t="s">
        <v>12</v>
      </c>
      <c r="AK52" s="292">
        <v>12.3</v>
      </c>
      <c r="AL52" s="299"/>
      <c r="AO52" s="300"/>
      <c r="AP52" s="299"/>
      <c r="AS52" s="300"/>
      <c r="AW52" s="300"/>
      <c r="BA52" s="301"/>
    </row>
    <row r="53" spans="1:53" s="292" customFormat="1">
      <c r="A53" s="338">
        <v>1981</v>
      </c>
      <c r="B53" s="836"/>
      <c r="C53" s="909" t="s">
        <v>205</v>
      </c>
      <c r="D53" s="909"/>
      <c r="E53" s="292">
        <v>95</v>
      </c>
      <c r="G53" s="366"/>
      <c r="H53" s="292">
        <v>13</v>
      </c>
      <c r="I53" s="292">
        <v>12</v>
      </c>
      <c r="J53" s="377">
        <v>25</v>
      </c>
      <c r="K53" s="336">
        <f>G53/J53*100</f>
        <v>0</v>
      </c>
      <c r="L53" s="336">
        <f>H53/J53*100</f>
        <v>52</v>
      </c>
      <c r="M53" s="336">
        <f>I53/J53*100</f>
        <v>48</v>
      </c>
      <c r="N53" s="368">
        <f t="shared" si="0"/>
        <v>100</v>
      </c>
      <c r="O53" s="335"/>
      <c r="P53" s="336">
        <v>38.700000000000003</v>
      </c>
      <c r="Q53" s="336">
        <v>27.4</v>
      </c>
      <c r="R53" s="337">
        <f t="shared" si="4"/>
        <v>66.099999999999994</v>
      </c>
      <c r="S53" s="340">
        <v>3</v>
      </c>
      <c r="T53" s="838"/>
      <c r="U53" s="836"/>
      <c r="V53" s="299" t="s">
        <v>81</v>
      </c>
      <c r="W53" s="292" t="s">
        <v>82</v>
      </c>
      <c r="X53" s="292" t="s">
        <v>18</v>
      </c>
      <c r="Y53" s="300">
        <v>26.9</v>
      </c>
      <c r="Z53" s="292" t="s">
        <v>85</v>
      </c>
      <c r="AA53" s="292" t="s">
        <v>86</v>
      </c>
      <c r="AB53" s="292" t="s">
        <v>18</v>
      </c>
      <c r="AC53" s="292">
        <v>11.8</v>
      </c>
      <c r="AD53" s="299" t="s">
        <v>96</v>
      </c>
      <c r="AE53" s="292" t="s">
        <v>97</v>
      </c>
      <c r="AF53" s="292" t="s">
        <v>12</v>
      </c>
      <c r="AG53" s="300">
        <v>15.1</v>
      </c>
      <c r="AH53" s="299" t="s">
        <v>95</v>
      </c>
      <c r="AI53" s="292" t="s">
        <v>98</v>
      </c>
      <c r="AJ53" s="292" t="s">
        <v>12</v>
      </c>
      <c r="AK53" s="292">
        <v>12.3</v>
      </c>
      <c r="AL53" s="299"/>
      <c r="AO53" s="300"/>
      <c r="AP53" s="299"/>
      <c r="AS53" s="300"/>
      <c r="AW53" s="300"/>
      <c r="BA53" s="301"/>
    </row>
    <row r="54" spans="1:53" s="73" customFormat="1">
      <c r="A54" s="101">
        <v>1981</v>
      </c>
      <c r="B54" s="852">
        <v>29682</v>
      </c>
      <c r="C54" s="901" t="s">
        <v>206</v>
      </c>
      <c r="D54" s="901"/>
      <c r="E54" s="73">
        <v>255</v>
      </c>
      <c r="F54" s="73">
        <v>4</v>
      </c>
      <c r="G54" s="119"/>
      <c r="H54" s="73">
        <v>13</v>
      </c>
      <c r="I54" s="73">
        <v>12</v>
      </c>
      <c r="J54" s="126">
        <v>25</v>
      </c>
      <c r="K54" s="92">
        <f>G54/J54*100</f>
        <v>0</v>
      </c>
      <c r="L54" s="92">
        <f>H54/J54*100</f>
        <v>52</v>
      </c>
      <c r="M54" s="92">
        <f>I54/J54*100</f>
        <v>48</v>
      </c>
      <c r="N54" s="121">
        <f t="shared" si="0"/>
        <v>100</v>
      </c>
      <c r="O54" s="91"/>
      <c r="P54" s="92">
        <v>38.700000000000003</v>
      </c>
      <c r="Q54" s="92">
        <v>27.4</v>
      </c>
      <c r="R54" s="93">
        <f t="shared" si="4"/>
        <v>66.099999999999994</v>
      </c>
      <c r="S54" s="97">
        <v>3</v>
      </c>
      <c r="T54" s="839"/>
      <c r="U54" s="852">
        <v>29682</v>
      </c>
      <c r="V54" s="82" t="s">
        <v>81</v>
      </c>
      <c r="W54" s="73" t="s">
        <v>82</v>
      </c>
      <c r="X54" s="73" t="s">
        <v>18</v>
      </c>
      <c r="Y54" s="83">
        <v>26.9</v>
      </c>
      <c r="Z54" s="73" t="s">
        <v>85</v>
      </c>
      <c r="AA54" s="73" t="s">
        <v>86</v>
      </c>
      <c r="AB54" s="73" t="s">
        <v>18</v>
      </c>
      <c r="AC54" s="73">
        <v>11.8</v>
      </c>
      <c r="AD54" s="82" t="s">
        <v>96</v>
      </c>
      <c r="AE54" s="73" t="s">
        <v>97</v>
      </c>
      <c r="AF54" s="73" t="s">
        <v>12</v>
      </c>
      <c r="AG54" s="83">
        <v>15.1</v>
      </c>
      <c r="AH54" s="73" t="s">
        <v>95</v>
      </c>
      <c r="AI54" s="73" t="s">
        <v>98</v>
      </c>
      <c r="AJ54" s="73" t="s">
        <v>12</v>
      </c>
      <c r="AK54" s="73">
        <v>12.3</v>
      </c>
      <c r="AL54" s="82"/>
      <c r="AO54" s="83"/>
      <c r="AP54" s="82"/>
      <c r="AS54" s="83"/>
      <c r="AW54" s="83"/>
      <c r="BA54" s="84"/>
    </row>
    <row r="55" spans="1:53" s="292" customFormat="1">
      <c r="A55" s="338">
        <v>1981</v>
      </c>
      <c r="B55" s="836">
        <v>29937</v>
      </c>
      <c r="C55" s="909" t="s">
        <v>207</v>
      </c>
      <c r="D55" s="909"/>
      <c r="E55" s="292">
        <v>15</v>
      </c>
      <c r="F55" s="292">
        <v>4</v>
      </c>
      <c r="G55" s="366">
        <v>8</v>
      </c>
      <c r="H55" s="292">
        <v>8</v>
      </c>
      <c r="J55" s="377">
        <v>16</v>
      </c>
      <c r="K55" s="336">
        <f t="shared" ref="K55:K60" si="20">G55/J55*100</f>
        <v>50</v>
      </c>
      <c r="L55" s="336">
        <f t="shared" ref="L55:L60" si="21">H55/J55*100</f>
        <v>50</v>
      </c>
      <c r="M55" s="336">
        <f t="shared" ref="M55:M60" si="22">I55/J55*100</f>
        <v>0</v>
      </c>
      <c r="N55" s="368">
        <f t="shared" si="0"/>
        <v>100</v>
      </c>
      <c r="O55" s="335">
        <v>24.5</v>
      </c>
      <c r="P55" s="336">
        <v>28.8</v>
      </c>
      <c r="Q55" s="336"/>
      <c r="R55" s="337">
        <f t="shared" si="4"/>
        <v>53.3</v>
      </c>
      <c r="S55" s="340">
        <v>2</v>
      </c>
      <c r="T55" s="838">
        <v>29898</v>
      </c>
      <c r="U55" s="836">
        <v>29937</v>
      </c>
      <c r="V55" s="299" t="s">
        <v>81</v>
      </c>
      <c r="W55" s="292" t="s">
        <v>82</v>
      </c>
      <c r="X55" s="292" t="s">
        <v>18</v>
      </c>
      <c r="Y55" s="300">
        <v>20.3</v>
      </c>
      <c r="Z55" s="292" t="s">
        <v>85</v>
      </c>
      <c r="AA55" s="292" t="s">
        <v>86</v>
      </c>
      <c r="AB55" s="292" t="s">
        <v>18</v>
      </c>
      <c r="AC55" s="292">
        <v>8.5</v>
      </c>
      <c r="AD55" s="299" t="s">
        <v>87</v>
      </c>
      <c r="AE55" s="292" t="s">
        <v>88</v>
      </c>
      <c r="AF55" s="292" t="s">
        <v>11</v>
      </c>
      <c r="AG55" s="300">
        <v>13.2</v>
      </c>
      <c r="AH55" s="299" t="s">
        <v>99</v>
      </c>
      <c r="AI55" s="292" t="s">
        <v>100</v>
      </c>
      <c r="AJ55" s="292" t="s">
        <v>11</v>
      </c>
      <c r="AK55" s="292">
        <v>11.3</v>
      </c>
      <c r="AL55" s="299"/>
      <c r="AO55" s="300"/>
      <c r="AP55" s="299"/>
      <c r="AS55" s="300"/>
      <c r="AW55" s="300"/>
      <c r="BA55" s="301"/>
    </row>
    <row r="56" spans="1:53" s="292" customFormat="1">
      <c r="A56" s="338">
        <v>1982</v>
      </c>
      <c r="B56" s="836"/>
      <c r="C56" s="909" t="s">
        <v>207</v>
      </c>
      <c r="D56" s="909"/>
      <c r="E56" s="292">
        <v>0</v>
      </c>
      <c r="G56" s="366">
        <v>8</v>
      </c>
      <c r="H56" s="292">
        <v>8</v>
      </c>
      <c r="J56" s="377">
        <v>16</v>
      </c>
      <c r="K56" s="336">
        <f t="shared" si="20"/>
        <v>50</v>
      </c>
      <c r="L56" s="336">
        <f t="shared" si="21"/>
        <v>50</v>
      </c>
      <c r="M56" s="336">
        <f t="shared" si="22"/>
        <v>0</v>
      </c>
      <c r="N56" s="368">
        <f t="shared" si="0"/>
        <v>100</v>
      </c>
      <c r="O56" s="335">
        <v>24.5</v>
      </c>
      <c r="P56" s="336">
        <v>28.8</v>
      </c>
      <c r="Q56" s="336"/>
      <c r="R56" s="337">
        <f t="shared" si="4"/>
        <v>53.3</v>
      </c>
      <c r="S56" s="340">
        <v>2</v>
      </c>
      <c r="T56" s="838"/>
      <c r="U56" s="836"/>
      <c r="V56" s="299" t="s">
        <v>81</v>
      </c>
      <c r="W56" s="292" t="s">
        <v>82</v>
      </c>
      <c r="X56" s="292" t="s">
        <v>18</v>
      </c>
      <c r="Y56" s="300">
        <v>20.3</v>
      </c>
      <c r="Z56" s="292" t="s">
        <v>85</v>
      </c>
      <c r="AA56" s="292" t="s">
        <v>86</v>
      </c>
      <c r="AB56" s="292" t="s">
        <v>18</v>
      </c>
      <c r="AC56" s="292">
        <v>8.5</v>
      </c>
      <c r="AD56" s="299" t="s">
        <v>87</v>
      </c>
      <c r="AE56" s="292" t="s">
        <v>88</v>
      </c>
      <c r="AF56" s="292" t="s">
        <v>11</v>
      </c>
      <c r="AG56" s="300">
        <v>13.2</v>
      </c>
      <c r="AH56" s="299" t="s">
        <v>99</v>
      </c>
      <c r="AI56" s="292" t="s">
        <v>100</v>
      </c>
      <c r="AJ56" s="292" t="s">
        <v>11</v>
      </c>
      <c r="AK56" s="292">
        <v>11.3</v>
      </c>
      <c r="AL56" s="299"/>
      <c r="AO56" s="300"/>
      <c r="AP56" s="299"/>
      <c r="AS56" s="300"/>
      <c r="AW56" s="300"/>
      <c r="BA56" s="301"/>
    </row>
    <row r="57" spans="1:53" s="292" customFormat="1">
      <c r="A57" s="338">
        <v>1982</v>
      </c>
      <c r="B57" s="836"/>
      <c r="C57" s="909" t="s">
        <v>207</v>
      </c>
      <c r="D57" s="909"/>
      <c r="E57" s="292">
        <v>365</v>
      </c>
      <c r="G57" s="366">
        <v>8</v>
      </c>
      <c r="H57" s="292">
        <v>8</v>
      </c>
      <c r="J57" s="377">
        <v>16</v>
      </c>
      <c r="K57" s="336">
        <f t="shared" si="20"/>
        <v>50</v>
      </c>
      <c r="L57" s="336">
        <f t="shared" si="21"/>
        <v>50</v>
      </c>
      <c r="M57" s="336">
        <f t="shared" si="22"/>
        <v>0</v>
      </c>
      <c r="N57" s="368">
        <f t="shared" si="0"/>
        <v>100</v>
      </c>
      <c r="O57" s="335">
        <v>24.5</v>
      </c>
      <c r="P57" s="336">
        <v>28.8</v>
      </c>
      <c r="Q57" s="336"/>
      <c r="R57" s="337">
        <f t="shared" si="4"/>
        <v>53.3</v>
      </c>
      <c r="S57" s="340">
        <v>2</v>
      </c>
      <c r="T57" s="838"/>
      <c r="U57" s="836"/>
      <c r="V57" s="299" t="s">
        <v>81</v>
      </c>
      <c r="W57" s="292" t="s">
        <v>82</v>
      </c>
      <c r="X57" s="292" t="s">
        <v>18</v>
      </c>
      <c r="Y57" s="300">
        <v>20.3</v>
      </c>
      <c r="Z57" s="292" t="s">
        <v>85</v>
      </c>
      <c r="AA57" s="292" t="s">
        <v>86</v>
      </c>
      <c r="AB57" s="292" t="s">
        <v>18</v>
      </c>
      <c r="AC57" s="292">
        <v>8.5</v>
      </c>
      <c r="AD57" s="299" t="s">
        <v>87</v>
      </c>
      <c r="AE57" s="292" t="s">
        <v>88</v>
      </c>
      <c r="AF57" s="292" t="s">
        <v>11</v>
      </c>
      <c r="AG57" s="300">
        <v>13.2</v>
      </c>
      <c r="AH57" s="299" t="s">
        <v>99</v>
      </c>
      <c r="AI57" s="292" t="s">
        <v>100</v>
      </c>
      <c r="AJ57" s="292" t="s">
        <v>11</v>
      </c>
      <c r="AK57" s="292">
        <v>11.3</v>
      </c>
      <c r="AL57" s="299"/>
      <c r="AO57" s="300"/>
      <c r="AP57" s="299"/>
      <c r="AS57" s="300"/>
      <c r="AW57" s="300"/>
      <c r="BA57" s="301"/>
    </row>
    <row r="58" spans="1:53" s="292" customFormat="1">
      <c r="A58" s="338">
        <v>1983</v>
      </c>
      <c r="B58" s="836"/>
      <c r="C58" s="909" t="s">
        <v>207</v>
      </c>
      <c r="D58" s="909"/>
      <c r="E58" s="292">
        <v>0</v>
      </c>
      <c r="G58" s="366">
        <v>8</v>
      </c>
      <c r="H58" s="292">
        <v>8</v>
      </c>
      <c r="J58" s="377">
        <v>16</v>
      </c>
      <c r="K58" s="336">
        <f t="shared" si="20"/>
        <v>50</v>
      </c>
      <c r="L58" s="336">
        <f t="shared" si="21"/>
        <v>50</v>
      </c>
      <c r="M58" s="336">
        <f t="shared" si="22"/>
        <v>0</v>
      </c>
      <c r="N58" s="368">
        <f t="shared" si="0"/>
        <v>100</v>
      </c>
      <c r="O58" s="335">
        <v>24.5</v>
      </c>
      <c r="P58" s="336">
        <v>28.8</v>
      </c>
      <c r="Q58" s="336"/>
      <c r="R58" s="337">
        <f t="shared" si="4"/>
        <v>53.3</v>
      </c>
      <c r="S58" s="340">
        <v>2</v>
      </c>
      <c r="T58" s="838"/>
      <c r="U58" s="836"/>
      <c r="V58" s="299" t="s">
        <v>81</v>
      </c>
      <c r="W58" s="292" t="s">
        <v>82</v>
      </c>
      <c r="X58" s="292" t="s">
        <v>18</v>
      </c>
      <c r="Y58" s="300">
        <v>20.3</v>
      </c>
      <c r="Z58" s="292" t="s">
        <v>85</v>
      </c>
      <c r="AA58" s="292" t="s">
        <v>86</v>
      </c>
      <c r="AB58" s="292" t="s">
        <v>18</v>
      </c>
      <c r="AC58" s="292">
        <v>8.5</v>
      </c>
      <c r="AD58" s="299" t="s">
        <v>87</v>
      </c>
      <c r="AE58" s="292" t="s">
        <v>88</v>
      </c>
      <c r="AF58" s="292" t="s">
        <v>11</v>
      </c>
      <c r="AG58" s="300">
        <v>13.2</v>
      </c>
      <c r="AH58" s="299" t="s">
        <v>99</v>
      </c>
      <c r="AI58" s="292" t="s">
        <v>100</v>
      </c>
      <c r="AJ58" s="292" t="s">
        <v>11</v>
      </c>
      <c r="AK58" s="292">
        <v>11.3</v>
      </c>
      <c r="AL58" s="299"/>
      <c r="AO58" s="300"/>
      <c r="AP58" s="299"/>
      <c r="AS58" s="300"/>
      <c r="AW58" s="300"/>
      <c r="BA58" s="301"/>
    </row>
    <row r="59" spans="1:53" s="292" customFormat="1">
      <c r="A59" s="338">
        <v>1983</v>
      </c>
      <c r="B59" s="836"/>
      <c r="C59" s="909" t="s">
        <v>207</v>
      </c>
      <c r="D59" s="909"/>
      <c r="E59" s="292">
        <v>365</v>
      </c>
      <c r="G59" s="366">
        <v>8</v>
      </c>
      <c r="H59" s="292">
        <v>8</v>
      </c>
      <c r="J59" s="377">
        <v>16</v>
      </c>
      <c r="K59" s="336">
        <f t="shared" si="20"/>
        <v>50</v>
      </c>
      <c r="L59" s="336">
        <f t="shared" si="21"/>
        <v>50</v>
      </c>
      <c r="M59" s="336">
        <f t="shared" si="22"/>
        <v>0</v>
      </c>
      <c r="N59" s="368">
        <f t="shared" si="0"/>
        <v>100</v>
      </c>
      <c r="O59" s="335">
        <v>24.5</v>
      </c>
      <c r="P59" s="336">
        <v>28.8</v>
      </c>
      <c r="Q59" s="336"/>
      <c r="R59" s="337">
        <f t="shared" si="4"/>
        <v>53.3</v>
      </c>
      <c r="S59" s="340">
        <v>2</v>
      </c>
      <c r="T59" s="838"/>
      <c r="U59" s="836"/>
      <c r="V59" s="299" t="s">
        <v>81</v>
      </c>
      <c r="W59" s="292" t="s">
        <v>82</v>
      </c>
      <c r="X59" s="292" t="s">
        <v>18</v>
      </c>
      <c r="Y59" s="300">
        <v>20.3</v>
      </c>
      <c r="Z59" s="292" t="s">
        <v>85</v>
      </c>
      <c r="AA59" s="292" t="s">
        <v>86</v>
      </c>
      <c r="AB59" s="292" t="s">
        <v>18</v>
      </c>
      <c r="AC59" s="292">
        <v>8.5</v>
      </c>
      <c r="AD59" s="299" t="s">
        <v>87</v>
      </c>
      <c r="AE59" s="292" t="s">
        <v>88</v>
      </c>
      <c r="AF59" s="292" t="s">
        <v>11</v>
      </c>
      <c r="AG59" s="300">
        <v>13.2</v>
      </c>
      <c r="AH59" s="299" t="s">
        <v>99</v>
      </c>
      <c r="AI59" s="292" t="s">
        <v>100</v>
      </c>
      <c r="AJ59" s="292" t="s">
        <v>11</v>
      </c>
      <c r="AK59" s="292">
        <v>11.3</v>
      </c>
      <c r="AL59" s="299"/>
      <c r="AO59" s="300"/>
      <c r="AP59" s="299"/>
      <c r="AS59" s="300"/>
      <c r="AW59" s="300"/>
      <c r="BA59" s="301"/>
    </row>
    <row r="60" spans="1:53" s="292" customFormat="1">
      <c r="A60" s="338">
        <v>1984</v>
      </c>
      <c r="B60" s="836"/>
      <c r="C60" s="909" t="s">
        <v>207</v>
      </c>
      <c r="D60" s="909"/>
      <c r="E60" s="292">
        <v>0</v>
      </c>
      <c r="G60" s="366">
        <v>8</v>
      </c>
      <c r="H60" s="292">
        <v>8</v>
      </c>
      <c r="J60" s="377">
        <v>16</v>
      </c>
      <c r="K60" s="336">
        <f t="shared" si="20"/>
        <v>50</v>
      </c>
      <c r="L60" s="336">
        <f t="shared" si="21"/>
        <v>50</v>
      </c>
      <c r="M60" s="336">
        <f t="shared" si="22"/>
        <v>0</v>
      </c>
      <c r="N60" s="368">
        <f t="shared" si="0"/>
        <v>100</v>
      </c>
      <c r="O60" s="335">
        <v>24.5</v>
      </c>
      <c r="P60" s="336">
        <v>28.8</v>
      </c>
      <c r="Q60" s="336"/>
      <c r="R60" s="337">
        <f t="shared" si="4"/>
        <v>53.3</v>
      </c>
      <c r="S60" s="340">
        <v>2</v>
      </c>
      <c r="T60" s="838"/>
      <c r="U60" s="836"/>
      <c r="V60" s="299" t="s">
        <v>81</v>
      </c>
      <c r="W60" s="292" t="s">
        <v>82</v>
      </c>
      <c r="X60" s="292" t="s">
        <v>18</v>
      </c>
      <c r="Y60" s="300">
        <v>20.3</v>
      </c>
      <c r="Z60" s="292" t="s">
        <v>85</v>
      </c>
      <c r="AA60" s="292" t="s">
        <v>86</v>
      </c>
      <c r="AB60" s="292" t="s">
        <v>18</v>
      </c>
      <c r="AC60" s="292">
        <v>8.5</v>
      </c>
      <c r="AD60" s="299" t="s">
        <v>87</v>
      </c>
      <c r="AE60" s="292" t="s">
        <v>88</v>
      </c>
      <c r="AF60" s="292" t="s">
        <v>11</v>
      </c>
      <c r="AG60" s="300">
        <v>13.2</v>
      </c>
      <c r="AH60" s="299" t="s">
        <v>99</v>
      </c>
      <c r="AI60" s="292" t="s">
        <v>100</v>
      </c>
      <c r="AJ60" s="292" t="s">
        <v>11</v>
      </c>
      <c r="AK60" s="292">
        <v>11.3</v>
      </c>
      <c r="AL60" s="299"/>
      <c r="AO60" s="300"/>
      <c r="AP60" s="299"/>
      <c r="AS60" s="300"/>
      <c r="AW60" s="300"/>
      <c r="BA60" s="301"/>
    </row>
    <row r="61" spans="1:53" s="292" customFormat="1">
      <c r="A61" s="338">
        <v>1984</v>
      </c>
      <c r="B61" s="836"/>
      <c r="C61" s="909" t="s">
        <v>207</v>
      </c>
      <c r="D61" s="909"/>
      <c r="E61" s="292">
        <v>366</v>
      </c>
      <c r="G61" s="366">
        <v>8</v>
      </c>
      <c r="H61" s="292">
        <v>8</v>
      </c>
      <c r="J61" s="377">
        <v>16</v>
      </c>
      <c r="K61" s="336">
        <f>G61/J61*100</f>
        <v>50</v>
      </c>
      <c r="L61" s="336">
        <f>H61/J61*100</f>
        <v>50</v>
      </c>
      <c r="M61" s="336">
        <f>I61/J61*100</f>
        <v>0</v>
      </c>
      <c r="N61" s="368">
        <f t="shared" si="0"/>
        <v>100</v>
      </c>
      <c r="O61" s="335">
        <v>24.5</v>
      </c>
      <c r="P61" s="336">
        <v>28.8</v>
      </c>
      <c r="Q61" s="336"/>
      <c r="R61" s="337">
        <f t="shared" si="4"/>
        <v>53.3</v>
      </c>
      <c r="S61" s="340">
        <v>2</v>
      </c>
      <c r="T61" s="838"/>
      <c r="U61" s="836"/>
      <c r="V61" s="299" t="s">
        <v>81</v>
      </c>
      <c r="W61" s="292" t="s">
        <v>82</v>
      </c>
      <c r="X61" s="292" t="s">
        <v>18</v>
      </c>
      <c r="Y61" s="300">
        <v>20.3</v>
      </c>
      <c r="Z61" s="292" t="s">
        <v>85</v>
      </c>
      <c r="AA61" s="292" t="s">
        <v>86</v>
      </c>
      <c r="AB61" s="292" t="s">
        <v>18</v>
      </c>
      <c r="AC61" s="292">
        <v>8.5</v>
      </c>
      <c r="AD61" s="299" t="s">
        <v>87</v>
      </c>
      <c r="AE61" s="292" t="s">
        <v>88</v>
      </c>
      <c r="AF61" s="292" t="s">
        <v>11</v>
      </c>
      <c r="AG61" s="300">
        <v>13.2</v>
      </c>
      <c r="AH61" s="299" t="s">
        <v>99</v>
      </c>
      <c r="AI61" s="292" t="s">
        <v>100</v>
      </c>
      <c r="AJ61" s="292" t="s">
        <v>11</v>
      </c>
      <c r="AK61" s="292">
        <v>11.3</v>
      </c>
      <c r="AL61" s="299"/>
      <c r="AO61" s="300"/>
      <c r="AP61" s="299"/>
      <c r="AS61" s="300"/>
      <c r="AW61" s="300"/>
      <c r="BA61" s="301"/>
    </row>
    <row r="62" spans="1:53" s="292" customFormat="1">
      <c r="A62" s="338">
        <v>1985</v>
      </c>
      <c r="B62" s="836"/>
      <c r="C62" s="909" t="s">
        <v>207</v>
      </c>
      <c r="D62" s="909"/>
      <c r="E62" s="292">
        <v>331</v>
      </c>
      <c r="G62" s="366">
        <v>8</v>
      </c>
      <c r="H62" s="292">
        <v>8</v>
      </c>
      <c r="J62" s="377">
        <v>16</v>
      </c>
      <c r="K62" s="336">
        <f>G62/J62*100</f>
        <v>50</v>
      </c>
      <c r="L62" s="336">
        <f>H62/J62*100</f>
        <v>50</v>
      </c>
      <c r="M62" s="336">
        <f>I62/J62*100</f>
        <v>0</v>
      </c>
      <c r="N62" s="368">
        <f t="shared" si="0"/>
        <v>100</v>
      </c>
      <c r="O62" s="335">
        <v>24.5</v>
      </c>
      <c r="P62" s="336">
        <v>28.8</v>
      </c>
      <c r="Q62" s="336"/>
      <c r="R62" s="337">
        <f t="shared" si="4"/>
        <v>53.3</v>
      </c>
      <c r="S62" s="340">
        <v>2</v>
      </c>
      <c r="T62" s="838"/>
      <c r="U62" s="836"/>
      <c r="V62" s="299" t="s">
        <v>81</v>
      </c>
      <c r="W62" s="292" t="s">
        <v>82</v>
      </c>
      <c r="X62" s="292" t="s">
        <v>18</v>
      </c>
      <c r="Y62" s="300">
        <v>20.3</v>
      </c>
      <c r="Z62" s="292" t="s">
        <v>85</v>
      </c>
      <c r="AA62" s="292" t="s">
        <v>86</v>
      </c>
      <c r="AB62" s="292" t="s">
        <v>18</v>
      </c>
      <c r="AC62" s="292">
        <v>8.5</v>
      </c>
      <c r="AD62" s="299" t="s">
        <v>87</v>
      </c>
      <c r="AE62" s="292" t="s">
        <v>88</v>
      </c>
      <c r="AF62" s="292" t="s">
        <v>11</v>
      </c>
      <c r="AG62" s="300">
        <v>13.2</v>
      </c>
      <c r="AH62" s="299" t="s">
        <v>99</v>
      </c>
      <c r="AI62" s="292" t="s">
        <v>100</v>
      </c>
      <c r="AJ62" s="292" t="s">
        <v>11</v>
      </c>
      <c r="AK62" s="292">
        <v>11.3</v>
      </c>
      <c r="AL62" s="299"/>
      <c r="AO62" s="300"/>
      <c r="AP62" s="299"/>
      <c r="AS62" s="300"/>
      <c r="AW62" s="300"/>
      <c r="BA62" s="301"/>
    </row>
    <row r="63" spans="1:53" s="73" customFormat="1">
      <c r="A63" s="101">
        <v>1985</v>
      </c>
      <c r="B63" s="852">
        <v>31379</v>
      </c>
      <c r="C63" s="901" t="s">
        <v>208</v>
      </c>
      <c r="D63" s="901"/>
      <c r="E63" s="73">
        <v>34</v>
      </c>
      <c r="F63" s="73">
        <v>4</v>
      </c>
      <c r="G63" s="119">
        <v>7</v>
      </c>
      <c r="H63" s="73">
        <v>8</v>
      </c>
      <c r="J63" s="126">
        <v>15</v>
      </c>
      <c r="K63" s="92">
        <f>G63/J63*100</f>
        <v>46.666666666666664</v>
      </c>
      <c r="L63" s="92">
        <f>H63/J63*100</f>
        <v>53.333333333333336</v>
      </c>
      <c r="M63" s="92">
        <f>I63/J63*100</f>
        <v>0</v>
      </c>
      <c r="N63" s="121">
        <f t="shared" si="0"/>
        <v>100</v>
      </c>
      <c r="O63" s="91">
        <v>21.7</v>
      </c>
      <c r="P63" s="92">
        <v>32.5</v>
      </c>
      <c r="Q63" s="92"/>
      <c r="R63" s="93">
        <f t="shared" si="4"/>
        <v>54.2</v>
      </c>
      <c r="S63" s="97">
        <v>2</v>
      </c>
      <c r="T63" s="839">
        <v>31333</v>
      </c>
      <c r="U63" s="852">
        <v>31379</v>
      </c>
      <c r="V63" s="82" t="s">
        <v>81</v>
      </c>
      <c r="W63" s="73" t="s">
        <v>82</v>
      </c>
      <c r="X63" s="73" t="s">
        <v>18</v>
      </c>
      <c r="Y63" s="83">
        <v>23.1</v>
      </c>
      <c r="Z63" s="73" t="s">
        <v>85</v>
      </c>
      <c r="AA63" s="73" t="s">
        <v>86</v>
      </c>
      <c r="AB63" s="73" t="s">
        <v>18</v>
      </c>
      <c r="AC63" s="73">
        <v>9.4</v>
      </c>
      <c r="AD63" s="82" t="s">
        <v>87</v>
      </c>
      <c r="AE63" s="73" t="s">
        <v>88</v>
      </c>
      <c r="AF63" s="73" t="s">
        <v>11</v>
      </c>
      <c r="AG63" s="83">
        <v>10.4</v>
      </c>
      <c r="AH63" s="82" t="s">
        <v>99</v>
      </c>
      <c r="AI63" s="73" t="s">
        <v>100</v>
      </c>
      <c r="AJ63" s="73" t="s">
        <v>11</v>
      </c>
      <c r="AK63" s="73">
        <v>11.3</v>
      </c>
      <c r="AL63" s="82"/>
      <c r="AO63" s="83"/>
      <c r="AP63" s="82"/>
      <c r="AS63" s="83"/>
      <c r="AW63" s="83"/>
      <c r="BA63" s="84"/>
    </row>
    <row r="64" spans="1:53" s="73" customFormat="1">
      <c r="A64" s="73">
        <v>1986</v>
      </c>
      <c r="B64" s="852"/>
      <c r="C64" s="901" t="s">
        <v>208</v>
      </c>
      <c r="D64" s="901"/>
      <c r="E64" s="73">
        <v>0</v>
      </c>
      <c r="G64" s="119">
        <v>7</v>
      </c>
      <c r="H64" s="73">
        <v>8</v>
      </c>
      <c r="J64" s="126">
        <v>15</v>
      </c>
      <c r="K64" s="92">
        <f>G64/J64*100</f>
        <v>46.666666666666664</v>
      </c>
      <c r="L64" s="92">
        <f>H64/J64*100</f>
        <v>53.333333333333336</v>
      </c>
      <c r="M64" s="92">
        <f>I64/J64*100</f>
        <v>0</v>
      </c>
      <c r="N64" s="121">
        <f t="shared" si="0"/>
        <v>100</v>
      </c>
      <c r="O64" s="91">
        <v>21.7</v>
      </c>
      <c r="P64" s="92">
        <v>32.5</v>
      </c>
      <c r="Q64" s="92"/>
      <c r="R64" s="93">
        <f t="shared" si="4"/>
        <v>54.2</v>
      </c>
      <c r="S64" s="97">
        <v>2</v>
      </c>
      <c r="T64" s="839"/>
      <c r="U64" s="852"/>
      <c r="V64" s="82" t="s">
        <v>81</v>
      </c>
      <c r="W64" s="73" t="s">
        <v>82</v>
      </c>
      <c r="X64" s="73" t="s">
        <v>18</v>
      </c>
      <c r="Y64" s="83">
        <v>23.1</v>
      </c>
      <c r="Z64" s="73" t="s">
        <v>85</v>
      </c>
      <c r="AA64" s="73" t="s">
        <v>86</v>
      </c>
      <c r="AB64" s="73" t="s">
        <v>18</v>
      </c>
      <c r="AC64" s="73">
        <v>9.4</v>
      </c>
      <c r="AD64" s="82" t="s">
        <v>87</v>
      </c>
      <c r="AE64" s="73" t="s">
        <v>88</v>
      </c>
      <c r="AF64" s="73" t="s">
        <v>11</v>
      </c>
      <c r="AG64" s="83">
        <v>10.4</v>
      </c>
      <c r="AH64" s="82" t="s">
        <v>99</v>
      </c>
      <c r="AI64" s="73" t="s">
        <v>100</v>
      </c>
      <c r="AJ64" s="73" t="s">
        <v>11</v>
      </c>
      <c r="AK64" s="73">
        <v>11.3</v>
      </c>
      <c r="AL64" s="82"/>
      <c r="AO64" s="83"/>
      <c r="AP64" s="82"/>
      <c r="AS64" s="83"/>
      <c r="AW64" s="83"/>
      <c r="BA64" s="84"/>
    </row>
    <row r="65" spans="1:53" s="73" customFormat="1">
      <c r="A65" s="73">
        <v>1986</v>
      </c>
      <c r="B65" s="852"/>
      <c r="C65" s="901" t="s">
        <v>208</v>
      </c>
      <c r="D65" s="901"/>
      <c r="E65" s="73">
        <f>365-E64</f>
        <v>365</v>
      </c>
      <c r="G65" s="119">
        <v>7</v>
      </c>
      <c r="H65" s="73">
        <v>8</v>
      </c>
      <c r="J65" s="126">
        <v>15</v>
      </c>
      <c r="K65" s="92">
        <f t="shared" ref="K65:K72" si="23">G65/J65*100</f>
        <v>46.666666666666664</v>
      </c>
      <c r="L65" s="92">
        <f t="shared" ref="L65:L72" si="24">H65/J65*100</f>
        <v>53.333333333333336</v>
      </c>
      <c r="M65" s="92">
        <f t="shared" ref="M65:M72" si="25">I65/J65*100</f>
        <v>0</v>
      </c>
      <c r="N65" s="121">
        <f t="shared" si="0"/>
        <v>100</v>
      </c>
      <c r="O65" s="91">
        <v>21.7</v>
      </c>
      <c r="P65" s="92">
        <v>32.5</v>
      </c>
      <c r="Q65" s="92"/>
      <c r="R65" s="93">
        <f t="shared" si="4"/>
        <v>54.2</v>
      </c>
      <c r="S65" s="97">
        <v>2</v>
      </c>
      <c r="T65" s="839"/>
      <c r="U65" s="852"/>
      <c r="V65" s="82" t="s">
        <v>81</v>
      </c>
      <c r="W65" s="73" t="s">
        <v>82</v>
      </c>
      <c r="X65" s="73" t="s">
        <v>18</v>
      </c>
      <c r="Y65" s="83">
        <v>23.1</v>
      </c>
      <c r="Z65" s="73" t="s">
        <v>85</v>
      </c>
      <c r="AA65" s="73" t="s">
        <v>86</v>
      </c>
      <c r="AB65" s="73" t="s">
        <v>18</v>
      </c>
      <c r="AC65" s="73">
        <v>9.4</v>
      </c>
      <c r="AD65" s="82" t="s">
        <v>87</v>
      </c>
      <c r="AE65" s="73" t="s">
        <v>88</v>
      </c>
      <c r="AF65" s="73" t="s">
        <v>11</v>
      </c>
      <c r="AG65" s="83">
        <v>10.4</v>
      </c>
      <c r="AH65" s="82" t="s">
        <v>99</v>
      </c>
      <c r="AI65" s="73" t="s">
        <v>100</v>
      </c>
      <c r="AJ65" s="73" t="s">
        <v>11</v>
      </c>
      <c r="AK65" s="73">
        <v>11.3</v>
      </c>
      <c r="AL65" s="82"/>
      <c r="AO65" s="83"/>
      <c r="AP65" s="82"/>
      <c r="AS65" s="83"/>
      <c r="AW65" s="83"/>
      <c r="BA65" s="84"/>
    </row>
    <row r="66" spans="1:53" s="73" customFormat="1">
      <c r="A66" s="73">
        <v>1987</v>
      </c>
      <c r="B66" s="852"/>
      <c r="C66" s="901" t="s">
        <v>208</v>
      </c>
      <c r="D66" s="901"/>
      <c r="E66" s="73">
        <v>292</v>
      </c>
      <c r="G66" s="119">
        <v>7</v>
      </c>
      <c r="H66" s="73">
        <v>8</v>
      </c>
      <c r="J66" s="126">
        <v>15</v>
      </c>
      <c r="K66" s="92">
        <f t="shared" si="23"/>
        <v>46.666666666666664</v>
      </c>
      <c r="L66" s="92">
        <f t="shared" si="24"/>
        <v>53.333333333333336</v>
      </c>
      <c r="M66" s="92">
        <f t="shared" si="25"/>
        <v>0</v>
      </c>
      <c r="N66" s="121">
        <f t="shared" si="0"/>
        <v>100</v>
      </c>
      <c r="O66" s="91">
        <v>21.7</v>
      </c>
      <c r="P66" s="92">
        <v>32.5</v>
      </c>
      <c r="Q66" s="92"/>
      <c r="R66" s="93">
        <f t="shared" si="4"/>
        <v>54.2</v>
      </c>
      <c r="S66" s="97">
        <v>2</v>
      </c>
      <c r="T66" s="839"/>
      <c r="U66" s="852"/>
      <c r="V66" s="82" t="s">
        <v>81</v>
      </c>
      <c r="W66" s="73" t="s">
        <v>82</v>
      </c>
      <c r="X66" s="73" t="s">
        <v>18</v>
      </c>
      <c r="Y66" s="83">
        <v>23.1</v>
      </c>
      <c r="Z66" s="73" t="s">
        <v>85</v>
      </c>
      <c r="AA66" s="73" t="s">
        <v>86</v>
      </c>
      <c r="AB66" s="73" t="s">
        <v>18</v>
      </c>
      <c r="AC66" s="73">
        <v>9.4</v>
      </c>
      <c r="AD66" s="82" t="s">
        <v>87</v>
      </c>
      <c r="AE66" s="73" t="s">
        <v>88</v>
      </c>
      <c r="AF66" s="73" t="s">
        <v>11</v>
      </c>
      <c r="AG66" s="83">
        <v>10.4</v>
      </c>
      <c r="AH66" s="82" t="s">
        <v>99</v>
      </c>
      <c r="AI66" s="73" t="s">
        <v>100</v>
      </c>
      <c r="AJ66" s="73" t="s">
        <v>11</v>
      </c>
      <c r="AK66" s="73">
        <v>11.3</v>
      </c>
      <c r="AL66" s="82"/>
      <c r="AO66" s="83"/>
      <c r="AP66" s="82"/>
      <c r="AS66" s="83"/>
      <c r="AW66" s="83"/>
      <c r="BA66" s="84"/>
    </row>
    <row r="67" spans="1:53" s="292" customFormat="1">
      <c r="A67" s="292">
        <v>1987</v>
      </c>
      <c r="B67" s="836">
        <v>32070</v>
      </c>
      <c r="C67" s="909" t="s">
        <v>209</v>
      </c>
      <c r="D67" s="909"/>
      <c r="E67" s="292">
        <v>73</v>
      </c>
      <c r="F67" s="292">
        <v>4</v>
      </c>
      <c r="G67" s="366">
        <v>7</v>
      </c>
      <c r="H67" s="292">
        <v>9</v>
      </c>
      <c r="J67" s="377">
        <v>16</v>
      </c>
      <c r="K67" s="336">
        <f t="shared" si="23"/>
        <v>43.75</v>
      </c>
      <c r="L67" s="336">
        <f t="shared" si="24"/>
        <v>56.25</v>
      </c>
      <c r="M67" s="336">
        <f t="shared" si="25"/>
        <v>0</v>
      </c>
      <c r="N67" s="368">
        <f t="shared" si="0"/>
        <v>100</v>
      </c>
      <c r="O67" s="335">
        <v>22.6</v>
      </c>
      <c r="P67" s="336">
        <v>29.3</v>
      </c>
      <c r="Q67" s="336"/>
      <c r="R67" s="337">
        <f t="shared" si="4"/>
        <v>51.900000000000006</v>
      </c>
      <c r="S67" s="340">
        <v>6</v>
      </c>
      <c r="T67" s="838"/>
      <c r="U67" s="836">
        <v>32070</v>
      </c>
      <c r="V67" s="299" t="s">
        <v>81</v>
      </c>
      <c r="W67" s="292" t="s">
        <v>82</v>
      </c>
      <c r="X67" s="292" t="s">
        <v>18</v>
      </c>
      <c r="Y67" s="300">
        <v>23.1</v>
      </c>
      <c r="Z67" s="292" t="s">
        <v>85</v>
      </c>
      <c r="AA67" s="292" t="s">
        <v>86</v>
      </c>
      <c r="AB67" s="292" t="s">
        <v>18</v>
      </c>
      <c r="AC67" s="292">
        <v>9.4</v>
      </c>
      <c r="AD67" s="299" t="s">
        <v>87</v>
      </c>
      <c r="AE67" s="292" t="s">
        <v>88</v>
      </c>
      <c r="AF67" s="292" t="s">
        <v>11</v>
      </c>
      <c r="AG67" s="300">
        <v>10.4</v>
      </c>
      <c r="AH67" s="299" t="s">
        <v>99</v>
      </c>
      <c r="AI67" s="292" t="s">
        <v>100</v>
      </c>
      <c r="AJ67" s="292" t="s">
        <v>11</v>
      </c>
      <c r="AK67" s="292">
        <v>11.3</v>
      </c>
      <c r="AL67" s="299"/>
      <c r="AO67" s="300"/>
      <c r="AP67" s="299"/>
      <c r="AS67" s="300"/>
      <c r="AW67" s="300"/>
      <c r="BA67" s="301"/>
    </row>
    <row r="68" spans="1:53" s="292" customFormat="1">
      <c r="A68" s="292">
        <v>1988</v>
      </c>
      <c r="B68" s="836"/>
      <c r="C68" s="909" t="s">
        <v>209</v>
      </c>
      <c r="D68" s="909"/>
      <c r="E68" s="292">
        <v>160</v>
      </c>
      <c r="G68" s="366">
        <v>7</v>
      </c>
      <c r="H68" s="292">
        <v>9</v>
      </c>
      <c r="J68" s="377">
        <v>16</v>
      </c>
      <c r="K68" s="336">
        <f t="shared" si="23"/>
        <v>43.75</v>
      </c>
      <c r="L68" s="336">
        <f t="shared" si="24"/>
        <v>56.25</v>
      </c>
      <c r="M68" s="336">
        <f t="shared" si="25"/>
        <v>0</v>
      </c>
      <c r="N68" s="368">
        <f t="shared" si="0"/>
        <v>100</v>
      </c>
      <c r="O68" s="335">
        <v>22.6</v>
      </c>
      <c r="P68" s="336">
        <v>29.3</v>
      </c>
      <c r="Q68" s="336"/>
      <c r="R68" s="337">
        <f t="shared" si="4"/>
        <v>51.900000000000006</v>
      </c>
      <c r="S68" s="340">
        <v>6</v>
      </c>
      <c r="T68" s="838">
        <v>32124</v>
      </c>
      <c r="U68" s="836"/>
      <c r="V68" s="299" t="s">
        <v>81</v>
      </c>
      <c r="W68" s="292" t="s">
        <v>82</v>
      </c>
      <c r="X68" s="292" t="s">
        <v>18</v>
      </c>
      <c r="Y68" s="300">
        <v>23.1</v>
      </c>
      <c r="Z68" s="292" t="s">
        <v>85</v>
      </c>
      <c r="AA68" s="292" t="s">
        <v>86</v>
      </c>
      <c r="AB68" s="292" t="s">
        <v>18</v>
      </c>
      <c r="AC68" s="292">
        <v>9.4</v>
      </c>
      <c r="AD68" s="299" t="s">
        <v>87</v>
      </c>
      <c r="AE68" s="292" t="s">
        <v>88</v>
      </c>
      <c r="AF68" s="292" t="s">
        <v>11</v>
      </c>
      <c r="AG68" s="300">
        <v>10.4</v>
      </c>
      <c r="AH68" s="299" t="s">
        <v>99</v>
      </c>
      <c r="AI68" s="292" t="s">
        <v>100</v>
      </c>
      <c r="AJ68" s="292" t="s">
        <v>11</v>
      </c>
      <c r="AK68" s="292">
        <v>11.3</v>
      </c>
      <c r="AL68" s="299"/>
      <c r="AO68" s="300"/>
      <c r="AP68" s="299"/>
      <c r="AS68" s="300"/>
      <c r="AW68" s="300"/>
      <c r="BA68" s="301"/>
    </row>
    <row r="69" spans="1:53" s="73" customFormat="1">
      <c r="A69" s="73">
        <v>1988</v>
      </c>
      <c r="B69" s="852">
        <v>32303</v>
      </c>
      <c r="C69" s="901" t="s">
        <v>210</v>
      </c>
      <c r="D69" s="901"/>
      <c r="E69" s="73">
        <v>206</v>
      </c>
      <c r="F69" s="73">
        <v>1</v>
      </c>
      <c r="G69" s="119"/>
      <c r="H69" s="73">
        <v>9</v>
      </c>
      <c r="I69" s="73">
        <v>8</v>
      </c>
      <c r="J69" s="126">
        <v>17</v>
      </c>
      <c r="K69" s="92">
        <f t="shared" si="23"/>
        <v>0</v>
      </c>
      <c r="L69" s="92">
        <f t="shared" si="24"/>
        <v>52.941176470588239</v>
      </c>
      <c r="M69" s="92">
        <f t="shared" si="25"/>
        <v>47.058823529411761</v>
      </c>
      <c r="N69" s="121">
        <f t="shared" si="0"/>
        <v>100</v>
      </c>
      <c r="O69" s="91"/>
      <c r="P69" s="92">
        <v>36.799999999999997</v>
      </c>
      <c r="Q69" s="92">
        <v>34</v>
      </c>
      <c r="R69" s="93">
        <f t="shared" si="4"/>
        <v>70.8</v>
      </c>
      <c r="S69" s="97">
        <v>3</v>
      </c>
      <c r="T69" s="839"/>
      <c r="U69" s="852">
        <v>32303</v>
      </c>
      <c r="V69" s="82" t="s">
        <v>81</v>
      </c>
      <c r="W69" s="73" t="s">
        <v>82</v>
      </c>
      <c r="X69" s="73" t="s">
        <v>18</v>
      </c>
      <c r="Y69" s="83">
        <v>20.3</v>
      </c>
      <c r="Z69" s="73" t="s">
        <v>85</v>
      </c>
      <c r="AA69" s="73" t="s">
        <v>86</v>
      </c>
      <c r="AB69" s="73" t="s">
        <v>18</v>
      </c>
      <c r="AC69" s="73">
        <v>9</v>
      </c>
      <c r="AD69" s="82" t="s">
        <v>96</v>
      </c>
      <c r="AE69" s="73" t="s">
        <v>97</v>
      </c>
      <c r="AF69" s="73" t="s">
        <v>12</v>
      </c>
      <c r="AG69" s="83">
        <v>18.899999999999999</v>
      </c>
      <c r="AH69" s="73" t="s">
        <v>95</v>
      </c>
      <c r="AI69" s="73" t="s">
        <v>98</v>
      </c>
      <c r="AJ69" s="73" t="s">
        <v>12</v>
      </c>
      <c r="AK69" s="73">
        <v>15.1</v>
      </c>
      <c r="AL69" s="82" t="s">
        <v>89</v>
      </c>
      <c r="AM69" s="73" t="s">
        <v>90</v>
      </c>
      <c r="AN69" s="73" t="s">
        <v>18</v>
      </c>
      <c r="AO69" s="83">
        <v>7.5</v>
      </c>
      <c r="AP69" s="82"/>
      <c r="AS69" s="83"/>
      <c r="AW69" s="83"/>
      <c r="BA69" s="84"/>
    </row>
    <row r="70" spans="1:53" s="73" customFormat="1">
      <c r="A70" s="73">
        <v>1989</v>
      </c>
      <c r="B70" s="852"/>
      <c r="C70" s="901" t="s">
        <v>210</v>
      </c>
      <c r="D70" s="901"/>
      <c r="E70" s="73">
        <v>0</v>
      </c>
      <c r="G70" s="119"/>
      <c r="H70" s="73">
        <v>9</v>
      </c>
      <c r="I70" s="73">
        <v>8</v>
      </c>
      <c r="J70" s="126">
        <v>17</v>
      </c>
      <c r="K70" s="92">
        <f t="shared" si="23"/>
        <v>0</v>
      </c>
      <c r="L70" s="92">
        <f t="shared" si="24"/>
        <v>52.941176470588239</v>
      </c>
      <c r="M70" s="92">
        <f t="shared" si="25"/>
        <v>47.058823529411761</v>
      </c>
      <c r="N70" s="121">
        <f t="shared" si="0"/>
        <v>100</v>
      </c>
      <c r="O70" s="91"/>
      <c r="P70" s="92">
        <v>36.799999999999997</v>
      </c>
      <c r="Q70" s="92">
        <v>34</v>
      </c>
      <c r="R70" s="93">
        <f t="shared" si="4"/>
        <v>70.8</v>
      </c>
      <c r="S70" s="97">
        <v>3</v>
      </c>
      <c r="T70" s="839"/>
      <c r="U70" s="852"/>
      <c r="V70" s="82" t="s">
        <v>81</v>
      </c>
      <c r="W70" s="73" t="s">
        <v>82</v>
      </c>
      <c r="X70" s="73" t="s">
        <v>18</v>
      </c>
      <c r="Y70" s="83">
        <v>20.3</v>
      </c>
      <c r="Z70" s="73" t="s">
        <v>85</v>
      </c>
      <c r="AA70" s="73" t="s">
        <v>86</v>
      </c>
      <c r="AB70" s="73" t="s">
        <v>18</v>
      </c>
      <c r="AC70" s="73">
        <v>9</v>
      </c>
      <c r="AD70" s="82" t="s">
        <v>96</v>
      </c>
      <c r="AE70" s="73" t="s">
        <v>97</v>
      </c>
      <c r="AF70" s="73" t="s">
        <v>12</v>
      </c>
      <c r="AG70" s="83">
        <v>18.899999999999999</v>
      </c>
      <c r="AH70" s="73" t="s">
        <v>95</v>
      </c>
      <c r="AI70" s="73" t="s">
        <v>98</v>
      </c>
      <c r="AJ70" s="73" t="s">
        <v>12</v>
      </c>
      <c r="AK70" s="73">
        <v>15.1</v>
      </c>
      <c r="AL70" s="82" t="s">
        <v>89</v>
      </c>
      <c r="AM70" s="73" t="s">
        <v>90</v>
      </c>
      <c r="AN70" s="73" t="s">
        <v>18</v>
      </c>
      <c r="AO70" s="83">
        <v>7.5</v>
      </c>
      <c r="AP70" s="82"/>
      <c r="AS70" s="83"/>
      <c r="AW70" s="83"/>
      <c r="BA70" s="84"/>
    </row>
    <row r="71" spans="1:53" s="128" customFormat="1">
      <c r="A71" s="128">
        <v>1989</v>
      </c>
      <c r="B71" s="859"/>
      <c r="C71" s="932" t="s">
        <v>210</v>
      </c>
      <c r="D71" s="932"/>
      <c r="E71" s="128">
        <f>365-E70</f>
        <v>365</v>
      </c>
      <c r="G71" s="129"/>
      <c r="H71" s="128">
        <v>9</v>
      </c>
      <c r="I71" s="128">
        <v>8</v>
      </c>
      <c r="J71" s="130">
        <v>17</v>
      </c>
      <c r="K71" s="131">
        <f t="shared" si="23"/>
        <v>0</v>
      </c>
      <c r="L71" s="131">
        <f t="shared" si="24"/>
        <v>52.941176470588239</v>
      </c>
      <c r="M71" s="131">
        <f t="shared" si="25"/>
        <v>47.058823529411761</v>
      </c>
      <c r="N71" s="132">
        <f t="shared" si="0"/>
        <v>100</v>
      </c>
      <c r="O71" s="133"/>
      <c r="P71" s="131">
        <v>36.799999999999997</v>
      </c>
      <c r="Q71" s="131">
        <v>34</v>
      </c>
      <c r="R71" s="134">
        <f t="shared" si="4"/>
        <v>70.8</v>
      </c>
      <c r="S71" s="135">
        <v>3</v>
      </c>
      <c r="T71" s="861"/>
      <c r="U71" s="859"/>
      <c r="V71" s="136" t="s">
        <v>81</v>
      </c>
      <c r="W71" s="128" t="s">
        <v>82</v>
      </c>
      <c r="X71" s="128" t="s">
        <v>18</v>
      </c>
      <c r="Y71" s="137">
        <v>20.3</v>
      </c>
      <c r="Z71" s="128" t="s">
        <v>85</v>
      </c>
      <c r="AA71" s="128" t="s">
        <v>86</v>
      </c>
      <c r="AB71" s="128" t="s">
        <v>18</v>
      </c>
      <c r="AC71" s="128">
        <v>9</v>
      </c>
      <c r="AD71" s="136" t="s">
        <v>96</v>
      </c>
      <c r="AE71" s="128" t="s">
        <v>97</v>
      </c>
      <c r="AF71" s="128" t="s">
        <v>12</v>
      </c>
      <c r="AG71" s="137">
        <v>18.899999999999999</v>
      </c>
      <c r="AH71" s="128" t="s">
        <v>95</v>
      </c>
      <c r="AI71" s="128" t="s">
        <v>98</v>
      </c>
      <c r="AJ71" s="128" t="s">
        <v>12</v>
      </c>
      <c r="AK71" s="128">
        <v>15.1</v>
      </c>
      <c r="AL71" s="136" t="s">
        <v>89</v>
      </c>
      <c r="AM71" s="128" t="s">
        <v>90</v>
      </c>
      <c r="AN71" s="128" t="s">
        <v>18</v>
      </c>
      <c r="AO71" s="137">
        <v>7.5</v>
      </c>
      <c r="AP71" s="136"/>
      <c r="AS71" s="137"/>
      <c r="AW71" s="137"/>
      <c r="BA71" s="138"/>
    </row>
    <row r="72" spans="1:53" s="73" customFormat="1">
      <c r="A72" s="73">
        <v>1990</v>
      </c>
      <c r="B72" s="852"/>
      <c r="C72" s="901" t="s">
        <v>210</v>
      </c>
      <c r="D72" s="901"/>
      <c r="E72" s="73">
        <v>0</v>
      </c>
      <c r="G72" s="119"/>
      <c r="H72" s="73">
        <v>9</v>
      </c>
      <c r="I72" s="73">
        <v>8</v>
      </c>
      <c r="J72" s="126">
        <v>17</v>
      </c>
      <c r="K72" s="92">
        <f t="shared" si="23"/>
        <v>0</v>
      </c>
      <c r="L72" s="92">
        <f t="shared" si="24"/>
        <v>52.941176470588239</v>
      </c>
      <c r="M72" s="92">
        <f t="shared" si="25"/>
        <v>47.058823529411761</v>
      </c>
      <c r="N72" s="121">
        <f t="shared" ref="N72:N118" si="26">SUM(K72:M72)</f>
        <v>100</v>
      </c>
      <c r="O72" s="91"/>
      <c r="P72" s="92">
        <v>36.799999999999997</v>
      </c>
      <c r="Q72" s="92">
        <v>34</v>
      </c>
      <c r="R72" s="93">
        <f t="shared" si="4"/>
        <v>70.8</v>
      </c>
      <c r="S72" s="97">
        <v>3</v>
      </c>
      <c r="T72" s="839"/>
      <c r="U72" s="852"/>
      <c r="V72" s="82" t="s">
        <v>81</v>
      </c>
      <c r="W72" s="73" t="s">
        <v>82</v>
      </c>
      <c r="X72" s="73" t="s">
        <v>18</v>
      </c>
      <c r="Y72" s="83">
        <v>20.3</v>
      </c>
      <c r="Z72" s="73" t="s">
        <v>85</v>
      </c>
      <c r="AA72" s="73" t="s">
        <v>86</v>
      </c>
      <c r="AB72" s="73" t="s">
        <v>18</v>
      </c>
      <c r="AC72" s="73">
        <v>9</v>
      </c>
      <c r="AD72" s="82" t="s">
        <v>96</v>
      </c>
      <c r="AE72" s="73" t="s">
        <v>97</v>
      </c>
      <c r="AF72" s="73" t="s">
        <v>12</v>
      </c>
      <c r="AG72" s="83">
        <v>18.899999999999999</v>
      </c>
      <c r="AH72" s="73" t="s">
        <v>95</v>
      </c>
      <c r="AI72" s="73" t="s">
        <v>98</v>
      </c>
      <c r="AJ72" s="73" t="s">
        <v>12</v>
      </c>
      <c r="AK72" s="73">
        <v>15.1</v>
      </c>
      <c r="AL72" s="82" t="s">
        <v>89</v>
      </c>
      <c r="AM72" s="73" t="s">
        <v>90</v>
      </c>
      <c r="AN72" s="73" t="s">
        <v>18</v>
      </c>
      <c r="AO72" s="83">
        <v>7.5</v>
      </c>
      <c r="AP72" s="82"/>
      <c r="AS72" s="83"/>
      <c r="AW72" s="83"/>
      <c r="BA72" s="84"/>
    </row>
    <row r="73" spans="1:53" s="73" customFormat="1">
      <c r="A73" s="73">
        <v>1990</v>
      </c>
      <c r="B73" s="852"/>
      <c r="C73" s="901" t="s">
        <v>210</v>
      </c>
      <c r="D73" s="901"/>
      <c r="E73" s="73">
        <f>365-E72</f>
        <v>365</v>
      </c>
      <c r="G73" s="119"/>
      <c r="H73" s="73">
        <v>9</v>
      </c>
      <c r="I73" s="73">
        <v>8</v>
      </c>
      <c r="J73" s="126">
        <v>17</v>
      </c>
      <c r="K73" s="92">
        <f>G73/J73*100</f>
        <v>0</v>
      </c>
      <c r="L73" s="92">
        <f>H73/J73*100</f>
        <v>52.941176470588239</v>
      </c>
      <c r="M73" s="92">
        <f>I73/J73*100</f>
        <v>47.058823529411761</v>
      </c>
      <c r="N73" s="121">
        <f t="shared" si="26"/>
        <v>100</v>
      </c>
      <c r="O73" s="91"/>
      <c r="P73" s="92">
        <v>36.799999999999997</v>
      </c>
      <c r="Q73" s="92">
        <v>34</v>
      </c>
      <c r="R73" s="93">
        <f t="shared" ref="R73:R120" si="27">SUM(O73:Q73)</f>
        <v>70.8</v>
      </c>
      <c r="S73" s="97">
        <v>3</v>
      </c>
      <c r="T73" s="839"/>
      <c r="U73" s="852"/>
      <c r="V73" s="82" t="s">
        <v>81</v>
      </c>
      <c r="W73" s="73" t="s">
        <v>82</v>
      </c>
      <c r="X73" s="73" t="s">
        <v>18</v>
      </c>
      <c r="Y73" s="83">
        <v>20.3</v>
      </c>
      <c r="Z73" s="73" t="s">
        <v>85</v>
      </c>
      <c r="AA73" s="73" t="s">
        <v>86</v>
      </c>
      <c r="AB73" s="73" t="s">
        <v>18</v>
      </c>
      <c r="AC73" s="73">
        <v>9</v>
      </c>
      <c r="AD73" s="82" t="s">
        <v>96</v>
      </c>
      <c r="AE73" s="73" t="s">
        <v>97</v>
      </c>
      <c r="AF73" s="73" t="s">
        <v>12</v>
      </c>
      <c r="AG73" s="83">
        <v>18.899999999999999</v>
      </c>
      <c r="AH73" s="73" t="s">
        <v>95</v>
      </c>
      <c r="AI73" s="73" t="s">
        <v>98</v>
      </c>
      <c r="AJ73" s="73" t="s">
        <v>12</v>
      </c>
      <c r="AK73" s="73">
        <v>15.1</v>
      </c>
      <c r="AL73" s="82" t="s">
        <v>89</v>
      </c>
      <c r="AM73" s="73" t="s">
        <v>90</v>
      </c>
      <c r="AN73" s="73" t="s">
        <v>18</v>
      </c>
      <c r="AO73" s="83">
        <v>7.5</v>
      </c>
      <c r="AP73" s="82"/>
      <c r="AS73" s="83"/>
      <c r="AW73" s="83"/>
      <c r="BA73" s="84"/>
    </row>
    <row r="74" spans="1:53" s="73" customFormat="1">
      <c r="A74" s="73">
        <v>1991</v>
      </c>
      <c r="B74" s="852"/>
      <c r="C74" s="901" t="s">
        <v>210</v>
      </c>
      <c r="D74" s="901"/>
      <c r="E74" s="73">
        <v>275</v>
      </c>
      <c r="G74" s="119"/>
      <c r="H74" s="73">
        <v>9</v>
      </c>
      <c r="I74" s="73">
        <v>8</v>
      </c>
      <c r="J74" s="126">
        <v>17</v>
      </c>
      <c r="K74" s="92">
        <f>G74/J74*100</f>
        <v>0</v>
      </c>
      <c r="L74" s="92">
        <f>H74/J74*100</f>
        <v>52.941176470588239</v>
      </c>
      <c r="M74" s="92">
        <f>I74/J74*100</f>
        <v>47.058823529411761</v>
      </c>
      <c r="N74" s="121">
        <f t="shared" si="26"/>
        <v>100</v>
      </c>
      <c r="O74" s="91"/>
      <c r="P74" s="92">
        <v>36.799999999999997</v>
      </c>
      <c r="Q74" s="92">
        <v>34</v>
      </c>
      <c r="R74" s="93">
        <f t="shared" si="27"/>
        <v>70.8</v>
      </c>
      <c r="S74" s="97">
        <v>3</v>
      </c>
      <c r="T74" s="839"/>
      <c r="U74" s="852"/>
      <c r="V74" s="82" t="s">
        <v>81</v>
      </c>
      <c r="W74" s="73" t="s">
        <v>82</v>
      </c>
      <c r="X74" s="73" t="s">
        <v>18</v>
      </c>
      <c r="Y74" s="83">
        <v>20.3</v>
      </c>
      <c r="Z74" s="73" t="s">
        <v>85</v>
      </c>
      <c r="AA74" s="73" t="s">
        <v>86</v>
      </c>
      <c r="AB74" s="73" t="s">
        <v>18</v>
      </c>
      <c r="AC74" s="73">
        <v>9</v>
      </c>
      <c r="AD74" s="82" t="s">
        <v>96</v>
      </c>
      <c r="AE74" s="73" t="s">
        <v>97</v>
      </c>
      <c r="AF74" s="73" t="s">
        <v>12</v>
      </c>
      <c r="AG74" s="83">
        <v>18.899999999999999</v>
      </c>
      <c r="AH74" s="73" t="s">
        <v>95</v>
      </c>
      <c r="AI74" s="73" t="s">
        <v>98</v>
      </c>
      <c r="AJ74" s="73" t="s">
        <v>12</v>
      </c>
      <c r="AK74" s="73">
        <v>15.1</v>
      </c>
      <c r="AL74" s="82" t="s">
        <v>89</v>
      </c>
      <c r="AM74" s="73" t="s">
        <v>90</v>
      </c>
      <c r="AN74" s="73" t="s">
        <v>18</v>
      </c>
      <c r="AO74" s="83">
        <v>7.5</v>
      </c>
      <c r="AP74" s="82"/>
      <c r="AS74" s="83"/>
      <c r="AW74" s="83"/>
      <c r="BA74" s="84"/>
    </row>
    <row r="75" spans="1:53" s="292" customFormat="1">
      <c r="A75" s="292">
        <v>1991</v>
      </c>
      <c r="B75" s="836">
        <v>33514</v>
      </c>
      <c r="C75" s="909" t="s">
        <v>211</v>
      </c>
      <c r="D75" s="909"/>
      <c r="E75" s="292">
        <f>365-E74</f>
        <v>90</v>
      </c>
      <c r="F75" s="292">
        <v>1</v>
      </c>
      <c r="G75" s="366"/>
      <c r="H75" s="292">
        <v>8</v>
      </c>
      <c r="I75" s="292">
        <v>9</v>
      </c>
      <c r="J75" s="377">
        <v>17</v>
      </c>
      <c r="K75" s="336">
        <f>G75/J75*100</f>
        <v>0</v>
      </c>
      <c r="L75" s="336">
        <f>H75/J75*100</f>
        <v>47.058823529411761</v>
      </c>
      <c r="M75" s="336">
        <f>I75/J75*100</f>
        <v>52.941176470588239</v>
      </c>
      <c r="N75" s="368">
        <f t="shared" si="26"/>
        <v>100</v>
      </c>
      <c r="O75" s="335"/>
      <c r="P75" s="336">
        <v>36.799999999999997</v>
      </c>
      <c r="Q75" s="336">
        <v>34</v>
      </c>
      <c r="R75" s="337">
        <f t="shared" si="27"/>
        <v>70.8</v>
      </c>
      <c r="S75" s="340">
        <v>3</v>
      </c>
      <c r="T75" s="838"/>
      <c r="U75" s="836">
        <v>33514</v>
      </c>
      <c r="V75" s="299" t="s">
        <v>81</v>
      </c>
      <c r="W75" s="292" t="s">
        <v>82</v>
      </c>
      <c r="X75" s="292" t="s">
        <v>18</v>
      </c>
      <c r="Y75" s="300">
        <v>20.3</v>
      </c>
      <c r="Z75" s="292" t="s">
        <v>85</v>
      </c>
      <c r="AA75" s="292" t="s">
        <v>86</v>
      </c>
      <c r="AB75" s="292" t="s">
        <v>18</v>
      </c>
      <c r="AC75" s="292">
        <v>9</v>
      </c>
      <c r="AD75" s="299" t="s">
        <v>96</v>
      </c>
      <c r="AE75" s="292" t="s">
        <v>97</v>
      </c>
      <c r="AF75" s="292" t="s">
        <v>12</v>
      </c>
      <c r="AG75" s="300">
        <v>18.899999999999999</v>
      </c>
      <c r="AH75" s="292" t="s">
        <v>95</v>
      </c>
      <c r="AI75" s="292" t="s">
        <v>98</v>
      </c>
      <c r="AJ75" s="292" t="s">
        <v>12</v>
      </c>
      <c r="AK75" s="292">
        <v>15.1</v>
      </c>
      <c r="AL75" s="299" t="s">
        <v>89</v>
      </c>
      <c r="AM75" s="292" t="s">
        <v>90</v>
      </c>
      <c r="AN75" s="292" t="s">
        <v>18</v>
      </c>
      <c r="AO75" s="300">
        <v>7.5</v>
      </c>
      <c r="AP75" s="299"/>
      <c r="AS75" s="300"/>
      <c r="AW75" s="300"/>
      <c r="BA75" s="301"/>
    </row>
    <row r="76" spans="1:53" s="292" customFormat="1">
      <c r="A76" s="292">
        <v>1992</v>
      </c>
      <c r="B76" s="836"/>
      <c r="C76" s="909" t="s">
        <v>211</v>
      </c>
      <c r="D76" s="909"/>
      <c r="E76" s="292">
        <v>72</v>
      </c>
      <c r="G76" s="366"/>
      <c r="H76" s="292">
        <v>8</v>
      </c>
      <c r="I76" s="292">
        <v>9</v>
      </c>
      <c r="J76" s="377">
        <v>17</v>
      </c>
      <c r="K76" s="336">
        <f>G76/J76*100</f>
        <v>0</v>
      </c>
      <c r="L76" s="336">
        <f>H76/J76*100</f>
        <v>47.058823529411761</v>
      </c>
      <c r="M76" s="336">
        <f>I76/J76*100</f>
        <v>52.941176470588239</v>
      </c>
      <c r="N76" s="368">
        <f t="shared" si="26"/>
        <v>100</v>
      </c>
      <c r="O76" s="335"/>
      <c r="P76" s="336">
        <v>36.799999999999997</v>
      </c>
      <c r="Q76" s="336">
        <v>34</v>
      </c>
      <c r="R76" s="337">
        <f t="shared" si="27"/>
        <v>70.8</v>
      </c>
      <c r="S76" s="340">
        <v>3</v>
      </c>
      <c r="T76" s="838">
        <v>33566</v>
      </c>
      <c r="U76" s="836"/>
      <c r="V76" s="299" t="s">
        <v>81</v>
      </c>
      <c r="W76" s="292" t="s">
        <v>82</v>
      </c>
      <c r="X76" s="292" t="s">
        <v>18</v>
      </c>
      <c r="Y76" s="300">
        <v>20.3</v>
      </c>
      <c r="Z76" s="292" t="s">
        <v>85</v>
      </c>
      <c r="AA76" s="292" t="s">
        <v>86</v>
      </c>
      <c r="AB76" s="292" t="s">
        <v>18</v>
      </c>
      <c r="AC76" s="292">
        <v>9</v>
      </c>
      <c r="AD76" s="299" t="s">
        <v>96</v>
      </c>
      <c r="AE76" s="292" t="s">
        <v>97</v>
      </c>
      <c r="AF76" s="292" t="s">
        <v>12</v>
      </c>
      <c r="AG76" s="300">
        <v>18.899999999999999</v>
      </c>
      <c r="AH76" s="292" t="s">
        <v>95</v>
      </c>
      <c r="AI76" s="292" t="s">
        <v>98</v>
      </c>
      <c r="AJ76" s="292" t="s">
        <v>12</v>
      </c>
      <c r="AK76" s="292">
        <v>15.1</v>
      </c>
      <c r="AL76" s="299" t="s">
        <v>89</v>
      </c>
      <c r="AM76" s="292" t="s">
        <v>90</v>
      </c>
      <c r="AN76" s="292" t="s">
        <v>18</v>
      </c>
      <c r="AO76" s="300">
        <v>7.5</v>
      </c>
      <c r="AP76" s="299"/>
      <c r="AS76" s="300"/>
      <c r="AW76" s="300"/>
      <c r="BA76" s="301"/>
    </row>
    <row r="77" spans="1:53" s="73" customFormat="1">
      <c r="A77" s="73">
        <v>1992</v>
      </c>
      <c r="B77" s="852">
        <v>33676</v>
      </c>
      <c r="C77" s="917" t="s">
        <v>212</v>
      </c>
      <c r="D77" s="917"/>
      <c r="E77" s="73">
        <v>294</v>
      </c>
      <c r="F77" s="73">
        <v>5</v>
      </c>
      <c r="G77" s="119"/>
      <c r="H77" s="73">
        <v>7</v>
      </c>
      <c r="I77" s="73">
        <v>8</v>
      </c>
      <c r="J77" s="126">
        <v>15</v>
      </c>
      <c r="K77" s="92">
        <f>G77/J77*100</f>
        <v>0</v>
      </c>
      <c r="L77" s="92">
        <f>H77/J77*100</f>
        <v>46.666666666666664</v>
      </c>
      <c r="M77" s="92">
        <f>I77/J77*100</f>
        <v>53.333333333333336</v>
      </c>
      <c r="N77" s="121">
        <f t="shared" si="26"/>
        <v>100</v>
      </c>
      <c r="O77" s="91"/>
      <c r="P77" s="92">
        <v>26.9</v>
      </c>
      <c r="Q77" s="92">
        <v>29.7</v>
      </c>
      <c r="R77" s="93">
        <f t="shared" si="27"/>
        <v>56.599999999999994</v>
      </c>
      <c r="S77" s="97">
        <v>2</v>
      </c>
      <c r="T77" s="839"/>
      <c r="U77" s="852">
        <v>33676</v>
      </c>
      <c r="V77" s="82" t="s">
        <v>81</v>
      </c>
      <c r="W77" s="73" t="s">
        <v>82</v>
      </c>
      <c r="X77" s="73" t="s">
        <v>18</v>
      </c>
      <c r="Y77" s="83">
        <v>18.399999999999999</v>
      </c>
      <c r="Z77" s="73" t="s">
        <v>85</v>
      </c>
      <c r="AA77" s="73" t="s">
        <v>86</v>
      </c>
      <c r="AB77" s="73" t="s">
        <v>18</v>
      </c>
      <c r="AC77" s="73">
        <v>8.5</v>
      </c>
      <c r="AD77" s="82" t="s">
        <v>96</v>
      </c>
      <c r="AE77" s="73" t="s">
        <v>97</v>
      </c>
      <c r="AF77" s="73" t="s">
        <v>12</v>
      </c>
      <c r="AG77" s="83">
        <v>16.5</v>
      </c>
      <c r="AH77" s="73" t="s">
        <v>95</v>
      </c>
      <c r="AI77" s="73" t="s">
        <v>98</v>
      </c>
      <c r="AJ77" s="73" t="s">
        <v>12</v>
      </c>
      <c r="AK77" s="73">
        <v>13.2</v>
      </c>
      <c r="AL77" s="82"/>
      <c r="AO77" s="83"/>
      <c r="AP77" s="82"/>
      <c r="AS77" s="83"/>
      <c r="AW77" s="83"/>
      <c r="BA77" s="84"/>
    </row>
    <row r="78" spans="1:53" s="73" customFormat="1">
      <c r="A78" s="73">
        <v>1993</v>
      </c>
      <c r="B78" s="852"/>
      <c r="C78" s="917" t="s">
        <v>212</v>
      </c>
      <c r="D78" s="917"/>
      <c r="E78" s="73">
        <v>0</v>
      </c>
      <c r="G78" s="119"/>
      <c r="H78" s="73">
        <v>7</v>
      </c>
      <c r="I78" s="73">
        <v>8</v>
      </c>
      <c r="J78" s="126">
        <v>15</v>
      </c>
      <c r="K78" s="92">
        <f t="shared" ref="K78:K101" si="28">G78/J78*100</f>
        <v>0</v>
      </c>
      <c r="L78" s="92">
        <f t="shared" ref="L78:L101" si="29">H78/J78*100</f>
        <v>46.666666666666664</v>
      </c>
      <c r="M78" s="92">
        <f t="shared" ref="M78:M101" si="30">I78/J78*100</f>
        <v>53.333333333333336</v>
      </c>
      <c r="N78" s="121">
        <f t="shared" si="26"/>
        <v>100</v>
      </c>
      <c r="O78" s="91"/>
      <c r="P78" s="92">
        <v>26.9</v>
      </c>
      <c r="Q78" s="92">
        <v>29.7</v>
      </c>
      <c r="R78" s="93">
        <f t="shared" si="27"/>
        <v>56.599999999999994</v>
      </c>
      <c r="S78" s="97">
        <v>2</v>
      </c>
      <c r="T78" s="839"/>
      <c r="U78" s="852"/>
      <c r="V78" s="82" t="s">
        <v>81</v>
      </c>
      <c r="W78" s="73" t="s">
        <v>82</v>
      </c>
      <c r="X78" s="73" t="s">
        <v>18</v>
      </c>
      <c r="Y78" s="83">
        <v>18.399999999999999</v>
      </c>
      <c r="Z78" s="73" t="s">
        <v>85</v>
      </c>
      <c r="AA78" s="73" t="s">
        <v>86</v>
      </c>
      <c r="AB78" s="73" t="s">
        <v>18</v>
      </c>
      <c r="AC78" s="73">
        <v>8.5</v>
      </c>
      <c r="AD78" s="82" t="s">
        <v>96</v>
      </c>
      <c r="AE78" s="73" t="s">
        <v>97</v>
      </c>
      <c r="AF78" s="73" t="s">
        <v>12</v>
      </c>
      <c r="AG78" s="83">
        <v>16.5</v>
      </c>
      <c r="AH78" s="73" t="s">
        <v>95</v>
      </c>
      <c r="AI78" s="73" t="s">
        <v>98</v>
      </c>
      <c r="AJ78" s="73" t="s">
        <v>12</v>
      </c>
      <c r="AK78" s="73">
        <v>13.2</v>
      </c>
      <c r="AL78" s="82"/>
      <c r="AO78" s="83"/>
      <c r="AP78" s="82"/>
      <c r="AS78" s="83"/>
      <c r="AW78" s="83"/>
      <c r="BA78" s="84"/>
    </row>
    <row r="79" spans="1:53" s="73" customFormat="1">
      <c r="A79" s="73">
        <v>1993</v>
      </c>
      <c r="B79" s="852"/>
      <c r="C79" s="917" t="s">
        <v>212</v>
      </c>
      <c r="D79" s="917"/>
      <c r="E79" s="73">
        <f>365-E78</f>
        <v>365</v>
      </c>
      <c r="G79" s="119"/>
      <c r="H79" s="73">
        <v>7</v>
      </c>
      <c r="I79" s="73">
        <v>8</v>
      </c>
      <c r="J79" s="126">
        <v>15</v>
      </c>
      <c r="K79" s="92">
        <f t="shared" si="28"/>
        <v>0</v>
      </c>
      <c r="L79" s="92">
        <f t="shared" si="29"/>
        <v>46.666666666666664</v>
      </c>
      <c r="M79" s="92">
        <f t="shared" si="30"/>
        <v>53.333333333333336</v>
      </c>
      <c r="N79" s="121">
        <f t="shared" si="26"/>
        <v>100</v>
      </c>
      <c r="O79" s="91"/>
      <c r="P79" s="92">
        <v>26.9</v>
      </c>
      <c r="Q79" s="92">
        <v>29.7</v>
      </c>
      <c r="R79" s="93">
        <f t="shared" si="27"/>
        <v>56.599999999999994</v>
      </c>
      <c r="S79" s="97">
        <v>2</v>
      </c>
      <c r="T79" s="839"/>
      <c r="U79" s="852"/>
      <c r="V79" s="82" t="s">
        <v>81</v>
      </c>
      <c r="W79" s="73" t="s">
        <v>82</v>
      </c>
      <c r="X79" s="73" t="s">
        <v>18</v>
      </c>
      <c r="Y79" s="83">
        <v>18.399999999999999</v>
      </c>
      <c r="Z79" s="73" t="s">
        <v>85</v>
      </c>
      <c r="AA79" s="73" t="s">
        <v>86</v>
      </c>
      <c r="AB79" s="73" t="s">
        <v>18</v>
      </c>
      <c r="AC79" s="73">
        <v>8.5</v>
      </c>
      <c r="AD79" s="82" t="s">
        <v>96</v>
      </c>
      <c r="AE79" s="73" t="s">
        <v>97</v>
      </c>
      <c r="AF79" s="73" t="s">
        <v>12</v>
      </c>
      <c r="AG79" s="83">
        <v>16.5</v>
      </c>
      <c r="AH79" s="73" t="s">
        <v>95</v>
      </c>
      <c r="AI79" s="73" t="s">
        <v>98</v>
      </c>
      <c r="AJ79" s="73" t="s">
        <v>12</v>
      </c>
      <c r="AK79" s="73">
        <v>13.2</v>
      </c>
      <c r="AL79" s="82"/>
      <c r="AO79" s="83"/>
      <c r="AP79" s="82"/>
      <c r="AS79" s="83"/>
      <c r="AW79" s="83"/>
      <c r="BA79" s="84"/>
    </row>
    <row r="80" spans="1:53" s="73" customFormat="1">
      <c r="A80" s="73">
        <v>1994</v>
      </c>
      <c r="B80" s="852"/>
      <c r="C80" s="917" t="s">
        <v>212</v>
      </c>
      <c r="D80" s="917"/>
      <c r="E80" s="73">
        <v>0</v>
      </c>
      <c r="G80" s="119"/>
      <c r="H80" s="73">
        <v>7</v>
      </c>
      <c r="I80" s="73">
        <v>8</v>
      </c>
      <c r="J80" s="126">
        <v>15</v>
      </c>
      <c r="K80" s="92">
        <f t="shared" si="28"/>
        <v>0</v>
      </c>
      <c r="L80" s="92">
        <f t="shared" si="29"/>
        <v>46.666666666666664</v>
      </c>
      <c r="M80" s="92">
        <f t="shared" si="30"/>
        <v>53.333333333333336</v>
      </c>
      <c r="N80" s="121">
        <f t="shared" si="26"/>
        <v>100</v>
      </c>
      <c r="O80" s="91"/>
      <c r="P80" s="92">
        <v>26.9</v>
      </c>
      <c r="Q80" s="92">
        <v>29.7</v>
      </c>
      <c r="R80" s="93">
        <f t="shared" si="27"/>
        <v>56.599999999999994</v>
      </c>
      <c r="S80" s="97">
        <v>2</v>
      </c>
      <c r="T80" s="839"/>
      <c r="U80" s="852"/>
      <c r="V80" s="82" t="s">
        <v>81</v>
      </c>
      <c r="W80" s="73" t="s">
        <v>82</v>
      </c>
      <c r="X80" s="73" t="s">
        <v>18</v>
      </c>
      <c r="Y80" s="83">
        <v>18.399999999999999</v>
      </c>
      <c r="Z80" s="73" t="s">
        <v>85</v>
      </c>
      <c r="AA80" s="73" t="s">
        <v>86</v>
      </c>
      <c r="AB80" s="73" t="s">
        <v>18</v>
      </c>
      <c r="AC80" s="73">
        <v>8.5</v>
      </c>
      <c r="AD80" s="82" t="s">
        <v>96</v>
      </c>
      <c r="AE80" s="73" t="s">
        <v>97</v>
      </c>
      <c r="AF80" s="73" t="s">
        <v>12</v>
      </c>
      <c r="AG80" s="83">
        <v>16.5</v>
      </c>
      <c r="AH80" s="73" t="s">
        <v>95</v>
      </c>
      <c r="AI80" s="73" t="s">
        <v>98</v>
      </c>
      <c r="AJ80" s="73" t="s">
        <v>12</v>
      </c>
      <c r="AK80" s="73">
        <v>13.2</v>
      </c>
      <c r="AL80" s="82"/>
      <c r="AO80" s="83"/>
      <c r="AP80" s="82"/>
      <c r="AS80" s="83"/>
      <c r="AW80" s="83"/>
      <c r="BA80" s="84"/>
    </row>
    <row r="81" spans="1:53" s="73" customFormat="1">
      <c r="A81" s="73">
        <v>1994</v>
      </c>
      <c r="B81" s="852"/>
      <c r="C81" s="917" t="s">
        <v>212</v>
      </c>
      <c r="D81" s="917"/>
      <c r="E81" s="73">
        <f>365-E80</f>
        <v>365</v>
      </c>
      <c r="G81" s="119"/>
      <c r="H81" s="73">
        <v>7</v>
      </c>
      <c r="I81" s="73">
        <v>8</v>
      </c>
      <c r="J81" s="126">
        <v>15</v>
      </c>
      <c r="K81" s="92">
        <f t="shared" si="28"/>
        <v>0</v>
      </c>
      <c r="L81" s="92">
        <f t="shared" si="29"/>
        <v>46.666666666666664</v>
      </c>
      <c r="M81" s="92">
        <f t="shared" si="30"/>
        <v>53.333333333333336</v>
      </c>
      <c r="N81" s="121">
        <f t="shared" si="26"/>
        <v>100</v>
      </c>
      <c r="O81" s="91"/>
      <c r="P81" s="92">
        <v>26.9</v>
      </c>
      <c r="Q81" s="92">
        <v>29.7</v>
      </c>
      <c r="R81" s="93">
        <f t="shared" si="27"/>
        <v>56.599999999999994</v>
      </c>
      <c r="S81" s="97">
        <v>2</v>
      </c>
      <c r="T81" s="839"/>
      <c r="U81" s="852"/>
      <c r="V81" s="82" t="s">
        <v>81</v>
      </c>
      <c r="W81" s="73" t="s">
        <v>82</v>
      </c>
      <c r="X81" s="73" t="s">
        <v>18</v>
      </c>
      <c r="Y81" s="83">
        <v>18.399999999999999</v>
      </c>
      <c r="Z81" s="73" t="s">
        <v>85</v>
      </c>
      <c r="AA81" s="73" t="s">
        <v>86</v>
      </c>
      <c r="AB81" s="73" t="s">
        <v>18</v>
      </c>
      <c r="AC81" s="73">
        <v>8.5</v>
      </c>
      <c r="AD81" s="82" t="s">
        <v>96</v>
      </c>
      <c r="AE81" s="73" t="s">
        <v>97</v>
      </c>
      <c r="AF81" s="73" t="s">
        <v>12</v>
      </c>
      <c r="AG81" s="83">
        <v>16.5</v>
      </c>
      <c r="AH81" s="73" t="s">
        <v>95</v>
      </c>
      <c r="AI81" s="73" t="s">
        <v>98</v>
      </c>
      <c r="AJ81" s="73" t="s">
        <v>12</v>
      </c>
      <c r="AK81" s="73">
        <v>13.2</v>
      </c>
      <c r="AL81" s="82"/>
      <c r="AO81" s="83"/>
      <c r="AP81" s="82"/>
      <c r="AS81" s="83"/>
      <c r="AW81" s="83"/>
      <c r="BA81" s="84"/>
    </row>
    <row r="82" spans="1:53" s="73" customFormat="1">
      <c r="A82" s="73">
        <v>1995</v>
      </c>
      <c r="B82" s="852"/>
      <c r="C82" s="917" t="s">
        <v>212</v>
      </c>
      <c r="D82" s="917"/>
      <c r="E82" s="73">
        <v>173</v>
      </c>
      <c r="G82" s="119"/>
      <c r="H82" s="73">
        <v>7</v>
      </c>
      <c r="I82" s="73">
        <v>8</v>
      </c>
      <c r="J82" s="126">
        <v>15</v>
      </c>
      <c r="K82" s="92">
        <f t="shared" si="28"/>
        <v>0</v>
      </c>
      <c r="L82" s="92">
        <f t="shared" si="29"/>
        <v>46.666666666666664</v>
      </c>
      <c r="M82" s="92">
        <f t="shared" si="30"/>
        <v>53.333333333333336</v>
      </c>
      <c r="N82" s="121">
        <f t="shared" si="26"/>
        <v>100</v>
      </c>
      <c r="O82" s="91"/>
      <c r="P82" s="92">
        <v>26.9</v>
      </c>
      <c r="Q82" s="92">
        <v>29.7</v>
      </c>
      <c r="R82" s="93">
        <f t="shared" si="27"/>
        <v>56.599999999999994</v>
      </c>
      <c r="S82" s="97">
        <v>2</v>
      </c>
      <c r="T82" s="839"/>
      <c r="U82" s="852"/>
      <c r="V82" s="82" t="s">
        <v>81</v>
      </c>
      <c r="W82" s="73" t="s">
        <v>82</v>
      </c>
      <c r="X82" s="73" t="s">
        <v>18</v>
      </c>
      <c r="Y82" s="83">
        <v>18.399999999999999</v>
      </c>
      <c r="Z82" s="73" t="s">
        <v>85</v>
      </c>
      <c r="AA82" s="73" t="s">
        <v>86</v>
      </c>
      <c r="AB82" s="73" t="s">
        <v>18</v>
      </c>
      <c r="AC82" s="73">
        <v>8.5</v>
      </c>
      <c r="AD82" s="82" t="s">
        <v>96</v>
      </c>
      <c r="AE82" s="73" t="s">
        <v>97</v>
      </c>
      <c r="AF82" s="73" t="s">
        <v>12</v>
      </c>
      <c r="AG82" s="83">
        <v>16.5</v>
      </c>
      <c r="AH82" s="73" t="s">
        <v>95</v>
      </c>
      <c r="AI82" s="73" t="s">
        <v>98</v>
      </c>
      <c r="AJ82" s="73" t="s">
        <v>12</v>
      </c>
      <c r="AK82" s="73">
        <v>13.2</v>
      </c>
      <c r="AL82" s="82"/>
      <c r="AO82" s="83"/>
      <c r="AP82" s="82"/>
      <c r="AS82" s="83"/>
      <c r="AW82" s="83"/>
      <c r="BA82" s="84"/>
    </row>
    <row r="83" spans="1:53" s="292" customFormat="1">
      <c r="A83" s="292">
        <v>1995</v>
      </c>
      <c r="B83" s="836">
        <v>34873</v>
      </c>
      <c r="C83" s="916" t="s">
        <v>213</v>
      </c>
      <c r="D83" s="916"/>
      <c r="E83" s="292">
        <f>365-E82</f>
        <v>192</v>
      </c>
      <c r="F83" s="292">
        <v>1</v>
      </c>
      <c r="G83" s="366"/>
      <c r="H83" s="292">
        <v>7</v>
      </c>
      <c r="I83" s="292">
        <v>8</v>
      </c>
      <c r="J83" s="377">
        <v>15</v>
      </c>
      <c r="K83" s="336">
        <f t="shared" si="28"/>
        <v>0</v>
      </c>
      <c r="L83" s="336">
        <f t="shared" si="29"/>
        <v>46.666666666666664</v>
      </c>
      <c r="M83" s="336">
        <f t="shared" si="30"/>
        <v>53.333333333333336</v>
      </c>
      <c r="N83" s="368">
        <f t="shared" si="26"/>
        <v>100</v>
      </c>
      <c r="O83" s="335"/>
      <c r="P83" s="336">
        <v>27.3</v>
      </c>
      <c r="Q83" s="336">
        <v>27.3</v>
      </c>
      <c r="R83" s="337">
        <f t="shared" si="27"/>
        <v>54.6</v>
      </c>
      <c r="S83" s="340">
        <v>2</v>
      </c>
      <c r="T83" s="838">
        <v>34840</v>
      </c>
      <c r="U83" s="836">
        <v>34873</v>
      </c>
      <c r="V83" s="299" t="s">
        <v>81</v>
      </c>
      <c r="W83" s="292" t="s">
        <v>82</v>
      </c>
      <c r="X83" s="292" t="s">
        <v>18</v>
      </c>
      <c r="Y83" s="300">
        <v>19.3</v>
      </c>
      <c r="Z83" s="292" t="s">
        <v>85</v>
      </c>
      <c r="AA83" s="292" t="s">
        <v>86</v>
      </c>
      <c r="AB83" s="292" t="s">
        <v>18</v>
      </c>
      <c r="AC83" s="292">
        <v>8</v>
      </c>
      <c r="AD83" s="299" t="s">
        <v>96</v>
      </c>
      <c r="AE83" s="292" t="s">
        <v>97</v>
      </c>
      <c r="AF83" s="292" t="s">
        <v>12</v>
      </c>
      <c r="AG83" s="300">
        <v>14</v>
      </c>
      <c r="AH83" s="292" t="s">
        <v>95</v>
      </c>
      <c r="AI83" s="292" t="s">
        <v>98</v>
      </c>
      <c r="AJ83" s="292" t="s">
        <v>12</v>
      </c>
      <c r="AK83" s="292">
        <v>13.3</v>
      </c>
      <c r="AL83" s="299"/>
      <c r="AO83" s="300"/>
      <c r="AP83" s="299"/>
      <c r="AS83" s="300"/>
      <c r="AW83" s="300"/>
      <c r="BA83" s="301"/>
    </row>
    <row r="84" spans="1:53" s="292" customFormat="1">
      <c r="A84" s="292">
        <v>1996</v>
      </c>
      <c r="B84" s="836"/>
      <c r="C84" s="916" t="s">
        <v>213</v>
      </c>
      <c r="D84" s="916"/>
      <c r="E84" s="292">
        <v>0</v>
      </c>
      <c r="G84" s="366"/>
      <c r="H84" s="292">
        <v>7</v>
      </c>
      <c r="I84" s="292">
        <v>8</v>
      </c>
      <c r="J84" s="377">
        <v>15</v>
      </c>
      <c r="K84" s="336">
        <f t="shared" si="28"/>
        <v>0</v>
      </c>
      <c r="L84" s="336">
        <f t="shared" si="29"/>
        <v>46.666666666666664</v>
      </c>
      <c r="M84" s="336">
        <f t="shared" si="30"/>
        <v>53.333333333333336</v>
      </c>
      <c r="N84" s="368">
        <f t="shared" si="26"/>
        <v>100</v>
      </c>
      <c r="O84" s="335"/>
      <c r="P84" s="336">
        <v>27.3</v>
      </c>
      <c r="Q84" s="336">
        <v>27.3</v>
      </c>
      <c r="R84" s="337">
        <f t="shared" si="27"/>
        <v>54.6</v>
      </c>
      <c r="S84" s="340">
        <v>2</v>
      </c>
      <c r="T84" s="838"/>
      <c r="U84" s="836"/>
      <c r="V84" s="299" t="s">
        <v>81</v>
      </c>
      <c r="W84" s="292" t="s">
        <v>82</v>
      </c>
      <c r="X84" s="292" t="s">
        <v>18</v>
      </c>
      <c r="Y84" s="300">
        <v>19.3</v>
      </c>
      <c r="Z84" s="292" t="s">
        <v>85</v>
      </c>
      <c r="AA84" s="292" t="s">
        <v>86</v>
      </c>
      <c r="AB84" s="292" t="s">
        <v>18</v>
      </c>
      <c r="AC84" s="292">
        <v>8</v>
      </c>
      <c r="AD84" s="299" t="s">
        <v>96</v>
      </c>
      <c r="AE84" s="292" t="s">
        <v>97</v>
      </c>
      <c r="AF84" s="292" t="s">
        <v>12</v>
      </c>
      <c r="AG84" s="300">
        <v>14</v>
      </c>
      <c r="AH84" s="292" t="s">
        <v>95</v>
      </c>
      <c r="AI84" s="292" t="s">
        <v>98</v>
      </c>
      <c r="AJ84" s="292" t="s">
        <v>12</v>
      </c>
      <c r="AK84" s="292">
        <v>13.3</v>
      </c>
      <c r="AL84" s="299"/>
      <c r="AO84" s="300"/>
      <c r="AP84" s="299"/>
      <c r="AS84" s="300"/>
      <c r="AW84" s="300"/>
      <c r="BA84" s="301"/>
    </row>
    <row r="85" spans="1:53" s="292" customFormat="1">
      <c r="A85" s="292">
        <v>1996</v>
      </c>
      <c r="B85" s="836"/>
      <c r="C85" s="916" t="s">
        <v>213</v>
      </c>
      <c r="D85" s="916"/>
      <c r="E85" s="292">
        <v>366</v>
      </c>
      <c r="G85" s="366"/>
      <c r="H85" s="292">
        <v>7</v>
      </c>
      <c r="I85" s="292">
        <v>8</v>
      </c>
      <c r="J85" s="377">
        <v>15</v>
      </c>
      <c r="K85" s="336">
        <f t="shared" si="28"/>
        <v>0</v>
      </c>
      <c r="L85" s="336">
        <f t="shared" si="29"/>
        <v>46.666666666666664</v>
      </c>
      <c r="M85" s="336">
        <f t="shared" si="30"/>
        <v>53.333333333333336</v>
      </c>
      <c r="N85" s="368">
        <f t="shared" si="26"/>
        <v>100</v>
      </c>
      <c r="O85" s="335"/>
      <c r="P85" s="336">
        <v>27.3</v>
      </c>
      <c r="Q85" s="336">
        <v>27.3</v>
      </c>
      <c r="R85" s="337">
        <f t="shared" si="27"/>
        <v>54.6</v>
      </c>
      <c r="S85" s="340">
        <v>2</v>
      </c>
      <c r="T85" s="838"/>
      <c r="U85" s="836"/>
      <c r="V85" s="299" t="s">
        <v>81</v>
      </c>
      <c r="W85" s="292" t="s">
        <v>82</v>
      </c>
      <c r="X85" s="292" t="s">
        <v>18</v>
      </c>
      <c r="Y85" s="300">
        <v>19.3</v>
      </c>
      <c r="Z85" s="292" t="s">
        <v>85</v>
      </c>
      <c r="AA85" s="292" t="s">
        <v>86</v>
      </c>
      <c r="AB85" s="292" t="s">
        <v>18</v>
      </c>
      <c r="AC85" s="292">
        <v>8</v>
      </c>
      <c r="AD85" s="299" t="s">
        <v>96</v>
      </c>
      <c r="AE85" s="292" t="s">
        <v>97</v>
      </c>
      <c r="AF85" s="292" t="s">
        <v>12</v>
      </c>
      <c r="AG85" s="300">
        <v>14</v>
      </c>
      <c r="AH85" s="292" t="s">
        <v>95</v>
      </c>
      <c r="AI85" s="292" t="s">
        <v>98</v>
      </c>
      <c r="AJ85" s="292" t="s">
        <v>12</v>
      </c>
      <c r="AK85" s="292">
        <v>13.3</v>
      </c>
      <c r="AL85" s="299"/>
      <c r="AO85" s="300"/>
      <c r="AP85" s="299"/>
      <c r="AS85" s="300"/>
      <c r="AW85" s="300"/>
      <c r="BA85" s="301"/>
    </row>
    <row r="86" spans="1:53" s="292" customFormat="1">
      <c r="A86" s="292">
        <v>1997</v>
      </c>
      <c r="B86" s="836"/>
      <c r="C86" s="916" t="s">
        <v>213</v>
      </c>
      <c r="D86" s="916"/>
      <c r="E86" s="292">
        <v>0</v>
      </c>
      <c r="G86" s="366"/>
      <c r="H86" s="292">
        <v>7</v>
      </c>
      <c r="I86" s="292">
        <v>8</v>
      </c>
      <c r="J86" s="377">
        <v>15</v>
      </c>
      <c r="K86" s="336">
        <f t="shared" si="28"/>
        <v>0</v>
      </c>
      <c r="L86" s="336">
        <f t="shared" si="29"/>
        <v>46.666666666666664</v>
      </c>
      <c r="M86" s="336">
        <f t="shared" si="30"/>
        <v>53.333333333333336</v>
      </c>
      <c r="N86" s="368">
        <f t="shared" si="26"/>
        <v>100</v>
      </c>
      <c r="O86" s="335"/>
      <c r="P86" s="336">
        <v>27.3</v>
      </c>
      <c r="Q86" s="336">
        <v>27.3</v>
      </c>
      <c r="R86" s="337">
        <f t="shared" si="27"/>
        <v>54.6</v>
      </c>
      <c r="S86" s="340">
        <v>2</v>
      </c>
      <c r="T86" s="838"/>
      <c r="U86" s="836"/>
      <c r="V86" s="299" t="s">
        <v>81</v>
      </c>
      <c r="W86" s="292" t="s">
        <v>82</v>
      </c>
      <c r="X86" s="292" t="s">
        <v>18</v>
      </c>
      <c r="Y86" s="300">
        <v>19.3</v>
      </c>
      <c r="Z86" s="292" t="s">
        <v>85</v>
      </c>
      <c r="AA86" s="292" t="s">
        <v>86</v>
      </c>
      <c r="AB86" s="292" t="s">
        <v>18</v>
      </c>
      <c r="AC86" s="292">
        <v>8</v>
      </c>
      <c r="AD86" s="299" t="s">
        <v>96</v>
      </c>
      <c r="AE86" s="292" t="s">
        <v>97</v>
      </c>
      <c r="AF86" s="292" t="s">
        <v>12</v>
      </c>
      <c r="AG86" s="300">
        <v>14</v>
      </c>
      <c r="AH86" s="292" t="s">
        <v>95</v>
      </c>
      <c r="AI86" s="292" t="s">
        <v>98</v>
      </c>
      <c r="AJ86" s="292" t="s">
        <v>12</v>
      </c>
      <c r="AK86" s="292">
        <v>13.3</v>
      </c>
      <c r="AL86" s="299"/>
      <c r="AO86" s="300"/>
      <c r="AP86" s="299"/>
      <c r="AS86" s="300"/>
      <c r="AW86" s="300"/>
      <c r="BA86" s="301"/>
    </row>
    <row r="87" spans="1:53" s="292" customFormat="1">
      <c r="A87" s="292">
        <v>1997</v>
      </c>
      <c r="B87" s="836"/>
      <c r="C87" s="916" t="s">
        <v>213</v>
      </c>
      <c r="D87" s="916"/>
      <c r="E87" s="292">
        <f>365-E86</f>
        <v>365</v>
      </c>
      <c r="G87" s="366"/>
      <c r="H87" s="292">
        <v>7</v>
      </c>
      <c r="I87" s="292">
        <v>8</v>
      </c>
      <c r="J87" s="377">
        <v>15</v>
      </c>
      <c r="K87" s="336">
        <f t="shared" si="28"/>
        <v>0</v>
      </c>
      <c r="L87" s="336">
        <f t="shared" si="29"/>
        <v>46.666666666666664</v>
      </c>
      <c r="M87" s="336">
        <f t="shared" si="30"/>
        <v>53.333333333333336</v>
      </c>
      <c r="N87" s="368">
        <f t="shared" si="26"/>
        <v>100</v>
      </c>
      <c r="O87" s="335"/>
      <c r="P87" s="336">
        <v>27.3</v>
      </c>
      <c r="Q87" s="336">
        <v>27.3</v>
      </c>
      <c r="R87" s="337">
        <f t="shared" si="27"/>
        <v>54.6</v>
      </c>
      <c r="S87" s="340">
        <v>2</v>
      </c>
      <c r="T87" s="838"/>
      <c r="U87" s="836"/>
      <c r="V87" s="299" t="s">
        <v>81</v>
      </c>
      <c r="W87" s="292" t="s">
        <v>82</v>
      </c>
      <c r="X87" s="292" t="s">
        <v>18</v>
      </c>
      <c r="Y87" s="300">
        <v>19.3</v>
      </c>
      <c r="Z87" s="292" t="s">
        <v>85</v>
      </c>
      <c r="AA87" s="292" t="s">
        <v>86</v>
      </c>
      <c r="AB87" s="292" t="s">
        <v>18</v>
      </c>
      <c r="AC87" s="292">
        <v>8</v>
      </c>
      <c r="AD87" s="299" t="s">
        <v>96</v>
      </c>
      <c r="AE87" s="292" t="s">
        <v>97</v>
      </c>
      <c r="AF87" s="292" t="s">
        <v>12</v>
      </c>
      <c r="AG87" s="300">
        <v>14</v>
      </c>
      <c r="AH87" s="292" t="s">
        <v>95</v>
      </c>
      <c r="AI87" s="292" t="s">
        <v>98</v>
      </c>
      <c r="AJ87" s="292" t="s">
        <v>12</v>
      </c>
      <c r="AK87" s="292">
        <v>13.3</v>
      </c>
      <c r="AL87" s="299"/>
      <c r="AO87" s="300"/>
      <c r="AP87" s="299"/>
      <c r="AS87" s="300"/>
      <c r="AW87" s="300"/>
      <c r="BA87" s="301"/>
    </row>
    <row r="88" spans="1:53" s="292" customFormat="1">
      <c r="A88" s="292">
        <v>1998</v>
      </c>
      <c r="B88" s="836"/>
      <c r="C88" s="916" t="s">
        <v>213</v>
      </c>
      <c r="D88" s="916"/>
      <c r="E88" s="292">
        <v>0</v>
      </c>
      <c r="G88" s="366"/>
      <c r="H88" s="292">
        <v>7</v>
      </c>
      <c r="I88" s="292">
        <v>8</v>
      </c>
      <c r="J88" s="377">
        <v>15</v>
      </c>
      <c r="K88" s="336">
        <f t="shared" si="28"/>
        <v>0</v>
      </c>
      <c r="L88" s="336">
        <f t="shared" si="29"/>
        <v>46.666666666666664</v>
      </c>
      <c r="M88" s="336">
        <f t="shared" si="30"/>
        <v>53.333333333333336</v>
      </c>
      <c r="N88" s="368">
        <f t="shared" si="26"/>
        <v>100</v>
      </c>
      <c r="O88" s="335"/>
      <c r="P88" s="336">
        <v>27.3</v>
      </c>
      <c r="Q88" s="336">
        <v>27.3</v>
      </c>
      <c r="R88" s="337">
        <f t="shared" si="27"/>
        <v>54.6</v>
      </c>
      <c r="S88" s="340">
        <v>2</v>
      </c>
      <c r="T88" s="838"/>
      <c r="U88" s="836"/>
      <c r="V88" s="299" t="s">
        <v>81</v>
      </c>
      <c r="W88" s="292" t="s">
        <v>82</v>
      </c>
      <c r="X88" s="292" t="s">
        <v>18</v>
      </c>
      <c r="Y88" s="300">
        <v>19.3</v>
      </c>
      <c r="Z88" s="292" t="s">
        <v>85</v>
      </c>
      <c r="AA88" s="292" t="s">
        <v>86</v>
      </c>
      <c r="AB88" s="292" t="s">
        <v>18</v>
      </c>
      <c r="AC88" s="292">
        <v>8</v>
      </c>
      <c r="AD88" s="299" t="s">
        <v>96</v>
      </c>
      <c r="AE88" s="292" t="s">
        <v>97</v>
      </c>
      <c r="AF88" s="292" t="s">
        <v>12</v>
      </c>
      <c r="AG88" s="300">
        <v>14</v>
      </c>
      <c r="AH88" s="292" t="s">
        <v>95</v>
      </c>
      <c r="AI88" s="292" t="s">
        <v>98</v>
      </c>
      <c r="AJ88" s="292" t="s">
        <v>12</v>
      </c>
      <c r="AK88" s="292">
        <v>13.3</v>
      </c>
      <c r="AL88" s="299"/>
      <c r="AO88" s="300"/>
      <c r="AP88" s="299"/>
      <c r="AS88" s="300"/>
      <c r="AW88" s="300"/>
      <c r="BA88" s="301"/>
    </row>
    <row r="89" spans="1:53" s="292" customFormat="1">
      <c r="A89" s="292">
        <v>1998</v>
      </c>
      <c r="B89" s="836"/>
      <c r="C89" s="916" t="s">
        <v>213</v>
      </c>
      <c r="D89" s="916"/>
      <c r="E89" s="292">
        <f>365-E88</f>
        <v>365</v>
      </c>
      <c r="G89" s="366"/>
      <c r="H89" s="292">
        <v>7</v>
      </c>
      <c r="I89" s="292">
        <v>8</v>
      </c>
      <c r="J89" s="377">
        <v>15</v>
      </c>
      <c r="K89" s="336">
        <f t="shared" si="28"/>
        <v>0</v>
      </c>
      <c r="L89" s="336">
        <f t="shared" si="29"/>
        <v>46.666666666666664</v>
      </c>
      <c r="M89" s="336">
        <f t="shared" si="30"/>
        <v>53.333333333333336</v>
      </c>
      <c r="N89" s="368">
        <f t="shared" si="26"/>
        <v>100</v>
      </c>
      <c r="O89" s="335"/>
      <c r="P89" s="336">
        <v>27.3</v>
      </c>
      <c r="Q89" s="336">
        <v>27.3</v>
      </c>
      <c r="R89" s="337">
        <f t="shared" si="27"/>
        <v>54.6</v>
      </c>
      <c r="S89" s="340">
        <v>2</v>
      </c>
      <c r="T89" s="838"/>
      <c r="U89" s="836"/>
      <c r="V89" s="299" t="s">
        <v>81</v>
      </c>
      <c r="W89" s="292" t="s">
        <v>82</v>
      </c>
      <c r="X89" s="292" t="s">
        <v>18</v>
      </c>
      <c r="Y89" s="300">
        <v>19.3</v>
      </c>
      <c r="Z89" s="292" t="s">
        <v>85</v>
      </c>
      <c r="AA89" s="292" t="s">
        <v>86</v>
      </c>
      <c r="AB89" s="292" t="s">
        <v>18</v>
      </c>
      <c r="AC89" s="292">
        <v>8</v>
      </c>
      <c r="AD89" s="299" t="s">
        <v>96</v>
      </c>
      <c r="AE89" s="292" t="s">
        <v>97</v>
      </c>
      <c r="AF89" s="292" t="s">
        <v>12</v>
      </c>
      <c r="AG89" s="300">
        <v>14</v>
      </c>
      <c r="AH89" s="292" t="s">
        <v>95</v>
      </c>
      <c r="AI89" s="292" t="s">
        <v>98</v>
      </c>
      <c r="AJ89" s="292" t="s">
        <v>12</v>
      </c>
      <c r="AK89" s="292">
        <v>13.3</v>
      </c>
      <c r="AL89" s="299"/>
      <c r="AO89" s="300"/>
      <c r="AP89" s="299"/>
      <c r="AS89" s="300"/>
      <c r="AW89" s="300"/>
      <c r="BA89" s="301"/>
    </row>
    <row r="90" spans="1:53" s="292" customFormat="1">
      <c r="A90" s="292">
        <v>1999</v>
      </c>
      <c r="B90" s="836"/>
      <c r="C90" s="916" t="s">
        <v>213</v>
      </c>
      <c r="D90" s="916"/>
      <c r="E90" s="292">
        <v>193</v>
      </c>
      <c r="G90" s="366"/>
      <c r="H90" s="292">
        <v>7</v>
      </c>
      <c r="I90" s="292">
        <v>8</v>
      </c>
      <c r="J90" s="377">
        <v>15</v>
      </c>
      <c r="K90" s="336">
        <f t="shared" si="28"/>
        <v>0</v>
      </c>
      <c r="L90" s="336">
        <f t="shared" si="29"/>
        <v>46.666666666666664</v>
      </c>
      <c r="M90" s="336">
        <f t="shared" si="30"/>
        <v>53.333333333333336</v>
      </c>
      <c r="N90" s="368">
        <f t="shared" si="26"/>
        <v>100</v>
      </c>
      <c r="O90" s="335"/>
      <c r="P90" s="336">
        <v>27.3</v>
      </c>
      <c r="Q90" s="336">
        <v>27.3</v>
      </c>
      <c r="R90" s="337">
        <f t="shared" si="27"/>
        <v>54.6</v>
      </c>
      <c r="S90" s="340">
        <v>2</v>
      </c>
      <c r="T90" s="838"/>
      <c r="U90" s="836"/>
      <c r="V90" s="299" t="s">
        <v>81</v>
      </c>
      <c r="W90" s="292" t="s">
        <v>82</v>
      </c>
      <c r="X90" s="292" t="s">
        <v>18</v>
      </c>
      <c r="Y90" s="300">
        <v>19.3</v>
      </c>
      <c r="Z90" s="292" t="s">
        <v>85</v>
      </c>
      <c r="AA90" s="292" t="s">
        <v>86</v>
      </c>
      <c r="AB90" s="292" t="s">
        <v>18</v>
      </c>
      <c r="AC90" s="292">
        <v>8</v>
      </c>
      <c r="AD90" s="299" t="s">
        <v>96</v>
      </c>
      <c r="AE90" s="292" t="s">
        <v>97</v>
      </c>
      <c r="AF90" s="292" t="s">
        <v>12</v>
      </c>
      <c r="AG90" s="300">
        <v>14</v>
      </c>
      <c r="AH90" s="292" t="s">
        <v>95</v>
      </c>
      <c r="AI90" s="292" t="s">
        <v>98</v>
      </c>
      <c r="AJ90" s="292" t="s">
        <v>12</v>
      </c>
      <c r="AK90" s="292">
        <v>13.3</v>
      </c>
      <c r="AL90" s="299"/>
      <c r="AO90" s="300"/>
      <c r="AP90" s="299"/>
      <c r="AS90" s="300"/>
      <c r="AW90" s="300"/>
      <c r="BA90" s="301"/>
    </row>
    <row r="91" spans="1:53" s="73" customFormat="1">
      <c r="A91" s="73">
        <v>1999</v>
      </c>
      <c r="B91" s="852">
        <v>36354</v>
      </c>
      <c r="C91" s="917" t="s">
        <v>214</v>
      </c>
      <c r="D91" s="917"/>
      <c r="E91" s="73">
        <f>365-E90</f>
        <v>172</v>
      </c>
      <c r="F91" s="73">
        <v>1</v>
      </c>
      <c r="G91" s="119">
        <v>7</v>
      </c>
      <c r="I91" s="73">
        <v>8</v>
      </c>
      <c r="J91" s="126">
        <v>15</v>
      </c>
      <c r="K91" s="92">
        <f t="shared" si="28"/>
        <v>46.666666666666664</v>
      </c>
      <c r="L91" s="92">
        <f t="shared" si="29"/>
        <v>0</v>
      </c>
      <c r="M91" s="92">
        <f t="shared" si="30"/>
        <v>53.333333333333336</v>
      </c>
      <c r="N91" s="121">
        <f t="shared" si="26"/>
        <v>100</v>
      </c>
      <c r="O91" s="91">
        <v>27.3</v>
      </c>
      <c r="P91" s="92"/>
      <c r="Q91" s="92">
        <v>35.299999999999997</v>
      </c>
      <c r="R91" s="93">
        <f t="shared" si="27"/>
        <v>62.599999999999994</v>
      </c>
      <c r="S91" s="97">
        <v>3</v>
      </c>
      <c r="T91" s="839">
        <v>36324</v>
      </c>
      <c r="U91" s="852">
        <v>36354</v>
      </c>
      <c r="V91" s="82" t="s">
        <v>215</v>
      </c>
      <c r="W91" s="73" t="s">
        <v>88</v>
      </c>
      <c r="X91" s="73" t="s">
        <v>11</v>
      </c>
      <c r="Y91" s="83">
        <v>15.3</v>
      </c>
      <c r="Z91" s="73" t="s">
        <v>96</v>
      </c>
      <c r="AA91" s="73" t="s">
        <v>97</v>
      </c>
      <c r="AB91" s="73" t="s">
        <v>12</v>
      </c>
      <c r="AC91" s="73">
        <v>12.7</v>
      </c>
      <c r="AD91" s="82" t="s">
        <v>99</v>
      </c>
      <c r="AE91" s="73" t="s">
        <v>100</v>
      </c>
      <c r="AF91" s="73" t="s">
        <v>11</v>
      </c>
      <c r="AG91" s="83">
        <v>12</v>
      </c>
      <c r="AH91" s="73" t="s">
        <v>95</v>
      </c>
      <c r="AI91" s="73" t="s">
        <v>98</v>
      </c>
      <c r="AJ91" s="73" t="s">
        <v>12</v>
      </c>
      <c r="AK91" s="73">
        <v>9.3000000000000007</v>
      </c>
      <c r="AL91" s="82" t="s">
        <v>216</v>
      </c>
      <c r="AM91" s="73" t="s">
        <v>218</v>
      </c>
      <c r="AN91" s="73" t="s">
        <v>12</v>
      </c>
      <c r="AO91" s="83">
        <v>7.3</v>
      </c>
      <c r="AP91" s="82" t="s">
        <v>217</v>
      </c>
      <c r="AQ91" s="73" t="s">
        <v>219</v>
      </c>
      <c r="AR91" s="73" t="s">
        <v>12</v>
      </c>
      <c r="AS91" s="83">
        <v>6</v>
      </c>
      <c r="AW91" s="83"/>
      <c r="BA91" s="84"/>
    </row>
    <row r="92" spans="1:53" s="73" customFormat="1">
      <c r="A92" s="73">
        <v>2000</v>
      </c>
      <c r="B92" s="852"/>
      <c r="C92" s="917" t="s">
        <v>214</v>
      </c>
      <c r="D92" s="917"/>
      <c r="E92" s="73">
        <v>0</v>
      </c>
      <c r="G92" s="119">
        <v>7</v>
      </c>
      <c r="I92" s="73">
        <v>8</v>
      </c>
      <c r="J92" s="126">
        <v>15</v>
      </c>
      <c r="K92" s="92">
        <f t="shared" si="28"/>
        <v>46.666666666666664</v>
      </c>
      <c r="L92" s="92">
        <f t="shared" si="29"/>
        <v>0</v>
      </c>
      <c r="M92" s="92">
        <f t="shared" si="30"/>
        <v>53.333333333333336</v>
      </c>
      <c r="N92" s="121">
        <f t="shared" si="26"/>
        <v>100</v>
      </c>
      <c r="O92" s="91">
        <v>27.3</v>
      </c>
      <c r="P92" s="92"/>
      <c r="Q92" s="92">
        <v>35.299999999999997</v>
      </c>
      <c r="R92" s="93">
        <f t="shared" si="27"/>
        <v>62.599999999999994</v>
      </c>
      <c r="S92" s="97">
        <v>3</v>
      </c>
      <c r="T92" s="839"/>
      <c r="U92" s="852"/>
      <c r="V92" s="82" t="s">
        <v>215</v>
      </c>
      <c r="W92" s="73" t="s">
        <v>88</v>
      </c>
      <c r="X92" s="73" t="s">
        <v>11</v>
      </c>
      <c r="Y92" s="83">
        <v>15.3</v>
      </c>
      <c r="Z92" s="73" t="s">
        <v>96</v>
      </c>
      <c r="AA92" s="73" t="s">
        <v>97</v>
      </c>
      <c r="AB92" s="73" t="s">
        <v>12</v>
      </c>
      <c r="AC92" s="73">
        <v>12.7</v>
      </c>
      <c r="AD92" s="82" t="s">
        <v>99</v>
      </c>
      <c r="AE92" s="73" t="s">
        <v>100</v>
      </c>
      <c r="AF92" s="73" t="s">
        <v>11</v>
      </c>
      <c r="AG92" s="83">
        <v>12</v>
      </c>
      <c r="AH92" s="73" t="s">
        <v>95</v>
      </c>
      <c r="AI92" s="73" t="s">
        <v>98</v>
      </c>
      <c r="AJ92" s="73" t="s">
        <v>12</v>
      </c>
      <c r="AK92" s="73">
        <v>9.3000000000000007</v>
      </c>
      <c r="AL92" s="82" t="s">
        <v>216</v>
      </c>
      <c r="AM92" s="73" t="s">
        <v>218</v>
      </c>
      <c r="AN92" s="73" t="s">
        <v>12</v>
      </c>
      <c r="AO92" s="83">
        <v>7.3</v>
      </c>
      <c r="AP92" s="82" t="s">
        <v>217</v>
      </c>
      <c r="AQ92" s="73" t="s">
        <v>219</v>
      </c>
      <c r="AR92" s="73" t="s">
        <v>12</v>
      </c>
      <c r="AS92" s="83">
        <v>6</v>
      </c>
      <c r="AW92" s="83"/>
      <c r="BA92" s="84"/>
    </row>
    <row r="93" spans="1:53" s="73" customFormat="1">
      <c r="A93" s="73">
        <v>2000</v>
      </c>
      <c r="B93" s="852"/>
      <c r="C93" s="917" t="s">
        <v>214</v>
      </c>
      <c r="D93" s="917"/>
      <c r="E93" s="73">
        <v>366</v>
      </c>
      <c r="G93" s="119">
        <v>7</v>
      </c>
      <c r="I93" s="73">
        <v>8</v>
      </c>
      <c r="J93" s="126">
        <v>15</v>
      </c>
      <c r="K93" s="92">
        <f t="shared" si="28"/>
        <v>46.666666666666664</v>
      </c>
      <c r="L93" s="92">
        <f t="shared" si="29"/>
        <v>0</v>
      </c>
      <c r="M93" s="92">
        <f t="shared" si="30"/>
        <v>53.333333333333336</v>
      </c>
      <c r="N93" s="121">
        <f t="shared" si="26"/>
        <v>100</v>
      </c>
      <c r="O93" s="91">
        <v>27.3</v>
      </c>
      <c r="P93" s="92"/>
      <c r="Q93" s="92">
        <v>35.299999999999997</v>
      </c>
      <c r="R93" s="93">
        <f t="shared" si="27"/>
        <v>62.599999999999994</v>
      </c>
      <c r="S93" s="97">
        <v>3</v>
      </c>
      <c r="T93" s="839"/>
      <c r="U93" s="852"/>
      <c r="V93" s="82" t="s">
        <v>215</v>
      </c>
      <c r="W93" s="73" t="s">
        <v>88</v>
      </c>
      <c r="X93" s="73" t="s">
        <v>11</v>
      </c>
      <c r="Y93" s="83">
        <v>15.3</v>
      </c>
      <c r="Z93" s="73" t="s">
        <v>96</v>
      </c>
      <c r="AA93" s="73" t="s">
        <v>97</v>
      </c>
      <c r="AB93" s="73" t="s">
        <v>12</v>
      </c>
      <c r="AC93" s="73">
        <v>12.7</v>
      </c>
      <c r="AD93" s="82" t="s">
        <v>99</v>
      </c>
      <c r="AE93" s="73" t="s">
        <v>100</v>
      </c>
      <c r="AF93" s="73" t="s">
        <v>11</v>
      </c>
      <c r="AG93" s="83">
        <v>12</v>
      </c>
      <c r="AH93" s="73" t="s">
        <v>95</v>
      </c>
      <c r="AI93" s="73" t="s">
        <v>98</v>
      </c>
      <c r="AJ93" s="73" t="s">
        <v>12</v>
      </c>
      <c r="AK93" s="73">
        <v>9.3000000000000007</v>
      </c>
      <c r="AL93" s="82" t="s">
        <v>216</v>
      </c>
      <c r="AM93" s="73" t="s">
        <v>218</v>
      </c>
      <c r="AN93" s="73" t="s">
        <v>12</v>
      </c>
      <c r="AO93" s="83">
        <v>7.3</v>
      </c>
      <c r="AP93" s="82" t="s">
        <v>217</v>
      </c>
      <c r="AQ93" s="73" t="s">
        <v>219</v>
      </c>
      <c r="AR93" s="73" t="s">
        <v>12</v>
      </c>
      <c r="AS93" s="83">
        <v>6</v>
      </c>
      <c r="AW93" s="83"/>
      <c r="BA93" s="84"/>
    </row>
    <row r="94" spans="1:53" s="73" customFormat="1">
      <c r="A94" s="73">
        <v>2001</v>
      </c>
      <c r="B94" s="852"/>
      <c r="C94" s="917" t="s">
        <v>214</v>
      </c>
      <c r="D94" s="917"/>
      <c r="E94" s="73">
        <v>0</v>
      </c>
      <c r="G94" s="119">
        <v>7</v>
      </c>
      <c r="I94" s="73">
        <v>8</v>
      </c>
      <c r="J94" s="126">
        <v>15</v>
      </c>
      <c r="K94" s="92">
        <f t="shared" si="28"/>
        <v>46.666666666666664</v>
      </c>
      <c r="L94" s="92">
        <f t="shared" si="29"/>
        <v>0</v>
      </c>
      <c r="M94" s="92">
        <f t="shared" si="30"/>
        <v>53.333333333333336</v>
      </c>
      <c r="N94" s="121">
        <f t="shared" si="26"/>
        <v>100</v>
      </c>
      <c r="O94" s="91">
        <v>27.3</v>
      </c>
      <c r="P94" s="92"/>
      <c r="Q94" s="92">
        <v>35.299999999999997</v>
      </c>
      <c r="R94" s="93">
        <f t="shared" si="27"/>
        <v>62.599999999999994</v>
      </c>
      <c r="S94" s="97">
        <v>3</v>
      </c>
      <c r="T94" s="839"/>
      <c r="U94" s="852"/>
      <c r="V94" s="82" t="s">
        <v>215</v>
      </c>
      <c r="W94" s="73" t="s">
        <v>88</v>
      </c>
      <c r="X94" s="73" t="s">
        <v>11</v>
      </c>
      <c r="Y94" s="83">
        <v>15.3</v>
      </c>
      <c r="Z94" s="73" t="s">
        <v>96</v>
      </c>
      <c r="AA94" s="73" t="s">
        <v>97</v>
      </c>
      <c r="AB94" s="73" t="s">
        <v>12</v>
      </c>
      <c r="AC94" s="73">
        <v>12.7</v>
      </c>
      <c r="AD94" s="82" t="s">
        <v>99</v>
      </c>
      <c r="AE94" s="73" t="s">
        <v>100</v>
      </c>
      <c r="AF94" s="73" t="s">
        <v>11</v>
      </c>
      <c r="AG94" s="83">
        <v>12</v>
      </c>
      <c r="AH94" s="73" t="s">
        <v>95</v>
      </c>
      <c r="AI94" s="73" t="s">
        <v>98</v>
      </c>
      <c r="AJ94" s="73" t="s">
        <v>12</v>
      </c>
      <c r="AK94" s="73">
        <v>9.3000000000000007</v>
      </c>
      <c r="AL94" s="82" t="s">
        <v>216</v>
      </c>
      <c r="AM94" s="73" t="s">
        <v>218</v>
      </c>
      <c r="AN94" s="73" t="s">
        <v>12</v>
      </c>
      <c r="AO94" s="83">
        <v>7.3</v>
      </c>
      <c r="AP94" s="82" t="s">
        <v>217</v>
      </c>
      <c r="AQ94" s="73" t="s">
        <v>219</v>
      </c>
      <c r="AR94" s="73" t="s">
        <v>12</v>
      </c>
      <c r="AS94" s="83">
        <v>6</v>
      </c>
      <c r="AW94" s="83"/>
      <c r="BA94" s="84"/>
    </row>
    <row r="95" spans="1:53" s="73" customFormat="1">
      <c r="A95" s="73">
        <v>2001</v>
      </c>
      <c r="B95" s="852"/>
      <c r="C95" s="917" t="s">
        <v>214</v>
      </c>
      <c r="D95" s="917"/>
      <c r="E95" s="73">
        <f>365-E94</f>
        <v>365</v>
      </c>
      <c r="G95" s="119">
        <v>7</v>
      </c>
      <c r="I95" s="73">
        <v>8</v>
      </c>
      <c r="J95" s="126">
        <v>15</v>
      </c>
      <c r="K95" s="92">
        <f t="shared" si="28"/>
        <v>46.666666666666664</v>
      </c>
      <c r="L95" s="92">
        <f t="shared" si="29"/>
        <v>0</v>
      </c>
      <c r="M95" s="92">
        <f t="shared" si="30"/>
        <v>53.333333333333336</v>
      </c>
      <c r="N95" s="121">
        <f t="shared" si="26"/>
        <v>100</v>
      </c>
      <c r="O95" s="91">
        <v>27.3</v>
      </c>
      <c r="P95" s="92"/>
      <c r="Q95" s="92">
        <v>35.299999999999997</v>
      </c>
      <c r="R95" s="93">
        <f t="shared" si="27"/>
        <v>62.599999999999994</v>
      </c>
      <c r="S95" s="97">
        <v>3</v>
      </c>
      <c r="T95" s="839"/>
      <c r="U95" s="852"/>
      <c r="V95" s="82" t="s">
        <v>215</v>
      </c>
      <c r="W95" s="73" t="s">
        <v>88</v>
      </c>
      <c r="X95" s="73" t="s">
        <v>11</v>
      </c>
      <c r="Y95" s="83">
        <v>15.3</v>
      </c>
      <c r="Z95" s="73" t="s">
        <v>96</v>
      </c>
      <c r="AA95" s="73" t="s">
        <v>97</v>
      </c>
      <c r="AB95" s="73" t="s">
        <v>12</v>
      </c>
      <c r="AC95" s="73">
        <v>12.7</v>
      </c>
      <c r="AD95" s="82" t="s">
        <v>99</v>
      </c>
      <c r="AE95" s="73" t="s">
        <v>100</v>
      </c>
      <c r="AF95" s="73" t="s">
        <v>11</v>
      </c>
      <c r="AG95" s="83">
        <v>12</v>
      </c>
      <c r="AH95" s="73" t="s">
        <v>95</v>
      </c>
      <c r="AI95" s="73" t="s">
        <v>98</v>
      </c>
      <c r="AJ95" s="73" t="s">
        <v>12</v>
      </c>
      <c r="AK95" s="73">
        <v>9.3000000000000007</v>
      </c>
      <c r="AL95" s="82" t="s">
        <v>216</v>
      </c>
      <c r="AM95" s="73" t="s">
        <v>218</v>
      </c>
      <c r="AN95" s="73" t="s">
        <v>12</v>
      </c>
      <c r="AO95" s="83">
        <v>7.3</v>
      </c>
      <c r="AP95" s="82" t="s">
        <v>217</v>
      </c>
      <c r="AQ95" s="73" t="s">
        <v>219</v>
      </c>
      <c r="AR95" s="73" t="s">
        <v>12</v>
      </c>
      <c r="AS95" s="83">
        <v>6</v>
      </c>
      <c r="AW95" s="83"/>
      <c r="BA95" s="84"/>
    </row>
    <row r="96" spans="1:53" s="73" customFormat="1">
      <c r="A96" s="73">
        <v>2002</v>
      </c>
      <c r="B96" s="852"/>
      <c r="C96" s="917" t="s">
        <v>214</v>
      </c>
      <c r="D96" s="917"/>
      <c r="E96" s="73">
        <v>0</v>
      </c>
      <c r="G96" s="119">
        <v>7</v>
      </c>
      <c r="I96" s="73">
        <v>8</v>
      </c>
      <c r="J96" s="126">
        <v>15</v>
      </c>
      <c r="K96" s="92">
        <f t="shared" si="28"/>
        <v>46.666666666666664</v>
      </c>
      <c r="L96" s="92">
        <f t="shared" si="29"/>
        <v>0</v>
      </c>
      <c r="M96" s="92">
        <f t="shared" si="30"/>
        <v>53.333333333333336</v>
      </c>
      <c r="N96" s="121">
        <f t="shared" si="26"/>
        <v>100</v>
      </c>
      <c r="O96" s="91">
        <v>27.3</v>
      </c>
      <c r="P96" s="92"/>
      <c r="Q96" s="92">
        <v>35.299999999999997</v>
      </c>
      <c r="R96" s="93">
        <f t="shared" si="27"/>
        <v>62.599999999999994</v>
      </c>
      <c r="S96" s="97">
        <v>3</v>
      </c>
      <c r="T96" s="839"/>
      <c r="U96" s="852"/>
      <c r="V96" s="82" t="s">
        <v>215</v>
      </c>
      <c r="W96" s="73" t="s">
        <v>88</v>
      </c>
      <c r="X96" s="73" t="s">
        <v>11</v>
      </c>
      <c r="Y96" s="83">
        <v>15.3</v>
      </c>
      <c r="Z96" s="73" t="s">
        <v>96</v>
      </c>
      <c r="AA96" s="73" t="s">
        <v>97</v>
      </c>
      <c r="AB96" s="73" t="s">
        <v>12</v>
      </c>
      <c r="AC96" s="73">
        <v>12.7</v>
      </c>
      <c r="AD96" s="82" t="s">
        <v>99</v>
      </c>
      <c r="AE96" s="73" t="s">
        <v>100</v>
      </c>
      <c r="AF96" s="73" t="s">
        <v>11</v>
      </c>
      <c r="AG96" s="83">
        <v>12</v>
      </c>
      <c r="AH96" s="73" t="s">
        <v>95</v>
      </c>
      <c r="AI96" s="73" t="s">
        <v>98</v>
      </c>
      <c r="AJ96" s="73" t="s">
        <v>12</v>
      </c>
      <c r="AK96" s="73">
        <v>9.3000000000000007</v>
      </c>
      <c r="AL96" s="82" t="s">
        <v>216</v>
      </c>
      <c r="AM96" s="73" t="s">
        <v>218</v>
      </c>
      <c r="AN96" s="73" t="s">
        <v>12</v>
      </c>
      <c r="AO96" s="83">
        <v>7.3</v>
      </c>
      <c r="AP96" s="82" t="s">
        <v>217</v>
      </c>
      <c r="AQ96" s="73" t="s">
        <v>219</v>
      </c>
      <c r="AR96" s="73" t="s">
        <v>12</v>
      </c>
      <c r="AS96" s="83">
        <v>6</v>
      </c>
      <c r="AW96" s="83"/>
      <c r="BA96" s="84"/>
    </row>
    <row r="97" spans="1:53" s="73" customFormat="1">
      <c r="A97" s="73">
        <v>2002</v>
      </c>
      <c r="B97" s="852"/>
      <c r="C97" s="917" t="s">
        <v>214</v>
      </c>
      <c r="D97" s="917"/>
      <c r="E97" s="73">
        <f>365-E96</f>
        <v>365</v>
      </c>
      <c r="G97" s="119">
        <v>7</v>
      </c>
      <c r="I97" s="73">
        <v>8</v>
      </c>
      <c r="J97" s="126">
        <v>15</v>
      </c>
      <c r="K97" s="92">
        <f t="shared" si="28"/>
        <v>46.666666666666664</v>
      </c>
      <c r="L97" s="92">
        <f t="shared" si="29"/>
        <v>0</v>
      </c>
      <c r="M97" s="92">
        <f t="shared" si="30"/>
        <v>53.333333333333336</v>
      </c>
      <c r="N97" s="121">
        <f t="shared" si="26"/>
        <v>100</v>
      </c>
      <c r="O97" s="91">
        <v>27.3</v>
      </c>
      <c r="P97" s="92"/>
      <c r="Q97" s="92">
        <v>35.299999999999997</v>
      </c>
      <c r="R97" s="93">
        <f t="shared" si="27"/>
        <v>62.599999999999994</v>
      </c>
      <c r="S97" s="97">
        <v>3</v>
      </c>
      <c r="T97" s="839"/>
      <c r="U97" s="852"/>
      <c r="V97" s="82" t="s">
        <v>215</v>
      </c>
      <c r="W97" s="73" t="s">
        <v>88</v>
      </c>
      <c r="X97" s="73" t="s">
        <v>11</v>
      </c>
      <c r="Y97" s="83">
        <v>15.3</v>
      </c>
      <c r="Z97" s="73" t="s">
        <v>96</v>
      </c>
      <c r="AA97" s="73" t="s">
        <v>97</v>
      </c>
      <c r="AB97" s="73" t="s">
        <v>12</v>
      </c>
      <c r="AC97" s="73">
        <v>12.7</v>
      </c>
      <c r="AD97" s="82" t="s">
        <v>99</v>
      </c>
      <c r="AE97" s="73" t="s">
        <v>100</v>
      </c>
      <c r="AF97" s="73" t="s">
        <v>11</v>
      </c>
      <c r="AG97" s="83">
        <v>12</v>
      </c>
      <c r="AH97" s="73" t="s">
        <v>95</v>
      </c>
      <c r="AI97" s="73" t="s">
        <v>98</v>
      </c>
      <c r="AJ97" s="73" t="s">
        <v>12</v>
      </c>
      <c r="AK97" s="73">
        <v>9.3000000000000007</v>
      </c>
      <c r="AL97" s="82" t="s">
        <v>216</v>
      </c>
      <c r="AM97" s="73" t="s">
        <v>218</v>
      </c>
      <c r="AN97" s="73" t="s">
        <v>12</v>
      </c>
      <c r="AO97" s="83">
        <v>7.3</v>
      </c>
      <c r="AP97" s="82" t="s">
        <v>217</v>
      </c>
      <c r="AQ97" s="73" t="s">
        <v>219</v>
      </c>
      <c r="AR97" s="73" t="s">
        <v>12</v>
      </c>
      <c r="AS97" s="83">
        <v>6</v>
      </c>
      <c r="AW97" s="83"/>
      <c r="BA97" s="84"/>
    </row>
    <row r="98" spans="1:53" s="73" customFormat="1">
      <c r="A98" s="73">
        <v>2003</v>
      </c>
      <c r="B98" s="852"/>
      <c r="C98" s="917" t="s">
        <v>214</v>
      </c>
      <c r="D98" s="917"/>
      <c r="E98" s="73">
        <v>192</v>
      </c>
      <c r="G98" s="119">
        <v>7</v>
      </c>
      <c r="I98" s="73">
        <v>8</v>
      </c>
      <c r="J98" s="126">
        <v>15</v>
      </c>
      <c r="K98" s="92">
        <f t="shared" si="28"/>
        <v>46.666666666666664</v>
      </c>
      <c r="L98" s="92">
        <f t="shared" si="29"/>
        <v>0</v>
      </c>
      <c r="M98" s="92">
        <f t="shared" si="30"/>
        <v>53.333333333333336</v>
      </c>
      <c r="N98" s="121">
        <f t="shared" si="26"/>
        <v>100</v>
      </c>
      <c r="O98" s="91">
        <v>27.3</v>
      </c>
      <c r="P98" s="92"/>
      <c r="Q98" s="92">
        <v>35.299999999999997</v>
      </c>
      <c r="R98" s="93">
        <f t="shared" si="27"/>
        <v>62.599999999999994</v>
      </c>
      <c r="S98" s="97">
        <v>3</v>
      </c>
      <c r="T98" s="839"/>
      <c r="U98" s="852"/>
      <c r="V98" s="82" t="s">
        <v>215</v>
      </c>
      <c r="W98" s="73" t="s">
        <v>88</v>
      </c>
      <c r="X98" s="73" t="s">
        <v>11</v>
      </c>
      <c r="Y98" s="83">
        <v>15.3</v>
      </c>
      <c r="Z98" s="73" t="s">
        <v>96</v>
      </c>
      <c r="AA98" s="73" t="s">
        <v>97</v>
      </c>
      <c r="AB98" s="73" t="s">
        <v>12</v>
      </c>
      <c r="AC98" s="73">
        <v>12.7</v>
      </c>
      <c r="AD98" s="82" t="s">
        <v>99</v>
      </c>
      <c r="AE98" s="73" t="s">
        <v>100</v>
      </c>
      <c r="AF98" s="73" t="s">
        <v>11</v>
      </c>
      <c r="AG98" s="83">
        <v>12</v>
      </c>
      <c r="AH98" s="73" t="s">
        <v>95</v>
      </c>
      <c r="AI98" s="73" t="s">
        <v>98</v>
      </c>
      <c r="AJ98" s="73" t="s">
        <v>12</v>
      </c>
      <c r="AK98" s="73">
        <v>9.3000000000000007</v>
      </c>
      <c r="AL98" s="82" t="s">
        <v>216</v>
      </c>
      <c r="AM98" s="73" t="s">
        <v>218</v>
      </c>
      <c r="AN98" s="73" t="s">
        <v>12</v>
      </c>
      <c r="AO98" s="83">
        <v>7.3</v>
      </c>
      <c r="AP98" s="82" t="s">
        <v>217</v>
      </c>
      <c r="AQ98" s="73" t="s">
        <v>219</v>
      </c>
      <c r="AR98" s="73" t="s">
        <v>12</v>
      </c>
      <c r="AS98" s="83">
        <v>6</v>
      </c>
      <c r="AW98" s="83"/>
      <c r="BA98" s="84"/>
    </row>
    <row r="99" spans="1:53" s="292" customFormat="1">
      <c r="A99" s="292">
        <v>2003</v>
      </c>
      <c r="B99" s="836">
        <v>37814</v>
      </c>
      <c r="C99" s="916" t="s">
        <v>220</v>
      </c>
      <c r="D99" s="916"/>
      <c r="E99" s="292">
        <v>173</v>
      </c>
      <c r="F99" s="292">
        <v>1</v>
      </c>
      <c r="G99" s="366">
        <v>7</v>
      </c>
      <c r="I99" s="292">
        <v>8</v>
      </c>
      <c r="J99" s="377">
        <v>15</v>
      </c>
      <c r="K99" s="336">
        <f t="shared" si="28"/>
        <v>46.666666666666664</v>
      </c>
      <c r="L99" s="336">
        <f t="shared" si="29"/>
        <v>0</v>
      </c>
      <c r="M99" s="336">
        <f t="shared" si="30"/>
        <v>53.333333333333336</v>
      </c>
      <c r="N99" s="368">
        <f t="shared" si="26"/>
        <v>100</v>
      </c>
      <c r="O99" s="335">
        <v>32.700000000000003</v>
      </c>
      <c r="P99" s="336"/>
      <c r="Q99" s="336">
        <v>32</v>
      </c>
      <c r="R99" s="337">
        <f t="shared" si="27"/>
        <v>64.7</v>
      </c>
      <c r="S99" s="340">
        <v>2</v>
      </c>
      <c r="T99" s="838">
        <v>37759</v>
      </c>
      <c r="U99" s="836">
        <v>37814</v>
      </c>
      <c r="V99" s="299" t="s">
        <v>215</v>
      </c>
      <c r="W99" s="292" t="s">
        <v>88</v>
      </c>
      <c r="X99" s="292" t="s">
        <v>11</v>
      </c>
      <c r="Y99" s="300">
        <v>16.7</v>
      </c>
      <c r="Z99" s="292" t="s">
        <v>96</v>
      </c>
      <c r="AA99" s="292" t="s">
        <v>97</v>
      </c>
      <c r="AB99" s="292" t="s">
        <v>12</v>
      </c>
      <c r="AC99" s="292">
        <v>16.7</v>
      </c>
      <c r="AD99" s="299" t="s">
        <v>221</v>
      </c>
      <c r="AE99" s="292" t="s">
        <v>100</v>
      </c>
      <c r="AF99" s="292" t="s">
        <v>11</v>
      </c>
      <c r="AG99" s="300">
        <v>16</v>
      </c>
      <c r="AH99" s="292" t="s">
        <v>95</v>
      </c>
      <c r="AI99" s="292" t="s">
        <v>98</v>
      </c>
      <c r="AJ99" s="292" t="s">
        <v>12</v>
      </c>
      <c r="AK99" s="292">
        <v>15.3</v>
      </c>
      <c r="AL99" s="299"/>
      <c r="AO99" s="300"/>
      <c r="AP99" s="299"/>
      <c r="AS99" s="300"/>
      <c r="AW99" s="300"/>
      <c r="BA99" s="301"/>
    </row>
    <row r="100" spans="1:53" s="292" customFormat="1">
      <c r="A100" s="292">
        <v>2004</v>
      </c>
      <c r="B100" s="836"/>
      <c r="C100" s="916" t="s">
        <v>220</v>
      </c>
      <c r="D100" s="916"/>
      <c r="E100" s="292">
        <v>0</v>
      </c>
      <c r="G100" s="366">
        <v>7</v>
      </c>
      <c r="I100" s="292">
        <v>8</v>
      </c>
      <c r="J100" s="377">
        <v>15</v>
      </c>
      <c r="K100" s="336">
        <f t="shared" si="28"/>
        <v>46.666666666666664</v>
      </c>
      <c r="L100" s="336">
        <f t="shared" si="29"/>
        <v>0</v>
      </c>
      <c r="M100" s="336">
        <f t="shared" si="30"/>
        <v>53.333333333333336</v>
      </c>
      <c r="N100" s="368">
        <f t="shared" si="26"/>
        <v>100</v>
      </c>
      <c r="O100" s="335">
        <v>32.700000000000003</v>
      </c>
      <c r="P100" s="336"/>
      <c r="Q100" s="336">
        <v>32</v>
      </c>
      <c r="R100" s="337">
        <f t="shared" si="27"/>
        <v>64.7</v>
      </c>
      <c r="S100" s="340">
        <v>2</v>
      </c>
      <c r="T100" s="838"/>
      <c r="U100" s="836"/>
      <c r="V100" s="299" t="s">
        <v>215</v>
      </c>
      <c r="W100" s="292" t="s">
        <v>88</v>
      </c>
      <c r="X100" s="292" t="s">
        <v>11</v>
      </c>
      <c r="Y100" s="300">
        <v>16.7</v>
      </c>
      <c r="Z100" s="292" t="s">
        <v>96</v>
      </c>
      <c r="AA100" s="292" t="s">
        <v>97</v>
      </c>
      <c r="AB100" s="292" t="s">
        <v>12</v>
      </c>
      <c r="AC100" s="292">
        <v>16.7</v>
      </c>
      <c r="AD100" s="299" t="s">
        <v>221</v>
      </c>
      <c r="AE100" s="292" t="s">
        <v>100</v>
      </c>
      <c r="AF100" s="292" t="s">
        <v>11</v>
      </c>
      <c r="AG100" s="300">
        <v>16</v>
      </c>
      <c r="AH100" s="292" t="s">
        <v>95</v>
      </c>
      <c r="AI100" s="292" t="s">
        <v>98</v>
      </c>
      <c r="AJ100" s="292" t="s">
        <v>12</v>
      </c>
      <c r="AK100" s="292">
        <v>15.3</v>
      </c>
      <c r="AL100" s="299"/>
      <c r="AO100" s="300"/>
      <c r="AP100" s="299"/>
      <c r="AS100" s="300"/>
      <c r="AW100" s="300"/>
      <c r="BA100" s="301"/>
    </row>
    <row r="101" spans="1:53" s="292" customFormat="1">
      <c r="A101" s="292">
        <v>2004</v>
      </c>
      <c r="B101" s="836"/>
      <c r="C101" s="916" t="s">
        <v>220</v>
      </c>
      <c r="D101" s="916"/>
      <c r="E101" s="292">
        <v>366</v>
      </c>
      <c r="G101" s="366">
        <v>7</v>
      </c>
      <c r="I101" s="292">
        <v>8</v>
      </c>
      <c r="J101" s="377">
        <v>15</v>
      </c>
      <c r="K101" s="336">
        <f t="shared" si="28"/>
        <v>46.666666666666664</v>
      </c>
      <c r="L101" s="336">
        <f t="shared" si="29"/>
        <v>0</v>
      </c>
      <c r="M101" s="336">
        <f t="shared" si="30"/>
        <v>53.333333333333336</v>
      </c>
      <c r="N101" s="368">
        <f t="shared" si="26"/>
        <v>100</v>
      </c>
      <c r="O101" s="335">
        <v>32.700000000000003</v>
      </c>
      <c r="P101" s="336"/>
      <c r="Q101" s="336">
        <v>32</v>
      </c>
      <c r="R101" s="337">
        <f t="shared" si="27"/>
        <v>64.7</v>
      </c>
      <c r="S101" s="340">
        <v>2</v>
      </c>
      <c r="T101" s="838"/>
      <c r="U101" s="836"/>
      <c r="V101" s="299" t="s">
        <v>215</v>
      </c>
      <c r="W101" s="292" t="s">
        <v>88</v>
      </c>
      <c r="X101" s="292" t="s">
        <v>11</v>
      </c>
      <c r="Y101" s="300">
        <v>16.7</v>
      </c>
      <c r="Z101" s="292" t="s">
        <v>96</v>
      </c>
      <c r="AA101" s="292" t="s">
        <v>97</v>
      </c>
      <c r="AB101" s="292" t="s">
        <v>12</v>
      </c>
      <c r="AC101" s="292">
        <v>16.7</v>
      </c>
      <c r="AD101" s="299" t="s">
        <v>221</v>
      </c>
      <c r="AE101" s="292" t="s">
        <v>100</v>
      </c>
      <c r="AF101" s="292" t="s">
        <v>11</v>
      </c>
      <c r="AG101" s="300">
        <v>16</v>
      </c>
      <c r="AH101" s="292" t="s">
        <v>95</v>
      </c>
      <c r="AI101" s="292" t="s">
        <v>98</v>
      </c>
      <c r="AJ101" s="292" t="s">
        <v>12</v>
      </c>
      <c r="AK101" s="292">
        <v>15.3</v>
      </c>
      <c r="AL101" s="299"/>
      <c r="AO101" s="300"/>
      <c r="AP101" s="299"/>
      <c r="AS101" s="300"/>
      <c r="AW101" s="300"/>
      <c r="BA101" s="301"/>
    </row>
    <row r="102" spans="1:53" s="292" customFormat="1">
      <c r="A102" s="292">
        <v>2005</v>
      </c>
      <c r="B102" s="836"/>
      <c r="C102" s="916" t="s">
        <v>220</v>
      </c>
      <c r="D102" s="916"/>
      <c r="E102" s="292">
        <v>0</v>
      </c>
      <c r="G102" s="366">
        <v>7</v>
      </c>
      <c r="I102" s="292">
        <v>8</v>
      </c>
      <c r="J102" s="377">
        <v>15</v>
      </c>
      <c r="K102" s="336">
        <f t="shared" ref="K102:K108" si="31">G102/J102*100</f>
        <v>46.666666666666664</v>
      </c>
      <c r="L102" s="336">
        <f t="shared" ref="L102:L108" si="32">H102/J102*100</f>
        <v>0</v>
      </c>
      <c r="M102" s="336">
        <f t="shared" ref="M102:M108" si="33">I102/J102*100</f>
        <v>53.333333333333336</v>
      </c>
      <c r="N102" s="368">
        <f t="shared" si="26"/>
        <v>100</v>
      </c>
      <c r="O102" s="335">
        <v>32.700000000000003</v>
      </c>
      <c r="P102" s="336"/>
      <c r="Q102" s="336">
        <v>32</v>
      </c>
      <c r="R102" s="337">
        <f t="shared" si="27"/>
        <v>64.7</v>
      </c>
      <c r="S102" s="340">
        <v>2</v>
      </c>
      <c r="T102" s="838"/>
      <c r="U102" s="836"/>
      <c r="V102" s="299" t="s">
        <v>215</v>
      </c>
      <c r="W102" s="292" t="s">
        <v>88</v>
      </c>
      <c r="X102" s="292" t="s">
        <v>11</v>
      </c>
      <c r="Y102" s="300">
        <v>16.7</v>
      </c>
      <c r="Z102" s="292" t="s">
        <v>96</v>
      </c>
      <c r="AA102" s="292" t="s">
        <v>97</v>
      </c>
      <c r="AB102" s="292" t="s">
        <v>12</v>
      </c>
      <c r="AC102" s="292">
        <v>16.7</v>
      </c>
      <c r="AD102" s="299" t="s">
        <v>221</v>
      </c>
      <c r="AE102" s="292" t="s">
        <v>100</v>
      </c>
      <c r="AF102" s="292" t="s">
        <v>11</v>
      </c>
      <c r="AG102" s="300">
        <v>16</v>
      </c>
      <c r="AH102" s="292" t="s">
        <v>95</v>
      </c>
      <c r="AI102" s="292" t="s">
        <v>98</v>
      </c>
      <c r="AJ102" s="292" t="s">
        <v>12</v>
      </c>
      <c r="AK102" s="292">
        <v>15.3</v>
      </c>
      <c r="AL102" s="299"/>
      <c r="AO102" s="300"/>
      <c r="AP102" s="299"/>
      <c r="AS102" s="300"/>
      <c r="AW102" s="300"/>
      <c r="BA102" s="301"/>
    </row>
    <row r="103" spans="1:53" s="292" customFormat="1">
      <c r="A103" s="292">
        <v>2005</v>
      </c>
      <c r="B103" s="836"/>
      <c r="C103" s="916" t="s">
        <v>220</v>
      </c>
      <c r="D103" s="916"/>
      <c r="E103" s="292">
        <f>365-E102</f>
        <v>365</v>
      </c>
      <c r="G103" s="366">
        <v>7</v>
      </c>
      <c r="I103" s="292">
        <v>8</v>
      </c>
      <c r="J103" s="377">
        <v>15</v>
      </c>
      <c r="K103" s="336">
        <f t="shared" si="31"/>
        <v>46.666666666666664</v>
      </c>
      <c r="L103" s="336">
        <f t="shared" si="32"/>
        <v>0</v>
      </c>
      <c r="M103" s="336">
        <f t="shared" si="33"/>
        <v>53.333333333333336</v>
      </c>
      <c r="N103" s="368">
        <f t="shared" si="26"/>
        <v>100</v>
      </c>
      <c r="O103" s="335">
        <v>32.700000000000003</v>
      </c>
      <c r="P103" s="336"/>
      <c r="Q103" s="336">
        <v>32</v>
      </c>
      <c r="R103" s="337">
        <f t="shared" si="27"/>
        <v>64.7</v>
      </c>
      <c r="S103" s="340">
        <v>2</v>
      </c>
      <c r="T103" s="838"/>
      <c r="U103" s="836"/>
      <c r="V103" s="299" t="s">
        <v>215</v>
      </c>
      <c r="W103" s="292" t="s">
        <v>88</v>
      </c>
      <c r="X103" s="292" t="s">
        <v>11</v>
      </c>
      <c r="Y103" s="300">
        <v>16.7</v>
      </c>
      <c r="Z103" s="292" t="s">
        <v>96</v>
      </c>
      <c r="AA103" s="292" t="s">
        <v>97</v>
      </c>
      <c r="AB103" s="292" t="s">
        <v>12</v>
      </c>
      <c r="AC103" s="292">
        <v>16.7</v>
      </c>
      <c r="AD103" s="299" t="s">
        <v>221</v>
      </c>
      <c r="AE103" s="292" t="s">
        <v>100</v>
      </c>
      <c r="AF103" s="292" t="s">
        <v>11</v>
      </c>
      <c r="AG103" s="300">
        <v>16</v>
      </c>
      <c r="AH103" s="292" t="s">
        <v>95</v>
      </c>
      <c r="AI103" s="292" t="s">
        <v>98</v>
      </c>
      <c r="AJ103" s="292" t="s">
        <v>12</v>
      </c>
      <c r="AK103" s="292">
        <v>15.3</v>
      </c>
      <c r="AL103" s="299"/>
      <c r="AO103" s="300"/>
      <c r="AP103" s="299"/>
      <c r="AS103" s="300"/>
      <c r="AW103" s="300"/>
      <c r="BA103" s="301"/>
    </row>
    <row r="104" spans="1:53" s="292" customFormat="1">
      <c r="A104" s="292">
        <v>2006</v>
      </c>
      <c r="B104" s="836"/>
      <c r="C104" s="916" t="s">
        <v>220</v>
      </c>
      <c r="D104" s="916"/>
      <c r="E104" s="292">
        <v>0</v>
      </c>
      <c r="G104" s="366">
        <v>7</v>
      </c>
      <c r="I104" s="292">
        <v>8</v>
      </c>
      <c r="J104" s="377">
        <v>15</v>
      </c>
      <c r="K104" s="336">
        <f>G104/J104*100</f>
        <v>46.666666666666664</v>
      </c>
      <c r="L104" s="336">
        <f t="shared" si="32"/>
        <v>0</v>
      </c>
      <c r="M104" s="336">
        <f t="shared" si="33"/>
        <v>53.333333333333336</v>
      </c>
      <c r="N104" s="368">
        <f t="shared" si="26"/>
        <v>100</v>
      </c>
      <c r="O104" s="335">
        <v>32.700000000000003</v>
      </c>
      <c r="P104" s="336"/>
      <c r="Q104" s="336">
        <v>32</v>
      </c>
      <c r="R104" s="337">
        <f t="shared" si="27"/>
        <v>64.7</v>
      </c>
      <c r="S104" s="340">
        <v>2</v>
      </c>
      <c r="T104" s="838"/>
      <c r="U104" s="836"/>
      <c r="V104" s="299" t="s">
        <v>215</v>
      </c>
      <c r="W104" s="292" t="s">
        <v>88</v>
      </c>
      <c r="X104" s="292" t="s">
        <v>11</v>
      </c>
      <c r="Y104" s="300">
        <v>16.7</v>
      </c>
      <c r="Z104" s="292" t="s">
        <v>96</v>
      </c>
      <c r="AA104" s="292" t="s">
        <v>97</v>
      </c>
      <c r="AB104" s="292" t="s">
        <v>12</v>
      </c>
      <c r="AC104" s="292">
        <v>16.7</v>
      </c>
      <c r="AD104" s="299" t="s">
        <v>221</v>
      </c>
      <c r="AE104" s="292" t="s">
        <v>100</v>
      </c>
      <c r="AF104" s="292" t="s">
        <v>11</v>
      </c>
      <c r="AG104" s="300">
        <v>16</v>
      </c>
      <c r="AH104" s="292" t="s">
        <v>95</v>
      </c>
      <c r="AI104" s="292" t="s">
        <v>98</v>
      </c>
      <c r="AJ104" s="292" t="s">
        <v>12</v>
      </c>
      <c r="AK104" s="292">
        <v>15.3</v>
      </c>
      <c r="AL104" s="299"/>
      <c r="AO104" s="300"/>
      <c r="AP104" s="299"/>
      <c r="AS104" s="300"/>
      <c r="AW104" s="300"/>
      <c r="BA104" s="301"/>
    </row>
    <row r="105" spans="1:53" s="292" customFormat="1">
      <c r="A105" s="292">
        <v>2006</v>
      </c>
      <c r="B105" s="836"/>
      <c r="C105" s="916" t="s">
        <v>220</v>
      </c>
      <c r="D105" s="916"/>
      <c r="E105" s="292">
        <f>365-E104</f>
        <v>365</v>
      </c>
      <c r="G105" s="366">
        <v>7</v>
      </c>
      <c r="I105" s="292">
        <v>8</v>
      </c>
      <c r="J105" s="377">
        <v>15</v>
      </c>
      <c r="K105" s="336">
        <f t="shared" si="31"/>
        <v>46.666666666666664</v>
      </c>
      <c r="L105" s="336">
        <f t="shared" si="32"/>
        <v>0</v>
      </c>
      <c r="M105" s="336">
        <f t="shared" si="33"/>
        <v>53.333333333333336</v>
      </c>
      <c r="N105" s="368">
        <f t="shared" si="26"/>
        <v>100</v>
      </c>
      <c r="O105" s="335">
        <v>32.700000000000003</v>
      </c>
      <c r="P105" s="336"/>
      <c r="Q105" s="336">
        <v>32</v>
      </c>
      <c r="R105" s="337">
        <f t="shared" si="27"/>
        <v>64.7</v>
      </c>
      <c r="S105" s="340">
        <v>2</v>
      </c>
      <c r="T105" s="838"/>
      <c r="U105" s="836"/>
      <c r="V105" s="299" t="s">
        <v>215</v>
      </c>
      <c r="W105" s="292" t="s">
        <v>88</v>
      </c>
      <c r="X105" s="292" t="s">
        <v>11</v>
      </c>
      <c r="Y105" s="300">
        <v>16.7</v>
      </c>
      <c r="Z105" s="292" t="s">
        <v>96</v>
      </c>
      <c r="AA105" s="292" t="s">
        <v>97</v>
      </c>
      <c r="AB105" s="292" t="s">
        <v>12</v>
      </c>
      <c r="AC105" s="292">
        <v>16.7</v>
      </c>
      <c r="AD105" s="299" t="s">
        <v>221</v>
      </c>
      <c r="AE105" s="292" t="s">
        <v>100</v>
      </c>
      <c r="AF105" s="292" t="s">
        <v>11</v>
      </c>
      <c r="AG105" s="300">
        <v>16</v>
      </c>
      <c r="AH105" s="292" t="s">
        <v>95</v>
      </c>
      <c r="AI105" s="292" t="s">
        <v>98</v>
      </c>
      <c r="AJ105" s="292" t="s">
        <v>12</v>
      </c>
      <c r="AK105" s="292">
        <v>15.3</v>
      </c>
      <c r="AL105" s="299"/>
      <c r="AO105" s="300"/>
      <c r="AP105" s="299"/>
      <c r="AS105" s="300"/>
      <c r="AW105" s="300"/>
      <c r="BA105" s="301"/>
    </row>
    <row r="106" spans="1:53" s="292" customFormat="1">
      <c r="A106" s="292">
        <v>2007</v>
      </c>
      <c r="B106" s="836"/>
      <c r="C106" s="916" t="s">
        <v>220</v>
      </c>
      <c r="D106" s="916"/>
      <c r="E106" s="292">
        <v>354</v>
      </c>
      <c r="G106" s="366">
        <v>7</v>
      </c>
      <c r="I106" s="292">
        <v>8</v>
      </c>
      <c r="J106" s="377">
        <v>15</v>
      </c>
      <c r="K106" s="336">
        <f t="shared" si="31"/>
        <v>46.666666666666664</v>
      </c>
      <c r="L106" s="336">
        <f t="shared" si="32"/>
        <v>0</v>
      </c>
      <c r="M106" s="336">
        <f t="shared" si="33"/>
        <v>53.333333333333336</v>
      </c>
      <c r="N106" s="368">
        <f t="shared" si="26"/>
        <v>100</v>
      </c>
      <c r="O106" s="335">
        <v>32.700000000000003</v>
      </c>
      <c r="P106" s="336"/>
      <c r="Q106" s="336">
        <v>32</v>
      </c>
      <c r="R106" s="337">
        <f t="shared" si="27"/>
        <v>64.7</v>
      </c>
      <c r="S106" s="340">
        <v>2</v>
      </c>
      <c r="T106" s="838"/>
      <c r="U106" s="836"/>
      <c r="V106" s="299" t="s">
        <v>215</v>
      </c>
      <c r="W106" s="292" t="s">
        <v>88</v>
      </c>
      <c r="X106" s="292" t="s">
        <v>11</v>
      </c>
      <c r="Y106" s="300">
        <v>16.7</v>
      </c>
      <c r="Z106" s="292" t="s">
        <v>96</v>
      </c>
      <c r="AA106" s="292" t="s">
        <v>97</v>
      </c>
      <c r="AB106" s="292" t="s">
        <v>12</v>
      </c>
      <c r="AC106" s="292">
        <v>16.7</v>
      </c>
      <c r="AD106" s="299" t="s">
        <v>221</v>
      </c>
      <c r="AE106" s="292" t="s">
        <v>100</v>
      </c>
      <c r="AF106" s="292" t="s">
        <v>11</v>
      </c>
      <c r="AG106" s="300">
        <v>16</v>
      </c>
      <c r="AH106" s="292" t="s">
        <v>95</v>
      </c>
      <c r="AI106" s="292" t="s">
        <v>98</v>
      </c>
      <c r="AJ106" s="292" t="s">
        <v>12</v>
      </c>
      <c r="AK106" s="292">
        <v>15.3</v>
      </c>
      <c r="AL106" s="299"/>
      <c r="AO106" s="300"/>
      <c r="AP106" s="299"/>
      <c r="AS106" s="300"/>
      <c r="AW106" s="300"/>
      <c r="BA106" s="301"/>
    </row>
    <row r="107" spans="1:53" s="73" customFormat="1">
      <c r="A107" s="73">
        <v>2007</v>
      </c>
      <c r="B107" s="852">
        <v>39437</v>
      </c>
      <c r="C107" s="917" t="s">
        <v>222</v>
      </c>
      <c r="D107" s="917"/>
      <c r="E107" s="73">
        <f>365-E106</f>
        <v>11</v>
      </c>
      <c r="F107" s="73">
        <v>1</v>
      </c>
      <c r="G107" s="119">
        <v>6</v>
      </c>
      <c r="H107" s="73">
        <v>5</v>
      </c>
      <c r="I107" s="73">
        <v>3</v>
      </c>
      <c r="J107" s="126">
        <v>14</v>
      </c>
      <c r="K107" s="92">
        <f t="shared" si="31"/>
        <v>42.857142857142854</v>
      </c>
      <c r="L107" s="92">
        <f t="shared" si="32"/>
        <v>35.714285714285715</v>
      </c>
      <c r="M107" s="92">
        <f t="shared" si="33"/>
        <v>21.428571428571427</v>
      </c>
      <c r="N107" s="121">
        <f t="shared" si="26"/>
        <v>100</v>
      </c>
      <c r="O107" s="91">
        <v>27.3</v>
      </c>
      <c r="P107" s="92">
        <v>26.7</v>
      </c>
      <c r="Q107" s="92">
        <v>13.3</v>
      </c>
      <c r="R107" s="93">
        <f t="shared" si="27"/>
        <v>67.3</v>
      </c>
      <c r="S107" s="97">
        <v>3</v>
      </c>
      <c r="T107" s="839">
        <v>39243</v>
      </c>
      <c r="U107" s="852">
        <v>39437</v>
      </c>
      <c r="V107" s="82" t="s">
        <v>215</v>
      </c>
      <c r="W107" s="73" t="s">
        <v>88</v>
      </c>
      <c r="X107" s="73" t="s">
        <v>11</v>
      </c>
      <c r="Y107" s="83">
        <v>12</v>
      </c>
      <c r="Z107" s="73" t="s">
        <v>223</v>
      </c>
      <c r="AA107" s="73" t="s">
        <v>82</v>
      </c>
      <c r="AB107" s="73" t="s">
        <v>18</v>
      </c>
      <c r="AC107" s="73">
        <v>20</v>
      </c>
      <c r="AD107" s="82" t="s">
        <v>221</v>
      </c>
      <c r="AE107" s="73" t="s">
        <v>100</v>
      </c>
      <c r="AF107" s="73" t="s">
        <v>11</v>
      </c>
      <c r="AG107" s="83">
        <v>15.3</v>
      </c>
      <c r="AH107" s="73" t="s">
        <v>96</v>
      </c>
      <c r="AI107" s="73" t="s">
        <v>97</v>
      </c>
      <c r="AJ107" s="73" t="s">
        <v>12</v>
      </c>
      <c r="AK107" s="73">
        <v>13.3</v>
      </c>
      <c r="AL107" s="82" t="s">
        <v>224</v>
      </c>
      <c r="AM107" s="73" t="s">
        <v>86</v>
      </c>
      <c r="AN107" s="73" t="s">
        <v>18</v>
      </c>
      <c r="AO107" s="83">
        <v>6.7</v>
      </c>
      <c r="AP107" s="82"/>
      <c r="AS107" s="83"/>
      <c r="AW107" s="83"/>
      <c r="BA107" s="84"/>
    </row>
    <row r="108" spans="1:53" s="73" customFormat="1">
      <c r="A108" s="73">
        <v>2008</v>
      </c>
      <c r="B108" s="852"/>
      <c r="C108" s="917" t="s">
        <v>222</v>
      </c>
      <c r="D108" s="917"/>
      <c r="E108" s="73">
        <v>79</v>
      </c>
      <c r="G108" s="119">
        <v>6</v>
      </c>
      <c r="H108" s="73">
        <v>5</v>
      </c>
      <c r="I108" s="73">
        <v>3</v>
      </c>
      <c r="J108" s="126">
        <v>14</v>
      </c>
      <c r="K108" s="92">
        <f t="shared" si="31"/>
        <v>42.857142857142854</v>
      </c>
      <c r="L108" s="92">
        <f t="shared" si="32"/>
        <v>35.714285714285715</v>
      </c>
      <c r="M108" s="92">
        <f t="shared" si="33"/>
        <v>21.428571428571427</v>
      </c>
      <c r="N108" s="121">
        <f t="shared" si="26"/>
        <v>100</v>
      </c>
      <c r="O108" s="91">
        <v>27.3</v>
      </c>
      <c r="P108" s="92">
        <v>26.7</v>
      </c>
      <c r="Q108" s="92">
        <v>13.3</v>
      </c>
      <c r="R108" s="93">
        <f t="shared" si="27"/>
        <v>67.3</v>
      </c>
      <c r="S108" s="97">
        <v>3</v>
      </c>
      <c r="T108" s="839"/>
      <c r="U108" s="852"/>
      <c r="V108" s="82" t="s">
        <v>215</v>
      </c>
      <c r="W108" s="73" t="s">
        <v>88</v>
      </c>
      <c r="X108" s="73" t="s">
        <v>11</v>
      </c>
      <c r="Y108" s="83">
        <v>12</v>
      </c>
      <c r="Z108" s="73" t="s">
        <v>223</v>
      </c>
      <c r="AA108" s="73" t="s">
        <v>82</v>
      </c>
      <c r="AB108" s="73" t="s">
        <v>18</v>
      </c>
      <c r="AC108" s="73">
        <v>20</v>
      </c>
      <c r="AD108" s="82" t="s">
        <v>221</v>
      </c>
      <c r="AE108" s="73" t="s">
        <v>100</v>
      </c>
      <c r="AF108" s="73" t="s">
        <v>11</v>
      </c>
      <c r="AG108" s="83">
        <v>15.3</v>
      </c>
      <c r="AH108" s="73" t="s">
        <v>96</v>
      </c>
      <c r="AI108" s="73" t="s">
        <v>97</v>
      </c>
      <c r="AJ108" s="73" t="s">
        <v>12</v>
      </c>
      <c r="AK108" s="73">
        <v>13.3</v>
      </c>
      <c r="AL108" s="82" t="s">
        <v>224</v>
      </c>
      <c r="AM108" s="73" t="s">
        <v>86</v>
      </c>
      <c r="AN108" s="73" t="s">
        <v>18</v>
      </c>
      <c r="AO108" s="83">
        <v>6.7</v>
      </c>
      <c r="AP108" s="82"/>
      <c r="AS108" s="83"/>
      <c r="AW108" s="83"/>
      <c r="BA108" s="84"/>
    </row>
    <row r="109" spans="1:53" s="292" customFormat="1">
      <c r="A109" s="292">
        <v>2008</v>
      </c>
      <c r="B109" s="836">
        <v>39527</v>
      </c>
      <c r="C109" s="916" t="s">
        <v>225</v>
      </c>
      <c r="D109" s="916"/>
      <c r="E109" s="292">
        <v>285</v>
      </c>
      <c r="F109" s="292">
        <v>2</v>
      </c>
      <c r="G109" s="366">
        <v>7</v>
      </c>
      <c r="H109" s="292">
        <v>5</v>
      </c>
      <c r="I109" s="292">
        <v>3</v>
      </c>
      <c r="J109" s="377">
        <f>G109+H109+I109</f>
        <v>15</v>
      </c>
      <c r="K109" s="336">
        <f t="shared" ref="K109:K115" si="34">G109/J109*100</f>
        <v>46.666666666666664</v>
      </c>
      <c r="L109" s="336">
        <f t="shared" ref="L109:L115" si="35">H109/J109*100</f>
        <v>33.333333333333329</v>
      </c>
      <c r="M109" s="336">
        <f t="shared" ref="M109:M115" si="36">I109/J109*100</f>
        <v>20</v>
      </c>
      <c r="N109" s="368">
        <f t="shared" si="26"/>
        <v>100</v>
      </c>
      <c r="O109" s="335">
        <v>27.3</v>
      </c>
      <c r="P109" s="336">
        <v>26.7</v>
      </c>
      <c r="Q109" s="336">
        <v>13.3</v>
      </c>
      <c r="R109" s="337">
        <f t="shared" si="27"/>
        <v>67.3</v>
      </c>
      <c r="S109" s="340">
        <v>3</v>
      </c>
      <c r="T109" s="838"/>
      <c r="U109" s="836">
        <v>39527</v>
      </c>
      <c r="V109" s="299" t="s">
        <v>223</v>
      </c>
      <c r="W109" s="292" t="s">
        <v>82</v>
      </c>
      <c r="X109" s="292" t="s">
        <v>18</v>
      </c>
      <c r="Y109" s="300">
        <v>20</v>
      </c>
      <c r="Z109" s="292" t="s">
        <v>215</v>
      </c>
      <c r="AA109" s="292" t="s">
        <v>88</v>
      </c>
      <c r="AB109" s="292" t="s">
        <v>11</v>
      </c>
      <c r="AC109" s="292">
        <v>12</v>
      </c>
      <c r="AD109" s="299" t="s">
        <v>221</v>
      </c>
      <c r="AE109" s="292" t="s">
        <v>100</v>
      </c>
      <c r="AF109" s="292" t="s">
        <v>11</v>
      </c>
      <c r="AG109" s="300">
        <v>15.3</v>
      </c>
      <c r="AH109" s="292" t="s">
        <v>96</v>
      </c>
      <c r="AI109" s="292" t="s">
        <v>97</v>
      </c>
      <c r="AJ109" s="292" t="s">
        <v>12</v>
      </c>
      <c r="AK109" s="292">
        <v>13.3</v>
      </c>
      <c r="AL109" s="299" t="s">
        <v>224</v>
      </c>
      <c r="AM109" s="292" t="s">
        <v>86</v>
      </c>
      <c r="AN109" s="292" t="s">
        <v>18</v>
      </c>
      <c r="AO109" s="300">
        <v>6.7</v>
      </c>
      <c r="AP109" s="299"/>
      <c r="AS109" s="300"/>
      <c r="AW109" s="300"/>
      <c r="BA109" s="301"/>
    </row>
    <row r="110" spans="1:53" s="73" customFormat="1">
      <c r="A110" s="73">
        <v>2008</v>
      </c>
      <c r="B110" s="852">
        <v>39812</v>
      </c>
      <c r="C110" s="917" t="s">
        <v>226</v>
      </c>
      <c r="D110" s="917"/>
      <c r="E110" s="73">
        <v>2</v>
      </c>
      <c r="F110" s="73">
        <v>2</v>
      </c>
      <c r="G110" s="119">
        <v>7</v>
      </c>
      <c r="H110" s="73">
        <v>5</v>
      </c>
      <c r="I110" s="73">
        <v>3</v>
      </c>
      <c r="J110" s="126">
        <v>15</v>
      </c>
      <c r="K110" s="92">
        <f t="shared" si="34"/>
        <v>46.666666666666664</v>
      </c>
      <c r="L110" s="92">
        <f t="shared" si="35"/>
        <v>33.333333333333329</v>
      </c>
      <c r="M110" s="92">
        <f t="shared" si="36"/>
        <v>20</v>
      </c>
      <c r="N110" s="121">
        <f t="shared" si="26"/>
        <v>100</v>
      </c>
      <c r="O110" s="91">
        <v>27.3</v>
      </c>
      <c r="P110" s="92">
        <v>26.7</v>
      </c>
      <c r="Q110" s="92">
        <v>13.3</v>
      </c>
      <c r="R110" s="93">
        <f t="shared" si="27"/>
        <v>67.3</v>
      </c>
      <c r="S110" s="97">
        <v>3</v>
      </c>
      <c r="T110" s="839"/>
      <c r="U110" s="852">
        <v>39812</v>
      </c>
      <c r="V110" s="82" t="s">
        <v>223</v>
      </c>
      <c r="W110" s="73" t="s">
        <v>82</v>
      </c>
      <c r="X110" s="73" t="s">
        <v>18</v>
      </c>
      <c r="Y110" s="83">
        <v>20</v>
      </c>
      <c r="Z110" s="73" t="s">
        <v>215</v>
      </c>
      <c r="AA110" s="73" t="s">
        <v>88</v>
      </c>
      <c r="AB110" s="73" t="s">
        <v>11</v>
      </c>
      <c r="AC110" s="73">
        <v>12</v>
      </c>
      <c r="AD110" s="82" t="s">
        <v>221</v>
      </c>
      <c r="AE110" s="73" t="s">
        <v>100</v>
      </c>
      <c r="AF110" s="73" t="s">
        <v>11</v>
      </c>
      <c r="AG110" s="83">
        <v>15.3</v>
      </c>
      <c r="AH110" s="73" t="s">
        <v>96</v>
      </c>
      <c r="AI110" s="73" t="s">
        <v>97</v>
      </c>
      <c r="AJ110" s="73" t="s">
        <v>12</v>
      </c>
      <c r="AK110" s="73">
        <v>13.3</v>
      </c>
      <c r="AL110" s="82" t="s">
        <v>224</v>
      </c>
      <c r="AM110" s="73" t="s">
        <v>86</v>
      </c>
      <c r="AN110" s="73" t="s">
        <v>18</v>
      </c>
      <c r="AO110" s="83">
        <v>6.7</v>
      </c>
      <c r="AP110" s="82"/>
      <c r="AS110" s="83"/>
      <c r="AW110" s="83"/>
      <c r="BA110" s="84"/>
    </row>
    <row r="111" spans="1:53" s="73" customFormat="1">
      <c r="A111" s="73">
        <v>2009</v>
      </c>
      <c r="B111" s="852"/>
      <c r="C111" s="917" t="s">
        <v>226</v>
      </c>
      <c r="D111" s="917"/>
      <c r="E111" s="73">
        <v>197</v>
      </c>
      <c r="G111" s="119">
        <v>7</v>
      </c>
      <c r="H111" s="73">
        <v>5</v>
      </c>
      <c r="I111" s="73">
        <v>3</v>
      </c>
      <c r="J111" s="126">
        <v>15</v>
      </c>
      <c r="K111" s="92">
        <f t="shared" si="34"/>
        <v>46.666666666666664</v>
      </c>
      <c r="L111" s="92">
        <f t="shared" si="35"/>
        <v>33.333333333333329</v>
      </c>
      <c r="M111" s="92">
        <f t="shared" si="36"/>
        <v>20</v>
      </c>
      <c r="N111" s="121">
        <f t="shared" si="26"/>
        <v>100</v>
      </c>
      <c r="O111" s="91">
        <v>27.3</v>
      </c>
      <c r="P111" s="92">
        <v>26.7</v>
      </c>
      <c r="Q111" s="92">
        <v>13.3</v>
      </c>
      <c r="R111" s="93">
        <f t="shared" si="27"/>
        <v>67.3</v>
      </c>
      <c r="S111" s="97">
        <v>3</v>
      </c>
      <c r="T111" s="839"/>
      <c r="U111" s="852"/>
      <c r="V111" s="82" t="s">
        <v>223</v>
      </c>
      <c r="W111" s="73" t="s">
        <v>82</v>
      </c>
      <c r="X111" s="73" t="s">
        <v>18</v>
      </c>
      <c r="Y111" s="83">
        <v>20</v>
      </c>
      <c r="Z111" s="73" t="s">
        <v>215</v>
      </c>
      <c r="AA111" s="73" t="s">
        <v>88</v>
      </c>
      <c r="AB111" s="73" t="s">
        <v>11</v>
      </c>
      <c r="AC111" s="73">
        <v>12</v>
      </c>
      <c r="AD111" s="82" t="s">
        <v>221</v>
      </c>
      <c r="AE111" s="73" t="s">
        <v>100</v>
      </c>
      <c r="AF111" s="73" t="s">
        <v>11</v>
      </c>
      <c r="AG111" s="83">
        <v>15.3</v>
      </c>
      <c r="AH111" s="73" t="s">
        <v>96</v>
      </c>
      <c r="AI111" s="73" t="s">
        <v>97</v>
      </c>
      <c r="AJ111" s="73" t="s">
        <v>12</v>
      </c>
      <c r="AK111" s="73">
        <v>13.3</v>
      </c>
      <c r="AL111" s="82" t="s">
        <v>224</v>
      </c>
      <c r="AM111" s="73" t="s">
        <v>86</v>
      </c>
      <c r="AN111" s="73" t="s">
        <v>18</v>
      </c>
      <c r="AO111" s="83">
        <v>6.7</v>
      </c>
      <c r="AP111" s="82"/>
      <c r="AS111" s="83"/>
      <c r="AW111" s="83"/>
      <c r="BA111" s="84"/>
    </row>
    <row r="112" spans="1:53" s="73" customFormat="1">
      <c r="A112" s="73">
        <v>2009</v>
      </c>
      <c r="B112" s="860">
        <v>40011</v>
      </c>
      <c r="C112" s="917" t="s">
        <v>226</v>
      </c>
      <c r="D112" s="917"/>
      <c r="E112" s="73">
        <v>131</v>
      </c>
      <c r="F112" s="139">
        <v>0</v>
      </c>
      <c r="G112" s="119">
        <v>6</v>
      </c>
      <c r="H112" s="73">
        <v>6</v>
      </c>
      <c r="I112" s="73">
        <v>3</v>
      </c>
      <c r="J112" s="126">
        <v>15</v>
      </c>
      <c r="K112" s="92">
        <f t="shared" si="34"/>
        <v>40</v>
      </c>
      <c r="L112" s="92">
        <f t="shared" si="35"/>
        <v>40</v>
      </c>
      <c r="M112" s="92">
        <f t="shared" si="36"/>
        <v>20</v>
      </c>
      <c r="N112" s="121">
        <f t="shared" si="26"/>
        <v>100</v>
      </c>
      <c r="O112" s="91">
        <v>27.3</v>
      </c>
      <c r="P112" s="92">
        <v>26.7</v>
      </c>
      <c r="Q112" s="92">
        <v>13.3</v>
      </c>
      <c r="R112" s="93">
        <f t="shared" si="27"/>
        <v>67.3</v>
      </c>
      <c r="S112" s="97">
        <v>3</v>
      </c>
      <c r="T112" s="839"/>
      <c r="U112" s="852"/>
      <c r="V112" s="82" t="s">
        <v>223</v>
      </c>
      <c r="W112" s="73" t="s">
        <v>82</v>
      </c>
      <c r="X112" s="73" t="s">
        <v>18</v>
      </c>
      <c r="Y112" s="83">
        <v>20</v>
      </c>
      <c r="Z112" s="73" t="s">
        <v>215</v>
      </c>
      <c r="AA112" s="73" t="s">
        <v>88</v>
      </c>
      <c r="AB112" s="73" t="s">
        <v>11</v>
      </c>
      <c r="AC112" s="73">
        <v>12</v>
      </c>
      <c r="AD112" s="82" t="s">
        <v>221</v>
      </c>
      <c r="AE112" s="73" t="s">
        <v>100</v>
      </c>
      <c r="AF112" s="73" t="s">
        <v>11</v>
      </c>
      <c r="AG112" s="83">
        <v>15.3</v>
      </c>
      <c r="AH112" s="73" t="s">
        <v>96</v>
      </c>
      <c r="AI112" s="73" t="s">
        <v>97</v>
      </c>
      <c r="AJ112" s="73" t="s">
        <v>12</v>
      </c>
      <c r="AK112" s="73">
        <v>13.3</v>
      </c>
      <c r="AL112" s="82" t="s">
        <v>224</v>
      </c>
      <c r="AM112" s="73" t="s">
        <v>86</v>
      </c>
      <c r="AN112" s="73" t="s">
        <v>18</v>
      </c>
      <c r="AO112" s="83">
        <v>6.7</v>
      </c>
      <c r="AP112" s="82"/>
      <c r="AS112" s="83"/>
      <c r="AW112" s="83"/>
      <c r="BA112" s="84"/>
    </row>
    <row r="113" spans="1:53" s="292" customFormat="1">
      <c r="A113" s="292">
        <v>2009</v>
      </c>
      <c r="B113" s="836">
        <v>40142</v>
      </c>
      <c r="C113" s="916" t="s">
        <v>227</v>
      </c>
      <c r="D113" s="916"/>
      <c r="E113" s="292">
        <v>37</v>
      </c>
      <c r="F113" s="292">
        <v>2</v>
      </c>
      <c r="G113" s="366">
        <v>6</v>
      </c>
      <c r="H113" s="292">
        <v>6</v>
      </c>
      <c r="I113" s="292">
        <v>3</v>
      </c>
      <c r="J113" s="377">
        <v>15</v>
      </c>
      <c r="K113" s="336">
        <f>G113/J113*100</f>
        <v>40</v>
      </c>
      <c r="L113" s="336">
        <f t="shared" si="35"/>
        <v>40</v>
      </c>
      <c r="M113" s="336">
        <f t="shared" si="36"/>
        <v>20</v>
      </c>
      <c r="N113" s="368">
        <f t="shared" si="26"/>
        <v>100</v>
      </c>
      <c r="O113" s="335">
        <v>27.3</v>
      </c>
      <c r="P113" s="336">
        <v>26.7</v>
      </c>
      <c r="Q113" s="336">
        <v>13.3</v>
      </c>
      <c r="R113" s="337">
        <f t="shared" si="27"/>
        <v>67.3</v>
      </c>
      <c r="S113" s="340">
        <v>3</v>
      </c>
      <c r="T113" s="838"/>
      <c r="U113" s="836">
        <v>40142</v>
      </c>
      <c r="V113" s="299" t="s">
        <v>223</v>
      </c>
      <c r="W113" s="292" t="s">
        <v>82</v>
      </c>
      <c r="X113" s="292" t="s">
        <v>18</v>
      </c>
      <c r="Y113" s="300">
        <v>20</v>
      </c>
      <c r="Z113" s="292" t="s">
        <v>215</v>
      </c>
      <c r="AA113" s="292" t="s">
        <v>88</v>
      </c>
      <c r="AB113" s="292" t="s">
        <v>11</v>
      </c>
      <c r="AC113" s="292">
        <v>12</v>
      </c>
      <c r="AD113" s="299" t="s">
        <v>221</v>
      </c>
      <c r="AE113" s="292" t="s">
        <v>100</v>
      </c>
      <c r="AF113" s="292" t="s">
        <v>11</v>
      </c>
      <c r="AG113" s="300">
        <v>15.3</v>
      </c>
      <c r="AH113" s="292" t="s">
        <v>96</v>
      </c>
      <c r="AI113" s="292" t="s">
        <v>97</v>
      </c>
      <c r="AJ113" s="292" t="s">
        <v>12</v>
      </c>
      <c r="AK113" s="292">
        <v>13.3</v>
      </c>
      <c r="AL113" s="299" t="s">
        <v>224</v>
      </c>
      <c r="AM113" s="292" t="s">
        <v>86</v>
      </c>
      <c r="AN113" s="292" t="s">
        <v>18</v>
      </c>
      <c r="AO113" s="300">
        <v>6.7</v>
      </c>
      <c r="AP113" s="299"/>
      <c r="AS113" s="300"/>
      <c r="AW113" s="300"/>
      <c r="BA113" s="301"/>
    </row>
    <row r="114" spans="1:53" s="292" customFormat="1">
      <c r="A114" s="292">
        <v>2010</v>
      </c>
      <c r="B114" s="836"/>
      <c r="C114" s="916" t="s">
        <v>227</v>
      </c>
      <c r="D114" s="916"/>
      <c r="E114" s="292">
        <v>163</v>
      </c>
      <c r="G114" s="366">
        <v>6</v>
      </c>
      <c r="H114" s="292">
        <v>6</v>
      </c>
      <c r="I114" s="292">
        <v>3</v>
      </c>
      <c r="J114" s="377">
        <v>15</v>
      </c>
      <c r="K114" s="336">
        <f t="shared" si="34"/>
        <v>40</v>
      </c>
      <c r="L114" s="336">
        <f t="shared" si="35"/>
        <v>40</v>
      </c>
      <c r="M114" s="336">
        <f t="shared" si="36"/>
        <v>20</v>
      </c>
      <c r="N114" s="368">
        <f t="shared" si="26"/>
        <v>100</v>
      </c>
      <c r="O114" s="335">
        <v>27.3</v>
      </c>
      <c r="P114" s="336">
        <v>26.7</v>
      </c>
      <c r="Q114" s="336">
        <v>13.3</v>
      </c>
      <c r="R114" s="337">
        <f t="shared" si="27"/>
        <v>67.3</v>
      </c>
      <c r="S114" s="340">
        <v>3</v>
      </c>
      <c r="T114" s="838"/>
      <c r="U114" s="836"/>
      <c r="V114" s="299" t="s">
        <v>223</v>
      </c>
      <c r="W114" s="292" t="s">
        <v>82</v>
      </c>
      <c r="X114" s="292" t="s">
        <v>18</v>
      </c>
      <c r="Y114" s="300">
        <v>20</v>
      </c>
      <c r="Z114" s="292" t="s">
        <v>215</v>
      </c>
      <c r="AA114" s="292" t="s">
        <v>88</v>
      </c>
      <c r="AB114" s="292" t="s">
        <v>11</v>
      </c>
      <c r="AC114" s="292">
        <v>12</v>
      </c>
      <c r="AD114" s="299" t="s">
        <v>221</v>
      </c>
      <c r="AE114" s="292" t="s">
        <v>100</v>
      </c>
      <c r="AF114" s="292" t="s">
        <v>11</v>
      </c>
      <c r="AG114" s="300">
        <v>15.3</v>
      </c>
      <c r="AH114" s="292" t="s">
        <v>96</v>
      </c>
      <c r="AI114" s="292" t="s">
        <v>97</v>
      </c>
      <c r="AJ114" s="292" t="s">
        <v>12</v>
      </c>
      <c r="AK114" s="292">
        <v>13.3</v>
      </c>
      <c r="AL114" s="299" t="s">
        <v>224</v>
      </c>
      <c r="AM114" s="292" t="s">
        <v>86</v>
      </c>
      <c r="AN114" s="292" t="s">
        <v>18</v>
      </c>
      <c r="AO114" s="300">
        <v>6.7</v>
      </c>
      <c r="AP114" s="299"/>
      <c r="AS114" s="300"/>
      <c r="AW114" s="300"/>
      <c r="BA114" s="301"/>
    </row>
    <row r="115" spans="1:53" s="287" customFormat="1">
      <c r="A115" s="287">
        <v>2010</v>
      </c>
      <c r="B115" s="852">
        <v>40342</v>
      </c>
      <c r="C115" s="917" t="s">
        <v>1445</v>
      </c>
      <c r="D115" s="917"/>
      <c r="E115" s="287">
        <f>365-E114</f>
        <v>202</v>
      </c>
      <c r="F115" s="287">
        <v>1</v>
      </c>
      <c r="G115" s="119">
        <v>6</v>
      </c>
      <c r="H115" s="287">
        <v>6</v>
      </c>
      <c r="I115" s="287">
        <v>3</v>
      </c>
      <c r="J115" s="126">
        <v>15</v>
      </c>
      <c r="K115" s="92">
        <f t="shared" si="34"/>
        <v>40</v>
      </c>
      <c r="L115" s="92">
        <f t="shared" si="35"/>
        <v>40</v>
      </c>
      <c r="M115" s="92">
        <f t="shared" si="36"/>
        <v>20</v>
      </c>
      <c r="N115" s="121">
        <f t="shared" si="26"/>
        <v>100</v>
      </c>
      <c r="O115" s="91">
        <v>20.7</v>
      </c>
      <c r="P115" s="92">
        <v>17.3</v>
      </c>
      <c r="Q115" s="92">
        <v>17.3</v>
      </c>
      <c r="R115" s="93">
        <f t="shared" si="27"/>
        <v>55.3</v>
      </c>
      <c r="S115" s="97">
        <v>6</v>
      </c>
      <c r="T115" s="839">
        <v>40342</v>
      </c>
      <c r="U115" s="852">
        <v>40342</v>
      </c>
      <c r="V115" s="82" t="s">
        <v>223</v>
      </c>
      <c r="W115" s="287" t="s">
        <v>82</v>
      </c>
      <c r="X115" s="287" t="s">
        <v>18</v>
      </c>
      <c r="Y115" s="83">
        <v>11.3</v>
      </c>
      <c r="Z115" s="287" t="s">
        <v>215</v>
      </c>
      <c r="AA115" s="287" t="s">
        <v>88</v>
      </c>
      <c r="AB115" s="287" t="s">
        <v>11</v>
      </c>
      <c r="AC115" s="287">
        <v>8.6999999999999993</v>
      </c>
      <c r="AD115" s="82" t="s">
        <v>221</v>
      </c>
      <c r="AE115" s="287" t="s">
        <v>100</v>
      </c>
      <c r="AF115" s="287" t="s">
        <v>11</v>
      </c>
      <c r="AG115" s="83">
        <v>12</v>
      </c>
      <c r="AH115" s="287" t="s">
        <v>96</v>
      </c>
      <c r="AI115" s="287" t="s">
        <v>97</v>
      </c>
      <c r="AJ115" s="287" t="s">
        <v>12</v>
      </c>
      <c r="AK115" s="287">
        <v>17.3</v>
      </c>
      <c r="AL115" s="82" t="s">
        <v>224</v>
      </c>
      <c r="AM115" s="287" t="s">
        <v>86</v>
      </c>
      <c r="AN115" s="287" t="s">
        <v>18</v>
      </c>
      <c r="AO115" s="83">
        <v>6</v>
      </c>
      <c r="AP115" s="82"/>
      <c r="AS115" s="83"/>
      <c r="AW115" s="83"/>
      <c r="BA115" s="84"/>
    </row>
    <row r="116" spans="1:53" s="287" customFormat="1">
      <c r="A116" s="287">
        <v>2011</v>
      </c>
      <c r="B116" s="852"/>
      <c r="C116" s="917" t="s">
        <v>1445</v>
      </c>
      <c r="D116" s="917"/>
      <c r="E116" s="287">
        <v>339</v>
      </c>
      <c r="G116" s="119">
        <v>6</v>
      </c>
      <c r="H116" s="287">
        <v>6</v>
      </c>
      <c r="I116" s="287">
        <v>3</v>
      </c>
      <c r="J116" s="126">
        <v>15</v>
      </c>
      <c r="K116" s="92">
        <f t="shared" ref="K116:K121" si="37">G116/J116*100</f>
        <v>40</v>
      </c>
      <c r="L116" s="92">
        <f t="shared" ref="L116:L122" si="38">H116/J116*100</f>
        <v>40</v>
      </c>
      <c r="M116" s="92">
        <f t="shared" ref="M116:M122" si="39">I116/J116*100</f>
        <v>20</v>
      </c>
      <c r="N116" s="121">
        <f t="shared" si="26"/>
        <v>100</v>
      </c>
      <c r="O116" s="91">
        <v>20.7</v>
      </c>
      <c r="P116" s="92">
        <v>17.3</v>
      </c>
      <c r="Q116" s="92">
        <v>17.3</v>
      </c>
      <c r="R116" s="93">
        <f t="shared" si="27"/>
        <v>55.3</v>
      </c>
      <c r="S116" s="97">
        <v>6</v>
      </c>
      <c r="T116" s="839"/>
      <c r="U116" s="852"/>
      <c r="V116" s="82" t="s">
        <v>223</v>
      </c>
      <c r="W116" s="287" t="s">
        <v>82</v>
      </c>
      <c r="X116" s="287" t="s">
        <v>18</v>
      </c>
      <c r="Y116" s="83">
        <v>11.3</v>
      </c>
      <c r="Z116" s="287" t="s">
        <v>215</v>
      </c>
      <c r="AA116" s="287" t="s">
        <v>88</v>
      </c>
      <c r="AB116" s="287" t="s">
        <v>11</v>
      </c>
      <c r="AC116" s="287">
        <v>8.6999999999999993</v>
      </c>
      <c r="AD116" s="82" t="s">
        <v>221</v>
      </c>
      <c r="AE116" s="287" t="s">
        <v>100</v>
      </c>
      <c r="AF116" s="287" t="s">
        <v>11</v>
      </c>
      <c r="AG116" s="83">
        <v>12</v>
      </c>
      <c r="AH116" s="287" t="s">
        <v>96</v>
      </c>
      <c r="AI116" s="287" t="s">
        <v>97</v>
      </c>
      <c r="AJ116" s="287" t="s">
        <v>12</v>
      </c>
      <c r="AK116" s="287">
        <v>17.3</v>
      </c>
      <c r="AL116" s="82" t="s">
        <v>224</v>
      </c>
      <c r="AM116" s="287" t="s">
        <v>86</v>
      </c>
      <c r="AN116" s="287" t="s">
        <v>18</v>
      </c>
      <c r="AO116" s="83">
        <v>6</v>
      </c>
      <c r="AP116" s="82"/>
      <c r="AS116" s="83"/>
      <c r="AW116" s="83"/>
      <c r="BA116" s="84"/>
    </row>
    <row r="117" spans="1:53" s="292" customFormat="1">
      <c r="A117" s="292">
        <v>2011</v>
      </c>
      <c r="B117" s="836">
        <v>40883</v>
      </c>
      <c r="C117" s="916" t="s">
        <v>228</v>
      </c>
      <c r="D117" s="916"/>
      <c r="E117" s="292">
        <v>26</v>
      </c>
      <c r="F117" s="292">
        <v>1</v>
      </c>
      <c r="G117" s="366">
        <v>5</v>
      </c>
      <c r="H117" s="292">
        <v>3</v>
      </c>
      <c r="I117" s="292">
        <v>5</v>
      </c>
      <c r="J117" s="377">
        <v>13</v>
      </c>
      <c r="K117" s="336">
        <f t="shared" si="37"/>
        <v>38.461538461538467</v>
      </c>
      <c r="L117" s="336">
        <f t="shared" si="38"/>
        <v>23.076923076923077</v>
      </c>
      <c r="M117" s="336">
        <f t="shared" si="39"/>
        <v>38.461538461538467</v>
      </c>
      <c r="N117" s="368">
        <f t="shared" si="26"/>
        <v>100.00000000000001</v>
      </c>
      <c r="O117" s="335">
        <v>20.7</v>
      </c>
      <c r="P117" s="336">
        <v>17.3</v>
      </c>
      <c r="Q117" s="336">
        <v>26</v>
      </c>
      <c r="R117" s="337">
        <f t="shared" si="27"/>
        <v>64</v>
      </c>
      <c r="S117" s="340">
        <v>3</v>
      </c>
      <c r="T117" s="838"/>
      <c r="U117" s="836">
        <v>40883</v>
      </c>
      <c r="V117" s="299" t="s">
        <v>96</v>
      </c>
      <c r="W117" s="292" t="s">
        <v>97</v>
      </c>
      <c r="X117" s="292" t="s">
        <v>12</v>
      </c>
      <c r="Y117" s="300">
        <v>17.3</v>
      </c>
      <c r="Z117" s="292" t="s">
        <v>223</v>
      </c>
      <c r="AA117" s="292" t="s">
        <v>82</v>
      </c>
      <c r="AB117" s="292" t="s">
        <v>18</v>
      </c>
      <c r="AC117" s="292">
        <v>11.3</v>
      </c>
      <c r="AD117" s="299" t="s">
        <v>221</v>
      </c>
      <c r="AE117" s="292" t="s">
        <v>100</v>
      </c>
      <c r="AF117" s="292" t="s">
        <v>11</v>
      </c>
      <c r="AG117" s="300">
        <v>12</v>
      </c>
      <c r="AH117" s="292" t="s">
        <v>215</v>
      </c>
      <c r="AI117" s="292" t="s">
        <v>88</v>
      </c>
      <c r="AJ117" s="292" t="s">
        <v>11</v>
      </c>
      <c r="AK117" s="292">
        <v>8.6999999999999993</v>
      </c>
      <c r="AL117" s="299" t="s">
        <v>95</v>
      </c>
      <c r="AM117" s="292" t="s">
        <v>98</v>
      </c>
      <c r="AN117" s="292" t="s">
        <v>12</v>
      </c>
      <c r="AO117" s="300">
        <v>8.6999999999999993</v>
      </c>
      <c r="AP117" s="299" t="s">
        <v>224</v>
      </c>
      <c r="AQ117" s="292" t="s">
        <v>86</v>
      </c>
      <c r="AR117" s="292" t="s">
        <v>18</v>
      </c>
      <c r="AS117" s="300">
        <v>6</v>
      </c>
      <c r="AW117" s="300"/>
      <c r="BA117" s="301"/>
    </row>
    <row r="118" spans="1:53" s="292" customFormat="1">
      <c r="A118" s="292">
        <v>2012</v>
      </c>
      <c r="B118" s="836"/>
      <c r="C118" s="916" t="s">
        <v>228</v>
      </c>
      <c r="D118" s="916"/>
      <c r="E118" s="292">
        <v>0</v>
      </c>
      <c r="G118" s="366">
        <v>5</v>
      </c>
      <c r="H118" s="292">
        <v>3</v>
      </c>
      <c r="I118" s="292">
        <v>5</v>
      </c>
      <c r="J118" s="377">
        <v>13</v>
      </c>
      <c r="K118" s="336">
        <f t="shared" si="37"/>
        <v>38.461538461538467</v>
      </c>
      <c r="L118" s="336">
        <f t="shared" si="38"/>
        <v>23.076923076923077</v>
      </c>
      <c r="M118" s="336">
        <f t="shared" si="39"/>
        <v>38.461538461538467</v>
      </c>
      <c r="N118" s="368">
        <f t="shared" si="26"/>
        <v>100.00000000000001</v>
      </c>
      <c r="O118" s="335">
        <v>20.7</v>
      </c>
      <c r="P118" s="336">
        <v>17.3</v>
      </c>
      <c r="Q118" s="336">
        <v>26</v>
      </c>
      <c r="R118" s="337">
        <f t="shared" si="27"/>
        <v>64</v>
      </c>
      <c r="S118" s="340">
        <v>3</v>
      </c>
      <c r="T118" s="838"/>
      <c r="U118" s="836"/>
      <c r="V118" s="299" t="s">
        <v>96</v>
      </c>
      <c r="W118" s="292" t="s">
        <v>97</v>
      </c>
      <c r="X118" s="292" t="s">
        <v>12</v>
      </c>
      <c r="Y118" s="300">
        <v>17.3</v>
      </c>
      <c r="Z118" s="292" t="s">
        <v>223</v>
      </c>
      <c r="AA118" s="292" t="s">
        <v>82</v>
      </c>
      <c r="AB118" s="292" t="s">
        <v>18</v>
      </c>
      <c r="AC118" s="292">
        <v>11.3</v>
      </c>
      <c r="AD118" s="299" t="s">
        <v>221</v>
      </c>
      <c r="AE118" s="292" t="s">
        <v>100</v>
      </c>
      <c r="AF118" s="292" t="s">
        <v>11</v>
      </c>
      <c r="AG118" s="300">
        <v>12</v>
      </c>
      <c r="AH118" s="292" t="s">
        <v>215</v>
      </c>
      <c r="AI118" s="292" t="s">
        <v>88</v>
      </c>
      <c r="AJ118" s="292" t="s">
        <v>11</v>
      </c>
      <c r="AK118" s="292">
        <v>8.6999999999999993</v>
      </c>
      <c r="AL118" s="299" t="s">
        <v>95</v>
      </c>
      <c r="AM118" s="292" t="s">
        <v>98</v>
      </c>
      <c r="AN118" s="292" t="s">
        <v>12</v>
      </c>
      <c r="AO118" s="300">
        <v>8.6999999999999993</v>
      </c>
      <c r="AP118" s="299" t="s">
        <v>224</v>
      </c>
      <c r="AQ118" s="292" t="s">
        <v>86</v>
      </c>
      <c r="AR118" s="292" t="s">
        <v>18</v>
      </c>
      <c r="AS118" s="300">
        <v>6</v>
      </c>
      <c r="AW118" s="300"/>
      <c r="BA118" s="301"/>
    </row>
    <row r="119" spans="1:53" s="292" customFormat="1">
      <c r="A119" s="292">
        <v>2012</v>
      </c>
      <c r="B119" s="836"/>
      <c r="C119" s="916" t="s">
        <v>228</v>
      </c>
      <c r="D119" s="916"/>
      <c r="E119" s="292">
        <v>366</v>
      </c>
      <c r="G119" s="366">
        <v>5</v>
      </c>
      <c r="H119" s="292">
        <v>3</v>
      </c>
      <c r="I119" s="292">
        <v>5</v>
      </c>
      <c r="J119" s="377">
        <v>13</v>
      </c>
      <c r="K119" s="336">
        <f t="shared" si="37"/>
        <v>38.461538461538467</v>
      </c>
      <c r="L119" s="336">
        <f t="shared" si="38"/>
        <v>23.076923076923077</v>
      </c>
      <c r="M119" s="336">
        <f t="shared" si="39"/>
        <v>38.461538461538467</v>
      </c>
      <c r="N119" s="368">
        <f t="shared" ref="N119:N124" si="40">SUM(K119:M119)</f>
        <v>100.00000000000001</v>
      </c>
      <c r="O119" s="335">
        <v>20.7</v>
      </c>
      <c r="P119" s="336">
        <v>17.3</v>
      </c>
      <c r="Q119" s="336">
        <v>26</v>
      </c>
      <c r="R119" s="337">
        <f t="shared" si="27"/>
        <v>64</v>
      </c>
      <c r="S119" s="340">
        <v>3</v>
      </c>
      <c r="T119" s="838"/>
      <c r="U119" s="836"/>
      <c r="V119" s="299" t="s">
        <v>96</v>
      </c>
      <c r="W119" s="292" t="s">
        <v>97</v>
      </c>
      <c r="X119" s="292" t="s">
        <v>12</v>
      </c>
      <c r="Y119" s="300">
        <v>17.3</v>
      </c>
      <c r="Z119" s="292" t="s">
        <v>223</v>
      </c>
      <c r="AA119" s="292" t="s">
        <v>82</v>
      </c>
      <c r="AB119" s="292" t="s">
        <v>18</v>
      </c>
      <c r="AC119" s="292">
        <v>11.3</v>
      </c>
      <c r="AD119" s="299" t="s">
        <v>221</v>
      </c>
      <c r="AE119" s="292" t="s">
        <v>100</v>
      </c>
      <c r="AF119" s="292" t="s">
        <v>11</v>
      </c>
      <c r="AG119" s="300">
        <v>12</v>
      </c>
      <c r="AH119" s="292" t="s">
        <v>215</v>
      </c>
      <c r="AI119" s="292" t="s">
        <v>88</v>
      </c>
      <c r="AJ119" s="292" t="s">
        <v>11</v>
      </c>
      <c r="AK119" s="292">
        <v>8.6999999999999993</v>
      </c>
      <c r="AL119" s="299" t="s">
        <v>95</v>
      </c>
      <c r="AM119" s="292" t="s">
        <v>98</v>
      </c>
      <c r="AN119" s="292" t="s">
        <v>12</v>
      </c>
      <c r="AO119" s="300">
        <v>8.6999999999999993</v>
      </c>
      <c r="AP119" s="299" t="s">
        <v>224</v>
      </c>
      <c r="AQ119" s="292" t="s">
        <v>86</v>
      </c>
      <c r="AR119" s="292" t="s">
        <v>18</v>
      </c>
      <c r="AS119" s="300">
        <v>6</v>
      </c>
      <c r="AW119" s="300"/>
      <c r="BA119" s="301"/>
    </row>
    <row r="120" spans="1:53" s="292" customFormat="1">
      <c r="A120" s="292">
        <v>2013</v>
      </c>
      <c r="B120" s="836"/>
      <c r="C120" s="916" t="s">
        <v>228</v>
      </c>
      <c r="D120" s="916"/>
      <c r="E120" s="292">
        <v>0</v>
      </c>
      <c r="G120" s="366">
        <v>5</v>
      </c>
      <c r="H120" s="292">
        <v>3</v>
      </c>
      <c r="I120" s="292">
        <v>5</v>
      </c>
      <c r="J120" s="377">
        <v>13</v>
      </c>
      <c r="K120" s="336">
        <f t="shared" si="37"/>
        <v>38.461538461538467</v>
      </c>
      <c r="L120" s="336">
        <f t="shared" si="38"/>
        <v>23.076923076923077</v>
      </c>
      <c r="M120" s="336">
        <f t="shared" si="39"/>
        <v>38.461538461538467</v>
      </c>
      <c r="N120" s="368">
        <f t="shared" si="40"/>
        <v>100.00000000000001</v>
      </c>
      <c r="O120" s="335">
        <v>20.7</v>
      </c>
      <c r="P120" s="336">
        <v>17.3</v>
      </c>
      <c r="Q120" s="336">
        <v>26</v>
      </c>
      <c r="R120" s="337">
        <f t="shared" si="27"/>
        <v>64</v>
      </c>
      <c r="S120" s="340">
        <v>3</v>
      </c>
      <c r="T120" s="838"/>
      <c r="U120" s="836"/>
      <c r="V120" s="299" t="s">
        <v>96</v>
      </c>
      <c r="W120" s="292" t="s">
        <v>97</v>
      </c>
      <c r="X120" s="292" t="s">
        <v>12</v>
      </c>
      <c r="Y120" s="300">
        <v>17.3</v>
      </c>
      <c r="Z120" s="292" t="s">
        <v>223</v>
      </c>
      <c r="AA120" s="292" t="s">
        <v>82</v>
      </c>
      <c r="AB120" s="292" t="s">
        <v>18</v>
      </c>
      <c r="AC120" s="292">
        <v>11.3</v>
      </c>
      <c r="AD120" s="299" t="s">
        <v>221</v>
      </c>
      <c r="AE120" s="292" t="s">
        <v>100</v>
      </c>
      <c r="AF120" s="292" t="s">
        <v>11</v>
      </c>
      <c r="AG120" s="300">
        <v>12</v>
      </c>
      <c r="AH120" s="292" t="s">
        <v>215</v>
      </c>
      <c r="AI120" s="292" t="s">
        <v>88</v>
      </c>
      <c r="AJ120" s="292" t="s">
        <v>11</v>
      </c>
      <c r="AK120" s="292">
        <v>8.6999999999999993</v>
      </c>
      <c r="AL120" s="299" t="s">
        <v>95</v>
      </c>
      <c r="AM120" s="292" t="s">
        <v>98</v>
      </c>
      <c r="AN120" s="292" t="s">
        <v>12</v>
      </c>
      <c r="AO120" s="300">
        <v>8.6999999999999993</v>
      </c>
      <c r="AP120" s="299" t="s">
        <v>224</v>
      </c>
      <c r="AQ120" s="292" t="s">
        <v>86</v>
      </c>
      <c r="AR120" s="292" t="s">
        <v>18</v>
      </c>
      <c r="AS120" s="300">
        <v>6</v>
      </c>
      <c r="AW120" s="300"/>
      <c r="BA120" s="301"/>
    </row>
    <row r="121" spans="1:53" s="292" customFormat="1">
      <c r="A121" s="292">
        <v>2013</v>
      </c>
      <c r="B121" s="836"/>
      <c r="C121" s="916" t="s">
        <v>228</v>
      </c>
      <c r="D121" s="916"/>
      <c r="E121" s="292">
        <v>365</v>
      </c>
      <c r="G121" s="366">
        <v>5</v>
      </c>
      <c r="H121" s="292">
        <v>3</v>
      </c>
      <c r="I121" s="292">
        <v>5</v>
      </c>
      <c r="J121" s="377">
        <v>13</v>
      </c>
      <c r="K121" s="336">
        <f t="shared" si="37"/>
        <v>38.461538461538467</v>
      </c>
      <c r="L121" s="336">
        <f t="shared" si="38"/>
        <v>23.076923076923077</v>
      </c>
      <c r="M121" s="336">
        <f t="shared" si="39"/>
        <v>38.461538461538467</v>
      </c>
      <c r="N121" s="368">
        <f t="shared" si="40"/>
        <v>100.00000000000001</v>
      </c>
      <c r="O121" s="335">
        <v>20.7</v>
      </c>
      <c r="P121" s="336">
        <v>17.3</v>
      </c>
      <c r="Q121" s="336">
        <v>26</v>
      </c>
      <c r="R121" s="337">
        <f>SUM(O121:Q121)</f>
        <v>64</v>
      </c>
      <c r="S121" s="340">
        <v>3</v>
      </c>
      <c r="T121" s="838"/>
      <c r="U121" s="836"/>
      <c r="V121" s="299" t="s">
        <v>96</v>
      </c>
      <c r="W121" s="292" t="s">
        <v>97</v>
      </c>
      <c r="X121" s="292" t="s">
        <v>12</v>
      </c>
      <c r="Y121" s="300">
        <v>17.3</v>
      </c>
      <c r="Z121" s="292" t="s">
        <v>223</v>
      </c>
      <c r="AA121" s="292" t="s">
        <v>82</v>
      </c>
      <c r="AB121" s="292" t="s">
        <v>18</v>
      </c>
      <c r="AC121" s="292">
        <v>11.3</v>
      </c>
      <c r="AD121" s="299" t="s">
        <v>221</v>
      </c>
      <c r="AE121" s="292" t="s">
        <v>100</v>
      </c>
      <c r="AF121" s="292" t="s">
        <v>11</v>
      </c>
      <c r="AG121" s="300">
        <v>12</v>
      </c>
      <c r="AH121" s="292" t="s">
        <v>215</v>
      </c>
      <c r="AI121" s="292" t="s">
        <v>88</v>
      </c>
      <c r="AJ121" s="292" t="s">
        <v>11</v>
      </c>
      <c r="AK121" s="292">
        <v>8.6999999999999993</v>
      </c>
      <c r="AL121" s="299" t="s">
        <v>95</v>
      </c>
      <c r="AM121" s="292" t="s">
        <v>98</v>
      </c>
      <c r="AN121" s="292" t="s">
        <v>12</v>
      </c>
      <c r="AO121" s="300">
        <v>8.6999999999999993</v>
      </c>
      <c r="AP121" s="299" t="s">
        <v>224</v>
      </c>
      <c r="AQ121" s="292" t="s">
        <v>86</v>
      </c>
      <c r="AR121" s="292" t="s">
        <v>18</v>
      </c>
      <c r="AS121" s="300">
        <v>6</v>
      </c>
      <c r="AW121" s="300"/>
      <c r="BA121" s="301"/>
    </row>
    <row r="122" spans="1:53" s="436" customFormat="1">
      <c r="A122" s="436">
        <v>2014</v>
      </c>
      <c r="B122" s="836"/>
      <c r="C122" s="916" t="s">
        <v>228</v>
      </c>
      <c r="D122" s="916"/>
      <c r="E122" s="436">
        <v>145</v>
      </c>
      <c r="G122" s="425">
        <v>5</v>
      </c>
      <c r="H122" s="436">
        <v>3</v>
      </c>
      <c r="I122" s="436">
        <v>5</v>
      </c>
      <c r="J122" s="427">
        <v>13</v>
      </c>
      <c r="K122" s="423">
        <f>G122/J122*100</f>
        <v>38.461538461538467</v>
      </c>
      <c r="L122" s="423">
        <f t="shared" si="38"/>
        <v>23.076923076923077</v>
      </c>
      <c r="M122" s="423">
        <f t="shared" si="39"/>
        <v>38.461538461538467</v>
      </c>
      <c r="N122" s="426">
        <f t="shared" si="40"/>
        <v>100.00000000000001</v>
      </c>
      <c r="O122" s="422">
        <v>20.7</v>
      </c>
      <c r="P122" s="423">
        <v>17.3</v>
      </c>
      <c r="Q122" s="423">
        <v>26</v>
      </c>
      <c r="R122" s="424">
        <f>SUM(O122:Q122)</f>
        <v>64</v>
      </c>
      <c r="S122" s="340">
        <v>3</v>
      </c>
      <c r="T122" s="838"/>
      <c r="U122" s="836"/>
      <c r="V122" s="417" t="s">
        <v>96</v>
      </c>
      <c r="W122" s="436" t="s">
        <v>97</v>
      </c>
      <c r="X122" s="436" t="s">
        <v>12</v>
      </c>
      <c r="Y122" s="418">
        <v>17.3</v>
      </c>
      <c r="Z122" s="436" t="s">
        <v>223</v>
      </c>
      <c r="AA122" s="436" t="s">
        <v>82</v>
      </c>
      <c r="AB122" s="436" t="s">
        <v>18</v>
      </c>
      <c r="AC122" s="436">
        <v>11.3</v>
      </c>
      <c r="AD122" s="417" t="s">
        <v>221</v>
      </c>
      <c r="AE122" s="436" t="s">
        <v>100</v>
      </c>
      <c r="AF122" s="436" t="s">
        <v>11</v>
      </c>
      <c r="AG122" s="418">
        <v>12</v>
      </c>
      <c r="AH122" s="436" t="s">
        <v>215</v>
      </c>
      <c r="AI122" s="436" t="s">
        <v>88</v>
      </c>
      <c r="AJ122" s="436" t="s">
        <v>11</v>
      </c>
      <c r="AK122" s="436">
        <v>8.6999999999999993</v>
      </c>
      <c r="AL122" s="417" t="s">
        <v>95</v>
      </c>
      <c r="AM122" s="436" t="s">
        <v>98</v>
      </c>
      <c r="AN122" s="436" t="s">
        <v>12</v>
      </c>
      <c r="AO122" s="418">
        <v>8.6999999999999993</v>
      </c>
      <c r="AP122" s="417" t="s">
        <v>224</v>
      </c>
      <c r="AQ122" s="436" t="s">
        <v>86</v>
      </c>
      <c r="AR122" s="436" t="s">
        <v>18</v>
      </c>
      <c r="AS122" s="418">
        <v>6</v>
      </c>
      <c r="AW122" s="418"/>
      <c r="BA122" s="419"/>
    </row>
    <row r="123" spans="1:53" s="437" customFormat="1">
      <c r="A123" s="437">
        <v>2014</v>
      </c>
      <c r="B123" s="852">
        <v>41785</v>
      </c>
      <c r="C123" s="917" t="s">
        <v>1446</v>
      </c>
      <c r="D123" s="917"/>
      <c r="E123" s="437">
        <v>138</v>
      </c>
      <c r="F123" s="437">
        <v>1</v>
      </c>
      <c r="G123" s="411">
        <v>5</v>
      </c>
      <c r="H123" s="437">
        <v>3</v>
      </c>
      <c r="I123" s="437">
        <v>5</v>
      </c>
      <c r="J123" s="413">
        <v>13</v>
      </c>
      <c r="K123" s="409">
        <f>G123/J123*100</f>
        <v>38.461538461538467</v>
      </c>
      <c r="L123" s="409">
        <f>H123/J123*100</f>
        <v>23.076923076923077</v>
      </c>
      <c r="M123" s="409">
        <f>I123/J123*100</f>
        <v>38.461538461538467</v>
      </c>
      <c r="N123" s="412">
        <f t="shared" si="40"/>
        <v>100.00000000000001</v>
      </c>
      <c r="O123" s="408">
        <v>22.6</v>
      </c>
      <c r="P123" s="409">
        <v>18</v>
      </c>
      <c r="Q123" s="409">
        <v>24</v>
      </c>
      <c r="R123" s="410">
        <f>SUM(O123:Q123)</f>
        <v>64.599999999999994</v>
      </c>
      <c r="S123" s="97">
        <v>6</v>
      </c>
      <c r="T123" s="839">
        <v>41784</v>
      </c>
      <c r="U123" s="852">
        <v>41785</v>
      </c>
      <c r="V123" s="405" t="s">
        <v>96</v>
      </c>
      <c r="W123" s="437" t="s">
        <v>97</v>
      </c>
      <c r="X123" s="437" t="s">
        <v>12</v>
      </c>
      <c r="Y123" s="406">
        <v>15.3</v>
      </c>
      <c r="Z123" s="437" t="s">
        <v>223</v>
      </c>
      <c r="AA123" s="437" t="s">
        <v>82</v>
      </c>
      <c r="AB123" s="437" t="s">
        <v>18</v>
      </c>
      <c r="AC123" s="437">
        <v>12</v>
      </c>
      <c r="AD123" s="405" t="s">
        <v>221</v>
      </c>
      <c r="AE123" s="437" t="s">
        <v>100</v>
      </c>
      <c r="AF123" s="437" t="s">
        <v>11</v>
      </c>
      <c r="AG123" s="406">
        <v>13.3</v>
      </c>
      <c r="AH123" s="437" t="s">
        <v>215</v>
      </c>
      <c r="AI123" s="437" t="s">
        <v>88</v>
      </c>
      <c r="AJ123" s="437" t="s">
        <v>11</v>
      </c>
      <c r="AK123" s="437">
        <v>9.3000000000000007</v>
      </c>
      <c r="AL123" s="405" t="s">
        <v>95</v>
      </c>
      <c r="AM123" s="437" t="s">
        <v>98</v>
      </c>
      <c r="AN123" s="437" t="s">
        <v>12</v>
      </c>
      <c r="AO123" s="406">
        <v>8.6999999999999993</v>
      </c>
      <c r="AP123" s="405" t="s">
        <v>224</v>
      </c>
      <c r="AQ123" s="437" t="s">
        <v>86</v>
      </c>
      <c r="AR123" s="437" t="s">
        <v>18</v>
      </c>
      <c r="AS123" s="406">
        <v>6</v>
      </c>
      <c r="AW123" s="406"/>
      <c r="BA123" s="407"/>
    </row>
    <row r="124" spans="1:53" s="436" customFormat="1">
      <c r="A124" s="436">
        <v>2014</v>
      </c>
      <c r="B124" s="836">
        <v>41923</v>
      </c>
      <c r="C124" s="916" t="s">
        <v>1283</v>
      </c>
      <c r="D124" s="916"/>
      <c r="E124" s="436">
        <v>82</v>
      </c>
      <c r="F124" s="436">
        <v>1</v>
      </c>
      <c r="G124" s="425">
        <v>9</v>
      </c>
      <c r="H124" s="436">
        <v>5</v>
      </c>
      <c r="J124" s="427">
        <v>14</v>
      </c>
      <c r="K124" s="423">
        <f>G124/J124*100</f>
        <v>64.285714285714292</v>
      </c>
      <c r="L124" s="423">
        <f>H124/J124*100</f>
        <v>35.714285714285715</v>
      </c>
      <c r="M124" s="423">
        <f>I124/J124*100</f>
        <v>0</v>
      </c>
      <c r="N124" s="426">
        <f t="shared" si="40"/>
        <v>100</v>
      </c>
      <c r="O124" s="422">
        <v>22.6</v>
      </c>
      <c r="P124" s="423">
        <v>34</v>
      </c>
      <c r="Q124" s="423"/>
      <c r="R124" s="424">
        <f>SUM(O124:Q124)</f>
        <v>56.6</v>
      </c>
      <c r="S124" s="340">
        <v>2</v>
      </c>
      <c r="T124" s="838"/>
      <c r="U124" s="836">
        <v>41923</v>
      </c>
      <c r="V124" s="417" t="s">
        <v>221</v>
      </c>
      <c r="W124" s="436" t="s">
        <v>100</v>
      </c>
      <c r="X124" s="436" t="s">
        <v>11</v>
      </c>
      <c r="Y124" s="418">
        <v>13.3</v>
      </c>
      <c r="Z124" s="436" t="s">
        <v>1284</v>
      </c>
      <c r="AA124" s="436" t="s">
        <v>90</v>
      </c>
      <c r="AB124" s="436" t="s">
        <v>18</v>
      </c>
      <c r="AC124" s="436">
        <v>22</v>
      </c>
      <c r="AD124" s="417" t="s">
        <v>223</v>
      </c>
      <c r="AE124" s="436" t="s">
        <v>82</v>
      </c>
      <c r="AF124" s="436" t="s">
        <v>18</v>
      </c>
      <c r="AG124" s="418">
        <v>12</v>
      </c>
      <c r="AH124" s="436" t="s">
        <v>215</v>
      </c>
      <c r="AI124" s="436" t="s">
        <v>88</v>
      </c>
      <c r="AJ124" s="436" t="s">
        <v>11</v>
      </c>
      <c r="AK124" s="436">
        <v>9.3000000000000007</v>
      </c>
      <c r="AL124" s="417"/>
      <c r="AO124" s="418"/>
      <c r="AP124" s="417"/>
      <c r="AS124" s="418"/>
      <c r="AW124" s="418"/>
      <c r="BA124" s="419"/>
    </row>
    <row r="125" spans="1:53" s="569" customFormat="1">
      <c r="A125" s="569">
        <v>2015</v>
      </c>
      <c r="B125" s="836"/>
      <c r="C125" s="916" t="s">
        <v>1283</v>
      </c>
      <c r="D125" s="916"/>
      <c r="E125" s="569">
        <v>0</v>
      </c>
      <c r="G125" s="539">
        <v>9</v>
      </c>
      <c r="H125" s="569">
        <v>5</v>
      </c>
      <c r="J125" s="541">
        <v>14</v>
      </c>
      <c r="K125" s="537">
        <f t="shared" ref="K125:K127" si="41">G125/J125*100</f>
        <v>64.285714285714292</v>
      </c>
      <c r="L125" s="537">
        <f t="shared" ref="L125:L127" si="42">H125/J125*100</f>
        <v>35.714285714285715</v>
      </c>
      <c r="M125" s="537">
        <f t="shared" ref="M125:M127" si="43">I125/J125*100</f>
        <v>0</v>
      </c>
      <c r="N125" s="540">
        <f t="shared" ref="N125:N127" si="44">SUM(K125:M125)</f>
        <v>100</v>
      </c>
      <c r="O125" s="536">
        <v>22.6</v>
      </c>
      <c r="P125" s="537">
        <v>34</v>
      </c>
      <c r="Q125" s="537"/>
      <c r="R125" s="538">
        <f t="shared" ref="R125:R126" si="45">SUM(O125:Q125)</f>
        <v>56.6</v>
      </c>
      <c r="S125" s="340">
        <v>2</v>
      </c>
      <c r="T125" s="838"/>
      <c r="U125" s="836"/>
      <c r="V125" s="532" t="s">
        <v>221</v>
      </c>
      <c r="W125" s="569" t="s">
        <v>100</v>
      </c>
      <c r="X125" s="569" t="s">
        <v>11</v>
      </c>
      <c r="Y125" s="533">
        <v>13.3</v>
      </c>
      <c r="Z125" s="569" t="s">
        <v>1284</v>
      </c>
      <c r="AA125" s="569" t="s">
        <v>90</v>
      </c>
      <c r="AB125" s="569" t="s">
        <v>18</v>
      </c>
      <c r="AC125" s="569">
        <v>22</v>
      </c>
      <c r="AD125" s="532" t="s">
        <v>223</v>
      </c>
      <c r="AE125" s="569" t="s">
        <v>82</v>
      </c>
      <c r="AF125" s="569" t="s">
        <v>18</v>
      </c>
      <c r="AG125" s="533">
        <v>12</v>
      </c>
      <c r="AH125" s="569" t="s">
        <v>215</v>
      </c>
      <c r="AI125" s="569" t="s">
        <v>88</v>
      </c>
      <c r="AJ125" s="569" t="s">
        <v>11</v>
      </c>
      <c r="AK125" s="569">
        <v>9.3000000000000007</v>
      </c>
      <c r="AL125" s="532"/>
      <c r="AO125" s="533"/>
      <c r="AP125" s="532"/>
      <c r="AS125" s="533"/>
      <c r="AW125" s="533"/>
      <c r="BA125" s="534"/>
    </row>
    <row r="126" spans="1:53" s="569" customFormat="1">
      <c r="A126" s="569">
        <v>2015</v>
      </c>
      <c r="B126" s="836"/>
      <c r="C126" s="916" t="s">
        <v>1283</v>
      </c>
      <c r="D126" s="916"/>
      <c r="E126" s="569">
        <v>365</v>
      </c>
      <c r="G126" s="539">
        <v>9</v>
      </c>
      <c r="H126" s="569">
        <v>5</v>
      </c>
      <c r="J126" s="541">
        <v>14</v>
      </c>
      <c r="K126" s="537">
        <f t="shared" si="41"/>
        <v>64.285714285714292</v>
      </c>
      <c r="L126" s="537">
        <f t="shared" si="42"/>
        <v>35.714285714285715</v>
      </c>
      <c r="M126" s="537">
        <f t="shared" si="43"/>
        <v>0</v>
      </c>
      <c r="N126" s="540">
        <f t="shared" si="44"/>
        <v>100</v>
      </c>
      <c r="O126" s="536">
        <v>22.6</v>
      </c>
      <c r="P126" s="537">
        <v>34</v>
      </c>
      <c r="Q126" s="537"/>
      <c r="R126" s="538">
        <f t="shared" si="45"/>
        <v>56.6</v>
      </c>
      <c r="S126" s="340">
        <v>2</v>
      </c>
      <c r="T126" s="838"/>
      <c r="U126" s="836"/>
      <c r="V126" s="532" t="s">
        <v>221</v>
      </c>
      <c r="W126" s="569" t="s">
        <v>100</v>
      </c>
      <c r="X126" s="569" t="s">
        <v>11</v>
      </c>
      <c r="Y126" s="533">
        <v>13.3</v>
      </c>
      <c r="Z126" s="569" t="s">
        <v>1284</v>
      </c>
      <c r="AA126" s="569" t="s">
        <v>90</v>
      </c>
      <c r="AB126" s="569" t="s">
        <v>18</v>
      </c>
      <c r="AC126" s="569">
        <v>22</v>
      </c>
      <c r="AD126" s="532" t="s">
        <v>223</v>
      </c>
      <c r="AE126" s="569" t="s">
        <v>82</v>
      </c>
      <c r="AF126" s="569" t="s">
        <v>18</v>
      </c>
      <c r="AG126" s="533">
        <v>12</v>
      </c>
      <c r="AH126" s="569" t="s">
        <v>215</v>
      </c>
      <c r="AI126" s="569" t="s">
        <v>88</v>
      </c>
      <c r="AJ126" s="569" t="s">
        <v>11</v>
      </c>
      <c r="AK126" s="569">
        <v>9.3000000000000007</v>
      </c>
      <c r="AL126" s="532"/>
      <c r="AO126" s="533"/>
      <c r="AP126" s="532"/>
      <c r="AS126" s="533"/>
      <c r="AW126" s="533"/>
      <c r="BA126" s="534"/>
    </row>
    <row r="127" spans="1:53" s="647" customFormat="1">
      <c r="A127" s="647">
        <v>2016</v>
      </c>
      <c r="B127" s="836"/>
      <c r="C127" s="916" t="s">
        <v>1283</v>
      </c>
      <c r="D127" s="916"/>
      <c r="E127" s="647">
        <v>0</v>
      </c>
      <c r="G127" s="539">
        <v>9</v>
      </c>
      <c r="H127" s="647">
        <v>5</v>
      </c>
      <c r="J127" s="541">
        <v>14</v>
      </c>
      <c r="K127" s="537">
        <f t="shared" si="41"/>
        <v>64.285714285714292</v>
      </c>
      <c r="L127" s="537">
        <f t="shared" si="42"/>
        <v>35.714285714285715</v>
      </c>
      <c r="M127" s="537">
        <f t="shared" si="43"/>
        <v>0</v>
      </c>
      <c r="N127" s="540">
        <f t="shared" si="44"/>
        <v>100</v>
      </c>
      <c r="O127" s="536">
        <v>22.6</v>
      </c>
      <c r="P127" s="537">
        <v>34</v>
      </c>
      <c r="Q127" s="537"/>
      <c r="R127" s="538">
        <f t="shared" ref="R127" si="46">SUM(O127:Q127)</f>
        <v>56.6</v>
      </c>
      <c r="S127" s="340">
        <v>2</v>
      </c>
      <c r="T127" s="838"/>
      <c r="U127" s="836"/>
      <c r="V127" s="532" t="s">
        <v>221</v>
      </c>
      <c r="W127" s="647" t="s">
        <v>100</v>
      </c>
      <c r="X127" s="647" t="s">
        <v>11</v>
      </c>
      <c r="Y127" s="533">
        <v>13.3</v>
      </c>
      <c r="Z127" s="647" t="s">
        <v>1284</v>
      </c>
      <c r="AA127" s="647" t="s">
        <v>90</v>
      </c>
      <c r="AB127" s="647" t="s">
        <v>18</v>
      </c>
      <c r="AC127" s="647">
        <v>22</v>
      </c>
      <c r="AD127" s="532" t="s">
        <v>223</v>
      </c>
      <c r="AE127" s="647" t="s">
        <v>82</v>
      </c>
      <c r="AF127" s="647" t="s">
        <v>18</v>
      </c>
      <c r="AG127" s="533">
        <v>12</v>
      </c>
      <c r="AH127" s="647" t="s">
        <v>215</v>
      </c>
      <c r="AI127" s="647" t="s">
        <v>88</v>
      </c>
      <c r="AJ127" s="647" t="s">
        <v>11</v>
      </c>
      <c r="AK127" s="647">
        <v>9.3000000000000007</v>
      </c>
      <c r="AL127" s="532"/>
      <c r="AO127" s="533"/>
      <c r="AP127" s="532"/>
      <c r="AS127" s="533"/>
      <c r="AW127" s="533"/>
      <c r="BA127" s="534"/>
    </row>
    <row r="128" spans="1:53" s="647" customFormat="1">
      <c r="A128" s="647">
        <v>2016</v>
      </c>
      <c r="B128" s="836"/>
      <c r="C128" s="916" t="s">
        <v>1283</v>
      </c>
      <c r="D128" s="916"/>
      <c r="E128" s="647">
        <v>366</v>
      </c>
      <c r="G128" s="539">
        <v>9</v>
      </c>
      <c r="H128" s="647">
        <v>5</v>
      </c>
      <c r="J128" s="541">
        <v>14</v>
      </c>
      <c r="K128" s="537">
        <f t="shared" ref="K128:K132" si="47">G128/J128*100</f>
        <v>64.285714285714292</v>
      </c>
      <c r="L128" s="537">
        <f t="shared" ref="L128:L132" si="48">H128/J128*100</f>
        <v>35.714285714285715</v>
      </c>
      <c r="M128" s="537">
        <f t="shared" ref="M128:M132" si="49">I128/J128*100</f>
        <v>0</v>
      </c>
      <c r="N128" s="540">
        <f t="shared" ref="N128:N132" si="50">SUM(K128:M128)</f>
        <v>100</v>
      </c>
      <c r="O128" s="536">
        <v>22.6</v>
      </c>
      <c r="P128" s="537">
        <v>34</v>
      </c>
      <c r="Q128" s="537"/>
      <c r="R128" s="538">
        <f t="shared" ref="R128:R130" si="51">SUM(O128:Q128)</f>
        <v>56.6</v>
      </c>
      <c r="S128" s="340">
        <v>2</v>
      </c>
      <c r="T128" s="838"/>
      <c r="U128" s="836"/>
      <c r="V128" s="532" t="s">
        <v>221</v>
      </c>
      <c r="W128" s="647" t="s">
        <v>100</v>
      </c>
      <c r="X128" s="647" t="s">
        <v>11</v>
      </c>
      <c r="Y128" s="533">
        <v>13.3</v>
      </c>
      <c r="Z128" s="647" t="s">
        <v>1284</v>
      </c>
      <c r="AA128" s="647" t="s">
        <v>90</v>
      </c>
      <c r="AB128" s="647" t="s">
        <v>18</v>
      </c>
      <c r="AC128" s="647">
        <v>22</v>
      </c>
      <c r="AD128" s="532" t="s">
        <v>223</v>
      </c>
      <c r="AE128" s="647" t="s">
        <v>82</v>
      </c>
      <c r="AF128" s="647" t="s">
        <v>18</v>
      </c>
      <c r="AG128" s="533">
        <v>12</v>
      </c>
      <c r="AH128" s="647" t="s">
        <v>215</v>
      </c>
      <c r="AI128" s="647" t="s">
        <v>88</v>
      </c>
      <c r="AJ128" s="647" t="s">
        <v>11</v>
      </c>
      <c r="AK128" s="647">
        <v>9.3000000000000007</v>
      </c>
      <c r="AL128" s="532"/>
      <c r="AO128" s="533"/>
      <c r="AP128" s="532"/>
      <c r="AS128" s="533"/>
      <c r="AW128" s="533"/>
      <c r="BA128" s="534"/>
    </row>
    <row r="129" spans="1:53" s="721" customFormat="1">
      <c r="A129" s="721">
        <v>2017</v>
      </c>
      <c r="B129" s="836"/>
      <c r="C129" s="916" t="s">
        <v>1283</v>
      </c>
      <c r="D129" s="916"/>
      <c r="E129" s="721">
        <v>0</v>
      </c>
      <c r="G129" s="539">
        <v>9</v>
      </c>
      <c r="H129" s="721">
        <v>5</v>
      </c>
      <c r="J129" s="541">
        <v>14</v>
      </c>
      <c r="K129" s="537">
        <f t="shared" si="47"/>
        <v>64.285714285714292</v>
      </c>
      <c r="L129" s="537">
        <f t="shared" si="48"/>
        <v>35.714285714285715</v>
      </c>
      <c r="M129" s="537">
        <f t="shared" si="49"/>
        <v>0</v>
      </c>
      <c r="N129" s="540">
        <f t="shared" si="50"/>
        <v>100</v>
      </c>
      <c r="O129" s="536">
        <v>22.6</v>
      </c>
      <c r="P129" s="537">
        <v>34</v>
      </c>
      <c r="Q129" s="537"/>
      <c r="R129" s="538">
        <f t="shared" si="51"/>
        <v>56.6</v>
      </c>
      <c r="S129" s="340">
        <v>2</v>
      </c>
      <c r="T129" s="838"/>
      <c r="U129" s="836"/>
      <c r="V129" s="532" t="s">
        <v>221</v>
      </c>
      <c r="W129" s="721" t="s">
        <v>100</v>
      </c>
      <c r="X129" s="721" t="s">
        <v>11</v>
      </c>
      <c r="Y129" s="533">
        <v>13.3</v>
      </c>
      <c r="Z129" s="721" t="s">
        <v>1284</v>
      </c>
      <c r="AA129" s="721" t="s">
        <v>90</v>
      </c>
      <c r="AB129" s="721" t="s">
        <v>18</v>
      </c>
      <c r="AC129" s="721">
        <v>22</v>
      </c>
      <c r="AD129" s="532" t="s">
        <v>223</v>
      </c>
      <c r="AE129" s="721" t="s">
        <v>82</v>
      </c>
      <c r="AF129" s="721" t="s">
        <v>18</v>
      </c>
      <c r="AG129" s="533">
        <v>12</v>
      </c>
      <c r="AH129" s="721" t="s">
        <v>215</v>
      </c>
      <c r="AI129" s="721" t="s">
        <v>88</v>
      </c>
      <c r="AJ129" s="721" t="s">
        <v>11</v>
      </c>
      <c r="AK129" s="721">
        <v>9.3000000000000007</v>
      </c>
      <c r="AL129" s="532"/>
      <c r="AO129" s="533"/>
      <c r="AP129" s="532"/>
      <c r="AS129" s="533"/>
      <c r="AW129" s="533"/>
      <c r="BA129" s="534"/>
    </row>
    <row r="130" spans="1:53" s="721" customFormat="1">
      <c r="A130" s="721">
        <v>2017</v>
      </c>
      <c r="B130" s="836"/>
      <c r="C130" s="916" t="s">
        <v>1283</v>
      </c>
      <c r="D130" s="916"/>
      <c r="E130" s="721">
        <v>365</v>
      </c>
      <c r="G130" s="539">
        <v>9</v>
      </c>
      <c r="H130" s="721">
        <v>5</v>
      </c>
      <c r="J130" s="541">
        <v>14</v>
      </c>
      <c r="K130" s="537">
        <f t="shared" si="47"/>
        <v>64.285714285714292</v>
      </c>
      <c r="L130" s="537">
        <f t="shared" si="48"/>
        <v>35.714285714285715</v>
      </c>
      <c r="M130" s="537">
        <f t="shared" si="49"/>
        <v>0</v>
      </c>
      <c r="N130" s="540">
        <f t="shared" si="50"/>
        <v>100</v>
      </c>
      <c r="O130" s="536">
        <v>22.6</v>
      </c>
      <c r="P130" s="537">
        <v>34</v>
      </c>
      <c r="Q130" s="537"/>
      <c r="R130" s="538">
        <f t="shared" si="51"/>
        <v>56.6</v>
      </c>
      <c r="S130" s="340">
        <v>2</v>
      </c>
      <c r="T130" s="838"/>
      <c r="U130" s="836"/>
      <c r="V130" s="532" t="s">
        <v>221</v>
      </c>
      <c r="W130" s="721" t="s">
        <v>100</v>
      </c>
      <c r="X130" s="721" t="s">
        <v>11</v>
      </c>
      <c r="Y130" s="533">
        <v>13.3</v>
      </c>
      <c r="Z130" s="721" t="s">
        <v>1284</v>
      </c>
      <c r="AA130" s="721" t="s">
        <v>90</v>
      </c>
      <c r="AB130" s="721" t="s">
        <v>18</v>
      </c>
      <c r="AC130" s="721">
        <v>22</v>
      </c>
      <c r="AD130" s="532" t="s">
        <v>223</v>
      </c>
      <c r="AE130" s="721" t="s">
        <v>82</v>
      </c>
      <c r="AF130" s="721" t="s">
        <v>18</v>
      </c>
      <c r="AG130" s="533">
        <v>12</v>
      </c>
      <c r="AH130" s="721" t="s">
        <v>215</v>
      </c>
      <c r="AI130" s="721" t="s">
        <v>88</v>
      </c>
      <c r="AJ130" s="721" t="s">
        <v>11</v>
      </c>
      <c r="AK130" s="721">
        <v>9.3000000000000007</v>
      </c>
      <c r="AL130" s="532"/>
      <c r="AO130" s="533"/>
      <c r="AP130" s="532"/>
      <c r="AS130" s="533"/>
      <c r="AW130" s="533"/>
      <c r="BA130" s="534"/>
    </row>
    <row r="131" spans="1:53" s="759" customFormat="1">
      <c r="A131" s="759">
        <v>2018</v>
      </c>
      <c r="B131" s="836"/>
      <c r="C131" s="916" t="s">
        <v>1283</v>
      </c>
      <c r="D131" s="916"/>
      <c r="E131" s="759">
        <v>342</v>
      </c>
      <c r="G131" s="539">
        <v>9</v>
      </c>
      <c r="H131" s="759">
        <v>5</v>
      </c>
      <c r="J131" s="541">
        <v>14</v>
      </c>
      <c r="K131" s="537">
        <f t="shared" si="47"/>
        <v>64.285714285714292</v>
      </c>
      <c r="L131" s="537">
        <f t="shared" si="48"/>
        <v>35.714285714285715</v>
      </c>
      <c r="M131" s="537">
        <f t="shared" si="49"/>
        <v>0</v>
      </c>
      <c r="N131" s="540">
        <f t="shared" si="50"/>
        <v>100</v>
      </c>
      <c r="O131" s="536">
        <v>22.6</v>
      </c>
      <c r="P131" s="537">
        <v>34</v>
      </c>
      <c r="Q131" s="537"/>
      <c r="R131" s="538">
        <f t="shared" ref="R131:R132" si="52">SUM(O131:Q131)</f>
        <v>56.6</v>
      </c>
      <c r="S131" s="340">
        <v>2</v>
      </c>
      <c r="T131" s="838"/>
      <c r="U131" s="836"/>
      <c r="V131" s="532" t="s">
        <v>221</v>
      </c>
      <c r="W131" s="759" t="s">
        <v>100</v>
      </c>
      <c r="X131" s="759" t="s">
        <v>11</v>
      </c>
      <c r="Y131" s="533">
        <v>13.3</v>
      </c>
      <c r="Z131" s="759" t="s">
        <v>1284</v>
      </c>
      <c r="AA131" s="759" t="s">
        <v>90</v>
      </c>
      <c r="AB131" s="759" t="s">
        <v>18</v>
      </c>
      <c r="AC131" s="759">
        <v>22</v>
      </c>
      <c r="AD131" s="532" t="s">
        <v>223</v>
      </c>
      <c r="AE131" s="759" t="s">
        <v>82</v>
      </c>
      <c r="AF131" s="759" t="s">
        <v>18</v>
      </c>
      <c r="AG131" s="533">
        <v>12</v>
      </c>
      <c r="AH131" s="759" t="s">
        <v>215</v>
      </c>
      <c r="AI131" s="759" t="s">
        <v>88</v>
      </c>
      <c r="AJ131" s="759" t="s">
        <v>11</v>
      </c>
      <c r="AK131" s="759">
        <v>9.3000000000000007</v>
      </c>
      <c r="AL131" s="532"/>
      <c r="AO131" s="533"/>
      <c r="AP131" s="532"/>
      <c r="AS131" s="533"/>
      <c r="AW131" s="533"/>
      <c r="BA131" s="534"/>
    </row>
    <row r="132" spans="1:53" s="760" customFormat="1">
      <c r="A132" s="760">
        <v>2018</v>
      </c>
      <c r="B132" s="852">
        <v>43443</v>
      </c>
      <c r="C132" s="917" t="s">
        <v>1394</v>
      </c>
      <c r="D132" s="917"/>
      <c r="E132" s="760">
        <v>12</v>
      </c>
      <c r="F132" s="760">
        <v>4</v>
      </c>
      <c r="G132" s="498">
        <v>10</v>
      </c>
      <c r="H132" s="760">
        <v>3</v>
      </c>
      <c r="J132" s="500">
        <v>13</v>
      </c>
      <c r="K132" s="496">
        <f t="shared" si="47"/>
        <v>76.923076923076934</v>
      </c>
      <c r="L132" s="496">
        <f t="shared" si="48"/>
        <v>23.076923076923077</v>
      </c>
      <c r="M132" s="496">
        <f t="shared" si="49"/>
        <v>0</v>
      </c>
      <c r="N132" s="499">
        <f t="shared" si="50"/>
        <v>100.00000000000001</v>
      </c>
      <c r="O132" s="495">
        <v>22.6</v>
      </c>
      <c r="P132" s="496">
        <v>12</v>
      </c>
      <c r="Q132" s="496"/>
      <c r="R132" s="497">
        <f t="shared" si="52"/>
        <v>34.6</v>
      </c>
      <c r="S132" s="97">
        <v>5</v>
      </c>
      <c r="T132" s="839"/>
      <c r="U132" s="852">
        <v>43443</v>
      </c>
      <c r="V132" s="492" t="s">
        <v>221</v>
      </c>
      <c r="W132" s="760" t="s">
        <v>100</v>
      </c>
      <c r="X132" s="760" t="s">
        <v>11</v>
      </c>
      <c r="Y132" s="493">
        <v>13.3</v>
      </c>
      <c r="Z132" s="760" t="s">
        <v>223</v>
      </c>
      <c r="AA132" s="760" t="s">
        <v>82</v>
      </c>
      <c r="AB132" s="760" t="s">
        <v>18</v>
      </c>
      <c r="AC132" s="760">
        <v>12</v>
      </c>
      <c r="AD132" s="492" t="s">
        <v>215</v>
      </c>
      <c r="AE132" s="760" t="s">
        <v>88</v>
      </c>
      <c r="AF132" s="760" t="s">
        <v>11</v>
      </c>
      <c r="AG132" s="493">
        <v>9.3000000000000007</v>
      </c>
      <c r="AL132" s="492"/>
      <c r="AO132" s="493"/>
      <c r="AP132" s="492"/>
      <c r="AS132" s="493"/>
      <c r="AW132" s="493"/>
      <c r="BA132" s="494"/>
    </row>
    <row r="133" spans="1:53" s="884" customFormat="1">
      <c r="A133" s="884">
        <v>2018</v>
      </c>
      <c r="B133" s="836">
        <v>43455</v>
      </c>
      <c r="C133" s="916" t="s">
        <v>1463</v>
      </c>
      <c r="D133" s="916"/>
      <c r="E133" s="884">
        <v>11</v>
      </c>
      <c r="F133" s="884">
        <v>2</v>
      </c>
      <c r="G133" s="539">
        <v>10</v>
      </c>
      <c r="H133" s="884">
        <v>3</v>
      </c>
      <c r="J133" s="541">
        <v>13</v>
      </c>
      <c r="K133" s="537">
        <f t="shared" ref="K133:K135" si="53">G133/J133*100</f>
        <v>76.923076923076934</v>
      </c>
      <c r="L133" s="537">
        <f t="shared" ref="L133:L135" si="54">H133/J133*100</f>
        <v>23.076923076923077</v>
      </c>
      <c r="M133" s="537">
        <f t="shared" ref="M133:M135" si="55">I133/J133*100</f>
        <v>0</v>
      </c>
      <c r="N133" s="540">
        <f t="shared" ref="N133:N135" si="56">SUM(K133:M133)</f>
        <v>100.00000000000001</v>
      </c>
      <c r="O133" s="536">
        <v>22.6</v>
      </c>
      <c r="P133" s="537">
        <v>12</v>
      </c>
      <c r="Q133" s="537"/>
      <c r="R133" s="538">
        <f t="shared" ref="R133:R135" si="57">SUM(O133:Q133)</f>
        <v>34.6</v>
      </c>
      <c r="S133" s="340">
        <v>6</v>
      </c>
      <c r="T133" s="838"/>
      <c r="U133" s="836">
        <v>43455</v>
      </c>
      <c r="V133" s="532" t="s">
        <v>221</v>
      </c>
      <c r="W133" s="884" t="s">
        <v>100</v>
      </c>
      <c r="X133" s="884" t="s">
        <v>11</v>
      </c>
      <c r="Y133" s="533">
        <v>13.3</v>
      </c>
      <c r="Z133" s="884" t="s">
        <v>223</v>
      </c>
      <c r="AA133" s="884" t="s">
        <v>82</v>
      </c>
      <c r="AB133" s="884" t="s">
        <v>18</v>
      </c>
      <c r="AC133" s="884">
        <v>12</v>
      </c>
      <c r="AD133" s="532" t="s">
        <v>215</v>
      </c>
      <c r="AE133" s="884" t="s">
        <v>88</v>
      </c>
      <c r="AF133" s="884" t="s">
        <v>11</v>
      </c>
      <c r="AG133" s="533">
        <v>9.3000000000000007</v>
      </c>
      <c r="AL133" s="532"/>
      <c r="AO133" s="533"/>
      <c r="AP133" s="532"/>
      <c r="AS133" s="533"/>
      <c r="AW133" s="533"/>
      <c r="BA133" s="534"/>
    </row>
    <row r="134" spans="1:53" s="884" customFormat="1">
      <c r="A134" s="884">
        <v>2019</v>
      </c>
      <c r="B134" s="836"/>
      <c r="C134" s="916" t="s">
        <v>1463</v>
      </c>
      <c r="D134" s="916"/>
      <c r="E134" s="884">
        <v>299</v>
      </c>
      <c r="G134" s="539">
        <v>10</v>
      </c>
      <c r="H134" s="884">
        <v>3</v>
      </c>
      <c r="J134" s="541">
        <v>13</v>
      </c>
      <c r="K134" s="537">
        <f t="shared" si="53"/>
        <v>76.923076923076934</v>
      </c>
      <c r="L134" s="537">
        <f t="shared" si="54"/>
        <v>23.076923076923077</v>
      </c>
      <c r="M134" s="537">
        <f t="shared" si="55"/>
        <v>0</v>
      </c>
      <c r="N134" s="540">
        <f t="shared" si="56"/>
        <v>100.00000000000001</v>
      </c>
      <c r="O134" s="536">
        <v>22.6</v>
      </c>
      <c r="P134" s="537">
        <v>12</v>
      </c>
      <c r="Q134" s="537"/>
      <c r="R134" s="538">
        <f t="shared" si="57"/>
        <v>34.6</v>
      </c>
      <c r="S134" s="340">
        <v>6</v>
      </c>
      <c r="T134" s="838"/>
      <c r="U134" s="836"/>
      <c r="V134" s="532" t="s">
        <v>221</v>
      </c>
      <c r="W134" s="884" t="s">
        <v>100</v>
      </c>
      <c r="X134" s="884" t="s">
        <v>11</v>
      </c>
      <c r="Y134" s="533">
        <v>13.3</v>
      </c>
      <c r="Z134" s="884" t="s">
        <v>223</v>
      </c>
      <c r="AA134" s="884" t="s">
        <v>82</v>
      </c>
      <c r="AB134" s="884" t="s">
        <v>18</v>
      </c>
      <c r="AC134" s="884">
        <v>12</v>
      </c>
      <c r="AD134" s="532" t="s">
        <v>215</v>
      </c>
      <c r="AE134" s="884" t="s">
        <v>88</v>
      </c>
      <c r="AF134" s="884" t="s">
        <v>11</v>
      </c>
      <c r="AG134" s="533">
        <v>9.3000000000000007</v>
      </c>
      <c r="AL134" s="532"/>
      <c r="AO134" s="533"/>
      <c r="AP134" s="532"/>
      <c r="AS134" s="533"/>
      <c r="AW134" s="533"/>
      <c r="BA134" s="534"/>
    </row>
    <row r="135" spans="1:53" s="883" customFormat="1">
      <c r="A135" s="883">
        <v>2019</v>
      </c>
      <c r="B135" s="852">
        <v>43765</v>
      </c>
      <c r="C135" s="917" t="s">
        <v>1415</v>
      </c>
      <c r="D135" s="917"/>
      <c r="E135" s="883">
        <v>66</v>
      </c>
      <c r="F135" s="883">
        <v>1</v>
      </c>
      <c r="G135" s="498">
        <v>10</v>
      </c>
      <c r="H135" s="883">
        <v>3</v>
      </c>
      <c r="J135" s="500">
        <v>13</v>
      </c>
      <c r="K135" s="496">
        <f t="shared" si="53"/>
        <v>76.923076923076934</v>
      </c>
      <c r="L135" s="496">
        <f t="shared" si="54"/>
        <v>23.076923076923077</v>
      </c>
      <c r="M135" s="496">
        <f t="shared" si="55"/>
        <v>0</v>
      </c>
      <c r="N135" s="499">
        <f t="shared" si="56"/>
        <v>100.00000000000001</v>
      </c>
      <c r="O135" s="495">
        <v>17.3</v>
      </c>
      <c r="P135" s="496">
        <v>8</v>
      </c>
      <c r="Q135" s="496"/>
      <c r="R135" s="497">
        <f t="shared" si="57"/>
        <v>25.3</v>
      </c>
      <c r="S135" s="97">
        <v>6</v>
      </c>
      <c r="T135" s="839">
        <v>43611</v>
      </c>
      <c r="U135" s="852">
        <v>43765</v>
      </c>
      <c r="V135" s="492" t="s">
        <v>221</v>
      </c>
      <c r="W135" s="883" t="s">
        <v>100</v>
      </c>
      <c r="X135" s="883" t="s">
        <v>11</v>
      </c>
      <c r="Y135" s="493">
        <v>9.3000000000000007</v>
      </c>
      <c r="Z135" s="883" t="s">
        <v>223</v>
      </c>
      <c r="AA135" s="883" t="s">
        <v>82</v>
      </c>
      <c r="AB135" s="883" t="s">
        <v>18</v>
      </c>
      <c r="AC135" s="883">
        <v>8</v>
      </c>
      <c r="AD135" s="492" t="s">
        <v>215</v>
      </c>
      <c r="AE135" s="883" t="s">
        <v>88</v>
      </c>
      <c r="AF135" s="883" t="s">
        <v>11</v>
      </c>
      <c r="AG135" s="493">
        <v>8</v>
      </c>
      <c r="AL135" s="492"/>
      <c r="AO135" s="493"/>
      <c r="AP135" s="492"/>
      <c r="AS135" s="493"/>
      <c r="AW135" s="493"/>
      <c r="BA135" s="494"/>
    </row>
    <row r="138" spans="1:53" s="2" customFormat="1" ht="18" customHeight="1">
      <c r="B138" s="378" t="s">
        <v>1269</v>
      </c>
    </row>
    <row r="139" spans="1:53" s="2" customFormat="1" ht="9" customHeight="1"/>
    <row r="140" spans="1:53" s="317" customFormat="1" ht="9" customHeight="1">
      <c r="A140" s="315"/>
      <c r="B140" s="316" t="s">
        <v>1220</v>
      </c>
      <c r="C140" s="316"/>
      <c r="D140" s="316"/>
      <c r="E140" s="316"/>
      <c r="F140" s="316"/>
      <c r="G140" s="316" t="s">
        <v>1221</v>
      </c>
      <c r="H140" s="316"/>
      <c r="I140" s="316"/>
      <c r="J140" s="316"/>
      <c r="K140" s="316"/>
      <c r="L140" s="316"/>
      <c r="M140" s="316"/>
      <c r="N140" s="316"/>
      <c r="R140" s="895" t="s">
        <v>1222</v>
      </c>
      <c r="S140" s="895"/>
      <c r="T140" s="895"/>
      <c r="U140" s="895"/>
      <c r="V140" s="895"/>
      <c r="W140" s="895"/>
      <c r="X140" s="318"/>
      <c r="Y140" s="318"/>
      <c r="AA140" s="318"/>
      <c r="AB140" s="318"/>
      <c r="AC140" s="318"/>
      <c r="AD140" s="318"/>
    </row>
    <row r="141" spans="1:53" s="322" customFormat="1" ht="9" customHeight="1">
      <c r="A141" s="319"/>
      <c r="B141" s="320" t="s">
        <v>1224</v>
      </c>
      <c r="C141" s="321"/>
      <c r="D141" s="321"/>
      <c r="E141" s="321"/>
      <c r="F141" s="321"/>
      <c r="G141" s="320" t="s">
        <v>1223</v>
      </c>
      <c r="H141" s="321"/>
      <c r="I141" s="321"/>
      <c r="J141" s="321"/>
      <c r="K141" s="321"/>
      <c r="L141" s="321"/>
      <c r="M141" s="321"/>
      <c r="N141" s="321"/>
      <c r="R141" s="323" t="s">
        <v>1225</v>
      </c>
      <c r="S141" s="324"/>
      <c r="T141" s="325"/>
      <c r="U141" s="325"/>
      <c r="V141" s="325"/>
      <c r="W141" s="323" t="s">
        <v>1226</v>
      </c>
      <c r="X141" s="325"/>
      <c r="Y141" s="325"/>
      <c r="AA141" s="325"/>
      <c r="AB141" s="325"/>
      <c r="AC141" s="325"/>
      <c r="AD141" s="325"/>
    </row>
    <row r="142" spans="1:53" s="307" customFormat="1" ht="12" customHeight="1">
      <c r="A142" s="326" t="s">
        <v>3</v>
      </c>
      <c r="B142" s="327" t="s">
        <v>8</v>
      </c>
      <c r="C142" s="327" t="s">
        <v>9</v>
      </c>
      <c r="D142" s="327" t="s">
        <v>10</v>
      </c>
      <c r="E142" s="328" t="s">
        <v>1200</v>
      </c>
      <c r="F142" s="327"/>
      <c r="G142" s="307" t="s">
        <v>3</v>
      </c>
      <c r="H142" s="896" t="s">
        <v>0</v>
      </c>
      <c r="I142" s="896"/>
      <c r="J142" s="896" t="s">
        <v>1</v>
      </c>
      <c r="K142" s="896"/>
      <c r="L142" s="896" t="s">
        <v>2</v>
      </c>
      <c r="M142" s="896"/>
      <c r="N142" s="897" t="s">
        <v>1200</v>
      </c>
      <c r="O142" s="897"/>
      <c r="P142" s="329"/>
      <c r="Q142" s="329"/>
      <c r="R142" s="330" t="s">
        <v>3</v>
      </c>
      <c r="S142" s="331" t="s">
        <v>136</v>
      </c>
      <c r="T142" s="329" t="s">
        <v>134</v>
      </c>
      <c r="U142" s="327" t="s">
        <v>135</v>
      </c>
      <c r="V142" s="329"/>
      <c r="W142" s="332" t="s">
        <v>26</v>
      </c>
    </row>
    <row r="143" spans="1:53" s="243" customFormat="1">
      <c r="A143" s="233">
        <v>1959</v>
      </c>
      <c r="B143" s="230">
        <f>(K6*($E6/365))+(K7*($E7/365))</f>
        <v>33.333333333333329</v>
      </c>
      <c r="C143" s="230">
        <f>(L6*($E6/365))+(L7*($E7/365))</f>
        <v>66.666666666666657</v>
      </c>
      <c r="D143" s="230">
        <f>(M6*($E6/365))+(M7*($E7/365))</f>
        <v>0</v>
      </c>
      <c r="E143" s="231">
        <f>B143+C143+D143</f>
        <v>99.999999999999986</v>
      </c>
      <c r="G143" s="233">
        <v>1959</v>
      </c>
      <c r="H143" s="927">
        <f xml:space="preserve"> (O6/$R6*100*($E6/365))+(O7/$R7*100*($E7/365))</f>
        <v>16.779661016949156</v>
      </c>
      <c r="I143" s="927"/>
      <c r="J143" s="927">
        <f xml:space="preserve"> (P6/$R6*100*($E6/365))+(P7/$R7*100*($E7/365))</f>
        <v>83.220338983050851</v>
      </c>
      <c r="K143" s="927"/>
      <c r="L143" s="927">
        <f xml:space="preserve"> (Q6/$R6*100*($E6/365))+(Q7/$R7*100*($E7/365))</f>
        <v>0</v>
      </c>
      <c r="M143" s="927"/>
      <c r="N143" s="926">
        <f>H143+J143+K143</f>
        <v>100</v>
      </c>
      <c r="O143" s="926"/>
      <c r="R143" s="233">
        <v>1959</v>
      </c>
      <c r="S143" s="230">
        <f>(O6*($E6/365))+(O7*($E7/365))</f>
        <v>9.9</v>
      </c>
      <c r="T143" s="230">
        <f>(P6*($E6/365))+(P7*($E7/365))</f>
        <v>49.1</v>
      </c>
      <c r="U143" s="230">
        <f>(Q6*($E6/365))+(Q7*($E7/365))</f>
        <v>0</v>
      </c>
      <c r="V143" s="244"/>
      <c r="W143" s="230">
        <f>S143+T143+U143</f>
        <v>59</v>
      </c>
    </row>
    <row r="144" spans="1:53">
      <c r="A144" s="20">
        <v>1960</v>
      </c>
      <c r="B144" s="8">
        <f>(K8*($E8/366))+(K9*($E9/366))</f>
        <v>33.884335154826957</v>
      </c>
      <c r="C144" s="8">
        <f>(L8*($E8/366))+(L9*($E9/366))</f>
        <v>66.115664845173029</v>
      </c>
      <c r="D144" s="8">
        <f>(M8*($E8/366))+(M9*($E9/366))</f>
        <v>0</v>
      </c>
      <c r="E144" s="31">
        <f t="shared" ref="E144:E175" si="58">SUM(B144:D144)</f>
        <v>99.999999999999986</v>
      </c>
      <c r="G144" s="20">
        <v>1960</v>
      </c>
      <c r="H144" s="918">
        <f>(O8/$R8*100*($E8/366))+(O9/$R9*100*($E9/366))</f>
        <v>16.779661016949156</v>
      </c>
      <c r="I144" s="918"/>
      <c r="J144" s="886">
        <f>(P8/$R8*100*($E8/366))+(P9/$R9*100*($E9/366))</f>
        <v>83.220338983050851</v>
      </c>
      <c r="K144" s="886"/>
      <c r="L144" s="886">
        <f>(Q8/$R8*100*($E8/366))+(Q9/$R9*100*($E9/366))</f>
        <v>0</v>
      </c>
      <c r="M144" s="886"/>
      <c r="N144" s="919">
        <f>SUM(H144:L144)</f>
        <v>100</v>
      </c>
      <c r="O144" s="919"/>
      <c r="P144" s="2"/>
      <c r="R144" s="20">
        <v>1960</v>
      </c>
      <c r="S144" s="8">
        <f>(O8*($E8/366))+(O9*($E9/366))</f>
        <v>9.8999999999999986</v>
      </c>
      <c r="T144" s="8">
        <f>(P8*($E8/366))+(P9*($E9/366))</f>
        <v>49.099999999999994</v>
      </c>
      <c r="U144" s="8">
        <f>(Q8*($E8/366))+(Q9*($E9/366))</f>
        <v>0</v>
      </c>
      <c r="V144" s="7"/>
      <c r="W144" s="8">
        <f>R8*(E8/366) + R9*(E9/366)</f>
        <v>59</v>
      </c>
    </row>
    <row r="145" spans="1:23">
      <c r="A145" s="20">
        <v>1961</v>
      </c>
      <c r="B145" s="8">
        <f>(K10*($E10/365))+(K11*($E11/365))</f>
        <v>10.931506849315069</v>
      </c>
      <c r="C145" s="8">
        <f>(L10*($E10/365))+(L11*($E11/365))</f>
        <v>60.752618855761483</v>
      </c>
      <c r="D145" s="8">
        <f>(M10*($E10/365))+(M11*($E11/365))</f>
        <v>28.315874294923443</v>
      </c>
      <c r="E145" s="31">
        <f t="shared" si="58"/>
        <v>100</v>
      </c>
      <c r="G145" s="20">
        <v>1961</v>
      </c>
      <c r="H145" s="918">
        <f>(O10/$R10*100*($E10/365))+(O11/$R11*100*($E11/365))</f>
        <v>5.2407708381704214</v>
      </c>
      <c r="I145" s="918"/>
      <c r="J145" s="886">
        <f>(P10/$R10*100*($E10/365))+(P11/$R11*100*($E11/365))</f>
        <v>62.684104518816838</v>
      </c>
      <c r="K145" s="886"/>
      <c r="L145" s="886">
        <f>(Q10/$R10*100*($E10/365))+(Q11/$R11*100*($E11/365))</f>
        <v>32.075124643012728</v>
      </c>
      <c r="M145" s="886"/>
      <c r="N145" s="919">
        <f>SUM(H145:L145)</f>
        <v>99.999999999999986</v>
      </c>
      <c r="O145" s="919"/>
      <c r="R145" s="20">
        <v>1961</v>
      </c>
      <c r="S145" s="8">
        <f>(O10*($E10/365))+(O11*($E11/365))</f>
        <v>3.0920547945205481</v>
      </c>
      <c r="T145" s="8">
        <f>(P10*($E10/365))+(P11*($E11/365))</f>
        <v>46.48684931506849</v>
      </c>
      <c r="U145" s="8">
        <f>(Q10*($E10/365))+(Q11*($E11/365))</f>
        <v>27.231780821917809</v>
      </c>
      <c r="V145" s="7"/>
      <c r="W145" s="8">
        <f>R10*(E10/365) + R11*(E11/365)</f>
        <v>76.810684931506856</v>
      </c>
    </row>
    <row r="146" spans="1:23">
      <c r="A146" s="20">
        <v>1962</v>
      </c>
      <c r="B146" s="8">
        <f>(K12*($E12/365))+(K13*($E13/365))</f>
        <v>0</v>
      </c>
      <c r="C146" s="8">
        <f>(L12*($E12/365))+(L13*($E13/365))</f>
        <v>58.82352941176471</v>
      </c>
      <c r="D146" s="8">
        <f>(M12*($E12/365))+(M13*($E13/365))</f>
        <v>41.17647058823529</v>
      </c>
      <c r="E146" s="31">
        <f t="shared" si="58"/>
        <v>100</v>
      </c>
      <c r="G146" s="20">
        <v>1962</v>
      </c>
      <c r="H146" s="918">
        <f>(O12/$R12*100*($E12/365))+(O13/$R13*100*($E13/365))</f>
        <v>0</v>
      </c>
      <c r="I146" s="918"/>
      <c r="J146" s="886">
        <f>(P12/$R12*100*($E12/365))+(P13/$R13*100*($E13/365))</f>
        <v>53.356890459363946</v>
      </c>
      <c r="K146" s="886"/>
      <c r="L146" s="886">
        <f>(Q12/$R12*100*($E12/365))+(Q13/$R13*100*($E13/365))</f>
        <v>46.64310954063604</v>
      </c>
      <c r="M146" s="886"/>
      <c r="N146" s="919">
        <f>SUM(H146:L146)</f>
        <v>99.999999999999986</v>
      </c>
      <c r="O146" s="919"/>
      <c r="R146" s="20">
        <v>1962</v>
      </c>
      <c r="S146" s="8">
        <f>(O12*($E12/365))+(O13*($E13/365))</f>
        <v>0</v>
      </c>
      <c r="T146" s="8">
        <f>(P12*($E12/365))+(P13*($E13/365))</f>
        <v>45.3</v>
      </c>
      <c r="U146" s="8">
        <f>(Q12*($E12/365))+(Q13*($E13/365))</f>
        <v>39.6</v>
      </c>
      <c r="V146" s="7"/>
      <c r="W146" s="8">
        <f>R12*(E12/365) + R13*(E13/365)</f>
        <v>84.9</v>
      </c>
    </row>
    <row r="147" spans="1:23">
      <c r="A147" s="20">
        <v>1963</v>
      </c>
      <c r="B147" s="8">
        <f>(K14*($E14/365))+(K15*($E15/365))</f>
        <v>0</v>
      </c>
      <c r="C147" s="8">
        <f>(L14*($E14/365))+(L15*($E15/365))</f>
        <v>58.82352941176471</v>
      </c>
      <c r="D147" s="8">
        <f>(M14*($E14/365))+(M15*($E15/365))</f>
        <v>41.17647058823529</v>
      </c>
      <c r="E147" s="31">
        <f t="shared" si="58"/>
        <v>100</v>
      </c>
      <c r="G147" s="20">
        <v>1963</v>
      </c>
      <c r="H147" s="918">
        <f>(O14/$R14*100*($E14/365))+(O15/$R15*100*($E15/365))</f>
        <v>0</v>
      </c>
      <c r="I147" s="918"/>
      <c r="J147" s="886">
        <f>(P14/$R14*100*($E14/365))+(P15/$R15*100*($E15/365))</f>
        <v>53.356890459363946</v>
      </c>
      <c r="K147" s="886"/>
      <c r="L147" s="886">
        <f>(Q14/$R14*100*($E14/365))+(Q15/$R15*100*($E15/365))</f>
        <v>46.64310954063604</v>
      </c>
      <c r="M147" s="886"/>
      <c r="N147" s="919">
        <f t="shared" ref="N147:N196" si="59">SUM(H147:L147)</f>
        <v>99.999999999999986</v>
      </c>
      <c r="O147" s="919"/>
      <c r="R147" s="20">
        <v>1963</v>
      </c>
      <c r="S147" s="8">
        <f>(O14*($E14/365))+(O15*($E15/365))</f>
        <v>0</v>
      </c>
      <c r="T147" s="8">
        <f>(P14*($E14/365))+(P15*($E15/365))</f>
        <v>45.3</v>
      </c>
      <c r="U147" s="8">
        <f>(Q14*($E14/365))+(Q15*($E15/365))</f>
        <v>39.6</v>
      </c>
      <c r="V147" s="7"/>
      <c r="W147" s="8">
        <f>R14*(E14/365) + R15*(E15/365)</f>
        <v>84.9</v>
      </c>
    </row>
    <row r="148" spans="1:23">
      <c r="A148" s="20">
        <v>1964</v>
      </c>
      <c r="B148" s="8">
        <f>(K16*($E16/366))+(K17*($E17/366))</f>
        <v>0</v>
      </c>
      <c r="C148" s="8">
        <f>(L16*($E16/366))+(L17*($E17/366))</f>
        <v>58.82352941176471</v>
      </c>
      <c r="D148" s="8">
        <f>(M16*($E16/366))+(M17*($E17/366))</f>
        <v>41.17647058823529</v>
      </c>
      <c r="E148" s="31">
        <f t="shared" si="58"/>
        <v>100</v>
      </c>
      <c r="G148" s="20">
        <v>1964</v>
      </c>
      <c r="H148" s="918">
        <f>(O16/$R16*100*($E16/366))+(O17/$R17*100*($E17/366))</f>
        <v>0</v>
      </c>
      <c r="I148" s="918"/>
      <c r="J148" s="886">
        <f>(P16/$R16*100*($E16/366))+(P17/$R17*100*($E17/366))</f>
        <v>53.356890459363946</v>
      </c>
      <c r="K148" s="886"/>
      <c r="L148" s="886">
        <f>(Q16/$R16*100*($E16/366))+(Q17/$R17*100*($E17/366))</f>
        <v>46.64310954063604</v>
      </c>
      <c r="M148" s="886"/>
      <c r="N148" s="919">
        <f t="shared" si="59"/>
        <v>99.999999999999986</v>
      </c>
      <c r="O148" s="919"/>
      <c r="R148" s="20">
        <v>1964</v>
      </c>
      <c r="S148" s="8">
        <f>(O16*($E16/366))+(O17*($E17/366))</f>
        <v>0</v>
      </c>
      <c r="T148" s="8">
        <f>(P16*($E16/366))+(P17*($E17/366))</f>
        <v>45.3</v>
      </c>
      <c r="U148" s="8">
        <f>(Q16*($E16/366))+(Q17*($E17/366))</f>
        <v>39.6</v>
      </c>
      <c r="V148" s="7"/>
      <c r="W148" s="8">
        <f>R16*(E16/366) + R17*(E17/366)</f>
        <v>84.9</v>
      </c>
    </row>
    <row r="149" spans="1:23">
      <c r="A149" s="20">
        <v>1965</v>
      </c>
      <c r="B149" s="8">
        <f>(K18*($E18/365))+(K19*($E19/365))</f>
        <v>0</v>
      </c>
      <c r="C149" s="8">
        <f>(L18*($E18/365))+(L19*($E19/365))</f>
        <v>59.329572925060432</v>
      </c>
      <c r="D149" s="8">
        <f>(M18*($E18/365))+(M19*($E19/365))</f>
        <v>40.670427074939568</v>
      </c>
      <c r="E149" s="31">
        <f t="shared" si="58"/>
        <v>100</v>
      </c>
      <c r="G149" s="20">
        <v>1965</v>
      </c>
      <c r="H149" s="918">
        <f>(O18/$R18*100*($E18/365))+(O19/$R19*100*($E19/365))</f>
        <v>0</v>
      </c>
      <c r="I149" s="918"/>
      <c r="J149" s="886">
        <f>(P18/$R18*100*($E18/365))+(P19/$R19*100*($E19/365))</f>
        <v>53.885776447993493</v>
      </c>
      <c r="K149" s="886"/>
      <c r="L149" s="886">
        <f>(Q18/$R18*100*($E18/365))+(Q19/$R19*100*($E19/365))</f>
        <v>46.1142235520065</v>
      </c>
      <c r="M149" s="886"/>
      <c r="N149" s="919">
        <f t="shared" si="59"/>
        <v>100</v>
      </c>
      <c r="O149" s="919"/>
      <c r="R149" s="20">
        <v>1965</v>
      </c>
      <c r="S149" s="8">
        <f>(O18*($E18/365))+(O19*($E19/365))</f>
        <v>0</v>
      </c>
      <c r="T149" s="8">
        <f>(P18*($E18/365))+(P19*($E19/365))</f>
        <v>41.42876712328767</v>
      </c>
      <c r="U149" s="8">
        <f>(Q18*($E18/365))+(Q19*($E19/365))</f>
        <v>35.556712328767119</v>
      </c>
      <c r="V149" s="7"/>
      <c r="W149" s="8">
        <f>R18*(E18/365) + R19*(E19/365)</f>
        <v>76.985479452054804</v>
      </c>
    </row>
    <row r="150" spans="1:23">
      <c r="A150" s="20">
        <v>1966</v>
      </c>
      <c r="B150" s="8">
        <f>(K20*($E20/365))+(K21*($E21/365))</f>
        <v>28.968997837058396</v>
      </c>
      <c r="C150" s="8">
        <f>(L20*($E20/365))+(L21*($E21/365))</f>
        <v>62.483056957462153</v>
      </c>
      <c r="D150" s="8">
        <f>(M20*($E20/365))+(M21*($E21/365))</f>
        <v>8.5479452054794525</v>
      </c>
      <c r="E150" s="31">
        <f t="shared" si="58"/>
        <v>100</v>
      </c>
      <c r="G150" s="20">
        <v>1966</v>
      </c>
      <c r="H150" s="918">
        <f>(O20/$R20*100*($E20/365))+(O21/$R21*100*($E21/365))</f>
        <v>30.170477010023955</v>
      </c>
      <c r="I150" s="918"/>
      <c r="J150" s="886">
        <f>(P20/$R20*100*($E20/365))+(P21/$R21*100*($E21/365))</f>
        <v>60.124713019845231</v>
      </c>
      <c r="K150" s="886"/>
      <c r="L150" s="886">
        <f>(Q20/$R20*100*($E20/365))+(Q21/$R21*100*($E21/365))</f>
        <v>9.7048099701308068</v>
      </c>
      <c r="M150" s="886"/>
      <c r="N150" s="919">
        <f t="shared" si="59"/>
        <v>100</v>
      </c>
      <c r="O150" s="919"/>
      <c r="R150" s="20">
        <v>1966</v>
      </c>
      <c r="S150" s="8">
        <f>(O20*($E20/365))+(O21*($E21/365))</f>
        <v>17.770410958904112</v>
      </c>
      <c r="T150" s="8">
        <f>(P20*($E20/365))+(P21*($E21/365))</f>
        <v>36.299999999999997</v>
      </c>
      <c r="U150" s="8">
        <f>(Q20*($E20/365))+(Q21*($E21/365))</f>
        <v>6.4536986301369863</v>
      </c>
      <c r="V150" s="7"/>
      <c r="W150" s="8">
        <f>R20*(E20/365) + R21*(E21/365)</f>
        <v>60.524109589041096</v>
      </c>
    </row>
    <row r="151" spans="1:23">
      <c r="A151" s="20">
        <v>1967</v>
      </c>
      <c r="B151" s="8">
        <f>(K22*($E22/365))+(K23*($E23/365))</f>
        <v>36.84210526315789</v>
      </c>
      <c r="C151" s="8">
        <f>(L22*($E22/365))+(L23*($E23/365))</f>
        <v>63.157894736842103</v>
      </c>
      <c r="D151" s="8">
        <f>(M22*($E22/365))+(M23*($E23/365))</f>
        <v>0</v>
      </c>
      <c r="E151" s="31">
        <f t="shared" si="58"/>
        <v>100</v>
      </c>
      <c r="G151" s="20">
        <v>1967</v>
      </c>
      <c r="H151" s="918">
        <f>(O22/$R22*100*($E22/365))+(O23/$R23*100*($E23/365))</f>
        <v>38.370118845500848</v>
      </c>
      <c r="I151" s="918"/>
      <c r="J151" s="886">
        <f>(P22/$R22*100*($E22/365))+(P23/$R23*100*($E23/365))</f>
        <v>61.629881154499145</v>
      </c>
      <c r="K151" s="886"/>
      <c r="L151" s="886">
        <f>(Q22/$R22*100*($E22/365))+(Q23/$R23*100*($E23/365))</f>
        <v>0</v>
      </c>
      <c r="M151" s="886"/>
      <c r="N151" s="919">
        <f t="shared" si="59"/>
        <v>100</v>
      </c>
      <c r="O151" s="919"/>
      <c r="R151" s="20">
        <v>1967</v>
      </c>
      <c r="S151" s="8">
        <f>(O22*($E22/365))+(O23*($E23/365))</f>
        <v>22.6</v>
      </c>
      <c r="T151" s="8">
        <f>(P22*($E22/365))+(P23*($E23/365))</f>
        <v>36.299999999999997</v>
      </c>
      <c r="U151" s="8">
        <f>(Q22*($E22/365))+(Q23*($E23/365))</f>
        <v>0</v>
      </c>
      <c r="V151" s="7"/>
      <c r="W151" s="8">
        <f>R22*(E22/365) + R23*(E23/365)</f>
        <v>58.9</v>
      </c>
    </row>
    <row r="152" spans="1:23">
      <c r="A152" s="20">
        <v>1968</v>
      </c>
      <c r="B152" s="8">
        <f>(K24*($E24/366))+(K25*($E25/366))</f>
        <v>17.011791774518262</v>
      </c>
      <c r="C152" s="8">
        <f>(L24*($E24/366))+(L25*($E25/366))</f>
        <v>61.059448865028386</v>
      </c>
      <c r="D152" s="8">
        <f>(M24*($E24/366))+(M25*($E25/366))</f>
        <v>21.928759360453352</v>
      </c>
      <c r="E152" s="31">
        <f t="shared" si="58"/>
        <v>100</v>
      </c>
      <c r="G152" s="20">
        <v>1968</v>
      </c>
      <c r="H152" s="918">
        <f>(O24/$R24*100*($E24/366))+(O25/$R25*100*($E25/366))</f>
        <v>17.717349958714873</v>
      </c>
      <c r="I152" s="918"/>
      <c r="J152" s="886">
        <f>(P24/$R24*100*($E24/366))+(P25/$R25*100*($E25/366))</f>
        <v>57.508828885420769</v>
      </c>
      <c r="K152" s="886"/>
      <c r="L152" s="886">
        <f>(Q24/$R24*100*($E24/366))+(Q25/$R25*100*($E25/366))</f>
        <v>24.773821155864368</v>
      </c>
      <c r="M152" s="886"/>
      <c r="N152" s="919">
        <f t="shared" si="59"/>
        <v>100.00000000000001</v>
      </c>
      <c r="O152" s="919"/>
      <c r="R152" s="20">
        <v>1968</v>
      </c>
      <c r="S152" s="8">
        <f>(O24*($E24/366))+(O25*($E25/366))</f>
        <v>10.435519125683062</v>
      </c>
      <c r="T152" s="8">
        <f>(P24*($E24/366))+(P25*($E25/366))</f>
        <v>34.308469945355199</v>
      </c>
      <c r="U152" s="8">
        <f>(Q24*($E24/366))+(Q25*($E25/366))</f>
        <v>14.963387978142078</v>
      </c>
      <c r="V152" s="7"/>
      <c r="W152" s="8">
        <f>R24*(E24/366) + R25*(E25/366)</f>
        <v>59.70737704918033</v>
      </c>
    </row>
    <row r="153" spans="1:23">
      <c r="A153" s="20">
        <v>1969</v>
      </c>
      <c r="B153" s="8">
        <f>(K26*($E26/365))+(K27*($E27/365))</f>
        <v>0</v>
      </c>
      <c r="C153" s="8">
        <f>(L26*($E26/365))+(L27*($E27/365))</f>
        <v>59.259259259259252</v>
      </c>
      <c r="D153" s="8">
        <f>(M26*($E26/365))+(M27*($E27/365))</f>
        <v>40.74074074074074</v>
      </c>
      <c r="E153" s="31">
        <f t="shared" si="58"/>
        <v>100</v>
      </c>
      <c r="G153" s="20">
        <v>1969</v>
      </c>
      <c r="H153" s="918">
        <f>(O26/$R26*100*($E26/365))+(O27/$R27*100*($E27/365))</f>
        <v>0</v>
      </c>
      <c r="I153" s="918"/>
      <c r="J153" s="886">
        <f>(P26/$R26*100*($E26/365))+(P27/$R27*100*($E27/365))</f>
        <v>53.973509933774835</v>
      </c>
      <c r="K153" s="886"/>
      <c r="L153" s="886">
        <f>(Q26/$R26*100*($E26/365))+(Q27/$R27*100*($E27/365))</f>
        <v>46.026490066225165</v>
      </c>
      <c r="M153" s="886"/>
      <c r="N153" s="919">
        <f t="shared" si="59"/>
        <v>100</v>
      </c>
      <c r="O153" s="919"/>
      <c r="R153" s="20">
        <v>1969</v>
      </c>
      <c r="S153" s="8">
        <f>(O26*($E26/365))+(O27*($E27/365))</f>
        <v>0</v>
      </c>
      <c r="T153" s="8">
        <f>(P26*($E26/365))+(P27*($E27/365))</f>
        <v>32.6</v>
      </c>
      <c r="U153" s="8">
        <f>(Q26*($E26/365))+(Q27*($E27/365))</f>
        <v>27.8</v>
      </c>
      <c r="V153" s="7"/>
      <c r="W153" s="8">
        <f>R26*(E26/365) + R27*(E27/365)</f>
        <v>60.400000000000006</v>
      </c>
    </row>
    <row r="154" spans="1:23">
      <c r="A154" s="20">
        <v>1970</v>
      </c>
      <c r="B154" s="8">
        <f>(K28*($E28/365))+(K29*($E29/365))</f>
        <v>0</v>
      </c>
      <c r="C154" s="8">
        <f>(L28*($E28/365))+(L29*($E29/365))</f>
        <v>59.259259259259252</v>
      </c>
      <c r="D154" s="8">
        <f>(M28*($E28/365))+(M29*($E29/365))</f>
        <v>40.74074074074074</v>
      </c>
      <c r="E154" s="31">
        <f t="shared" si="58"/>
        <v>100</v>
      </c>
      <c r="G154" s="20">
        <v>1970</v>
      </c>
      <c r="H154" s="918">
        <f>(O28/$R28*100*($E28/365))+(O29/$R29*100*($E29/365))</f>
        <v>0</v>
      </c>
      <c r="I154" s="918"/>
      <c r="J154" s="886">
        <f>(P28/$R28*100*($E28/365))+(P29/$R29*100*($E29/365))</f>
        <v>53.973509933774835</v>
      </c>
      <c r="K154" s="886"/>
      <c r="L154" s="886">
        <f>(Q28/$R28*100*($E28/365))+(Q29/$R29*100*($E29/365))</f>
        <v>46.026490066225165</v>
      </c>
      <c r="M154" s="886"/>
      <c r="N154" s="919">
        <f t="shared" si="59"/>
        <v>100</v>
      </c>
      <c r="O154" s="919"/>
      <c r="R154" s="20">
        <v>1970</v>
      </c>
      <c r="S154" s="8">
        <f>(O28*($E28/365))+(O29*($E29/365))</f>
        <v>0</v>
      </c>
      <c r="T154" s="8">
        <f>(P28*($E28/365))+(P29*($E29/365))</f>
        <v>32.6</v>
      </c>
      <c r="U154" s="8">
        <f>(Q28*($E28/365))+(Q29*($E29/365))</f>
        <v>27.8</v>
      </c>
      <c r="V154" s="7"/>
      <c r="W154" s="8">
        <f>R28*(E28/365) + R29*(E29/365)</f>
        <v>60.400000000000006</v>
      </c>
    </row>
    <row r="155" spans="1:23">
      <c r="A155" s="20">
        <v>1971</v>
      </c>
      <c r="B155" s="8">
        <f>(K30*($E30/365))+(K31*($E31/365))</f>
        <v>0</v>
      </c>
      <c r="C155" s="8">
        <f>(L30*($E30/365))+(L31*($E31/365))</f>
        <v>59.259259259259252</v>
      </c>
      <c r="D155" s="8">
        <f>(M30*($E30/365))+(M31*($E31/365))</f>
        <v>40.74074074074074</v>
      </c>
      <c r="E155" s="31">
        <f t="shared" si="58"/>
        <v>100</v>
      </c>
      <c r="G155" s="20">
        <v>1971</v>
      </c>
      <c r="H155" s="918">
        <f>(O30/$R30*100*($E30/365))+(O31/$R31*100*($E31/365))</f>
        <v>0</v>
      </c>
      <c r="I155" s="918"/>
      <c r="J155" s="886">
        <f>(P30/$R30*100*($E30/365))+(P31/$R31*100*($E31/365))</f>
        <v>53.973509933774835</v>
      </c>
      <c r="K155" s="886"/>
      <c r="L155" s="886">
        <f>(Q30/$R30*100*($E30/365))+(Q31/$R31*100*($E31/365))</f>
        <v>46.026490066225165</v>
      </c>
      <c r="M155" s="886"/>
      <c r="N155" s="919">
        <f t="shared" si="59"/>
        <v>100</v>
      </c>
      <c r="O155" s="919"/>
      <c r="R155" s="20">
        <v>1971</v>
      </c>
      <c r="S155" s="8">
        <f>(O30*($E30/365))+(O31*($E31/365))</f>
        <v>0</v>
      </c>
      <c r="T155" s="8">
        <f>(P30*($E30/365))+(P31*($E31/365))</f>
        <v>32.6</v>
      </c>
      <c r="U155" s="8">
        <f>(Q30*($E30/365))+(Q31*($E31/365))</f>
        <v>27.8</v>
      </c>
      <c r="V155" s="7"/>
      <c r="W155" s="8">
        <f>R30*(E30/365) + R31*(E31/365)</f>
        <v>60.400000000000006</v>
      </c>
    </row>
    <row r="156" spans="1:23">
      <c r="A156" s="20">
        <v>1972</v>
      </c>
      <c r="B156" s="8">
        <f>(K32*($E32/366))+(K33*($E33/366))</f>
        <v>0</v>
      </c>
      <c r="C156" s="8">
        <f>(L32*($E32/366))+(L33*($E33/366))</f>
        <v>52.993747270422567</v>
      </c>
      <c r="D156" s="8">
        <f>(M32*($E32/366))+(M33*($E33/366))</f>
        <v>47.006252729577433</v>
      </c>
      <c r="E156" s="31">
        <f t="shared" si="58"/>
        <v>100</v>
      </c>
      <c r="G156" s="20">
        <v>1972</v>
      </c>
      <c r="H156" s="918">
        <f>(O32/$R32*100*($E32/366))+(O33/$R33*100*($E33/366))</f>
        <v>0</v>
      </c>
      <c r="I156" s="918"/>
      <c r="J156" s="886">
        <f>(P32/$R32*100*($E32/366))+(P33/$R33*100*($E33/366))</f>
        <v>53.973509933774835</v>
      </c>
      <c r="K156" s="886"/>
      <c r="L156" s="886">
        <f>(Q32/$R32*100*($E32/366))+(Q33/$R33*100*($E33/366))</f>
        <v>46.026490066225165</v>
      </c>
      <c r="M156" s="886"/>
      <c r="N156" s="919">
        <f t="shared" si="59"/>
        <v>100</v>
      </c>
      <c r="O156" s="919"/>
      <c r="R156" s="20">
        <v>1972</v>
      </c>
      <c r="S156" s="8">
        <f>(O32*($E32/366))+(O33*($E33/366))</f>
        <v>0</v>
      </c>
      <c r="T156" s="8">
        <f>(P32*($E32/366))+(P33*($E33/366))</f>
        <v>32.6</v>
      </c>
      <c r="U156" s="8">
        <f>(Q32*($E32/366))+(Q33*($E33/366))</f>
        <v>27.800000000000004</v>
      </c>
      <c r="V156" s="7"/>
      <c r="W156" s="8">
        <f>R32*(E32/366) + R33*(E33/366)</f>
        <v>60.400000000000006</v>
      </c>
    </row>
    <row r="157" spans="1:23">
      <c r="A157" s="20">
        <v>1973</v>
      </c>
      <c r="B157" s="8">
        <f>(K34*($E34/365))+(K35*($E35/365))</f>
        <v>16.936488169364882</v>
      </c>
      <c r="C157" s="8">
        <f>(L34*($E34/365))+(L35*($E35/365))</f>
        <v>41.712001048698959</v>
      </c>
      <c r="D157" s="8">
        <f>(M34*($E34/365))+(M35*($E35/365))</f>
        <v>41.351510781936156</v>
      </c>
      <c r="E157" s="31">
        <f t="shared" si="58"/>
        <v>100</v>
      </c>
      <c r="G157" s="20">
        <v>1973</v>
      </c>
      <c r="H157" s="918">
        <f>(O34/$R34*100*($E34/365))+(O35/$R35*100*($E35/365))</f>
        <v>12.544648113985163</v>
      </c>
      <c r="I157" s="918"/>
      <c r="J157" s="886">
        <f>(P34/$R34*100*($E34/365))+(P35/$R35*100*($E35/365))</f>
        <v>45.868186004413282</v>
      </c>
      <c r="K157" s="886"/>
      <c r="L157" s="886">
        <f>(Q34/$R34*100*($E34/365))+(Q35/$R35*100*($E35/365))</f>
        <v>41.587165881601564</v>
      </c>
      <c r="M157" s="886"/>
      <c r="N157" s="919">
        <f t="shared" si="59"/>
        <v>100</v>
      </c>
      <c r="O157" s="919"/>
      <c r="R157" s="20">
        <v>1973</v>
      </c>
      <c r="S157" s="8">
        <f>(O34*($E34/365))+(O35*($E35/365))</f>
        <v>8.7561643835616429</v>
      </c>
      <c r="T157" s="8">
        <f>(P34*($E34/365))+(P35*($E35/365))</f>
        <v>31.668493150684931</v>
      </c>
      <c r="U157" s="8">
        <f>(Q34*($E34/365))+(Q35*($E35/365))</f>
        <v>28.731506849315068</v>
      </c>
      <c r="V157" s="7"/>
      <c r="W157" s="8">
        <f>R34*(E34/365) + R35*(E35/365)</f>
        <v>69.156164383561631</v>
      </c>
    </row>
    <row r="158" spans="1:23">
      <c r="A158" s="20">
        <v>1974</v>
      </c>
      <c r="B158" s="8">
        <f>(K36*($E36/365))+(K37*($E37/365))+(K38*($E38/365))</f>
        <v>25.721963688798585</v>
      </c>
      <c r="C158" s="8">
        <f>(L36*($E36/365))+(L37*($E37/365))+(L38*($E38/365))</f>
        <v>61.500950383430563</v>
      </c>
      <c r="D158" s="8">
        <f>(M36*($E36/365))+(M37*($E37/365))+(M38*($E38/365))</f>
        <v>12.777085927770861</v>
      </c>
      <c r="E158" s="31">
        <f t="shared" si="58"/>
        <v>100</v>
      </c>
      <c r="G158" s="20">
        <v>1974</v>
      </c>
      <c r="H158" s="918">
        <f>(O36/$R36*100*($E36/365))+(O37/$R37*100*($E37/365))+(O38/$R38*100*($E38/365))</f>
        <v>15.034061254051272</v>
      </c>
      <c r="I158" s="918"/>
      <c r="J158" s="886">
        <f>(P36/$R36*100*($E36/365))+(P37/$R37*100*($E37/365))+(P38/$R38*100*($E38/365))</f>
        <v>72.079021133984995</v>
      </c>
      <c r="K158" s="886"/>
      <c r="L158" s="886">
        <f>(Q36/$R36*100*($E36/365))+(Q37/$R37*100*($E37/365))+(Q38/$R38*100*($E38/365))</f>
        <v>12.886917611963733</v>
      </c>
      <c r="M158" s="886"/>
      <c r="N158" s="919">
        <f t="shared" si="59"/>
        <v>100</v>
      </c>
      <c r="O158" s="919"/>
      <c r="R158" s="20">
        <v>1974</v>
      </c>
      <c r="S158" s="8">
        <f>(O36*($E36/365))+(O37*($E37/365))+(O38*($E38/365))</f>
        <v>9.2624657534246566</v>
      </c>
      <c r="T158" s="8">
        <f>(P36*($E36/365))+(P37*($E37/365))+(P38*($E38/365))</f>
        <v>43.794794520547946</v>
      </c>
      <c r="U158" s="8">
        <f>(Q36*($E36/365))+(Q37*($E37/365))+(Q38*($E38/365))</f>
        <v>8.9950684931506846</v>
      </c>
      <c r="V158" s="7"/>
      <c r="W158" s="8">
        <f>R36*(E36/365) + R37*(E37/365)+R38*(E38/365)</f>
        <v>62.052328767123292</v>
      </c>
    </row>
    <row r="159" spans="1:23">
      <c r="A159" s="20">
        <v>1975</v>
      </c>
      <c r="B159" s="8">
        <f>(K39*($E39/365))+(K40*($E40/365))</f>
        <v>28.571428571428569</v>
      </c>
      <c r="C159" s="8">
        <f>(L39*($E39/365))+(L40*($E40/365))</f>
        <v>71.428571428571431</v>
      </c>
      <c r="D159" s="8">
        <f>(M39*($E39/365))+(M40*($E40/365))</f>
        <v>0</v>
      </c>
      <c r="E159" s="31">
        <f t="shared" si="58"/>
        <v>100</v>
      </c>
      <c r="G159" s="20">
        <v>1975</v>
      </c>
      <c r="H159" s="918">
        <f>(O39/$R39*100*($E39/365))+(O40/$R40*100*($E40/365))</f>
        <v>15.410385259631489</v>
      </c>
      <c r="I159" s="918"/>
      <c r="J159" s="886">
        <f>(P39/$R39*100*($E39/365))+(P40/$R40*100*($E40/365))</f>
        <v>84.589614740368503</v>
      </c>
      <c r="K159" s="886"/>
      <c r="L159" s="886">
        <f>(Q39/$R39*100*($E39/365))+(Q40/$R40*100*($E40/365))</f>
        <v>0</v>
      </c>
      <c r="M159" s="886"/>
      <c r="N159" s="919">
        <f t="shared" si="59"/>
        <v>100</v>
      </c>
      <c r="O159" s="919"/>
      <c r="R159" s="20">
        <v>1975</v>
      </c>
      <c r="S159" s="8">
        <f>(O39*($E39/365))+(O40*($E40/365))</f>
        <v>9.1999999999999993</v>
      </c>
      <c r="T159" s="8">
        <f>(P39*($E39/365))+(P40*($E40/365))</f>
        <v>50.5</v>
      </c>
      <c r="U159" s="8">
        <f>(Q39*($E39/365))+(Q40*($E40/365))</f>
        <v>0</v>
      </c>
      <c r="V159" s="7"/>
      <c r="W159" s="8">
        <f>R39*(E39/365) + R40*(E40/365)</f>
        <v>59.7</v>
      </c>
    </row>
    <row r="160" spans="1:23">
      <c r="A160" s="20">
        <v>1976</v>
      </c>
      <c r="B160" s="8">
        <f>(K41*($E41/366))+(K42*($E42/366))</f>
        <v>28.786885245901637</v>
      </c>
      <c r="C160" s="8">
        <f>(L41*($E41/366))+(L42*($E42/366))</f>
        <v>71.213114754098356</v>
      </c>
      <c r="D160" s="8">
        <f>(M41*($E41/366))+(M42*($E42/366))</f>
        <v>0</v>
      </c>
      <c r="E160" s="31">
        <f t="shared" si="58"/>
        <v>100</v>
      </c>
      <c r="G160" s="20">
        <v>1976</v>
      </c>
      <c r="H160" s="918">
        <f>(O41/$R41*100*($E41/366))+(O42/$R42*100*($E42/366))</f>
        <v>15.410385259631489</v>
      </c>
      <c r="I160" s="918"/>
      <c r="J160" s="886">
        <f>(P41/$R41*100*($E41/366))+(P42/$R42*100*($E42/366))</f>
        <v>84.589614740368518</v>
      </c>
      <c r="K160" s="886"/>
      <c r="L160" s="886">
        <f>(Q41/$R41*100*($E41/366))+(Q42/$R42*100*($E42/366))</f>
        <v>0</v>
      </c>
      <c r="M160" s="886"/>
      <c r="N160" s="919">
        <f t="shared" si="59"/>
        <v>100</v>
      </c>
      <c r="O160" s="919"/>
      <c r="R160" s="20">
        <v>1976</v>
      </c>
      <c r="S160" s="8">
        <f>(O41*($E41/366))+(O42*($E42/366))</f>
        <v>9.2000000000000011</v>
      </c>
      <c r="T160" s="8">
        <f>(P41*($E41/366))+(P42*($E42/366))</f>
        <v>50.500000000000007</v>
      </c>
      <c r="U160" s="8">
        <f>(Q41*($E41/366))+(Q42*($E42/366))</f>
        <v>0</v>
      </c>
      <c r="V160" s="7"/>
      <c r="W160" s="8">
        <f>R41*(E41/366) + R42*(E42/366)</f>
        <v>59.7</v>
      </c>
    </row>
    <row r="161" spans="1:23">
      <c r="A161" s="20">
        <v>1977</v>
      </c>
      <c r="B161" s="8">
        <f>(K43*($E43/365))+(K44*($E44/365))</f>
        <v>13.413698630136986</v>
      </c>
      <c r="C161" s="8">
        <f>(L43*($E43/365))+(L44*($E44/365))</f>
        <v>63.85848719475878</v>
      </c>
      <c r="D161" s="8">
        <f>(M43*($E43/365))+(M44*($E44/365))</f>
        <v>22.727814175104225</v>
      </c>
      <c r="E161" s="31">
        <f t="shared" si="58"/>
        <v>100</v>
      </c>
      <c r="G161" s="20">
        <v>1977</v>
      </c>
      <c r="H161" s="918">
        <f>(O43/$R43*100*($E43/365))+(O44/$R44*100*($E44/365))</f>
        <v>6.4596957389688159</v>
      </c>
      <c r="I161" s="918"/>
      <c r="J161" s="886">
        <f>(P43/$R43*100*($E43/365))+(P44/$R44*100*($E44/365))</f>
        <v>72.602032656092916</v>
      </c>
      <c r="K161" s="886"/>
      <c r="L161" s="886">
        <f>(Q43/$R43*100*($E43/365))+(Q44/$R44*100*($E44/365))</f>
        <v>20.938271604938269</v>
      </c>
      <c r="M161" s="886"/>
      <c r="N161" s="919">
        <f t="shared" si="59"/>
        <v>100</v>
      </c>
      <c r="O161" s="919"/>
      <c r="R161" s="20">
        <v>1977</v>
      </c>
      <c r="S161" s="8">
        <f>(O43*($E43/365))+(O44*($E44/365))</f>
        <v>3.8564383561643831</v>
      </c>
      <c r="T161" s="8">
        <f>(P43*($E43/365))+(P44*($E44/365))</f>
        <v>51.255068493150681</v>
      </c>
      <c r="U161" s="8">
        <f>(Q43*($E43/365))+(Q44*($E44/365))</f>
        <v>16.959999999999997</v>
      </c>
      <c r="V161" s="7"/>
      <c r="W161" s="8">
        <f>R43*(E43/365) + R44*(E44/365)</f>
        <v>72.071506849315071</v>
      </c>
    </row>
    <row r="162" spans="1:23">
      <c r="A162" s="20">
        <v>1978</v>
      </c>
      <c r="B162" s="8">
        <f>(K45*($E45/365))+(K46*($E46/365))</f>
        <v>0</v>
      </c>
      <c r="C162" s="8">
        <f>(L45*($E45/365))+(L46*($E46/365))</f>
        <v>60.513833992094874</v>
      </c>
      <c r="D162" s="8">
        <f>(M45*($E45/365))+(M46*($E46/365))</f>
        <v>39.48616600790514</v>
      </c>
      <c r="E162" s="31">
        <f t="shared" si="58"/>
        <v>100.00000000000001</v>
      </c>
      <c r="G162" s="20">
        <v>1978</v>
      </c>
      <c r="H162" s="918">
        <f>(O45/$R45*100*($E45/365))+(O46/$R46*100*($E46/365))</f>
        <v>0</v>
      </c>
      <c r="I162" s="918"/>
      <c r="J162" s="886">
        <f>(P45/$R45*100*($E45/365))+(P46/$R46*100*($E46/365))</f>
        <v>63.950617283950628</v>
      </c>
      <c r="K162" s="886"/>
      <c r="L162" s="886">
        <f>(Q45/$R45*100*($E45/365))+(Q46/$R46*100*($E46/365))</f>
        <v>36.049382716049379</v>
      </c>
      <c r="M162" s="886"/>
      <c r="N162" s="919">
        <f t="shared" si="59"/>
        <v>100</v>
      </c>
      <c r="O162" s="919"/>
      <c r="R162" s="20">
        <v>1978</v>
      </c>
      <c r="S162" s="8">
        <f>(O45*($E45/365))+(O46*($E46/365))</f>
        <v>0</v>
      </c>
      <c r="T162" s="8">
        <f>(P45*($E45/365))+(P46*($E46/365))</f>
        <v>51.8</v>
      </c>
      <c r="U162" s="8">
        <f>(Q45*($E45/365))+(Q46*($E46/365))</f>
        <v>29.2</v>
      </c>
      <c r="V162" s="7"/>
      <c r="W162" s="8">
        <f>R45*(E45/365) + R46*(E46/365)</f>
        <v>81</v>
      </c>
    </row>
    <row r="163" spans="1:23">
      <c r="A163" s="20">
        <v>1979</v>
      </c>
      <c r="B163" s="8">
        <f>(K47*($E47/365))+(K48*($E48/365))</f>
        <v>0</v>
      </c>
      <c r="C163" s="8">
        <f>(L47*($E47/365))+(L48*($E48/365))</f>
        <v>59.770859277708595</v>
      </c>
      <c r="D163" s="8">
        <f>(M47*($E47/365))+(M48*($E48/365))</f>
        <v>40.229140722291412</v>
      </c>
      <c r="E163" s="31">
        <f t="shared" si="58"/>
        <v>100</v>
      </c>
      <c r="G163" s="20">
        <v>1979</v>
      </c>
      <c r="H163" s="918">
        <f>(O47/$R47*100*($E47/365))+(O48/$R48*100*($E48/365))</f>
        <v>0</v>
      </c>
      <c r="I163" s="918"/>
      <c r="J163" s="886">
        <f>(P47/$R47*100*($E47/365))+(P48/$R48*100*($E48/365))</f>
        <v>62.170664917128185</v>
      </c>
      <c r="K163" s="886"/>
      <c r="L163" s="886">
        <f>(Q47/$R47*100*($E47/365))+(Q48/$R48*100*($E48/365))</f>
        <v>37.829335082871815</v>
      </c>
      <c r="M163" s="886"/>
      <c r="N163" s="919">
        <f t="shared" si="59"/>
        <v>100</v>
      </c>
      <c r="O163" s="919"/>
      <c r="R163" s="20">
        <v>1979</v>
      </c>
      <c r="S163" s="8">
        <f>(O47*($E47/365))+(O48*($E48/365))</f>
        <v>0</v>
      </c>
      <c r="T163" s="8">
        <f>(P47*($E47/365))+(P48*($E48/365))</f>
        <v>45.89123287671233</v>
      </c>
      <c r="U163" s="8">
        <f>(Q47*($E47/365))+(Q48*($E48/365))</f>
        <v>27.853698630136986</v>
      </c>
      <c r="V163" s="7"/>
      <c r="W163" s="8">
        <f>R47*(E47/365) + R48*(E48/365)</f>
        <v>73.744931506849326</v>
      </c>
    </row>
    <row r="164" spans="1:23">
      <c r="A164" s="20">
        <v>1980</v>
      </c>
      <c r="B164" s="8">
        <f>(K49*($E49/366))+(K50*($E50/366))+(K51*($E51/366))+(K52*($E52/366))</f>
        <v>7.9437360858125885</v>
      </c>
      <c r="C164" s="8">
        <f>(L49*($E49/366))+(L50*($E50/366))+(L51*($E51/366))+(L52*($E52/366))</f>
        <v>48.605950212507594</v>
      </c>
      <c r="D164" s="8">
        <f>(M49*($E49/366))+(M50*($E50/366))+(M51*($E51/366))+(M52*($E52/366))</f>
        <v>43.450313701679818</v>
      </c>
      <c r="E164" s="31">
        <f t="shared" si="58"/>
        <v>100</v>
      </c>
      <c r="G164" s="20">
        <v>1980</v>
      </c>
      <c r="H164" s="918">
        <f>(O49/$R49*100*($E49/366))+(O50/$R50*100*($E50/366))+(O51/$R51*100*($E51/366))+(O52/$R52*100*($E52/366))</f>
        <v>5.8316368441730067</v>
      </c>
      <c r="I164" s="918"/>
      <c r="J164" s="886">
        <f>(P49/$R49*100*($E49/366))+(P50/$R50*100*($E50/366))+(P51/$R51*100*($E51/366))+(P52/$R52*100*($E52/366))</f>
        <v>55.315089190370955</v>
      </c>
      <c r="K164" s="886"/>
      <c r="L164" s="886">
        <f>(Q49/$R49*100*($E49/366))+(Q50/$R50*100*($E50/366))+(Q51/$R51*100*($E51/366))+(Q52/$R52*100*($E52/366))</f>
        <v>38.853273965456047</v>
      </c>
      <c r="M164" s="886"/>
      <c r="N164" s="919">
        <f t="shared" si="59"/>
        <v>100</v>
      </c>
      <c r="O164" s="919"/>
      <c r="R164" s="20">
        <v>1980</v>
      </c>
      <c r="S164" s="8">
        <f>(O49*($E49/366))+(O50*($E50/366))+(O51*($E51/366))+(O52*($E52/366))</f>
        <v>4.4612021857923496</v>
      </c>
      <c r="T164" s="8">
        <f>(P49*($E49/366))+(P50*($E50/366))+(P51*($E51/366))+(P52*($E52/366))</f>
        <v>39.012568306010934</v>
      </c>
      <c r="U164" s="8">
        <f>(Q49*($E49/366))+(Q50*($E50/366))+(Q51*($E51/366))+(Q52*($E52/366))</f>
        <v>27.4</v>
      </c>
      <c r="V164" s="7"/>
      <c r="W164" s="8">
        <f>R49*(E49/366) + R50*(E50/366) + R51*(E51/366) + R52*(E52/366)</f>
        <v>70.87377049180327</v>
      </c>
    </row>
    <row r="165" spans="1:23">
      <c r="A165" s="20">
        <v>1981</v>
      </c>
      <c r="B165" s="8">
        <f>(K53*($E53/365))+(K54*($E54/365))+(K55*($E55/365))</f>
        <v>2.054794520547945</v>
      </c>
      <c r="C165" s="8">
        <f>(L53*($E53/365))+(L54*($E54/365))+(L55*($E55/365))</f>
        <v>51.917808219178077</v>
      </c>
      <c r="D165" s="8">
        <f>(M53*($E53/365))+(M54*($E54/365))+(M55*($E55/365))</f>
        <v>46.027397260273972</v>
      </c>
      <c r="E165" s="31">
        <f t="shared" si="58"/>
        <v>100</v>
      </c>
      <c r="G165" s="20">
        <v>1981</v>
      </c>
      <c r="H165" s="918">
        <f>(O53/$R53*100*($E53/365))+(O54/$R54*100*($E54/365))+(O55/$R55*100*($E55/365))</f>
        <v>1.889023105194171</v>
      </c>
      <c r="I165" s="918"/>
      <c r="J165" s="886">
        <f>(P53/$R53*100*($E53/365))+(P54/$R54*100*($E54/365))+(P55/$R55*100*($E55/365))</f>
        <v>58.362152987484009</v>
      </c>
      <c r="K165" s="886"/>
      <c r="L165" s="886">
        <f>(Q53/$R53*100*($E53/365))+(Q54/$R54*100*($E54/365))+(Q55/$R55*100*($E55/365))</f>
        <v>39.748823907321821</v>
      </c>
      <c r="M165" s="886"/>
      <c r="N165" s="919">
        <f t="shared" si="59"/>
        <v>100</v>
      </c>
      <c r="O165" s="919"/>
      <c r="R165" s="20">
        <v>1981</v>
      </c>
      <c r="S165" s="8">
        <f>(O53*($E53/365))+(O54*($E54/365))+(O55*($E55/365))</f>
        <v>1.0068493150684932</v>
      </c>
      <c r="T165" s="8">
        <f>(P53*($E53/365))+(P54*($E54/365))+(P55*($E55/365))</f>
        <v>38.293150684931511</v>
      </c>
      <c r="U165" s="8">
        <f>(Q53*($E53/365))+(Q54*($E54/365))+(Q55*($E55/365))</f>
        <v>26.273972602739725</v>
      </c>
      <c r="V165" s="7"/>
      <c r="W165" s="8">
        <f>R53*(E53/365) + R54*(E54/365) + R55*(E55/365)</f>
        <v>65.573972602739715</v>
      </c>
    </row>
    <row r="166" spans="1:23">
      <c r="A166" s="20">
        <v>1982</v>
      </c>
      <c r="B166" s="8">
        <f>(K56*($E56/365))+(K57*($E57/365))</f>
        <v>50</v>
      </c>
      <c r="C166" s="8">
        <f>(L56*($E56/365))+(L57*($E57/365))</f>
        <v>50</v>
      </c>
      <c r="D166" s="8">
        <f>(M56*($E56/365))+(M57*($E57/365))</f>
        <v>0</v>
      </c>
      <c r="E166" s="31">
        <f t="shared" si="58"/>
        <v>100</v>
      </c>
      <c r="G166" s="20">
        <v>1982</v>
      </c>
      <c r="H166" s="918">
        <f>(O56/$R56*100*($E56/365))+(O57/$R57*100*($E57/365))</f>
        <v>45.966228893058165</v>
      </c>
      <c r="I166" s="918"/>
      <c r="J166" s="886">
        <f>(P56/$R56*100*($E56/365))+(P57/$R57*100*($E57/365))</f>
        <v>54.033771106941842</v>
      </c>
      <c r="K166" s="886"/>
      <c r="L166" s="886">
        <f>(Q56/$R56*100*($E56/365))+(Q57/$R57*100*($E57/365))</f>
        <v>0</v>
      </c>
      <c r="M166" s="886"/>
      <c r="N166" s="919">
        <f t="shared" si="59"/>
        <v>100</v>
      </c>
      <c r="O166" s="919"/>
      <c r="R166" s="20">
        <v>1982</v>
      </c>
      <c r="S166" s="8">
        <f>(O56*($E56/365))+(O57*($E57/365))</f>
        <v>24.5</v>
      </c>
      <c r="T166" s="8">
        <f>(P56*($E56/365))+(P57*($E57/365))</f>
        <v>28.8</v>
      </c>
      <c r="U166" s="8">
        <f>(Q56*($E56/365))+(Q57*($E57/365))</f>
        <v>0</v>
      </c>
      <c r="V166" s="7"/>
      <c r="W166" s="8">
        <f>R56*(E56/365) + R57*(E57/365)</f>
        <v>53.3</v>
      </c>
    </row>
    <row r="167" spans="1:23">
      <c r="A167" s="20">
        <v>1983</v>
      </c>
      <c r="B167" s="8">
        <f>(K58*($E58/365))+(K59*($E59/365))</f>
        <v>50</v>
      </c>
      <c r="C167" s="8">
        <f>(L58*($E58/365))+(L59*($E59/365))</f>
        <v>50</v>
      </c>
      <c r="D167" s="8">
        <f>(M58*($E58/365))+(M59*($E59/365))</f>
        <v>0</v>
      </c>
      <c r="E167" s="31">
        <f t="shared" si="58"/>
        <v>100</v>
      </c>
      <c r="G167" s="20">
        <v>1983</v>
      </c>
      <c r="H167" s="918">
        <f>(O58/$R58*100*($E58/365))+(O59/$R59*100*($E59/365))</f>
        <v>45.966228893058165</v>
      </c>
      <c r="I167" s="918"/>
      <c r="J167" s="886">
        <f>(P58/$R58*100*($E58/365))+(P59/$R59*100*($E59/365))</f>
        <v>54.033771106941842</v>
      </c>
      <c r="K167" s="886"/>
      <c r="L167" s="886">
        <f>(Q58/$R58*100*($E58/365))+(Q59/$R59*100*($E59/365))</f>
        <v>0</v>
      </c>
      <c r="M167" s="886"/>
      <c r="N167" s="919">
        <f t="shared" si="59"/>
        <v>100</v>
      </c>
      <c r="O167" s="919"/>
      <c r="R167" s="20">
        <v>1983</v>
      </c>
      <c r="S167" s="8">
        <f>(O58*($E58/365))+(O59*($E59/365))</f>
        <v>24.5</v>
      </c>
      <c r="T167" s="8">
        <f>(P58*($E58/365))+(P59*($E59/365))</f>
        <v>28.8</v>
      </c>
      <c r="U167" s="8">
        <f>(Q58*($E58/365))+(Q59*($E59/365))</f>
        <v>0</v>
      </c>
      <c r="V167" s="7"/>
      <c r="W167" s="8">
        <f>R58*(E58/365) + R59*(E59/365)</f>
        <v>53.3</v>
      </c>
    </row>
    <row r="168" spans="1:23">
      <c r="A168" s="20">
        <v>1984</v>
      </c>
      <c r="B168" s="8">
        <f>(K60*($E60/366))+(K61*($E61/366))</f>
        <v>50</v>
      </c>
      <c r="C168" s="8">
        <f>(L60*($E60/366))+(L61*($E61/366))</f>
        <v>50</v>
      </c>
      <c r="D168" s="8">
        <f>(M60*($E60/366))+(M61*($E61/366))</f>
        <v>0</v>
      </c>
      <c r="E168" s="31">
        <f t="shared" si="58"/>
        <v>100</v>
      </c>
      <c r="G168" s="20">
        <v>1984</v>
      </c>
      <c r="H168" s="918">
        <f>(O60/$R60*100*($E60/366))+(O61/$R61*100*($E61/366))</f>
        <v>45.966228893058165</v>
      </c>
      <c r="I168" s="918"/>
      <c r="J168" s="886">
        <f>(P60/$R60*100*($E60/366))+(P61/$R61*100*($E61/366))</f>
        <v>54.033771106941842</v>
      </c>
      <c r="K168" s="886"/>
      <c r="L168" s="886">
        <f>(Q60/$R60*100*($E60/366))+(Q61/$R61*100*($E61/366))</f>
        <v>0</v>
      </c>
      <c r="M168" s="886"/>
      <c r="N168" s="919">
        <f t="shared" si="59"/>
        <v>100</v>
      </c>
      <c r="O168" s="919"/>
      <c r="R168" s="20">
        <v>1984</v>
      </c>
      <c r="S168" s="8">
        <f>(O60*($E60/366))+(O61*($E61/366))</f>
        <v>24.5</v>
      </c>
      <c r="T168" s="8">
        <f>(P60*($E60/366))+(P61*($E61/366))</f>
        <v>28.8</v>
      </c>
      <c r="U168" s="8">
        <f>(Q60*($E60/366))+(Q61*($E61/366))</f>
        <v>0</v>
      </c>
      <c r="V168" s="7"/>
      <c r="W168" s="8">
        <f>R60*(E60/366) + R61*(E61/366)</f>
        <v>53.3</v>
      </c>
    </row>
    <row r="169" spans="1:23">
      <c r="A169" s="20">
        <v>1985</v>
      </c>
      <c r="B169" s="8">
        <f>(K62*($E62/365))+(K63*($E63/365))</f>
        <v>49.689497716894984</v>
      </c>
      <c r="C169" s="8">
        <f>(L62*($E62/365))+(L63*($E63/365))</f>
        <v>50.310502283105031</v>
      </c>
      <c r="D169" s="8">
        <f>(M62*($E62/365))+(M63*($E63/365))</f>
        <v>0</v>
      </c>
      <c r="E169" s="31">
        <f t="shared" si="58"/>
        <v>100.00000000000001</v>
      </c>
      <c r="G169" s="20">
        <v>1985</v>
      </c>
      <c r="H169" s="918">
        <f>(O62/$R62*100*($E62/365))+(O63/$R63*100*($E63/365))</f>
        <v>45.41390787985857</v>
      </c>
      <c r="I169" s="918"/>
      <c r="J169" s="886">
        <f>(P62/$R62*100*($E62/365))+(P63/$R63*100*($E63/365))</f>
        <v>54.586092120141437</v>
      </c>
      <c r="K169" s="886"/>
      <c r="L169" s="886">
        <f>(Q62/$R62*100*($E62/365))+(Q63/$R63*100*($E63/365))</f>
        <v>0</v>
      </c>
      <c r="M169" s="886"/>
      <c r="N169" s="919">
        <f t="shared" si="59"/>
        <v>100</v>
      </c>
      <c r="O169" s="919"/>
      <c r="R169" s="20">
        <v>1985</v>
      </c>
      <c r="S169" s="8">
        <f>(O62*($E62/365))+(O63*($E63/365))</f>
        <v>24.239178082191781</v>
      </c>
      <c r="T169" s="8">
        <f>(P62*($E62/365))+(P63*($E63/365))</f>
        <v>29.144657534246576</v>
      </c>
      <c r="U169" s="8">
        <f>(Q62*($E62/365))+(Q63*($E63/365))</f>
        <v>0</v>
      </c>
      <c r="V169" s="7"/>
      <c r="W169" s="8">
        <f>R62*(E62/365) + R63*(E63/365)</f>
        <v>53.383835616438361</v>
      </c>
    </row>
    <row r="170" spans="1:23">
      <c r="A170" s="20">
        <v>1986</v>
      </c>
      <c r="B170" s="8">
        <f>(K64*($E64/365))+(K65*($E65/365))</f>
        <v>46.666666666666664</v>
      </c>
      <c r="C170" s="8">
        <f>(L64*($E64/365))+(L65*($E65/365))</f>
        <v>53.333333333333336</v>
      </c>
      <c r="D170" s="8">
        <f>(M64*($E64/365))+(M65*($E65/365))</f>
        <v>0</v>
      </c>
      <c r="E170" s="31">
        <f t="shared" si="58"/>
        <v>100</v>
      </c>
      <c r="G170" s="20">
        <v>1986</v>
      </c>
      <c r="H170" s="918">
        <f>(O64/$R64*100*($E64/365))+(O65/$R65*100*($E65/365))</f>
        <v>40.036900369003689</v>
      </c>
      <c r="I170" s="918"/>
      <c r="J170" s="886">
        <f>(P64/$R64*100*($E64/365))+(P65/$R65*100*($E65/365))</f>
        <v>59.963099630996311</v>
      </c>
      <c r="K170" s="886"/>
      <c r="L170" s="886">
        <f>(Q64/$R64*100*($E64/365))+(Q65/$R65*100*($E65/365))</f>
        <v>0</v>
      </c>
      <c r="M170" s="886"/>
      <c r="N170" s="919">
        <f t="shared" si="59"/>
        <v>100</v>
      </c>
      <c r="O170" s="919"/>
      <c r="R170" s="20">
        <v>1986</v>
      </c>
      <c r="S170" s="8">
        <f>(O64*($E64/365))+(O65*($E65/365))</f>
        <v>21.7</v>
      </c>
      <c r="T170" s="8">
        <f>(P64*($E64/365))+(P65*($E65/365))</f>
        <v>32.5</v>
      </c>
      <c r="U170" s="8">
        <f>(Q64*($E64/365))+(Q65*($E65/365))</f>
        <v>0</v>
      </c>
      <c r="V170" s="7"/>
      <c r="W170" s="8">
        <f>R64*(E64/365) + R65*(E65/365)</f>
        <v>54.2</v>
      </c>
    </row>
    <row r="171" spans="1:23" ht="9" customHeight="1">
      <c r="A171" s="20">
        <v>1987</v>
      </c>
      <c r="B171" s="8">
        <f>(K66*($E66/365))+(K67*($E67/365))</f>
        <v>46.083333333333336</v>
      </c>
      <c r="C171" s="8">
        <f>(L66*($E66/365))+(L67*($E67/365))</f>
        <v>53.916666666666671</v>
      </c>
      <c r="D171" s="8">
        <f>(M66*($E66/365))+(M67*($E67/365))</f>
        <v>0</v>
      </c>
      <c r="E171" s="31">
        <f t="shared" si="58"/>
        <v>100</v>
      </c>
      <c r="G171" s="20">
        <v>1987</v>
      </c>
      <c r="H171" s="918">
        <f>(O66/$R66*100*($E66/365))+(O67/$R67*100*($E67/365))</f>
        <v>40.738576171888887</v>
      </c>
      <c r="I171" s="918"/>
      <c r="J171" s="886">
        <f>(P66/$R66*100*($E66/365))+(P67/$R67*100*($E67/365))</f>
        <v>59.261423828111113</v>
      </c>
      <c r="K171" s="886"/>
      <c r="L171" s="886">
        <f>(Q66/$R66*100*($E66/365))+(Q67/$R67*100*($E67/365))</f>
        <v>0</v>
      </c>
      <c r="M171" s="886"/>
      <c r="N171" s="919">
        <f t="shared" si="59"/>
        <v>100</v>
      </c>
      <c r="O171" s="919"/>
      <c r="R171" s="20">
        <v>1987</v>
      </c>
      <c r="S171" s="8">
        <f>(O66*($E66/365))+(O67*($E67/365))</f>
        <v>21.88</v>
      </c>
      <c r="T171" s="8">
        <f>(P66*($E66/365))+(P67*($E67/365))</f>
        <v>31.86</v>
      </c>
      <c r="U171" s="8">
        <f>(Q66*($E66/365))+(Q67*($E67/365))</f>
        <v>0</v>
      </c>
      <c r="V171" s="7"/>
      <c r="W171" s="8">
        <f>R66*(E66/365) + R67*(E67/365)</f>
        <v>53.740000000000009</v>
      </c>
    </row>
    <row r="172" spans="1:23" ht="9" customHeight="1">
      <c r="A172" s="1">
        <v>1988</v>
      </c>
      <c r="B172" s="8">
        <f>(K68*($E68/366))+(K69*($E69/366))</f>
        <v>19.125683060109289</v>
      </c>
      <c r="C172" s="8">
        <f>(L68*($E68/366))+(L69*($E69/366))</f>
        <v>54.387656702025069</v>
      </c>
      <c r="D172" s="8">
        <f>(M68*($E68/366))+(M69*($E69/366))</f>
        <v>26.486660237865635</v>
      </c>
      <c r="E172" s="31">
        <f t="shared" si="58"/>
        <v>100</v>
      </c>
      <c r="F172" s="5"/>
      <c r="G172" s="1">
        <v>1988</v>
      </c>
      <c r="H172" s="918">
        <f>(O68/$R68*100*($E68/366))+(O69/$R69*100*($E69/366))</f>
        <v>19.036187708603133</v>
      </c>
      <c r="I172" s="918"/>
      <c r="J172" s="886">
        <f>(P68/$R68*100*($E68/366))+(P69/$R69*100*($E69/366))</f>
        <v>53.934699266173808</v>
      </c>
      <c r="K172" s="886"/>
      <c r="L172" s="886">
        <f>(Q68/$R68*100*($E68/366))+(Q69/$R69*100*($E69/366))</f>
        <v>27.029113025223054</v>
      </c>
      <c r="M172" s="886"/>
      <c r="N172" s="919">
        <f t="shared" si="59"/>
        <v>100</v>
      </c>
      <c r="O172" s="919"/>
      <c r="R172" s="1">
        <v>1988</v>
      </c>
      <c r="S172" s="8">
        <f>(O68*($E68/366))+(O69*($E69/366))</f>
        <v>9.8797814207650276</v>
      </c>
      <c r="T172" s="8">
        <f>(P68*($E68/366))+(P69*($E69/366))</f>
        <v>33.521311475409831</v>
      </c>
      <c r="U172" s="8">
        <f>(Q68*($E68/366))+(Q69*($E69/366))</f>
        <v>19.136612021857921</v>
      </c>
      <c r="V172" s="7"/>
      <c r="W172" s="8">
        <f>R68*(E68/366) + R69*(E69/366)</f>
        <v>62.537704918032787</v>
      </c>
    </row>
    <row r="173" spans="1:23" s="4" customFormat="1" ht="9" customHeight="1">
      <c r="A173" s="4">
        <v>1989</v>
      </c>
      <c r="B173" s="11">
        <f>(K70*($E70/365))+(K71*($E71/365))</f>
        <v>0</v>
      </c>
      <c r="C173" s="11">
        <f>(L70*($E70/365))+(L71*($E71/365))</f>
        <v>52.941176470588239</v>
      </c>
      <c r="D173" s="11">
        <f>(M70*($E70/365))+(M71*($E71/365))</f>
        <v>47.058823529411761</v>
      </c>
      <c r="E173" s="62">
        <f t="shared" si="58"/>
        <v>100</v>
      </c>
      <c r="G173" s="4">
        <v>1989</v>
      </c>
      <c r="H173" s="920">
        <f>(O70*100*($E70/365)/($R70))+(O71*100*($E71/365)/($R71))</f>
        <v>0</v>
      </c>
      <c r="I173" s="920"/>
      <c r="J173" s="892">
        <f>(P70*100*($E70/365)/($R70))+(P71*100*($E71/365)/($R71))</f>
        <v>51.977401129943502</v>
      </c>
      <c r="K173" s="892"/>
      <c r="L173" s="892">
        <f>(Q70*100*($E70/365)/($R70))+(Q71*100*($E71/365)/($R71))</f>
        <v>48.022598870056498</v>
      </c>
      <c r="M173" s="892"/>
      <c r="N173" s="893">
        <f t="shared" si="59"/>
        <v>100</v>
      </c>
      <c r="O173" s="893"/>
      <c r="R173" s="4">
        <v>1989</v>
      </c>
      <c r="S173" s="11">
        <f>(O70*($E70/365))+(O71*($E71/365))</f>
        <v>0</v>
      </c>
      <c r="T173" s="11">
        <f>(P70*($E70/365))+(P71*($E71/365))</f>
        <v>36.799999999999997</v>
      </c>
      <c r="U173" s="11">
        <f>(Q70*($E70/365))+(Q71*($E71/365))</f>
        <v>34</v>
      </c>
      <c r="V173" s="11"/>
      <c r="W173" s="11">
        <f>R70*(E70/365) + R71*(E71/365)</f>
        <v>70.8</v>
      </c>
    </row>
    <row r="174" spans="1:23" ht="9" customHeight="1">
      <c r="A174" s="1">
        <v>1990</v>
      </c>
      <c r="B174" s="8">
        <f>(K72*($E72/365))+(K73*($E73/365))</f>
        <v>0</v>
      </c>
      <c r="C174" s="8">
        <f>(L72*($E72/365))+(L73*($E73/365))</f>
        <v>52.941176470588239</v>
      </c>
      <c r="D174" s="8">
        <f>(M72*($E72/365))+(M73*($E73/365))</f>
        <v>47.058823529411761</v>
      </c>
      <c r="E174" s="31">
        <f t="shared" si="58"/>
        <v>100</v>
      </c>
      <c r="G174" s="1">
        <v>1990</v>
      </c>
      <c r="H174" s="918">
        <f>(O72*100*($E72/365)/($R72))+(O73*100*($E73/365)/($R73))</f>
        <v>0</v>
      </c>
      <c r="I174" s="918"/>
      <c r="J174" s="886">
        <f>(P72*100*($E72/365)/($R72))+(P73*100*($E73/365)/($R73))</f>
        <v>51.977401129943502</v>
      </c>
      <c r="K174" s="886"/>
      <c r="L174" s="886">
        <f>(Q72*100*($E72/365)/($R72))+(Q73*100*($E73/365)/($R73))</f>
        <v>48.022598870056498</v>
      </c>
      <c r="M174" s="886"/>
      <c r="N174" s="919">
        <f t="shared" si="59"/>
        <v>100</v>
      </c>
      <c r="O174" s="919"/>
      <c r="R174" s="1">
        <v>1990</v>
      </c>
      <c r="S174" s="8">
        <f>(O72*($E72/365))+(O73*($E73/365))</f>
        <v>0</v>
      </c>
      <c r="T174" s="8">
        <f>(P72*($E72/365))+(P73*($E73/365))</f>
        <v>36.799999999999997</v>
      </c>
      <c r="U174" s="8">
        <f>(Q72*($E72/365))+(Q73*($E73/365))</f>
        <v>34</v>
      </c>
      <c r="V174" s="7"/>
      <c r="W174" s="8">
        <f>R72*(E72/365) + R73*(E73/365)</f>
        <v>70.8</v>
      </c>
    </row>
    <row r="175" spans="1:23" ht="9" customHeight="1">
      <c r="A175" s="1">
        <v>1991</v>
      </c>
      <c r="B175" s="8">
        <f>(K74*($E74/365))+(K75*($E75/365))</f>
        <v>0</v>
      </c>
      <c r="C175" s="8">
        <f>(L74*($E74/365))+(L75*($E75/365))</f>
        <v>51.490733279613217</v>
      </c>
      <c r="D175" s="8">
        <f>(M74*($E74/365))+(M75*($E75/365))</f>
        <v>48.509266720386783</v>
      </c>
      <c r="E175" s="31">
        <f t="shared" si="58"/>
        <v>100</v>
      </c>
      <c r="G175" s="1">
        <v>1991</v>
      </c>
      <c r="H175" s="928">
        <f>(O74*100*($E74/365)/($R74))+(O75*100*($E75/365)/($R75))</f>
        <v>0</v>
      </c>
      <c r="I175" s="928"/>
      <c r="J175" s="929">
        <f>(P74*100*($E74/365)/($R74))+(P75*100*($E75/365)/($R75))</f>
        <v>51.977401129943502</v>
      </c>
      <c r="K175" s="929"/>
      <c r="L175" s="929">
        <f>(Q74*100*($E74/365)/($R74))+(Q75*100*($E75/365)/($R75))</f>
        <v>48.022598870056498</v>
      </c>
      <c r="M175" s="929"/>
      <c r="N175" s="919">
        <f t="shared" si="59"/>
        <v>100</v>
      </c>
      <c r="O175" s="919"/>
      <c r="R175" s="1">
        <v>1991</v>
      </c>
      <c r="S175" s="8">
        <f>(O74*($E74/365))+(O75*($E75/365))</f>
        <v>0</v>
      </c>
      <c r="T175" s="8">
        <f>(P74*($E74/365))+(P75*($E75/365))</f>
        <v>36.799999999999997</v>
      </c>
      <c r="U175" s="8">
        <f>(Q74*($E74/365))+(Q75*($E75/365))</f>
        <v>34</v>
      </c>
      <c r="V175" s="7"/>
      <c r="W175" s="8">
        <f>R74*(E74/365) + R75*(E75/365)</f>
        <v>70.8</v>
      </c>
    </row>
    <row r="176" spans="1:23" ht="9" customHeight="1">
      <c r="A176" s="1">
        <v>1992</v>
      </c>
      <c r="B176" s="8">
        <f>(K76*($E76/366))+(K77*($E77/366))</f>
        <v>0</v>
      </c>
      <c r="C176" s="8">
        <f>(L76*($E76/366))+(L77*($E77/366))</f>
        <v>46.743812279009958</v>
      </c>
      <c r="D176" s="8">
        <f>(M76*($E76/366))+(M77*($E77/366))</f>
        <v>53.256187720990042</v>
      </c>
      <c r="E176" s="31">
        <f t="shared" ref="E176:E195" si="60">SUM(B176:D176)</f>
        <v>100</v>
      </c>
      <c r="G176" s="1">
        <v>1992</v>
      </c>
      <c r="H176" s="928">
        <f>(O76*100*($E76/366)/($R76))+(O77*100*($E77/366)/($R77))</f>
        <v>0</v>
      </c>
      <c r="I176" s="928"/>
      <c r="J176" s="929">
        <f>(P76*100*($E76/366)/($R76))+(P77*100*($E77/366)/($R77))</f>
        <v>48.40208852675017</v>
      </c>
      <c r="K176" s="929"/>
      <c r="L176" s="929">
        <f>(Q76*100*($E76/366)/($R76))+(Q77*100*($E77/366)/($R77))</f>
        <v>51.597911473249837</v>
      </c>
      <c r="M176" s="929"/>
      <c r="N176" s="919">
        <f t="shared" si="59"/>
        <v>100</v>
      </c>
      <c r="O176" s="919"/>
      <c r="R176" s="1">
        <v>1992</v>
      </c>
      <c r="S176" s="8">
        <f>(O76*($E76/366))+(O77*($E77/366))</f>
        <v>0</v>
      </c>
      <c r="T176" s="8">
        <f>(P76*($E76/366))+(P77*($E77/366))</f>
        <v>28.847540983606557</v>
      </c>
      <c r="U176" s="8">
        <f>(Q76*($E76/366))+(Q77*($E77/366))</f>
        <v>30.545901639344265</v>
      </c>
      <c r="V176" s="7"/>
      <c r="W176" s="8">
        <f>R76*(E76/366) + R77*(E77/366)</f>
        <v>59.393442622950815</v>
      </c>
    </row>
    <row r="177" spans="1:23" ht="9" customHeight="1">
      <c r="A177" s="1">
        <v>1993</v>
      </c>
      <c r="B177" s="8">
        <f>(K78*($E78/365))+(K79*($E79/365))</f>
        <v>0</v>
      </c>
      <c r="C177" s="8">
        <f>(L78*($E78/365))+(L79*($E79/365))</f>
        <v>46.666666666666664</v>
      </c>
      <c r="D177" s="8">
        <f>(M78*($E78/365))+(M79*($E79/365))</f>
        <v>53.333333333333336</v>
      </c>
      <c r="E177" s="31">
        <f t="shared" si="60"/>
        <v>100</v>
      </c>
      <c r="G177" s="1">
        <v>1993</v>
      </c>
      <c r="H177" s="928">
        <f>(O78*100*($E78/365)/($R78))+(O79*100*($E79/365)/($R79))</f>
        <v>0</v>
      </c>
      <c r="I177" s="928"/>
      <c r="J177" s="929">
        <f>(P78*100*($E78/365)/($R78))+(P79*100*($E79/365)/($R79))</f>
        <v>47.526501766784456</v>
      </c>
      <c r="K177" s="929"/>
      <c r="L177" s="929">
        <f>(Q78*100*($E78/365)/($R78))+(Q79*100*($E79/365)/($R79))</f>
        <v>52.473498233215551</v>
      </c>
      <c r="M177" s="929"/>
      <c r="N177" s="919">
        <f t="shared" si="59"/>
        <v>100</v>
      </c>
      <c r="O177" s="919"/>
      <c r="R177" s="1">
        <v>1993</v>
      </c>
      <c r="S177" s="8">
        <f>(O78*($E78/365))+(O79*($E79/365))</f>
        <v>0</v>
      </c>
      <c r="T177" s="8">
        <f>(P78*($E78/365))+(P79*($E79/365))</f>
        <v>26.9</v>
      </c>
      <c r="U177" s="8">
        <f>(Q78*($E78/365))+(Q79*($E79/365))</f>
        <v>29.7</v>
      </c>
      <c r="V177" s="7"/>
      <c r="W177" s="8">
        <f>R78*(E78/365) + R79*(E79/365)</f>
        <v>56.599999999999994</v>
      </c>
    </row>
    <row r="178" spans="1:23" ht="9" customHeight="1">
      <c r="A178" s="1">
        <v>1994</v>
      </c>
      <c r="B178" s="8">
        <f>(K80*($E80/365))+(K81*($E81/365))</f>
        <v>0</v>
      </c>
      <c r="C178" s="8">
        <f>(L80*($E80/365))+(L81*($E81/365))</f>
        <v>46.666666666666664</v>
      </c>
      <c r="D178" s="8">
        <f>(M80*($E80/365))+(M81*($E81/365))</f>
        <v>53.333333333333336</v>
      </c>
      <c r="E178" s="31">
        <f t="shared" si="60"/>
        <v>100</v>
      </c>
      <c r="G178" s="1">
        <v>1994</v>
      </c>
      <c r="H178" s="928">
        <f>(O80*100*($E80/365)/($R80))+(O81*100*($E81/365)/($R81))</f>
        <v>0</v>
      </c>
      <c r="I178" s="928"/>
      <c r="J178" s="929">
        <f>(P80*100*($E80/365)/($R80))+(P81*100*($E81/365)/($R81))</f>
        <v>47.526501766784456</v>
      </c>
      <c r="K178" s="929"/>
      <c r="L178" s="929">
        <f>(Q80*100*($E80/365)/($R80))+(Q81*100*($E81/365)/($R81))</f>
        <v>52.473498233215551</v>
      </c>
      <c r="M178" s="929"/>
      <c r="N178" s="919">
        <f t="shared" si="59"/>
        <v>100</v>
      </c>
      <c r="O178" s="919"/>
      <c r="R178" s="1">
        <v>1994</v>
      </c>
      <c r="S178" s="8">
        <f>(O80*($E80/365))+(O81*($E81/365))</f>
        <v>0</v>
      </c>
      <c r="T178" s="8">
        <f>(P80*($E80/365))+(P81*($E81/365))</f>
        <v>26.9</v>
      </c>
      <c r="U178" s="8">
        <f>(Q80*($E80/365))+(Q81*($E81/365))</f>
        <v>29.7</v>
      </c>
      <c r="V178" s="7"/>
      <c r="W178" s="8">
        <f>R80*(E80/365) + R81*(E81/365)</f>
        <v>56.599999999999994</v>
      </c>
    </row>
    <row r="179" spans="1:23" ht="9" customHeight="1">
      <c r="A179" s="1">
        <v>1995</v>
      </c>
      <c r="B179" s="8">
        <f>(K82*($E82/365))+(K83*($E83/365))</f>
        <v>0</v>
      </c>
      <c r="C179" s="8">
        <f>(L82*($E82/365))+(L83*($E83/365))</f>
        <v>46.666666666666657</v>
      </c>
      <c r="D179" s="8">
        <f>(M82*($E82/365))+(M83*($E83/365))</f>
        <v>53.333333333333329</v>
      </c>
      <c r="E179" s="31">
        <f t="shared" si="60"/>
        <v>99.999999999999986</v>
      </c>
      <c r="G179" s="1">
        <v>1995</v>
      </c>
      <c r="H179" s="928">
        <f>(O82*100*($E82/365)/($R82))+(O83*100*($E83/365)/($R83))</f>
        <v>0</v>
      </c>
      <c r="I179" s="928"/>
      <c r="J179" s="929">
        <f>(P82*100*($E82/365)/($R82))+(P83*100*($E83/365)/($R83))</f>
        <v>48.827629604530713</v>
      </c>
      <c r="K179" s="929"/>
      <c r="L179" s="929">
        <f>(Q82*100*($E82/365)/($R82))+(Q83*100*($E83/365)/($R83))</f>
        <v>51.172370395469287</v>
      </c>
      <c r="M179" s="929"/>
      <c r="N179" s="919">
        <f t="shared" si="59"/>
        <v>100</v>
      </c>
      <c r="O179" s="919"/>
      <c r="R179" s="1">
        <v>1995</v>
      </c>
      <c r="S179" s="8">
        <f>(O82*($E82/365))+(O83*($E83/365))</f>
        <v>0</v>
      </c>
      <c r="T179" s="8">
        <f>(P82*($E82/365))+(P83*($E83/365))</f>
        <v>27.110410958904108</v>
      </c>
      <c r="U179" s="8">
        <f>(Q82*($E82/365))+(Q83*($E83/365))</f>
        <v>28.437534246575339</v>
      </c>
      <c r="V179" s="7"/>
      <c r="W179" s="8">
        <f>R82*(E82/365) + R83*(E83/365)</f>
        <v>55.547945205479451</v>
      </c>
    </row>
    <row r="180" spans="1:23" ht="9" customHeight="1">
      <c r="A180" s="1">
        <v>1996</v>
      </c>
      <c r="B180" s="8">
        <f>(K84*($E84/366))+(K85*($E85/366))</f>
        <v>0</v>
      </c>
      <c r="C180" s="8">
        <f>(L84*($E84/366))+(L85*($E85/366))</f>
        <v>46.666666666666664</v>
      </c>
      <c r="D180" s="8">
        <f>(M84*($E84/366))+(M85*($E85/366))</f>
        <v>53.333333333333336</v>
      </c>
      <c r="E180" s="31">
        <f t="shared" si="60"/>
        <v>100</v>
      </c>
      <c r="G180" s="1">
        <v>1996</v>
      </c>
      <c r="H180" s="928">
        <f>(O84*100*($E84/366)/($R84))+(O85*100*($E85/366)/($R85))</f>
        <v>0</v>
      </c>
      <c r="I180" s="928"/>
      <c r="J180" s="929">
        <f>(P84*100*($E84/366)/($R84))+(P85*100*($E85/366)/($R85))</f>
        <v>50</v>
      </c>
      <c r="K180" s="929"/>
      <c r="L180" s="929">
        <f>(Q84*100*($E84/366)/($R84))+(Q85*100*($E85/366)/($R85))</f>
        <v>50</v>
      </c>
      <c r="M180" s="929"/>
      <c r="N180" s="919">
        <f t="shared" si="59"/>
        <v>100</v>
      </c>
      <c r="O180" s="919"/>
      <c r="R180" s="1">
        <v>1996</v>
      </c>
      <c r="S180" s="8">
        <f>(O84*($E84/366))+(O85*($E85/366))</f>
        <v>0</v>
      </c>
      <c r="T180" s="8">
        <f>(P84*($E84/366))+(P85*($E85/366))</f>
        <v>27.3</v>
      </c>
      <c r="U180" s="8">
        <f>(Q84*($E84/366))+(Q85*($E85/366))</f>
        <v>27.3</v>
      </c>
      <c r="V180" s="7"/>
      <c r="W180" s="8">
        <f>R84*(E84/366) + R85*(E85/366)</f>
        <v>54.6</v>
      </c>
    </row>
    <row r="181" spans="1:23" ht="9" customHeight="1">
      <c r="A181" s="1">
        <v>1997</v>
      </c>
      <c r="B181" s="8">
        <f>(K86*($E86/365))+(K87*($E87/365))</f>
        <v>0</v>
      </c>
      <c r="C181" s="8">
        <f>(L86*($E86/365))+(L87*($E87/365))</f>
        <v>46.666666666666664</v>
      </c>
      <c r="D181" s="8">
        <f>(M86*($E86/365))+(M87*($E87/365))</f>
        <v>53.333333333333336</v>
      </c>
      <c r="E181" s="31">
        <f t="shared" si="60"/>
        <v>100</v>
      </c>
      <c r="G181" s="1">
        <v>1997</v>
      </c>
      <c r="H181" s="928">
        <f>(O86*100*($E86/365)/($R86))+(O87*100*($E87/365)/($R87))</f>
        <v>0</v>
      </c>
      <c r="I181" s="928"/>
      <c r="J181" s="929">
        <f>(P86*100*($E86/365)/($R86))+(P87*100*($E87/365)/($R87))</f>
        <v>50</v>
      </c>
      <c r="K181" s="929"/>
      <c r="L181" s="929">
        <f>(Q86*100*($E86/365)/($R86))+(Q87*100*($E87/365)/($R87))</f>
        <v>50</v>
      </c>
      <c r="M181" s="929"/>
      <c r="N181" s="919">
        <f t="shared" si="59"/>
        <v>100</v>
      </c>
      <c r="O181" s="919"/>
      <c r="R181" s="1">
        <v>1997</v>
      </c>
      <c r="S181" s="8">
        <f>(O86*($E86/365))+(O87*($E87/365))</f>
        <v>0</v>
      </c>
      <c r="T181" s="8">
        <f>(P86*($E86/365))+(P87*($E87/365))</f>
        <v>27.3</v>
      </c>
      <c r="U181" s="8">
        <f>(Q86*($E86/365))+(Q87*($E87/365))</f>
        <v>27.3</v>
      </c>
      <c r="V181" s="7"/>
      <c r="W181" s="8">
        <f>R86*(E86/365) + R87*(E87/365)</f>
        <v>54.6</v>
      </c>
    </row>
    <row r="182" spans="1:23" ht="9" customHeight="1">
      <c r="A182" s="1">
        <v>1998</v>
      </c>
      <c r="B182" s="8">
        <f>(K88*($E88/365))+(K89*($E89/365))</f>
        <v>0</v>
      </c>
      <c r="C182" s="8">
        <f>(L88*($E88/365))+(L89*($E89/365))</f>
        <v>46.666666666666664</v>
      </c>
      <c r="D182" s="8">
        <f>(M88*($E88/365))+(M89*($E89/365))</f>
        <v>53.333333333333336</v>
      </c>
      <c r="E182" s="31">
        <f t="shared" si="60"/>
        <v>100</v>
      </c>
      <c r="G182" s="1">
        <v>1998</v>
      </c>
      <c r="H182" s="928">
        <f>(O88*100*($E88/365)/($R88))+(O89*100*($E89/365)/($R89))</f>
        <v>0</v>
      </c>
      <c r="I182" s="928"/>
      <c r="J182" s="929">
        <f>(P88*100*($E88/365)/($R88))+(P89*100*($E89/365)/($R89))</f>
        <v>50</v>
      </c>
      <c r="K182" s="929"/>
      <c r="L182" s="929">
        <f>(Q88*100*($E88/365)/($R88))+(Q89*100*($E89/365)/($R89))</f>
        <v>50</v>
      </c>
      <c r="M182" s="929"/>
      <c r="N182" s="919">
        <f t="shared" si="59"/>
        <v>100</v>
      </c>
      <c r="O182" s="919"/>
      <c r="R182" s="1">
        <v>1998</v>
      </c>
      <c r="S182" s="8">
        <f>(O88*($E88/365))+(O89*($E89/365))</f>
        <v>0</v>
      </c>
      <c r="T182" s="8">
        <f>(P88*($E88/365))+(P89*($E89/365))</f>
        <v>27.3</v>
      </c>
      <c r="U182" s="8">
        <f>(Q88*($E88/365))+(Q89*($E89/365))</f>
        <v>27.3</v>
      </c>
      <c r="V182" s="7"/>
      <c r="W182" s="8">
        <f>R88*(E88/365) + R89*(E89/365)</f>
        <v>54.6</v>
      </c>
    </row>
    <row r="183" spans="1:23" ht="9" customHeight="1">
      <c r="A183" s="1">
        <v>1999</v>
      </c>
      <c r="B183" s="8">
        <f>(K90*($E90/365))+(K91*($E91/365))</f>
        <v>21.990867579908674</v>
      </c>
      <c r="C183" s="8">
        <f>(L90*($E90/365))+(L91*($E91/365))</f>
        <v>24.675799086757991</v>
      </c>
      <c r="D183" s="8">
        <f>(M90*($E90/365))+(M91*($E91/365))</f>
        <v>53.333333333333343</v>
      </c>
      <c r="E183" s="31">
        <f t="shared" si="60"/>
        <v>100</v>
      </c>
      <c r="G183" s="1">
        <v>1999</v>
      </c>
      <c r="H183" s="928">
        <f>(O90*100*($E90/365)/($R90))+(O91*100*($E91/365)/($R91))</f>
        <v>20.550571140968973</v>
      </c>
      <c r="I183" s="928"/>
      <c r="J183" s="929">
        <f>(P90*100*($E90/365)/($R90))+(P91*100*($E91/365)/($R91))</f>
        <v>26.438356164383563</v>
      </c>
      <c r="K183" s="929"/>
      <c r="L183" s="929">
        <f>(Q90*100*($E90/365)/($R90))+(Q91*100*($E91/365)/($R91))</f>
        <v>53.011072694647467</v>
      </c>
      <c r="M183" s="929"/>
      <c r="N183" s="919">
        <f t="shared" si="59"/>
        <v>100</v>
      </c>
      <c r="O183" s="919"/>
      <c r="R183" s="1">
        <v>1999</v>
      </c>
      <c r="S183" s="8">
        <f>(O90*($E90/365))+(O91*($E91/365))</f>
        <v>12.864657534246575</v>
      </c>
      <c r="T183" s="8">
        <f>(P90*($E90/365))+(P91*($E91/365))</f>
        <v>14.435342465753426</v>
      </c>
      <c r="U183" s="8">
        <f>(Q90*($E90/365))+(Q91*($E91/365))</f>
        <v>31.06986301369863</v>
      </c>
      <c r="V183" s="7"/>
      <c r="W183" s="8">
        <f>R90*(E90/365) + R91*(E91/365)</f>
        <v>58.369863013698634</v>
      </c>
    </row>
    <row r="184" spans="1:23" ht="9" customHeight="1">
      <c r="A184" s="1">
        <v>2000</v>
      </c>
      <c r="B184" s="8">
        <f>(K92*($E92/366))+(K93*($E93/366))</f>
        <v>46.666666666666664</v>
      </c>
      <c r="C184" s="8">
        <f>(L92*($E92/366))+(L93*($E93/366))</f>
        <v>0</v>
      </c>
      <c r="D184" s="8">
        <f>(M92*($E92/366))+(M93*($E93/366))</f>
        <v>53.333333333333336</v>
      </c>
      <c r="E184" s="31">
        <f t="shared" si="60"/>
        <v>100</v>
      </c>
      <c r="G184" s="1">
        <v>2000</v>
      </c>
      <c r="H184" s="928">
        <f>(O92*100*($E92/366)/($R92))+(O93*100*($E93/366)/($R93))</f>
        <v>43.610223642172528</v>
      </c>
      <c r="I184" s="928"/>
      <c r="J184" s="929">
        <f>(P92*100*($E92/366)/($R92))+(P93*100*($E93/366)/($R93))</f>
        <v>0</v>
      </c>
      <c r="K184" s="929"/>
      <c r="L184" s="929">
        <f>(Q92*100*($E92/366)/($R92))+(Q93*100*($E93/366)/($R93))</f>
        <v>56.389776357827472</v>
      </c>
      <c r="M184" s="929"/>
      <c r="N184" s="919">
        <f t="shared" si="59"/>
        <v>100</v>
      </c>
      <c r="O184" s="919"/>
      <c r="R184" s="1">
        <v>2000</v>
      </c>
      <c r="S184" s="8">
        <f>(O92*($E92/366))+(O93*($E93/366))</f>
        <v>27.3</v>
      </c>
      <c r="T184" s="8">
        <f>(P92*($E92/366))+(P93*($E93/366))</f>
        <v>0</v>
      </c>
      <c r="U184" s="8">
        <f>(Q92*($E92/366))+(Q93*($E93/366))</f>
        <v>35.299999999999997</v>
      </c>
      <c r="V184" s="7"/>
      <c r="W184" s="8">
        <f>R92*(E92/366) + R93*(E93/366)</f>
        <v>62.599999999999994</v>
      </c>
    </row>
    <row r="185" spans="1:23" ht="9" customHeight="1">
      <c r="A185" s="1">
        <v>2001</v>
      </c>
      <c r="B185" s="8">
        <f>(K94*($E94/365))+(K95*($E95/365))</f>
        <v>46.666666666666664</v>
      </c>
      <c r="C185" s="8">
        <f>(L94*($E94/365))+(L95*($E95/365))</f>
        <v>0</v>
      </c>
      <c r="D185" s="8">
        <f>(M94*($E94/365))+(M95*($E95/365))</f>
        <v>53.333333333333336</v>
      </c>
      <c r="E185" s="31">
        <f t="shared" si="60"/>
        <v>100</v>
      </c>
      <c r="G185" s="1">
        <v>2001</v>
      </c>
      <c r="H185" s="928">
        <f>(O94*100*($E94/365)/($R94))+(O95*100*($E95/365)/($R95))</f>
        <v>43.610223642172528</v>
      </c>
      <c r="I185" s="928"/>
      <c r="J185" s="929">
        <f>(P94*100*($E94/365)/($R94))+(P95*100*($E95/365)/($R95))</f>
        <v>0</v>
      </c>
      <c r="K185" s="929"/>
      <c r="L185" s="929">
        <f>(Q94*100*($E94/365)/($R94))+(Q95*100*($E95/365)/($R95))</f>
        <v>56.389776357827472</v>
      </c>
      <c r="M185" s="929"/>
      <c r="N185" s="919">
        <f t="shared" si="59"/>
        <v>100</v>
      </c>
      <c r="O185" s="919"/>
      <c r="R185" s="1">
        <v>2001</v>
      </c>
      <c r="S185" s="8">
        <f>(O94*($E94/365))+(O95*($E95/365))</f>
        <v>27.3</v>
      </c>
      <c r="T185" s="8">
        <f>(P94*($E94/365))+(P95*($E95/365))</f>
        <v>0</v>
      </c>
      <c r="U185" s="8">
        <f>(Q94*($E94/365))+(Q95*($E95/365))</f>
        <v>35.299999999999997</v>
      </c>
      <c r="V185" s="7"/>
      <c r="W185" s="8">
        <f>R94*(E94/365) + R95*(E95/365)</f>
        <v>62.599999999999994</v>
      </c>
    </row>
    <row r="186" spans="1:23" ht="9" customHeight="1">
      <c r="A186" s="1">
        <v>2002</v>
      </c>
      <c r="B186" s="8">
        <f>(K96*($E96/365))+(K97*($E97/365))</f>
        <v>46.666666666666664</v>
      </c>
      <c r="C186" s="8">
        <f>(L96*($E96/365))+(L97*($E97/365))</f>
        <v>0</v>
      </c>
      <c r="D186" s="8">
        <f>(M96*($E96/365))+(M97*($E97/365))</f>
        <v>53.333333333333336</v>
      </c>
      <c r="E186" s="31">
        <f t="shared" si="60"/>
        <v>100</v>
      </c>
      <c r="G186" s="1">
        <v>2002</v>
      </c>
      <c r="H186" s="928">
        <f>(O96*100*($E96/365)/($R96))+(O97*100*($E97/365)/($R97))</f>
        <v>43.610223642172528</v>
      </c>
      <c r="I186" s="928"/>
      <c r="J186" s="929">
        <f>(P96*100*($E96/365)/($R96))+(P97*100*($E97/365)/($R97))</f>
        <v>0</v>
      </c>
      <c r="K186" s="929"/>
      <c r="L186" s="929">
        <f>(Q96*100*($E96/365)/($R96))+(Q97*100*($E97/365)/($R97))</f>
        <v>56.389776357827472</v>
      </c>
      <c r="M186" s="929"/>
      <c r="N186" s="919">
        <f t="shared" si="59"/>
        <v>100</v>
      </c>
      <c r="O186" s="919"/>
      <c r="R186" s="1">
        <v>2002</v>
      </c>
      <c r="S186" s="8">
        <f>(O96*($E96/365))+(O97*($E97/365))</f>
        <v>27.3</v>
      </c>
      <c r="T186" s="8">
        <f>(P96*($E96/365))+(P97*($E97/365))</f>
        <v>0</v>
      </c>
      <c r="U186" s="8">
        <f>(Q96*($E96/365))+(Q97*($E97/365))</f>
        <v>35.299999999999997</v>
      </c>
      <c r="V186" s="7"/>
      <c r="W186" s="8">
        <f>R96*(E96/365) + R97*(E97/365)</f>
        <v>62.599999999999994</v>
      </c>
    </row>
    <row r="187" spans="1:23" ht="9" customHeight="1">
      <c r="A187" s="1">
        <v>2003</v>
      </c>
      <c r="B187" s="8">
        <f>(K98*($E98/365))+(K99*($E99/365))</f>
        <v>46.666666666666657</v>
      </c>
      <c r="C187" s="8">
        <f>(L98*($E98/365))+(L99*($E99/365))</f>
        <v>0</v>
      </c>
      <c r="D187" s="8">
        <f>(M98*($E98/365))+(M99*($E99/365))</f>
        <v>53.333333333333329</v>
      </c>
      <c r="E187" s="31">
        <f t="shared" si="60"/>
        <v>99.999999999999986</v>
      </c>
      <c r="G187" s="1">
        <v>2003</v>
      </c>
      <c r="H187" s="928">
        <f>(O98*100*($E98/365)/($R98))+(O99*100*($E99/365)/($R99))</f>
        <v>46.895201972116794</v>
      </c>
      <c r="I187" s="928"/>
      <c r="J187" s="929">
        <f>(P98*100*($E98/365)/($R98))+(P99*100*($E99/365)/($R99))</f>
        <v>0</v>
      </c>
      <c r="K187" s="929"/>
      <c r="L187" s="929">
        <f>(Q98*100*($E98/365)/($R98))+(Q99*100*($E99/365)/($R99))</f>
        <v>53.104798027883206</v>
      </c>
      <c r="M187" s="929"/>
      <c r="N187" s="919">
        <f t="shared" si="59"/>
        <v>100</v>
      </c>
      <c r="O187" s="919"/>
      <c r="R187" s="1">
        <v>2003</v>
      </c>
      <c r="S187" s="8">
        <f>(O98*($E98/365))+(O99*($E99/365))</f>
        <v>29.859452054794524</v>
      </c>
      <c r="T187" s="8">
        <f>(P98*($E98/365))+(P99*($E99/365))</f>
        <v>0</v>
      </c>
      <c r="U187" s="8">
        <f>(Q98*($E98/365))+(Q99*($E99/365))</f>
        <v>33.735890410958902</v>
      </c>
      <c r="V187" s="7"/>
      <c r="W187" s="8">
        <f>R98*(E98/365) + R99*(E99/365)</f>
        <v>63.595342465753419</v>
      </c>
    </row>
    <row r="188" spans="1:23" ht="9" customHeight="1">
      <c r="A188" s="1">
        <v>2004</v>
      </c>
      <c r="B188" s="8">
        <f>(K100*($E100/366))+(K101*($E101/366))</f>
        <v>46.666666666666664</v>
      </c>
      <c r="C188" s="8">
        <f>(L100*($E100/366))+(L101*($E101/366))</f>
        <v>0</v>
      </c>
      <c r="D188" s="8">
        <f>(M100*($E100/366))+(M101*($E101/366))</f>
        <v>53.333333333333336</v>
      </c>
      <c r="E188" s="31">
        <f t="shared" si="60"/>
        <v>100</v>
      </c>
      <c r="G188" s="1">
        <v>2004</v>
      </c>
      <c r="H188" s="928">
        <f>(O100*100*($E100/366)/($R100))+(O101*100*($E101/366)/($R101))</f>
        <v>50.540958268933544</v>
      </c>
      <c r="I188" s="928"/>
      <c r="J188" s="929">
        <f>(P100*100*($E100/366)/($R100))+(P101*100*($E101/366)/($R101))</f>
        <v>0</v>
      </c>
      <c r="K188" s="929"/>
      <c r="L188" s="929">
        <f>(Q100*100*($E100/366)/($R100))+(Q101*100*($E101/366)/($R101))</f>
        <v>49.459041731066456</v>
      </c>
      <c r="M188" s="929"/>
      <c r="N188" s="919">
        <f t="shared" si="59"/>
        <v>100</v>
      </c>
      <c r="O188" s="919"/>
      <c r="R188" s="1">
        <v>2004</v>
      </c>
      <c r="S188" s="8">
        <f>(O100*($E100/366))+(O101*($E101/366))</f>
        <v>32.700000000000003</v>
      </c>
      <c r="T188" s="8">
        <f>(P100*($E100/366))+(P101*($E101/366))</f>
        <v>0</v>
      </c>
      <c r="U188" s="8">
        <f>(Q100*($E100/366))+(Q101*($E101/366))</f>
        <v>32</v>
      </c>
      <c r="V188" s="7"/>
      <c r="W188" s="8">
        <f>R100*(E100/366) + R101*(E101/366)</f>
        <v>64.7</v>
      </c>
    </row>
    <row r="189" spans="1:23" ht="9" customHeight="1">
      <c r="A189" s="1">
        <v>2005</v>
      </c>
      <c r="B189" s="8">
        <f>(K102*($E102/365))+(K103*($E103/365))</f>
        <v>46.666666666666664</v>
      </c>
      <c r="C189" s="8">
        <f>(L102*($E102/365))+(L103*($E103/365))</f>
        <v>0</v>
      </c>
      <c r="D189" s="8">
        <f>(M102*($E102/365))+(M103*($E103/365))</f>
        <v>53.333333333333336</v>
      </c>
      <c r="E189" s="31">
        <f t="shared" si="60"/>
        <v>100</v>
      </c>
      <c r="G189" s="1">
        <v>2005</v>
      </c>
      <c r="H189" s="928">
        <f>(O102*100*($E102/365)/($R102))+(O103*100*($E103/365)/($R103))</f>
        <v>50.540958268933544</v>
      </c>
      <c r="I189" s="928"/>
      <c r="J189" s="929">
        <f>(P102*100*($E102/365)/($R102))+(P103*100*($E103/365)/($R103))</f>
        <v>0</v>
      </c>
      <c r="K189" s="929"/>
      <c r="L189" s="929">
        <f>(Q102*100*($E102/365)/($R102))+(Q103*100*($E103/365)/($R103))</f>
        <v>49.459041731066456</v>
      </c>
      <c r="M189" s="929"/>
      <c r="N189" s="919">
        <f t="shared" si="59"/>
        <v>100</v>
      </c>
      <c r="O189" s="919"/>
      <c r="R189" s="1">
        <v>2005</v>
      </c>
      <c r="S189" s="8">
        <f>(O102*($E102/365))+(O103*($E103/365))</f>
        <v>32.700000000000003</v>
      </c>
      <c r="T189" s="8">
        <f>(P102*($E102/365))+(P103*($E103/365))</f>
        <v>0</v>
      </c>
      <c r="U189" s="8">
        <f>(Q102*($E102/365))+(Q103*($E103/365))</f>
        <v>32</v>
      </c>
      <c r="V189" s="7"/>
      <c r="W189" s="8">
        <f>R102*(E102/365) + R103*(E103/365)</f>
        <v>64.7</v>
      </c>
    </row>
    <row r="190" spans="1:23" ht="9" customHeight="1">
      <c r="A190" s="1">
        <v>2006</v>
      </c>
      <c r="B190" s="8">
        <f>(K104*($E104/365))+(K105*($E105/365))</f>
        <v>46.666666666666664</v>
      </c>
      <c r="C190" s="8">
        <f>(L104*($E104/365))+(L105*($E105/365))</f>
        <v>0</v>
      </c>
      <c r="D190" s="8">
        <f>(M104*($E104/365))+(M105*($E105/365))</f>
        <v>53.333333333333336</v>
      </c>
      <c r="E190" s="31">
        <f t="shared" si="60"/>
        <v>100</v>
      </c>
      <c r="G190" s="1">
        <v>2006</v>
      </c>
      <c r="H190" s="928">
        <f>(O104*100*($E104/365)/($R104))+(O105*100*($E105/365)/($R105))</f>
        <v>50.540958268933544</v>
      </c>
      <c r="I190" s="928"/>
      <c r="J190" s="929">
        <f>(P104*100*($E104/365)/($R104))+(P105*100*($E105/365)/($R105))</f>
        <v>0</v>
      </c>
      <c r="K190" s="929"/>
      <c r="L190" s="929">
        <f>(Q104*100*($E104/365)/($R104))+(Q105*100*($E105/365)/($R105))</f>
        <v>49.459041731066456</v>
      </c>
      <c r="M190" s="929"/>
      <c r="N190" s="919">
        <f t="shared" si="59"/>
        <v>100</v>
      </c>
      <c r="O190" s="919"/>
      <c r="R190" s="1">
        <v>2006</v>
      </c>
      <c r="S190" s="8">
        <f>(O104*($E104/365))+(O105*($E105/365))</f>
        <v>32.700000000000003</v>
      </c>
      <c r="T190" s="8">
        <f>(P104*($E104/365))+(P105*($E105/365))</f>
        <v>0</v>
      </c>
      <c r="U190" s="8">
        <f>(Q104*($E104/365))+(Q105*($E105/365))</f>
        <v>32</v>
      </c>
      <c r="V190" s="7"/>
      <c r="W190" s="8">
        <f>R104*(E104/365) + R105*(E105/365)</f>
        <v>64.7</v>
      </c>
    </row>
    <row r="191" spans="1:23" ht="9" customHeight="1">
      <c r="A191" s="1">
        <v>2007</v>
      </c>
      <c r="B191" s="8">
        <f>(K106*($E106/365))+(K107*($E107/365))</f>
        <v>46.551859099804304</v>
      </c>
      <c r="C191" s="8">
        <f>(L106*($E106/365))+(L107*($E107/365))</f>
        <v>1.076320939334638</v>
      </c>
      <c r="D191" s="8">
        <f>(M106*($E106/365))+(M107*($E107/365))</f>
        <v>52.37181996086106</v>
      </c>
      <c r="E191" s="31">
        <f t="shared" si="60"/>
        <v>100</v>
      </c>
      <c r="G191" s="1">
        <v>2007</v>
      </c>
      <c r="H191" s="928">
        <f>(O106*100*($E106/365)/($R106))+(O107*100*($E107/365)/($R107))</f>
        <v>50.240301980122801</v>
      </c>
      <c r="I191" s="928"/>
      <c r="J191" s="929">
        <f>(P106*100*($E106/365)/($R106))+(P107*100*($E107/365)/($R107))</f>
        <v>1.1956278369191313</v>
      </c>
      <c r="K191" s="929"/>
      <c r="L191" s="929">
        <f>(Q106*100*($E106/365)/($R106))+(Q107*100*($E107/365)/($R107))</f>
        <v>48.564070182958069</v>
      </c>
      <c r="M191" s="929"/>
      <c r="N191" s="919">
        <f t="shared" si="59"/>
        <v>100</v>
      </c>
      <c r="O191" s="919"/>
      <c r="R191" s="1">
        <v>2007</v>
      </c>
      <c r="S191" s="8">
        <f>(O106*($E106/365))+(O107*($E107/365))</f>
        <v>32.537260273972606</v>
      </c>
      <c r="T191" s="8">
        <f>(P106*($E106/365))+(P107*($E107/365))</f>
        <v>0.80465753424657538</v>
      </c>
      <c r="U191" s="8">
        <f>(Q106*($E106/365))+(Q107*($E107/365))</f>
        <v>31.436438356164384</v>
      </c>
      <c r="V191" s="7"/>
      <c r="W191" s="8">
        <f>R106*(E106/365) + R107*(E107/365)</f>
        <v>64.778356164383567</v>
      </c>
    </row>
    <row r="192" spans="1:23" ht="9" customHeight="1">
      <c r="A192" s="1">
        <v>2008</v>
      </c>
      <c r="B192" s="7">
        <f>(K108*($E108/366))+(K109*($E109/366))+(K110*($E110/366))</f>
        <v>45.844392401769447</v>
      </c>
      <c r="C192" s="7">
        <f>(L108*($E108/366))+(L109*($E109/366))+(L110*($E110/366))</f>
        <v>33.847254748894088</v>
      </c>
      <c r="D192" s="7">
        <f>(M108*($E108/366))+(M109*($E109/366))+(M110*($E110/366))</f>
        <v>20.308352849336458</v>
      </c>
      <c r="E192" s="31">
        <f t="shared" si="60"/>
        <v>99.999999999999986</v>
      </c>
      <c r="G192" s="1">
        <v>2008</v>
      </c>
      <c r="H192" s="928">
        <f>(O108*100*($E108/366)/($R108))+(O109*100*($E109/366)/($R109))+(O110*100*($E110/366)/($R110))</f>
        <v>40.564635958395243</v>
      </c>
      <c r="I192" s="928"/>
      <c r="J192" s="929">
        <f>(P108*100*($E108/366)/($R108))+(P109*100*($E109/366)/($R109))+(P110*100*($E110/366)/($R110))</f>
        <v>39.673105497771168</v>
      </c>
      <c r="K192" s="929"/>
      <c r="L192" s="929">
        <f>(Q108*100*($E108/366)/($R108))+(Q109*100*($E109/366)/($R109))+(Q110*100*($E110/366)/($R110))</f>
        <v>19.762258543833578</v>
      </c>
      <c r="M192" s="929"/>
      <c r="N192" s="919">
        <f t="shared" si="59"/>
        <v>100</v>
      </c>
      <c r="O192" s="919"/>
      <c r="R192" s="1">
        <v>2008</v>
      </c>
      <c r="S192" s="7">
        <f>(O108*($E108/366))+(O109*($E109/366))+(O110*($E110/366))</f>
        <v>27.299999999999997</v>
      </c>
      <c r="T192" s="7">
        <f>(P108*($E108/366))+(P109*($E109/366))+(P110*($E110/366))</f>
        <v>26.7</v>
      </c>
      <c r="U192" s="7">
        <f>(Q108*($E108/366))+(Q109*($E109/366))+(Q110*($E110/366))</f>
        <v>13.299999999999999</v>
      </c>
      <c r="V192" s="7"/>
      <c r="W192" s="8">
        <f>R108*(E108/366) + R109*(E109/366) + R110*(E110/366)</f>
        <v>67.3</v>
      </c>
    </row>
    <row r="193" spans="1:23" ht="9" customHeight="1">
      <c r="A193" s="1">
        <v>2009</v>
      </c>
      <c r="B193" s="7">
        <f>(K111*($E111/365))+(K112*($E112/365))+(K113*($E113/365))</f>
        <v>43.598173515981735</v>
      </c>
      <c r="C193" s="7">
        <f>(L111*($E111/365))+(L112*($E112/365))+(L113*($E113/365))</f>
        <v>36.401826484018258</v>
      </c>
      <c r="D193" s="7">
        <f>(M111*($E111/365))+(M112*($E112/365))+(M113*($E113/365))</f>
        <v>20</v>
      </c>
      <c r="E193" s="31">
        <f t="shared" si="60"/>
        <v>100</v>
      </c>
      <c r="G193" s="1">
        <v>2009</v>
      </c>
      <c r="H193" s="928">
        <f>(O111*100*($E111/365)/($R111))+(O112*100*($E112/365)/($R112))+(O113*100*($E113/365)/($R113))</f>
        <v>40.564635958395243</v>
      </c>
      <c r="I193" s="928"/>
      <c r="J193" s="929">
        <f>(P111*100*($E111/365)/($R111))+(P112*100*($E112/365)/($R112))+(P113*100*($E113/365)/($R113))</f>
        <v>39.673105497771175</v>
      </c>
      <c r="K193" s="929"/>
      <c r="L193" s="929">
        <f>(Q111*100*($E111/365)/($R111))+(Q112*100*($E112/365)/($R112))+(Q113*100*($E113/365)/($R113))</f>
        <v>19.762258543833582</v>
      </c>
      <c r="M193" s="929"/>
      <c r="N193" s="919">
        <f t="shared" si="59"/>
        <v>100</v>
      </c>
      <c r="O193" s="919"/>
      <c r="R193" s="1">
        <v>2009</v>
      </c>
      <c r="S193" s="7">
        <f>(O111*($E111/365))+(O112*($E112/365))+(O113*($E113/365))</f>
        <v>27.300000000000004</v>
      </c>
      <c r="T193" s="7">
        <f>(P111*($E111/365))+(P112*($E112/365))+(P113*($E113/365))</f>
        <v>26.700000000000003</v>
      </c>
      <c r="U193" s="7">
        <f>(Q111*($E111/365))+(Q112*($E112/365))+(Q113*($E113/365))</f>
        <v>13.3</v>
      </c>
      <c r="V193" s="7"/>
      <c r="W193" s="8">
        <f>R111*(E111/365) + R112*(E112/365) + R113*(E113/365)</f>
        <v>67.300000000000011</v>
      </c>
    </row>
    <row r="194" spans="1:23" s="15" customFormat="1" ht="9" customHeight="1">
      <c r="A194" s="15">
        <v>2010</v>
      </c>
      <c r="B194" s="46">
        <f>(K114*($E114/365))+(K115*($E115/365))</f>
        <v>40</v>
      </c>
      <c r="C194" s="46">
        <f>(L114*($E114/365))+(L115*($E115/365))</f>
        <v>40</v>
      </c>
      <c r="D194" s="46">
        <f>(M114*($E114/365))+(M115*($E115/365))</f>
        <v>20</v>
      </c>
      <c r="E194" s="198">
        <f t="shared" si="60"/>
        <v>100</v>
      </c>
      <c r="G194" s="15">
        <v>2010</v>
      </c>
      <c r="H194" s="931">
        <f>(O114*100*($E114/365)/($R114))+(O115*100*($E115/365)/($R115))</f>
        <v>38.831062055804153</v>
      </c>
      <c r="I194" s="931"/>
      <c r="J194" s="931">
        <f>(P114*100*($E114/365)/($R114))+(P115*100*($E115/365)/($R115))</f>
        <v>35.030315620716863</v>
      </c>
      <c r="K194" s="931"/>
      <c r="L194" s="931">
        <f>(Q114*100*($E114/365)/($R114))+(Q115*100*($E115/365)/($R115))</f>
        <v>26.13862232347898</v>
      </c>
      <c r="M194" s="931"/>
      <c r="N194" s="930">
        <f t="shared" si="59"/>
        <v>100</v>
      </c>
      <c r="O194" s="930"/>
      <c r="R194" s="15">
        <v>2010</v>
      </c>
      <c r="S194" s="46">
        <f>(O114*($E114/365))+(O115*($E115/365))</f>
        <v>23.647397260273969</v>
      </c>
      <c r="T194" s="46">
        <f>(P114*($E114/365))+(P115*($E115/365))</f>
        <v>21.497808219178083</v>
      </c>
      <c r="U194" s="46">
        <f>(Q114*($E114/365))+(Q115*($E115/365))</f>
        <v>15.513698630136986</v>
      </c>
      <c r="V194" s="46"/>
      <c r="W194" s="175">
        <f>R114*(E114/365) + R115*(E115/365)</f>
        <v>60.658904109589038</v>
      </c>
    </row>
    <row r="195" spans="1:23" s="15" customFormat="1" ht="9" customHeight="1">
      <c r="A195" s="15">
        <v>2011</v>
      </c>
      <c r="B195" s="46">
        <f>(K116*($E116/365))+(K117*($E117/365))</f>
        <v>39.890410958904106</v>
      </c>
      <c r="C195" s="46">
        <f>(L116*($E116/365))+(L117*($E117/365))</f>
        <v>38.794520547945204</v>
      </c>
      <c r="D195" s="46">
        <f>(M116*($E116/365))+(M117*($E117/365))</f>
        <v>21.315068493150683</v>
      </c>
      <c r="E195" s="198">
        <f t="shared" si="60"/>
        <v>100</v>
      </c>
      <c r="G195" s="15">
        <v>2011</v>
      </c>
      <c r="H195" s="931">
        <f>(O116*100*($E116/365)/($R116))+(O117*100*($E117/365)/($R117))</f>
        <v>37.069723983749903</v>
      </c>
      <c r="I195" s="931"/>
      <c r="J195" s="931">
        <f>(P116*100*($E116/365)/($R116))+(P117*100*($E117/365)/($R117))</f>
        <v>30.98097704922094</v>
      </c>
      <c r="K195" s="931"/>
      <c r="L195" s="931">
        <f>(Q116*100*($E116/365)/($R116))+(Q117*100*($E117/365)/($R117))</f>
        <v>31.949298967029158</v>
      </c>
      <c r="M195" s="931"/>
      <c r="N195" s="930">
        <f t="shared" si="59"/>
        <v>100</v>
      </c>
      <c r="O195" s="930"/>
      <c r="R195" s="15">
        <v>2011</v>
      </c>
      <c r="S195" s="46">
        <f>(O116*($E116/365))+(O117*($E117/365))</f>
        <v>20.699999999999996</v>
      </c>
      <c r="T195" s="46">
        <f>(P116*($E116/365))+(P117*($E117/365))</f>
        <v>17.3</v>
      </c>
      <c r="U195" s="46">
        <f>(Q116*($E116/365))+(Q117*($E117/365))</f>
        <v>17.91972602739726</v>
      </c>
      <c r="V195" s="46"/>
      <c r="W195" s="175">
        <f>R116*(E116/365) + R117*(E117/365)</f>
        <v>55.91972602739726</v>
      </c>
    </row>
    <row r="196" spans="1:23" ht="9" customHeight="1">
      <c r="A196" s="1">
        <v>2012</v>
      </c>
      <c r="B196" s="7">
        <f>(K118*($E118/366))+(K119*($E119/366))</f>
        <v>38.461538461538467</v>
      </c>
      <c r="C196" s="7">
        <f>(L118*($E118/366))+(L119*($E119/366))</f>
        <v>23.076923076923077</v>
      </c>
      <c r="D196" s="7">
        <f>(M118*($E118/366))+(M119*($E119/366))</f>
        <v>38.461538461538467</v>
      </c>
      <c r="E196" s="31">
        <f t="shared" ref="E196:E202" si="61">SUM(B196:D196)</f>
        <v>100.00000000000001</v>
      </c>
      <c r="G196" s="1">
        <v>2012</v>
      </c>
      <c r="H196" s="928">
        <f>(O118*100*($E118/366)/($R118))+(O119*100*($E119/366)/($R119))</f>
        <v>32.34375</v>
      </c>
      <c r="I196" s="928"/>
      <c r="J196" s="929">
        <f>(P118*100*($E118/366)/($R118))+(P119*100*($E119/366)/($R119))</f>
        <v>27.03125</v>
      </c>
      <c r="K196" s="929"/>
      <c r="L196" s="929">
        <f>(Q118*100*($E118/366)/($R118))+(Q119*100*($E119/366)/($R119))</f>
        <v>40.625</v>
      </c>
      <c r="M196" s="929"/>
      <c r="N196" s="919">
        <f t="shared" si="59"/>
        <v>100</v>
      </c>
      <c r="O196" s="919"/>
      <c r="R196" s="1">
        <v>2012</v>
      </c>
      <c r="S196" s="7">
        <f>(O118*($E118/366))+(O119*($E119/366))</f>
        <v>20.7</v>
      </c>
      <c r="T196" s="7">
        <f>(P118*($E118/366))+(P119*($E119/366))</f>
        <v>17.3</v>
      </c>
      <c r="U196" s="7">
        <f>(Q118*($E118/366))+(Q119*($E119/366))</f>
        <v>26</v>
      </c>
      <c r="V196" s="7"/>
      <c r="W196" s="8">
        <f>R118*(E118/366) + R119*(E119/366)</f>
        <v>64</v>
      </c>
    </row>
    <row r="197" spans="1:23">
      <c r="A197" s="1">
        <v>2013</v>
      </c>
      <c r="B197" s="7">
        <f>(K120*($E120/365))+(K121*($E121/365))</f>
        <v>38.461538461538467</v>
      </c>
      <c r="C197" s="7">
        <f>(L120*($E120/365))+(L121*($E121/365))</f>
        <v>23.076923076923077</v>
      </c>
      <c r="D197" s="7">
        <f>(M120*($E120/365))+(M121*($E121/365))</f>
        <v>38.461538461538467</v>
      </c>
      <c r="E197" s="262">
        <f t="shared" si="61"/>
        <v>100.00000000000001</v>
      </c>
      <c r="G197" s="1">
        <v>2013</v>
      </c>
      <c r="H197" s="928">
        <f>(O120*100*($E120/365)/($R120))+(O121*100*($E121/365)/($R121))</f>
        <v>32.34375</v>
      </c>
      <c r="I197" s="928"/>
      <c r="J197" s="929">
        <f>(P120*100*($E120/365)/($R120))+(P121*100*($E121/365)/($R121))</f>
        <v>27.03125</v>
      </c>
      <c r="K197" s="929"/>
      <c r="L197" s="929">
        <f>(Q120*100*($E120/365)/($R120))+(Q121*100*($E121/365)/($R121))</f>
        <v>40.625</v>
      </c>
      <c r="M197" s="929"/>
      <c r="N197" s="919">
        <f t="shared" ref="N197:N202" si="62">SUM(H197:L197)</f>
        <v>100</v>
      </c>
      <c r="O197" s="919"/>
      <c r="R197" s="1">
        <v>2013</v>
      </c>
      <c r="S197" s="7">
        <f>(O120*($E120/365))+(O121*($E121/365))</f>
        <v>20.7</v>
      </c>
      <c r="T197" s="7">
        <f>(P120*($E120/365))+(P121*($E121/365))</f>
        <v>17.3</v>
      </c>
      <c r="U197" s="7">
        <f>(Q120*($E120/365))+(Q121*($E121/365))</f>
        <v>26</v>
      </c>
      <c r="W197" s="8">
        <f>R120*(E120/365) + R121*(E121/365)</f>
        <v>64</v>
      </c>
    </row>
    <row r="198" spans="1:23">
      <c r="A198" s="1">
        <v>2014</v>
      </c>
      <c r="B198" s="7">
        <f>(K122*($E122/365))+(K123*($E123/365))+(K124*($E124/365))</f>
        <v>44.263134126147833</v>
      </c>
      <c r="C198" s="7">
        <f>(L122*($E122/365))+(L123*($E123/365))+(L124*($E124/365))</f>
        <v>25.916001806412766</v>
      </c>
      <c r="D198" s="7">
        <f>(M122*($E122/365))+(M123*($E123/365))+(M124*($E124/365))</f>
        <v>29.820864067439413</v>
      </c>
      <c r="E198" s="435">
        <f t="shared" si="61"/>
        <v>100.00000000000001</v>
      </c>
      <c r="G198" s="1">
        <v>2014</v>
      </c>
      <c r="H198" s="928">
        <f>(O122*100*($E122/365)/($R122))+(O123*100*($E123/365)/($R123))+(O124*100*($E124/365)/($R124))</f>
        <v>35.046335545441778</v>
      </c>
      <c r="I198" s="928"/>
      <c r="J198" s="929">
        <f>(P122*100*($E122/365)/($R122))+(P123*100*($E123/365)/($R123))+(P124*100*($E124/365)/($R124))</f>
        <v>34.768568606557878</v>
      </c>
      <c r="K198" s="929"/>
      <c r="L198" s="929">
        <f>(Q122*100*($E122/365)/($R122))+(Q123*100*($E123/365)/($R123))+(Q124*100*($E124/365)/($R124))</f>
        <v>30.185095848000341</v>
      </c>
      <c r="M198" s="929"/>
      <c r="N198" s="919">
        <f t="shared" si="62"/>
        <v>100</v>
      </c>
      <c r="O198" s="919"/>
      <c r="R198" s="1">
        <v>2014</v>
      </c>
      <c r="S198" s="7">
        <f>(O122*($E122/365))+(O123*($E123/365))+(O124*($E124/365))</f>
        <v>21.845205479452055</v>
      </c>
      <c r="T198" s="7">
        <f>(P122*($E122/365))+(P123*($E123/365))+(P124*($E124/365))</f>
        <v>21.316438356164383</v>
      </c>
      <c r="U198" s="7">
        <f>(Q122*($E122/365))+(Q123*($E123/365))+(Q124*($E124/365))</f>
        <v>19.402739726027399</v>
      </c>
      <c r="W198" s="8">
        <f>R122*(E122/365) + R123*(E123/365) + R124*(E124/365)</f>
        <v>62.564383561643837</v>
      </c>
    </row>
    <row r="199" spans="1:23" s="572" customFormat="1">
      <c r="A199" s="572">
        <v>2015</v>
      </c>
      <c r="B199" s="571">
        <f>(K125*($E125/365))+(K126*($E126/365))</f>
        <v>64.285714285714292</v>
      </c>
      <c r="C199" s="571">
        <f>(L125*($E125/365))+(L126*($E126/365))</f>
        <v>35.714285714285715</v>
      </c>
      <c r="D199" s="571">
        <f>(M125*($E125/365))+(M126*($E126/365))</f>
        <v>0</v>
      </c>
      <c r="E199" s="567">
        <f t="shared" si="61"/>
        <v>100</v>
      </c>
      <c r="G199" s="572">
        <v>2015</v>
      </c>
      <c r="H199" s="928">
        <f>(O125*100*($E125/365)/($R125))+(O126*100*($E126/365)/($R126))</f>
        <v>39.929328621908127</v>
      </c>
      <c r="I199" s="928"/>
      <c r="J199" s="929">
        <f>(P125*100*($E125/365)/($R125))+(P126*100*($E126/365)/($R126))</f>
        <v>60.070671378091873</v>
      </c>
      <c r="K199" s="929"/>
      <c r="L199" s="929">
        <f>(Q125*100*($E125/365)/($R125))+(Q126*100*($E126/365)/($R126))</f>
        <v>0</v>
      </c>
      <c r="M199" s="929"/>
      <c r="N199" s="919">
        <f t="shared" si="62"/>
        <v>100</v>
      </c>
      <c r="O199" s="919"/>
      <c r="R199" s="572">
        <v>2015</v>
      </c>
      <c r="S199" s="571">
        <f>(O125*($E125/365))+(O126*($E126/365))</f>
        <v>22.6</v>
      </c>
      <c r="T199" s="571">
        <f>(P125*($E125/365))+(P126*($E126/365))</f>
        <v>34</v>
      </c>
      <c r="U199" s="571">
        <f>(Q125*($E125/365))+(Q126*($E126/365))</f>
        <v>0</v>
      </c>
      <c r="W199" s="566">
        <f>R125*(E125/365) + R126*(E126/365)</f>
        <v>56.6</v>
      </c>
    </row>
    <row r="200" spans="1:23" s="572" customFormat="1">
      <c r="A200" s="650">
        <v>2016</v>
      </c>
      <c r="B200" s="649">
        <f>(K126*($E127/366))+(K128*($E128/366))</f>
        <v>64.285714285714292</v>
      </c>
      <c r="C200" s="649">
        <f>(L127*($E127/366))+(L128*($E128/366))</f>
        <v>35.714285714285715</v>
      </c>
      <c r="D200" s="649">
        <f>(M127*($E127/366))+(M128*($E128/366))</f>
        <v>0</v>
      </c>
      <c r="E200" s="646">
        <f t="shared" si="61"/>
        <v>100</v>
      </c>
      <c r="F200" s="650"/>
      <c r="G200" s="650">
        <v>2016</v>
      </c>
      <c r="H200" s="928">
        <f>(O127*100*($E127/366)/($R127))+(O128*100*($E128/366)/($R128))</f>
        <v>39.929328621908127</v>
      </c>
      <c r="I200" s="928"/>
      <c r="J200" s="929">
        <f>(P127*100*($E127/366)/($R127))+(P128*100*($E128/366)/($R128))</f>
        <v>60.070671378091873</v>
      </c>
      <c r="K200" s="929"/>
      <c r="L200" s="929">
        <f>(Q127*100*($E127/366)/($R127))+(Q128*100*($E128/366)/($R128))</f>
        <v>0</v>
      </c>
      <c r="M200" s="929"/>
      <c r="N200" s="919">
        <f t="shared" si="62"/>
        <v>100</v>
      </c>
      <c r="O200" s="919"/>
      <c r="P200" s="650"/>
      <c r="Q200" s="650"/>
      <c r="R200" s="650">
        <v>2016</v>
      </c>
      <c r="S200" s="649">
        <f>(O127*($E127/366))+(O128*($E128/366))</f>
        <v>22.6</v>
      </c>
      <c r="T200" s="649">
        <f>(P127*($E127/366))+(P128*($E128/366))</f>
        <v>34</v>
      </c>
      <c r="U200" s="649">
        <f>(Q127*($E127/366))+(Q128*($E128/366))</f>
        <v>0</v>
      </c>
      <c r="V200" s="650"/>
      <c r="W200" s="645">
        <f>R127*(E127/366) + R128*(E128/366)</f>
        <v>56.6</v>
      </c>
    </row>
    <row r="201" spans="1:23" s="572" customFormat="1">
      <c r="A201" s="741">
        <v>2017</v>
      </c>
      <c r="B201" s="739">
        <f>(K129*($E129/365))+(K130*($E130/365))</f>
        <v>64.285714285714292</v>
      </c>
      <c r="C201" s="739">
        <f t="shared" ref="C201:D201" si="63">(L129*($E129/365))+(L130*($E130/365))</f>
        <v>35.714285714285715</v>
      </c>
      <c r="D201" s="739">
        <f t="shared" si="63"/>
        <v>0</v>
      </c>
      <c r="E201" s="737">
        <f t="shared" si="61"/>
        <v>100</v>
      </c>
      <c r="G201" s="741">
        <v>2017</v>
      </c>
      <c r="H201" s="928">
        <f>(O129*100*($E129/365)/($R129))+(O130*100*($E130/365)/($R130))</f>
        <v>39.929328621908127</v>
      </c>
      <c r="I201" s="928"/>
      <c r="J201" s="928">
        <f>(P129*100*($E129/365)/($R129))+(P130*100*($E130/365)/($R130))</f>
        <v>60.070671378091873</v>
      </c>
      <c r="K201" s="928"/>
      <c r="L201" s="928">
        <f>(Q129*100*($E129/365)/($R129))+(Q130*100*($E130/365)/($R130))</f>
        <v>0</v>
      </c>
      <c r="M201" s="928"/>
      <c r="N201" s="919">
        <f t="shared" si="62"/>
        <v>100</v>
      </c>
      <c r="O201" s="919"/>
      <c r="R201" s="741">
        <v>2017</v>
      </c>
      <c r="S201" s="739">
        <f>(O129*($E129/365))+(O130*($E130/365))</f>
        <v>22.6</v>
      </c>
      <c r="T201" s="739">
        <f t="shared" ref="T201:U201" si="64">(P129*($E129/365))+(P130*($E130/365))</f>
        <v>34</v>
      </c>
      <c r="U201" s="739">
        <f t="shared" si="64"/>
        <v>0</v>
      </c>
      <c r="V201" s="741"/>
      <c r="W201" s="736">
        <f>R129*(E129/365) + R130*(E130/365)</f>
        <v>56.6</v>
      </c>
    </row>
    <row r="202" spans="1:23" s="572" customFormat="1">
      <c r="A202" s="572">
        <v>2018</v>
      </c>
      <c r="B202" s="762">
        <f>(K131*($E131/365))+(K132*($E132/365))+(K133*($E133/365))</f>
        <v>65.082041246424808</v>
      </c>
      <c r="C202" s="762">
        <f>(L131*($E131/365))+(L132*($E132/365))+(L133*($E133/365))</f>
        <v>34.917958753575192</v>
      </c>
      <c r="D202" s="762">
        <f>(M131*($E131/365))+(M132*($E132/365))+(M133*($E133/365))</f>
        <v>0</v>
      </c>
      <c r="E202" s="758">
        <f t="shared" si="61"/>
        <v>100</v>
      </c>
      <c r="G202" s="572">
        <v>2018</v>
      </c>
      <c r="H202" s="928">
        <f>(O131*100*($E131/365)/($R131))+(O132*100*($E132/365)/($R132))+(O133*100*($E133/365)/($R133))</f>
        <v>41.529157609372334</v>
      </c>
      <c r="I202" s="928"/>
      <c r="J202" s="928">
        <f>(P131*100*($E131/365)/($R131))+(P132*100*($E132/365)/($R132))+(P133*100*($E133/365)/($R133))</f>
        <v>58.470842390627659</v>
      </c>
      <c r="K202" s="928"/>
      <c r="L202" s="928">
        <f>(Q131*100*($E131/365)/($R131))+(Q132*100*($E132/365)/($R132))+(Q133*100*($E133/365)/($R133))</f>
        <v>0</v>
      </c>
      <c r="M202" s="928"/>
      <c r="N202" s="919">
        <f t="shared" si="62"/>
        <v>100</v>
      </c>
      <c r="O202" s="919"/>
      <c r="R202" s="572">
        <v>2018</v>
      </c>
      <c r="S202" s="762">
        <f>(O131*($E131/365))+(O132*($E132/365))+(O133*($E133/365))</f>
        <v>22.6</v>
      </c>
      <c r="T202" s="762">
        <f>(P131*($E131/365))+(P132*($E132/365))+(P133*($E133/365))</f>
        <v>32.613698630136987</v>
      </c>
      <c r="U202" s="762">
        <f>(Q131*($E131/365))+(Q132*($E132/365))+(Q133*($E133/365))</f>
        <v>0</v>
      </c>
      <c r="V202" s="766"/>
      <c r="W202" s="757">
        <f>R131*(E131/365) + R132*(E132/365)</f>
        <v>54.17095890410959</v>
      </c>
    </row>
    <row r="203" spans="1:23" s="572" customFormat="1">
      <c r="A203" s="572">
        <v>2019</v>
      </c>
      <c r="B203" s="791">
        <f>(K134*($E134/365))+(K135*($E135/365))</f>
        <v>76.923076923076934</v>
      </c>
      <c r="C203" s="791">
        <f>(L134*($E134/365))+(L135*($E135/365))</f>
        <v>23.076923076923077</v>
      </c>
      <c r="D203" s="791">
        <f>(M134*($E134/365))+(M135*($E135/365))</f>
        <v>0</v>
      </c>
      <c r="E203" s="789">
        <f t="shared" ref="E203" si="65">SUM(B203:D203)</f>
        <v>100.00000000000001</v>
      </c>
      <c r="F203" s="794"/>
      <c r="G203" s="794">
        <v>2019</v>
      </c>
      <c r="H203" s="928">
        <f>(O134*100*($E134/365)/($R134))+(O135*100*($E135/365)/($R135))</f>
        <v>65.871510360901581</v>
      </c>
      <c r="I203" s="928"/>
      <c r="J203" s="928">
        <f>(P134*100*($E134/365)/($R134))+(P135*100*($E135/365)/($R135))</f>
        <v>34.128489639098412</v>
      </c>
      <c r="K203" s="928"/>
      <c r="L203" s="928">
        <f>(Q133*100*($E133/365)/($R133))+(Q134*100*($E134/365)/($R134))+(Q135*100*($E135/365)/($R135))</f>
        <v>0</v>
      </c>
      <c r="M203" s="928"/>
      <c r="N203" s="919">
        <f t="shared" ref="N203" si="66">SUM(H203:L203)</f>
        <v>100</v>
      </c>
      <c r="O203" s="919"/>
      <c r="P203" s="794"/>
      <c r="Q203" s="794"/>
      <c r="R203" s="794">
        <v>2019</v>
      </c>
      <c r="S203" s="791">
        <f>(O134*($E134/365))+(O135*($E135/365))</f>
        <v>21.641643835616442</v>
      </c>
      <c r="T203" s="791">
        <f>(P134*($E134/365))+(P135*($E135/365))</f>
        <v>11.276712328767122</v>
      </c>
      <c r="U203" s="791">
        <f>(Q134*($E134/365))+(Q135*($E135/365))</f>
        <v>0</v>
      </c>
      <c r="V203" s="794"/>
      <c r="W203" s="788">
        <f>R133*(E133/365) + R134*(E134/365)</f>
        <v>29.386301369863013</v>
      </c>
    </row>
    <row r="204" spans="1:23" s="572" customFormat="1">
      <c r="B204" s="571"/>
      <c r="C204" s="571"/>
      <c r="D204" s="571"/>
      <c r="E204" s="567"/>
      <c r="H204" s="928"/>
      <c r="I204" s="928"/>
      <c r="J204" s="929"/>
      <c r="K204" s="929"/>
      <c r="L204" s="929"/>
      <c r="M204" s="929"/>
      <c r="N204" s="919"/>
      <c r="O204" s="919"/>
      <c r="S204" s="571"/>
      <c r="T204" s="571"/>
      <c r="U204" s="571"/>
      <c r="W204" s="566"/>
    </row>
    <row r="205" spans="1:23" s="572" customFormat="1">
      <c r="B205" s="1"/>
      <c r="C205" s="1"/>
      <c r="D205" s="1"/>
      <c r="E205" s="1"/>
      <c r="F205" s="1"/>
      <c r="G205" s="1"/>
      <c r="H205" s="1"/>
      <c r="I205" s="1"/>
      <c r="J205" s="1"/>
      <c r="K205" s="1"/>
      <c r="L205" s="1"/>
      <c r="M205" s="1"/>
      <c r="N205" s="1"/>
      <c r="O205" s="1"/>
      <c r="P205" s="1"/>
      <c r="Q205" s="1"/>
      <c r="R205" s="1"/>
      <c r="S205" s="1"/>
      <c r="T205" s="1"/>
      <c r="U205" s="1"/>
      <c r="V205" s="1"/>
      <c r="W205" s="1"/>
    </row>
  </sheetData>
  <mergeCells count="404">
    <mergeCell ref="C116:D116"/>
    <mergeCell ref="C109:D109"/>
    <mergeCell ref="C110:D110"/>
    <mergeCell ref="C117:D117"/>
    <mergeCell ref="C118:D118"/>
    <mergeCell ref="C119:D119"/>
    <mergeCell ref="C111:D111"/>
    <mergeCell ref="C112:D112"/>
    <mergeCell ref="L143:M143"/>
    <mergeCell ref="C125:D125"/>
    <mergeCell ref="C126:D126"/>
    <mergeCell ref="C122:D122"/>
    <mergeCell ref="C123:D123"/>
    <mergeCell ref="C124:D124"/>
    <mergeCell ref="C127:D127"/>
    <mergeCell ref="C128:D128"/>
    <mergeCell ref="C129:D129"/>
    <mergeCell ref="C130:D130"/>
    <mergeCell ref="C131:D131"/>
    <mergeCell ref="C132:D132"/>
    <mergeCell ref="C133:D133"/>
    <mergeCell ref="C134:D134"/>
    <mergeCell ref="C135:D135"/>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G3:M3"/>
    <mergeCell ref="O3:Q3"/>
    <mergeCell ref="C9:D9"/>
    <mergeCell ref="C10:D10"/>
    <mergeCell ref="A4:A5"/>
    <mergeCell ref="B4:B5"/>
    <mergeCell ref="C4:D5"/>
    <mergeCell ref="E4:E5"/>
    <mergeCell ref="F4:F5"/>
    <mergeCell ref="G4:J4"/>
    <mergeCell ref="H145:I145"/>
    <mergeCell ref="H146:I146"/>
    <mergeCell ref="H147:I147"/>
    <mergeCell ref="H148:I148"/>
    <mergeCell ref="H149:I149"/>
    <mergeCell ref="H150:I150"/>
    <mergeCell ref="R140:W140"/>
    <mergeCell ref="H142:I142"/>
    <mergeCell ref="J142:K142"/>
    <mergeCell ref="L142:M142"/>
    <mergeCell ref="N142:O142"/>
    <mergeCell ref="H144:I144"/>
    <mergeCell ref="J144:K144"/>
    <mergeCell ref="L144:M144"/>
    <mergeCell ref="H143:I143"/>
    <mergeCell ref="J143:K143"/>
    <mergeCell ref="N143:O143"/>
    <mergeCell ref="L145:M145"/>
    <mergeCell ref="L146:M146"/>
    <mergeCell ref="L147:M147"/>
    <mergeCell ref="L148:M148"/>
    <mergeCell ref="J145:K145"/>
    <mergeCell ref="J146:K146"/>
    <mergeCell ref="J147:K147"/>
    <mergeCell ref="J148:K148"/>
    <mergeCell ref="J149:K149"/>
    <mergeCell ref="J150:K150"/>
    <mergeCell ref="H169:I169"/>
    <mergeCell ref="H170:I170"/>
    <mergeCell ref="H171:I171"/>
    <mergeCell ref="H163:I163"/>
    <mergeCell ref="H164:I164"/>
    <mergeCell ref="H165:I165"/>
    <mergeCell ref="H166:I166"/>
    <mergeCell ref="H167:I167"/>
    <mergeCell ref="H168:I168"/>
    <mergeCell ref="H157:I157"/>
    <mergeCell ref="H158:I158"/>
    <mergeCell ref="H159:I159"/>
    <mergeCell ref="H160:I160"/>
    <mergeCell ref="H161:I161"/>
    <mergeCell ref="H162:I162"/>
    <mergeCell ref="H151:I151"/>
    <mergeCell ref="H152:I152"/>
    <mergeCell ref="H153:I153"/>
    <mergeCell ref="H156:I156"/>
    <mergeCell ref="J157:K157"/>
    <mergeCell ref="J158:K158"/>
    <mergeCell ref="H179:I179"/>
    <mergeCell ref="H180:I180"/>
    <mergeCell ref="H182:I182"/>
    <mergeCell ref="J180:K180"/>
    <mergeCell ref="J181:K181"/>
    <mergeCell ref="J182:K182"/>
    <mergeCell ref="J165:K165"/>
    <mergeCell ref="J151:K151"/>
    <mergeCell ref="J152:K152"/>
    <mergeCell ref="J153:K153"/>
    <mergeCell ref="J154:K154"/>
    <mergeCell ref="J155:K155"/>
    <mergeCell ref="J156:K156"/>
    <mergeCell ref="H172:I172"/>
    <mergeCell ref="H173:I173"/>
    <mergeCell ref="H174:I174"/>
    <mergeCell ref="H175:I175"/>
    <mergeCell ref="J173:K173"/>
    <mergeCell ref="J174:K174"/>
    <mergeCell ref="J175:K175"/>
    <mergeCell ref="H176:I176"/>
    <mergeCell ref="H177:I177"/>
    <mergeCell ref="H154:I154"/>
    <mergeCell ref="H155:I155"/>
    <mergeCell ref="H195:I195"/>
    <mergeCell ref="H196:I196"/>
    <mergeCell ref="J159:K159"/>
    <mergeCell ref="J160:K160"/>
    <mergeCell ref="J161:K161"/>
    <mergeCell ref="J162:K162"/>
    <mergeCell ref="J163:K163"/>
    <mergeCell ref="J164:K164"/>
    <mergeCell ref="J178:K178"/>
    <mergeCell ref="J179:K179"/>
    <mergeCell ref="H189:I189"/>
    <mergeCell ref="H190:I190"/>
    <mergeCell ref="H187:I187"/>
    <mergeCell ref="H191:I191"/>
    <mergeCell ref="H192:I192"/>
    <mergeCell ref="H194:I194"/>
    <mergeCell ref="H193:I193"/>
    <mergeCell ref="H183:I183"/>
    <mergeCell ref="H184:I184"/>
    <mergeCell ref="H185:I185"/>
    <mergeCell ref="H186:I186"/>
    <mergeCell ref="H181:I181"/>
    <mergeCell ref="H188:I188"/>
    <mergeCell ref="H178:I178"/>
    <mergeCell ref="J197:K197"/>
    <mergeCell ref="J185:K185"/>
    <mergeCell ref="J186:K186"/>
    <mergeCell ref="J187:K187"/>
    <mergeCell ref="J188:K188"/>
    <mergeCell ref="J189:K189"/>
    <mergeCell ref="J166:K166"/>
    <mergeCell ref="J167:K167"/>
    <mergeCell ref="J168:K168"/>
    <mergeCell ref="J169:K169"/>
    <mergeCell ref="J183:K183"/>
    <mergeCell ref="J184:K184"/>
    <mergeCell ref="J176:K176"/>
    <mergeCell ref="J177:K177"/>
    <mergeCell ref="J170:K170"/>
    <mergeCell ref="J171:K171"/>
    <mergeCell ref="J194:K194"/>
    <mergeCell ref="J195:K195"/>
    <mergeCell ref="J196:K196"/>
    <mergeCell ref="J190:K190"/>
    <mergeCell ref="J191:K191"/>
    <mergeCell ref="J192:K192"/>
    <mergeCell ref="J193:K193"/>
    <mergeCell ref="L185:M185"/>
    <mergeCell ref="L186:M186"/>
    <mergeCell ref="L187:M187"/>
    <mergeCell ref="L167:M167"/>
    <mergeCell ref="L168:M168"/>
    <mergeCell ref="L169:M169"/>
    <mergeCell ref="L161:M161"/>
    <mergeCell ref="L179:M179"/>
    <mergeCell ref="L180:M180"/>
    <mergeCell ref="L170:M170"/>
    <mergeCell ref="L171:M171"/>
    <mergeCell ref="L172:M172"/>
    <mergeCell ref="L173:M173"/>
    <mergeCell ref="L151:M151"/>
    <mergeCell ref="L152:M152"/>
    <mergeCell ref="L153:M153"/>
    <mergeCell ref="L154:M154"/>
    <mergeCell ref="J172:K172"/>
    <mergeCell ref="L183:M183"/>
    <mergeCell ref="L184:M184"/>
    <mergeCell ref="L155:M155"/>
    <mergeCell ref="L156:M156"/>
    <mergeCell ref="L157:M157"/>
    <mergeCell ref="L158:M158"/>
    <mergeCell ref="L159:M159"/>
    <mergeCell ref="L160:M160"/>
    <mergeCell ref="L149:M149"/>
    <mergeCell ref="L197:M197"/>
    <mergeCell ref="L188:M188"/>
    <mergeCell ref="L189:M189"/>
    <mergeCell ref="L190:M190"/>
    <mergeCell ref="L191:M191"/>
    <mergeCell ref="L192:M192"/>
    <mergeCell ref="L174:M174"/>
    <mergeCell ref="L175:M175"/>
    <mergeCell ref="L181:M181"/>
    <mergeCell ref="L182:M182"/>
    <mergeCell ref="L195:M195"/>
    <mergeCell ref="L196:M196"/>
    <mergeCell ref="L193:M193"/>
    <mergeCell ref="L194:M194"/>
    <mergeCell ref="L176:M176"/>
    <mergeCell ref="L177:M177"/>
    <mergeCell ref="L178:M178"/>
    <mergeCell ref="L162:M162"/>
    <mergeCell ref="L163:M163"/>
    <mergeCell ref="L164:M164"/>
    <mergeCell ref="L165:M165"/>
    <mergeCell ref="L166:M166"/>
    <mergeCell ref="L150:M150"/>
    <mergeCell ref="N153:O153"/>
    <mergeCell ref="N154:O154"/>
    <mergeCell ref="N155:O155"/>
    <mergeCell ref="N156:O156"/>
    <mergeCell ref="N144:O144"/>
    <mergeCell ref="N145:O145"/>
    <mergeCell ref="N146:O146"/>
    <mergeCell ref="N147:O147"/>
    <mergeCell ref="N148:O148"/>
    <mergeCell ref="N149:O149"/>
    <mergeCell ref="N150:O150"/>
    <mergeCell ref="AX4:BA4"/>
    <mergeCell ref="N197:O197"/>
    <mergeCell ref="C120:D120"/>
    <mergeCell ref="C121:D121"/>
    <mergeCell ref="H197:I197"/>
    <mergeCell ref="N187:O187"/>
    <mergeCell ref="N194:O194"/>
    <mergeCell ref="N195:O195"/>
    <mergeCell ref="N196:O196"/>
    <mergeCell ref="N188:O188"/>
    <mergeCell ref="N193:O193"/>
    <mergeCell ref="N181:O181"/>
    <mergeCell ref="N182:O182"/>
    <mergeCell ref="N183:O183"/>
    <mergeCell ref="N184:O184"/>
    <mergeCell ref="N185:O185"/>
    <mergeCell ref="N186:O186"/>
    <mergeCell ref="N175:O175"/>
    <mergeCell ref="N176:O176"/>
    <mergeCell ref="N177:O177"/>
    <mergeCell ref="N178:O178"/>
    <mergeCell ref="N179:O179"/>
    <mergeCell ref="N180:O180"/>
    <mergeCell ref="N169:O169"/>
    <mergeCell ref="AT4:AW4"/>
    <mergeCell ref="N189:O189"/>
    <mergeCell ref="N190:O190"/>
    <mergeCell ref="N191:O191"/>
    <mergeCell ref="N192:O192"/>
    <mergeCell ref="N170:O170"/>
    <mergeCell ref="N171:O171"/>
    <mergeCell ref="N172:O172"/>
    <mergeCell ref="N173:O173"/>
    <mergeCell ref="N174:O174"/>
    <mergeCell ref="N163:O163"/>
    <mergeCell ref="N164:O164"/>
    <mergeCell ref="N165:O165"/>
    <mergeCell ref="N166:O166"/>
    <mergeCell ref="N167:O167"/>
    <mergeCell ref="N168:O168"/>
    <mergeCell ref="N157:O157"/>
    <mergeCell ref="N158:O158"/>
    <mergeCell ref="N159:O159"/>
    <mergeCell ref="N160:O160"/>
    <mergeCell ref="N161:O161"/>
    <mergeCell ref="N162:O162"/>
    <mergeCell ref="N151:O151"/>
    <mergeCell ref="N152:O152"/>
    <mergeCell ref="H199:I199"/>
    <mergeCell ref="J199:K199"/>
    <mergeCell ref="L199:M199"/>
    <mergeCell ref="N199:O199"/>
    <mergeCell ref="H201:I201"/>
    <mergeCell ref="J201:K201"/>
    <mergeCell ref="L201:M201"/>
    <mergeCell ref="N201:O201"/>
    <mergeCell ref="N198:O198"/>
    <mergeCell ref="H198:I198"/>
    <mergeCell ref="J198:K198"/>
    <mergeCell ref="L198:M198"/>
    <mergeCell ref="H200:I200"/>
    <mergeCell ref="J200:K200"/>
    <mergeCell ref="L200:M200"/>
    <mergeCell ref="N200:O200"/>
    <mergeCell ref="H204:I204"/>
    <mergeCell ref="J204:K204"/>
    <mergeCell ref="L204:M204"/>
    <mergeCell ref="N204:O204"/>
    <mergeCell ref="H202:I202"/>
    <mergeCell ref="J202:K202"/>
    <mergeCell ref="L202:M202"/>
    <mergeCell ref="N202:O202"/>
    <mergeCell ref="H203:I203"/>
    <mergeCell ref="J203:K203"/>
    <mergeCell ref="L203:M203"/>
    <mergeCell ref="N203:O20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113"/>
  <sheetViews>
    <sheetView zoomScale="175" zoomScaleNormal="120" workbookViewId="0">
      <pane xSplit="1" ySplit="5" topLeftCell="B6" activePane="bottomRight" state="frozen"/>
      <selection pane="topRight" activeCell="B1" sqref="B1"/>
      <selection pane="bottomLeft" activeCell="A6" sqref="A6"/>
      <selection pane="bottomRight" activeCell="H39" sqref="H3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137</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73" customFormat="1">
      <c r="A6" s="73">
        <v>1990</v>
      </c>
      <c r="B6" s="85"/>
      <c r="C6" s="935" t="s">
        <v>1268</v>
      </c>
      <c r="D6" s="935"/>
      <c r="E6" s="101">
        <v>262</v>
      </c>
      <c r="G6" s="119"/>
      <c r="J6" s="126"/>
      <c r="K6" s="92"/>
      <c r="L6" s="92"/>
      <c r="M6" s="92"/>
      <c r="N6" s="121"/>
      <c r="O6" s="91"/>
      <c r="P6" s="92"/>
      <c r="Q6" s="92"/>
      <c r="R6" s="93"/>
      <c r="T6" s="81"/>
      <c r="V6" s="82"/>
      <c r="Y6" s="83"/>
      <c r="AD6" s="82"/>
      <c r="AG6" s="83"/>
      <c r="AL6" s="82"/>
      <c r="AO6" s="83"/>
      <c r="AP6" s="82"/>
      <c r="AS6" s="83"/>
      <c r="AW6" s="83"/>
      <c r="BA6" s="84"/>
    </row>
    <row r="7" spans="1:53" s="292" customFormat="1">
      <c r="A7" s="292">
        <v>1990</v>
      </c>
      <c r="B7" s="836">
        <v>33136</v>
      </c>
      <c r="C7" s="916" t="s">
        <v>974</v>
      </c>
      <c r="D7" s="916"/>
      <c r="E7" s="338">
        <v>78</v>
      </c>
      <c r="F7" s="292" t="s">
        <v>338</v>
      </c>
      <c r="G7" s="366"/>
      <c r="I7" s="292">
        <v>18</v>
      </c>
      <c r="J7" s="377">
        <v>18</v>
      </c>
      <c r="K7" s="336">
        <f>G7/J7*100</f>
        <v>0</v>
      </c>
      <c r="L7" s="336">
        <f>H7/J7*100</f>
        <v>0</v>
      </c>
      <c r="M7" s="336">
        <f>I7/J7*100</f>
        <v>100</v>
      </c>
      <c r="N7" s="368">
        <f>SUM(K7:M7)</f>
        <v>100</v>
      </c>
      <c r="O7" s="335"/>
      <c r="P7" s="336"/>
      <c r="Q7" s="336">
        <v>52.7</v>
      </c>
      <c r="R7" s="337">
        <f>SUM(O7:Q7)</f>
        <v>52.7</v>
      </c>
      <c r="S7" s="292">
        <v>1</v>
      </c>
      <c r="T7" s="838">
        <v>33041</v>
      </c>
      <c r="U7" s="836">
        <v>33136</v>
      </c>
      <c r="V7" s="299" t="s">
        <v>969</v>
      </c>
      <c r="W7" s="292" t="s">
        <v>984</v>
      </c>
      <c r="X7" s="292" t="s">
        <v>12</v>
      </c>
      <c r="Y7" s="300">
        <v>52.7</v>
      </c>
      <c r="AD7" s="299"/>
      <c r="AG7" s="300"/>
      <c r="AL7" s="299"/>
      <c r="AO7" s="300"/>
      <c r="AP7" s="299"/>
      <c r="AS7" s="300"/>
      <c r="AW7" s="300"/>
      <c r="BA7" s="301"/>
    </row>
    <row r="8" spans="1:53" s="73" customFormat="1">
      <c r="A8" s="73">
        <v>1990</v>
      </c>
      <c r="B8" s="852">
        <v>33214</v>
      </c>
      <c r="C8" s="917" t="s">
        <v>968</v>
      </c>
      <c r="D8" s="917"/>
      <c r="E8" s="101">
        <v>25</v>
      </c>
      <c r="F8" s="73">
        <v>2</v>
      </c>
      <c r="G8" s="119">
        <v>5</v>
      </c>
      <c r="I8" s="73">
        <v>8</v>
      </c>
      <c r="J8" s="126">
        <v>18</v>
      </c>
      <c r="K8" s="92">
        <f t="shared" ref="K8:K52" si="0">G8/J8*100</f>
        <v>27.777777777777779</v>
      </c>
      <c r="L8" s="92">
        <f t="shared" ref="L8:L52" si="1">H8/J8*100</f>
        <v>0</v>
      </c>
      <c r="M8" s="92">
        <f t="shared" ref="M8:M52" si="2">I8/J8*100</f>
        <v>44.444444444444443</v>
      </c>
      <c r="N8" s="121">
        <f t="shared" ref="N8:N30" si="3">SUM(K8:M8)</f>
        <v>72.222222222222229</v>
      </c>
      <c r="O8" s="91">
        <v>40</v>
      </c>
      <c r="P8" s="92"/>
      <c r="Q8" s="92">
        <v>52.7</v>
      </c>
      <c r="R8" s="93">
        <f t="shared" ref="R8:R56" si="4">SUM(O8:Q8)</f>
        <v>92.7</v>
      </c>
      <c r="S8" s="73">
        <v>6</v>
      </c>
      <c r="T8" s="839"/>
      <c r="U8" s="852">
        <v>33214</v>
      </c>
      <c r="V8" s="82" t="s">
        <v>969</v>
      </c>
      <c r="W8" s="73" t="s">
        <v>895</v>
      </c>
      <c r="X8" s="73" t="s">
        <v>12</v>
      </c>
      <c r="Y8" s="83">
        <v>52.7</v>
      </c>
      <c r="Z8" s="73" t="s">
        <v>870</v>
      </c>
      <c r="AA8" s="73" t="s">
        <v>17</v>
      </c>
      <c r="AB8" s="73" t="s">
        <v>11</v>
      </c>
      <c r="AC8" s="73">
        <v>36</v>
      </c>
      <c r="AD8" s="82" t="s">
        <v>970</v>
      </c>
      <c r="AE8" s="73" t="s">
        <v>872</v>
      </c>
      <c r="AF8" s="73" t="s">
        <v>11</v>
      </c>
      <c r="AG8" s="83">
        <v>4</v>
      </c>
      <c r="AL8" s="82"/>
      <c r="AO8" s="83"/>
      <c r="AP8" s="82"/>
      <c r="AS8" s="83"/>
      <c r="AW8" s="83"/>
      <c r="BA8" s="84"/>
    </row>
    <row r="9" spans="1:53" s="73" customFormat="1">
      <c r="A9" s="73">
        <v>1991</v>
      </c>
      <c r="B9" s="852"/>
      <c r="C9" s="917" t="s">
        <v>968</v>
      </c>
      <c r="D9" s="917"/>
      <c r="E9" s="101">
        <v>311</v>
      </c>
      <c r="G9" s="119">
        <v>5</v>
      </c>
      <c r="I9" s="73">
        <v>8</v>
      </c>
      <c r="J9" s="126">
        <v>18</v>
      </c>
      <c r="K9" s="92">
        <f t="shared" si="0"/>
        <v>27.777777777777779</v>
      </c>
      <c r="L9" s="92">
        <f t="shared" si="1"/>
        <v>0</v>
      </c>
      <c r="M9" s="92">
        <f t="shared" si="2"/>
        <v>44.444444444444443</v>
      </c>
      <c r="N9" s="121">
        <f t="shared" si="3"/>
        <v>72.222222222222229</v>
      </c>
      <c r="O9" s="91">
        <v>40</v>
      </c>
      <c r="P9" s="92"/>
      <c r="Q9" s="92">
        <v>52.7</v>
      </c>
      <c r="R9" s="93">
        <f t="shared" si="4"/>
        <v>92.7</v>
      </c>
      <c r="S9" s="73">
        <v>6</v>
      </c>
      <c r="T9" s="839"/>
      <c r="U9" s="852"/>
      <c r="V9" s="82" t="s">
        <v>969</v>
      </c>
      <c r="W9" s="73" t="s">
        <v>895</v>
      </c>
      <c r="X9" s="73" t="s">
        <v>12</v>
      </c>
      <c r="Y9" s="83">
        <v>52.7</v>
      </c>
      <c r="Z9" s="73" t="s">
        <v>870</v>
      </c>
      <c r="AA9" s="73" t="s">
        <v>17</v>
      </c>
      <c r="AB9" s="73" t="s">
        <v>11</v>
      </c>
      <c r="AC9" s="73">
        <v>36</v>
      </c>
      <c r="AD9" s="82" t="s">
        <v>970</v>
      </c>
      <c r="AE9" s="73" t="s">
        <v>872</v>
      </c>
      <c r="AF9" s="73" t="s">
        <v>11</v>
      </c>
      <c r="AG9" s="83">
        <v>4</v>
      </c>
      <c r="AL9" s="82"/>
      <c r="AO9" s="83"/>
      <c r="AP9" s="82"/>
      <c r="AS9" s="83"/>
      <c r="AW9" s="83"/>
      <c r="BA9" s="84"/>
    </row>
    <row r="10" spans="1:53" s="292" customFormat="1">
      <c r="A10" s="292">
        <v>1991</v>
      </c>
      <c r="B10" s="836">
        <v>33550</v>
      </c>
      <c r="C10" s="916" t="s">
        <v>964</v>
      </c>
      <c r="D10" s="916"/>
      <c r="E10" s="338">
        <v>54</v>
      </c>
      <c r="F10" s="292">
        <v>1</v>
      </c>
      <c r="G10" s="366">
        <v>14</v>
      </c>
      <c r="J10" s="377">
        <v>14</v>
      </c>
      <c r="K10" s="336">
        <f t="shared" si="0"/>
        <v>100</v>
      </c>
      <c r="L10" s="336">
        <f t="shared" si="1"/>
        <v>0</v>
      </c>
      <c r="M10" s="336">
        <f t="shared" si="2"/>
        <v>0</v>
      </c>
      <c r="N10" s="368">
        <f t="shared" si="3"/>
        <v>100</v>
      </c>
      <c r="O10" s="335">
        <v>45.9</v>
      </c>
      <c r="P10" s="336"/>
      <c r="Q10" s="336"/>
      <c r="R10" s="337">
        <f t="shared" si="4"/>
        <v>45.9</v>
      </c>
      <c r="S10" s="292">
        <v>4</v>
      </c>
      <c r="T10" s="838">
        <v>33524</v>
      </c>
      <c r="U10" s="836">
        <v>33550</v>
      </c>
      <c r="V10" s="299" t="s">
        <v>870</v>
      </c>
      <c r="W10" s="292" t="s">
        <v>17</v>
      </c>
      <c r="X10" s="292" t="s">
        <v>11</v>
      </c>
      <c r="Y10" s="300">
        <v>45.9</v>
      </c>
      <c r="AD10" s="299"/>
      <c r="AG10" s="300"/>
      <c r="AL10" s="299"/>
      <c r="AO10" s="300"/>
      <c r="AP10" s="299"/>
      <c r="AS10" s="300"/>
      <c r="AW10" s="300"/>
      <c r="BA10" s="301"/>
    </row>
    <row r="11" spans="1:53" s="292" customFormat="1">
      <c r="A11" s="292">
        <v>1992</v>
      </c>
      <c r="B11" s="836"/>
      <c r="C11" s="916" t="s">
        <v>964</v>
      </c>
      <c r="D11" s="916"/>
      <c r="E11" s="338">
        <v>364</v>
      </c>
      <c r="G11" s="366">
        <v>14</v>
      </c>
      <c r="J11" s="377">
        <v>14</v>
      </c>
      <c r="K11" s="336">
        <f t="shared" si="0"/>
        <v>100</v>
      </c>
      <c r="L11" s="336">
        <f t="shared" si="1"/>
        <v>0</v>
      </c>
      <c r="M11" s="336">
        <f t="shared" si="2"/>
        <v>0</v>
      </c>
      <c r="N11" s="368">
        <f t="shared" si="3"/>
        <v>100</v>
      </c>
      <c r="O11" s="335">
        <v>45.9</v>
      </c>
      <c r="P11" s="336"/>
      <c r="Q11" s="336"/>
      <c r="R11" s="337">
        <f t="shared" si="4"/>
        <v>45.9</v>
      </c>
      <c r="S11" s="292">
        <v>4</v>
      </c>
      <c r="T11" s="838"/>
      <c r="U11" s="836"/>
      <c r="V11" s="299" t="s">
        <v>870</v>
      </c>
      <c r="W11" s="292" t="s">
        <v>17</v>
      </c>
      <c r="X11" s="292" t="s">
        <v>11</v>
      </c>
      <c r="Y11" s="300">
        <v>45.9</v>
      </c>
      <c r="AD11" s="299"/>
      <c r="AG11" s="300"/>
      <c r="AL11" s="299"/>
      <c r="AO11" s="300"/>
      <c r="AP11" s="299"/>
      <c r="AS11" s="300"/>
      <c r="AW11" s="300"/>
      <c r="BA11" s="301"/>
    </row>
    <row r="12" spans="1:53" s="73" customFormat="1">
      <c r="A12" s="73">
        <v>1992</v>
      </c>
      <c r="B12" s="852">
        <v>33968</v>
      </c>
      <c r="C12" s="917" t="s">
        <v>967</v>
      </c>
      <c r="D12" s="917"/>
      <c r="E12" s="101">
        <v>2</v>
      </c>
      <c r="F12" s="73">
        <v>5</v>
      </c>
      <c r="G12" s="119">
        <v>0</v>
      </c>
      <c r="H12" s="73">
        <v>0</v>
      </c>
      <c r="I12" s="73">
        <v>0</v>
      </c>
      <c r="J12" s="126">
        <v>14</v>
      </c>
      <c r="K12" s="92">
        <f t="shared" si="0"/>
        <v>0</v>
      </c>
      <c r="L12" s="92">
        <f t="shared" si="1"/>
        <v>0</v>
      </c>
      <c r="M12" s="92">
        <f t="shared" si="2"/>
        <v>0</v>
      </c>
      <c r="N12" s="121">
        <f t="shared" si="3"/>
        <v>0</v>
      </c>
      <c r="O12" s="91">
        <v>0</v>
      </c>
      <c r="P12" s="92">
        <v>0</v>
      </c>
      <c r="Q12" s="92">
        <v>0</v>
      </c>
      <c r="R12" s="93">
        <f t="shared" si="4"/>
        <v>0</v>
      </c>
      <c r="S12" s="73">
        <v>7</v>
      </c>
      <c r="T12" s="839"/>
      <c r="U12" s="852">
        <v>33968</v>
      </c>
      <c r="V12" s="141" t="s">
        <v>801</v>
      </c>
      <c r="Y12" s="83"/>
      <c r="AD12" s="82"/>
      <c r="AG12" s="83"/>
      <c r="AL12" s="82"/>
      <c r="AO12" s="83"/>
      <c r="AP12" s="82"/>
      <c r="AS12" s="83"/>
      <c r="AW12" s="83"/>
      <c r="BA12" s="84"/>
    </row>
    <row r="13" spans="1:53" s="73" customFormat="1">
      <c r="A13" s="73">
        <v>1993</v>
      </c>
      <c r="B13" s="852"/>
      <c r="C13" s="917" t="s">
        <v>967</v>
      </c>
      <c r="D13" s="917"/>
      <c r="E13" s="101">
        <v>0</v>
      </c>
      <c r="G13" s="119">
        <v>0</v>
      </c>
      <c r="H13" s="73">
        <v>0</v>
      </c>
      <c r="I13" s="73">
        <v>0</v>
      </c>
      <c r="J13" s="126">
        <v>14</v>
      </c>
      <c r="K13" s="92">
        <f t="shared" si="0"/>
        <v>0</v>
      </c>
      <c r="L13" s="92">
        <f t="shared" si="1"/>
        <v>0</v>
      </c>
      <c r="M13" s="92">
        <f t="shared" si="2"/>
        <v>0</v>
      </c>
      <c r="N13" s="121">
        <f t="shared" si="3"/>
        <v>0</v>
      </c>
      <c r="O13" s="91">
        <v>0</v>
      </c>
      <c r="P13" s="92">
        <v>0</v>
      </c>
      <c r="Q13" s="92">
        <v>0</v>
      </c>
      <c r="R13" s="93">
        <f t="shared" si="4"/>
        <v>0</v>
      </c>
      <c r="S13" s="73">
        <v>7</v>
      </c>
      <c r="T13" s="839"/>
      <c r="U13" s="852"/>
      <c r="V13" s="141" t="s">
        <v>801</v>
      </c>
      <c r="Y13" s="83"/>
      <c r="AD13" s="82"/>
      <c r="AG13" s="83"/>
      <c r="AL13" s="82"/>
      <c r="AO13" s="83"/>
      <c r="AP13" s="82"/>
      <c r="AS13" s="83"/>
      <c r="AW13" s="83"/>
      <c r="BA13" s="84"/>
    </row>
    <row r="14" spans="1:53" s="73" customFormat="1">
      <c r="A14" s="207">
        <v>1993</v>
      </c>
      <c r="B14" s="852"/>
      <c r="C14" s="917" t="s">
        <v>967</v>
      </c>
      <c r="D14" s="917"/>
      <c r="E14" s="101">
        <v>365</v>
      </c>
      <c r="G14" s="119">
        <v>0</v>
      </c>
      <c r="H14" s="73">
        <v>0</v>
      </c>
      <c r="I14" s="73">
        <v>0</v>
      </c>
      <c r="J14" s="126">
        <v>14</v>
      </c>
      <c r="K14" s="92">
        <f t="shared" si="0"/>
        <v>0</v>
      </c>
      <c r="L14" s="92">
        <f t="shared" si="1"/>
        <v>0</v>
      </c>
      <c r="M14" s="92">
        <f t="shared" si="2"/>
        <v>0</v>
      </c>
      <c r="N14" s="121">
        <f t="shared" si="3"/>
        <v>0</v>
      </c>
      <c r="O14" s="91">
        <v>0</v>
      </c>
      <c r="P14" s="92">
        <v>0</v>
      </c>
      <c r="Q14" s="92">
        <v>0</v>
      </c>
      <c r="R14" s="93">
        <f t="shared" si="4"/>
        <v>0</v>
      </c>
      <c r="S14" s="73">
        <v>7</v>
      </c>
      <c r="T14" s="839"/>
      <c r="U14" s="852"/>
      <c r="V14" s="141" t="s">
        <v>801</v>
      </c>
      <c r="Y14" s="83"/>
      <c r="AD14" s="82"/>
      <c r="AG14" s="83"/>
      <c r="AL14" s="82"/>
      <c r="AO14" s="83"/>
      <c r="AP14" s="82"/>
      <c r="AS14" s="83"/>
      <c r="AW14" s="83"/>
      <c r="BA14" s="84"/>
    </row>
    <row r="15" spans="1:53" s="73" customFormat="1">
      <c r="A15" s="73">
        <v>1994</v>
      </c>
      <c r="B15" s="852"/>
      <c r="C15" s="917" t="s">
        <v>967</v>
      </c>
      <c r="D15" s="917"/>
      <c r="E15" s="101">
        <v>280</v>
      </c>
      <c r="G15" s="119">
        <v>0</v>
      </c>
      <c r="H15" s="73">
        <v>0</v>
      </c>
      <c r="I15" s="73">
        <v>0</v>
      </c>
      <c r="J15" s="126">
        <v>14</v>
      </c>
      <c r="K15" s="92">
        <f t="shared" si="0"/>
        <v>0</v>
      </c>
      <c r="L15" s="92">
        <f t="shared" si="1"/>
        <v>0</v>
      </c>
      <c r="M15" s="92">
        <f t="shared" si="2"/>
        <v>0</v>
      </c>
      <c r="N15" s="121">
        <f t="shared" si="3"/>
        <v>0</v>
      </c>
      <c r="O15" s="91">
        <v>0</v>
      </c>
      <c r="P15" s="92">
        <v>0</v>
      </c>
      <c r="Q15" s="92">
        <v>0</v>
      </c>
      <c r="R15" s="93">
        <f t="shared" si="4"/>
        <v>0</v>
      </c>
      <c r="S15" s="73">
        <v>7</v>
      </c>
      <c r="T15" s="839"/>
      <c r="U15" s="852"/>
      <c r="V15" s="141" t="s">
        <v>801</v>
      </c>
      <c r="Y15" s="83"/>
      <c r="AD15" s="82"/>
      <c r="AG15" s="83"/>
      <c r="AL15" s="82"/>
      <c r="AO15" s="83"/>
      <c r="AP15" s="82"/>
      <c r="AS15" s="83"/>
      <c r="AW15" s="83"/>
      <c r="BA15" s="84"/>
    </row>
    <row r="16" spans="1:53" s="292" customFormat="1">
      <c r="A16" s="292">
        <v>1994</v>
      </c>
      <c r="B16" s="836">
        <v>34615</v>
      </c>
      <c r="C16" s="916" t="s">
        <v>971</v>
      </c>
      <c r="D16" s="916"/>
      <c r="E16" s="338">
        <v>85</v>
      </c>
      <c r="F16" s="292">
        <v>2</v>
      </c>
      <c r="G16" s="366">
        <v>0</v>
      </c>
      <c r="H16" s="292">
        <v>0</v>
      </c>
      <c r="I16" s="292">
        <v>0</v>
      </c>
      <c r="J16" s="377">
        <v>17</v>
      </c>
      <c r="K16" s="336">
        <f t="shared" si="0"/>
        <v>0</v>
      </c>
      <c r="L16" s="336">
        <f t="shared" si="1"/>
        <v>0</v>
      </c>
      <c r="M16" s="336">
        <f t="shared" si="2"/>
        <v>0</v>
      </c>
      <c r="N16" s="368">
        <f t="shared" si="3"/>
        <v>0</v>
      </c>
      <c r="O16" s="335">
        <v>0</v>
      </c>
      <c r="P16" s="336">
        <v>0</v>
      </c>
      <c r="Q16" s="336">
        <v>0</v>
      </c>
      <c r="R16" s="337">
        <f t="shared" si="4"/>
        <v>0</v>
      </c>
      <c r="S16" s="292">
        <v>6</v>
      </c>
      <c r="T16" s="838"/>
      <c r="U16" s="836">
        <v>34615</v>
      </c>
      <c r="V16" s="379" t="s">
        <v>800</v>
      </c>
      <c r="Y16" s="300"/>
      <c r="AD16" s="299"/>
      <c r="AG16" s="300"/>
      <c r="AL16" s="299"/>
      <c r="AO16" s="300"/>
      <c r="AP16" s="299"/>
      <c r="AS16" s="300"/>
      <c r="AW16" s="300"/>
      <c r="BA16" s="301"/>
    </row>
    <row r="17" spans="1:53" s="292" customFormat="1">
      <c r="A17" s="292">
        <v>1995</v>
      </c>
      <c r="B17" s="836"/>
      <c r="C17" s="916" t="s">
        <v>971</v>
      </c>
      <c r="D17" s="916"/>
      <c r="E17" s="338">
        <v>24</v>
      </c>
      <c r="G17" s="366">
        <v>0</v>
      </c>
      <c r="H17" s="292">
        <v>0</v>
      </c>
      <c r="I17" s="292">
        <v>0</v>
      </c>
      <c r="J17" s="377">
        <v>17</v>
      </c>
      <c r="K17" s="336">
        <f t="shared" si="0"/>
        <v>0</v>
      </c>
      <c r="L17" s="336">
        <f t="shared" si="1"/>
        <v>0</v>
      </c>
      <c r="M17" s="336">
        <f t="shared" si="2"/>
        <v>0</v>
      </c>
      <c r="N17" s="368">
        <f t="shared" si="3"/>
        <v>0</v>
      </c>
      <c r="O17" s="335">
        <v>0</v>
      </c>
      <c r="P17" s="336">
        <v>0</v>
      </c>
      <c r="Q17" s="336">
        <v>0</v>
      </c>
      <c r="R17" s="337">
        <f t="shared" si="4"/>
        <v>0</v>
      </c>
      <c r="S17" s="292">
        <v>6</v>
      </c>
      <c r="T17" s="838">
        <v>34686</v>
      </c>
      <c r="U17" s="836"/>
      <c r="V17" s="379" t="s">
        <v>800</v>
      </c>
      <c r="Y17" s="300"/>
      <c r="AD17" s="299"/>
      <c r="AG17" s="300"/>
      <c r="AL17" s="299"/>
      <c r="AO17" s="300"/>
      <c r="AP17" s="299"/>
      <c r="AS17" s="300"/>
      <c r="AW17" s="300"/>
      <c r="BA17" s="301"/>
    </row>
    <row r="18" spans="1:53" s="73" customFormat="1">
      <c r="A18" s="73">
        <v>1995</v>
      </c>
      <c r="B18" s="852">
        <v>34724</v>
      </c>
      <c r="C18" s="917" t="s">
        <v>973</v>
      </c>
      <c r="D18" s="917"/>
      <c r="E18" s="101">
        <v>341</v>
      </c>
      <c r="F18" s="73">
        <v>1</v>
      </c>
      <c r="G18" s="119"/>
      <c r="I18" s="73">
        <v>10</v>
      </c>
      <c r="J18" s="126">
        <v>18</v>
      </c>
      <c r="K18" s="92">
        <f t="shared" si="0"/>
        <v>0</v>
      </c>
      <c r="L18" s="92">
        <f t="shared" si="1"/>
        <v>0</v>
      </c>
      <c r="M18" s="92">
        <f t="shared" si="2"/>
        <v>55.555555555555557</v>
      </c>
      <c r="N18" s="121">
        <f t="shared" si="3"/>
        <v>55.555555555555557</v>
      </c>
      <c r="O18" s="91"/>
      <c r="P18" s="92"/>
      <c r="Q18" s="92">
        <v>52.1</v>
      </c>
      <c r="R18" s="93">
        <f t="shared" si="4"/>
        <v>52.1</v>
      </c>
      <c r="S18" s="73">
        <v>1</v>
      </c>
      <c r="T18" s="839"/>
      <c r="U18" s="852">
        <v>34724</v>
      </c>
      <c r="V18" s="82" t="s">
        <v>972</v>
      </c>
      <c r="W18" s="73" t="s">
        <v>98</v>
      </c>
      <c r="X18" s="73" t="s">
        <v>12</v>
      </c>
      <c r="Y18" s="83">
        <v>52.1</v>
      </c>
      <c r="AD18" s="82"/>
      <c r="AG18" s="83"/>
      <c r="AL18" s="82"/>
      <c r="AO18" s="83"/>
      <c r="AP18" s="82"/>
      <c r="AS18" s="83"/>
      <c r="AW18" s="83"/>
      <c r="BA18" s="84"/>
    </row>
    <row r="19" spans="1:53" s="73" customFormat="1">
      <c r="A19" s="73">
        <v>1996</v>
      </c>
      <c r="B19" s="852"/>
      <c r="C19" s="917" t="s">
        <v>973</v>
      </c>
      <c r="D19" s="917"/>
      <c r="E19" s="101">
        <v>0</v>
      </c>
      <c r="G19" s="119"/>
      <c r="I19" s="73">
        <v>10</v>
      </c>
      <c r="J19" s="126">
        <v>18</v>
      </c>
      <c r="K19" s="92">
        <f t="shared" si="0"/>
        <v>0</v>
      </c>
      <c r="L19" s="92">
        <f t="shared" si="1"/>
        <v>0</v>
      </c>
      <c r="M19" s="92">
        <f t="shared" si="2"/>
        <v>55.555555555555557</v>
      </c>
      <c r="N19" s="121">
        <f t="shared" si="3"/>
        <v>55.555555555555557</v>
      </c>
      <c r="O19" s="91"/>
      <c r="P19" s="92"/>
      <c r="Q19" s="92">
        <v>52.1</v>
      </c>
      <c r="R19" s="93">
        <f t="shared" si="4"/>
        <v>52.1</v>
      </c>
      <c r="S19" s="73">
        <v>1</v>
      </c>
      <c r="T19" s="839"/>
      <c r="U19" s="852"/>
      <c r="V19" s="82" t="s">
        <v>972</v>
      </c>
      <c r="W19" s="73" t="s">
        <v>98</v>
      </c>
      <c r="X19" s="73" t="s">
        <v>12</v>
      </c>
      <c r="Y19" s="83">
        <v>52.1</v>
      </c>
      <c r="AD19" s="82"/>
      <c r="AG19" s="83"/>
      <c r="AL19" s="82"/>
      <c r="AO19" s="83"/>
      <c r="AP19" s="82"/>
      <c r="AS19" s="83"/>
      <c r="AW19" s="83"/>
      <c r="BA19" s="84"/>
    </row>
    <row r="20" spans="1:53" s="73" customFormat="1">
      <c r="A20" s="73">
        <v>1996</v>
      </c>
      <c r="B20" s="852"/>
      <c r="C20" s="917" t="s">
        <v>973</v>
      </c>
      <c r="D20" s="917"/>
      <c r="E20" s="101">
        <v>366</v>
      </c>
      <c r="G20" s="119"/>
      <c r="I20" s="73">
        <v>10</v>
      </c>
      <c r="J20" s="126">
        <v>18</v>
      </c>
      <c r="K20" s="92">
        <f t="shared" si="0"/>
        <v>0</v>
      </c>
      <c r="L20" s="92">
        <f t="shared" si="1"/>
        <v>0</v>
      </c>
      <c r="M20" s="92">
        <f t="shared" si="2"/>
        <v>55.555555555555557</v>
      </c>
      <c r="N20" s="121">
        <f t="shared" si="3"/>
        <v>55.555555555555557</v>
      </c>
      <c r="O20" s="91"/>
      <c r="P20" s="92"/>
      <c r="Q20" s="92">
        <v>52.1</v>
      </c>
      <c r="R20" s="93">
        <f t="shared" si="4"/>
        <v>52.1</v>
      </c>
      <c r="S20" s="73">
        <v>1</v>
      </c>
      <c r="T20" s="839"/>
      <c r="U20" s="852"/>
      <c r="V20" s="82" t="s">
        <v>972</v>
      </c>
      <c r="W20" s="73" t="s">
        <v>98</v>
      </c>
      <c r="X20" s="73" t="s">
        <v>12</v>
      </c>
      <c r="Y20" s="83">
        <v>52.1</v>
      </c>
      <c r="AD20" s="82"/>
      <c r="AG20" s="83"/>
      <c r="AL20" s="82"/>
      <c r="AO20" s="83"/>
      <c r="AP20" s="82"/>
      <c r="AS20" s="83"/>
      <c r="AW20" s="83"/>
      <c r="BA20" s="84"/>
    </row>
    <row r="21" spans="1:53" s="73" customFormat="1">
      <c r="A21" s="73">
        <v>1997</v>
      </c>
      <c r="B21" s="852"/>
      <c r="C21" s="917" t="s">
        <v>973</v>
      </c>
      <c r="D21" s="917"/>
      <c r="E21" s="101">
        <v>42</v>
      </c>
      <c r="G21" s="119"/>
      <c r="I21" s="73">
        <v>10</v>
      </c>
      <c r="J21" s="126">
        <v>18</v>
      </c>
      <c r="K21" s="92">
        <f t="shared" si="0"/>
        <v>0</v>
      </c>
      <c r="L21" s="92">
        <f t="shared" si="1"/>
        <v>0</v>
      </c>
      <c r="M21" s="92">
        <f t="shared" si="2"/>
        <v>55.555555555555557</v>
      </c>
      <c r="N21" s="121">
        <f t="shared" si="3"/>
        <v>55.555555555555557</v>
      </c>
      <c r="O21" s="91"/>
      <c r="P21" s="92"/>
      <c r="Q21" s="92">
        <v>52.1</v>
      </c>
      <c r="R21" s="93">
        <f t="shared" si="4"/>
        <v>52.1</v>
      </c>
      <c r="S21" s="73">
        <v>1</v>
      </c>
      <c r="T21" s="839"/>
      <c r="U21" s="852"/>
      <c r="V21" s="82" t="s">
        <v>972</v>
      </c>
      <c r="W21" s="73" t="s">
        <v>98</v>
      </c>
      <c r="X21" s="73" t="s">
        <v>12</v>
      </c>
      <c r="Y21" s="83">
        <v>52.1</v>
      </c>
      <c r="AD21" s="82"/>
      <c r="AG21" s="83"/>
      <c r="AL21" s="82"/>
      <c r="AO21" s="83"/>
      <c r="AP21" s="82"/>
      <c r="AS21" s="83"/>
      <c r="AW21" s="83"/>
      <c r="BA21" s="84"/>
    </row>
    <row r="22" spans="1:53" s="292" customFormat="1">
      <c r="A22" s="292">
        <v>1997</v>
      </c>
      <c r="B22" s="836">
        <v>35473</v>
      </c>
      <c r="C22" s="916" t="s">
        <v>965</v>
      </c>
      <c r="D22" s="916"/>
      <c r="E22" s="338">
        <v>98</v>
      </c>
      <c r="F22" s="292">
        <v>4</v>
      </c>
      <c r="G22" s="366">
        <v>1</v>
      </c>
      <c r="J22" s="377">
        <v>17</v>
      </c>
      <c r="K22" s="336">
        <f>G22/J22*100</f>
        <v>5.8823529411764701</v>
      </c>
      <c r="L22" s="336">
        <f>H22/J22*100</f>
        <v>0</v>
      </c>
      <c r="M22" s="336">
        <f>I22/J22*100</f>
        <v>0</v>
      </c>
      <c r="N22" s="368">
        <f>SUM(K22:M22)</f>
        <v>5.8823529411764701</v>
      </c>
      <c r="O22" s="335">
        <v>28.8</v>
      </c>
      <c r="P22" s="336"/>
      <c r="Q22" s="336"/>
      <c r="R22" s="337">
        <f>SUM(O22:Q22)</f>
        <v>28.8</v>
      </c>
      <c r="S22" s="292">
        <v>6</v>
      </c>
      <c r="T22" s="838"/>
      <c r="U22" s="836">
        <v>35473</v>
      </c>
      <c r="V22" s="299" t="s">
        <v>870</v>
      </c>
      <c r="W22" s="292" t="s">
        <v>17</v>
      </c>
      <c r="X22" s="292" t="s">
        <v>11</v>
      </c>
      <c r="Y22" s="300">
        <v>28.8</v>
      </c>
      <c r="AD22" s="299"/>
      <c r="AG22" s="300"/>
      <c r="AL22" s="299"/>
      <c r="AO22" s="300"/>
      <c r="AP22" s="299"/>
      <c r="AS22" s="300"/>
      <c r="AW22" s="300"/>
      <c r="BA22" s="301"/>
    </row>
    <row r="23" spans="1:53" s="73" customFormat="1">
      <c r="A23" s="73">
        <v>1997</v>
      </c>
      <c r="B23" s="852">
        <v>35571</v>
      </c>
      <c r="C23" s="917" t="s">
        <v>966</v>
      </c>
      <c r="D23" s="917"/>
      <c r="E23" s="101">
        <v>225</v>
      </c>
      <c r="F23" s="73">
        <v>1</v>
      </c>
      <c r="G23" s="119">
        <v>17</v>
      </c>
      <c r="J23" s="126">
        <v>17</v>
      </c>
      <c r="K23" s="92">
        <f t="shared" si="0"/>
        <v>100</v>
      </c>
      <c r="L23" s="92">
        <f t="shared" si="1"/>
        <v>0</v>
      </c>
      <c r="M23" s="92">
        <f t="shared" si="2"/>
        <v>0</v>
      </c>
      <c r="N23" s="121">
        <f t="shared" si="3"/>
        <v>100</v>
      </c>
      <c r="O23" s="91">
        <v>57</v>
      </c>
      <c r="P23" s="92"/>
      <c r="Q23" s="92"/>
      <c r="R23" s="93">
        <f t="shared" si="4"/>
        <v>57</v>
      </c>
      <c r="S23" s="73">
        <v>1</v>
      </c>
      <c r="T23" s="839">
        <v>35539</v>
      </c>
      <c r="U23" s="852">
        <v>35571</v>
      </c>
      <c r="V23" s="82" t="s">
        <v>870</v>
      </c>
      <c r="W23" s="73" t="s">
        <v>17</v>
      </c>
      <c r="X23" s="73" t="s">
        <v>11</v>
      </c>
      <c r="Y23" s="83">
        <v>57</v>
      </c>
      <c r="AD23" s="82"/>
      <c r="AG23" s="83"/>
      <c r="AL23" s="82"/>
      <c r="AO23" s="83"/>
      <c r="AP23" s="82"/>
      <c r="AS23" s="83"/>
      <c r="AW23" s="83"/>
      <c r="BA23" s="84"/>
    </row>
    <row r="24" spans="1:53" s="73" customFormat="1">
      <c r="A24" s="73">
        <v>1998</v>
      </c>
      <c r="B24" s="852"/>
      <c r="C24" s="917" t="s">
        <v>966</v>
      </c>
      <c r="D24" s="917"/>
      <c r="E24" s="101">
        <v>0</v>
      </c>
      <c r="G24" s="119">
        <v>17</v>
      </c>
      <c r="J24" s="126">
        <v>17</v>
      </c>
      <c r="K24" s="92">
        <f t="shared" si="0"/>
        <v>100</v>
      </c>
      <c r="L24" s="92">
        <f t="shared" si="1"/>
        <v>0</v>
      </c>
      <c r="M24" s="92">
        <f t="shared" si="2"/>
        <v>0</v>
      </c>
      <c r="N24" s="121">
        <f t="shared" si="3"/>
        <v>100</v>
      </c>
      <c r="O24" s="91">
        <v>57</v>
      </c>
      <c r="P24" s="92"/>
      <c r="Q24" s="92"/>
      <c r="R24" s="93">
        <f t="shared" si="4"/>
        <v>57</v>
      </c>
      <c r="S24" s="73">
        <v>1</v>
      </c>
      <c r="T24" s="839"/>
      <c r="U24" s="852"/>
      <c r="V24" s="82" t="s">
        <v>870</v>
      </c>
      <c r="W24" s="73" t="s">
        <v>17</v>
      </c>
      <c r="X24" s="73" t="s">
        <v>11</v>
      </c>
      <c r="Y24" s="83">
        <v>57</v>
      </c>
      <c r="AD24" s="82"/>
      <c r="AG24" s="83"/>
      <c r="AL24" s="82"/>
      <c r="AO24" s="83"/>
      <c r="AP24" s="82"/>
      <c r="AS24" s="83"/>
      <c r="AW24" s="83"/>
      <c r="BA24" s="84"/>
    </row>
    <row r="25" spans="1:53" s="73" customFormat="1">
      <c r="A25" s="73">
        <v>1998</v>
      </c>
      <c r="B25" s="852"/>
      <c r="C25" s="917" t="s">
        <v>966</v>
      </c>
      <c r="D25" s="917"/>
      <c r="E25" s="101">
        <v>365</v>
      </c>
      <c r="G25" s="119">
        <v>17</v>
      </c>
      <c r="J25" s="126">
        <v>17</v>
      </c>
      <c r="K25" s="92">
        <f t="shared" si="0"/>
        <v>100</v>
      </c>
      <c r="L25" s="92">
        <f t="shared" si="1"/>
        <v>0</v>
      </c>
      <c r="M25" s="92">
        <f t="shared" si="2"/>
        <v>0</v>
      </c>
      <c r="N25" s="121">
        <f t="shared" si="3"/>
        <v>100</v>
      </c>
      <c r="O25" s="91">
        <v>57</v>
      </c>
      <c r="P25" s="92"/>
      <c r="Q25" s="92"/>
      <c r="R25" s="93">
        <f t="shared" si="4"/>
        <v>57</v>
      </c>
      <c r="S25" s="73">
        <v>1</v>
      </c>
      <c r="T25" s="839"/>
      <c r="U25" s="852"/>
      <c r="V25" s="82" t="s">
        <v>870</v>
      </c>
      <c r="W25" s="73" t="s">
        <v>17</v>
      </c>
      <c r="X25" s="73" t="s">
        <v>11</v>
      </c>
      <c r="Y25" s="83">
        <v>57</v>
      </c>
      <c r="AD25" s="82"/>
      <c r="AG25" s="83"/>
      <c r="AL25" s="82"/>
      <c r="AO25" s="83"/>
      <c r="AP25" s="82"/>
      <c r="AS25" s="83"/>
      <c r="AW25" s="83"/>
      <c r="BA25" s="84"/>
    </row>
    <row r="26" spans="1:53" s="73" customFormat="1">
      <c r="A26" s="73">
        <v>1999</v>
      </c>
      <c r="B26" s="852"/>
      <c r="C26" s="917" t="s">
        <v>966</v>
      </c>
      <c r="D26" s="917"/>
      <c r="E26" s="101">
        <v>354</v>
      </c>
      <c r="G26" s="119">
        <v>17</v>
      </c>
      <c r="J26" s="126">
        <v>17</v>
      </c>
      <c r="K26" s="92">
        <f t="shared" si="0"/>
        <v>100</v>
      </c>
      <c r="L26" s="92">
        <f t="shared" si="1"/>
        <v>0</v>
      </c>
      <c r="M26" s="92">
        <f t="shared" si="2"/>
        <v>0</v>
      </c>
      <c r="N26" s="121">
        <f t="shared" si="3"/>
        <v>100</v>
      </c>
      <c r="O26" s="91">
        <v>57</v>
      </c>
      <c r="P26" s="92"/>
      <c r="Q26" s="92"/>
      <c r="R26" s="93">
        <f t="shared" si="4"/>
        <v>57</v>
      </c>
      <c r="S26" s="73">
        <v>1</v>
      </c>
      <c r="T26" s="839"/>
      <c r="U26" s="852"/>
      <c r="V26" s="82" t="s">
        <v>870</v>
      </c>
      <c r="W26" s="73" t="s">
        <v>17</v>
      </c>
      <c r="X26" s="73" t="s">
        <v>11</v>
      </c>
      <c r="Y26" s="83">
        <v>57</v>
      </c>
      <c r="AD26" s="82"/>
      <c r="AG26" s="83"/>
      <c r="AL26" s="82"/>
      <c r="AO26" s="83"/>
      <c r="AP26" s="82"/>
      <c r="AS26" s="83"/>
      <c r="AW26" s="83"/>
      <c r="BA26" s="84"/>
    </row>
    <row r="27" spans="1:53" s="73" customFormat="1">
      <c r="A27" s="73">
        <v>1999</v>
      </c>
      <c r="B27" s="860">
        <v>36515</v>
      </c>
      <c r="C27" s="917" t="s">
        <v>966</v>
      </c>
      <c r="D27" s="917"/>
      <c r="E27" s="101">
        <v>11</v>
      </c>
      <c r="F27" s="139">
        <v>0</v>
      </c>
      <c r="G27" s="119">
        <v>8</v>
      </c>
      <c r="H27" s="73">
        <v>2</v>
      </c>
      <c r="J27" s="126">
        <v>16</v>
      </c>
      <c r="K27" s="92">
        <f t="shared" si="0"/>
        <v>50</v>
      </c>
      <c r="L27" s="92">
        <f t="shared" si="1"/>
        <v>12.5</v>
      </c>
      <c r="M27" s="92">
        <f t="shared" si="2"/>
        <v>0</v>
      </c>
      <c r="N27" s="121">
        <f t="shared" si="3"/>
        <v>62.5</v>
      </c>
      <c r="O27" s="91">
        <v>57</v>
      </c>
      <c r="P27" s="92"/>
      <c r="Q27" s="92"/>
      <c r="R27" s="93">
        <f t="shared" si="4"/>
        <v>57</v>
      </c>
      <c r="S27" s="73">
        <v>1</v>
      </c>
      <c r="T27" s="839"/>
      <c r="U27" s="852"/>
      <c r="V27" s="82" t="s">
        <v>870</v>
      </c>
      <c r="W27" s="73" t="s">
        <v>17</v>
      </c>
      <c r="X27" s="73" t="s">
        <v>11</v>
      </c>
      <c r="Y27" s="83">
        <v>57</v>
      </c>
      <c r="AD27" s="82"/>
      <c r="AG27" s="83"/>
      <c r="AL27" s="82"/>
      <c r="AO27" s="83"/>
      <c r="AP27" s="82"/>
      <c r="AS27" s="83"/>
      <c r="AW27" s="83"/>
      <c r="BA27" s="84"/>
    </row>
    <row r="28" spans="1:53" s="73" customFormat="1">
      <c r="A28" s="73">
        <v>2000</v>
      </c>
      <c r="B28" s="852"/>
      <c r="C28" s="917" t="s">
        <v>966</v>
      </c>
      <c r="D28" s="917"/>
      <c r="E28" s="101">
        <v>0</v>
      </c>
      <c r="G28" s="119">
        <v>8</v>
      </c>
      <c r="H28" s="73">
        <v>2</v>
      </c>
      <c r="J28" s="126">
        <v>16</v>
      </c>
      <c r="K28" s="92">
        <f t="shared" si="0"/>
        <v>50</v>
      </c>
      <c r="L28" s="92">
        <f t="shared" si="1"/>
        <v>12.5</v>
      </c>
      <c r="M28" s="92">
        <f t="shared" si="2"/>
        <v>0</v>
      </c>
      <c r="N28" s="121">
        <f t="shared" si="3"/>
        <v>62.5</v>
      </c>
      <c r="O28" s="91">
        <v>57</v>
      </c>
      <c r="P28" s="92"/>
      <c r="Q28" s="92"/>
      <c r="R28" s="93">
        <f t="shared" si="4"/>
        <v>57</v>
      </c>
      <c r="S28" s="73">
        <v>1</v>
      </c>
      <c r="T28" s="839"/>
      <c r="U28" s="852"/>
      <c r="V28" s="82" t="s">
        <v>870</v>
      </c>
      <c r="W28" s="73" t="s">
        <v>17</v>
      </c>
      <c r="X28" s="73" t="s">
        <v>11</v>
      </c>
      <c r="Y28" s="83">
        <v>57</v>
      </c>
      <c r="AD28" s="82"/>
      <c r="AG28" s="83"/>
      <c r="AL28" s="82"/>
      <c r="AO28" s="83"/>
      <c r="AP28" s="82"/>
      <c r="AS28" s="83"/>
      <c r="AW28" s="83"/>
      <c r="BA28" s="84"/>
    </row>
    <row r="29" spans="1:53" s="73" customFormat="1">
      <c r="A29" s="73">
        <v>2000</v>
      </c>
      <c r="B29" s="852"/>
      <c r="C29" s="917" t="s">
        <v>966</v>
      </c>
      <c r="D29" s="917"/>
      <c r="E29" s="101">
        <v>366</v>
      </c>
      <c r="G29" s="119">
        <v>8</v>
      </c>
      <c r="H29" s="73">
        <v>2</v>
      </c>
      <c r="J29" s="126">
        <v>16</v>
      </c>
      <c r="K29" s="92">
        <f t="shared" si="0"/>
        <v>50</v>
      </c>
      <c r="L29" s="92">
        <f t="shared" si="1"/>
        <v>12.5</v>
      </c>
      <c r="M29" s="92">
        <f t="shared" si="2"/>
        <v>0</v>
      </c>
      <c r="N29" s="121">
        <f t="shared" si="3"/>
        <v>62.5</v>
      </c>
      <c r="O29" s="91">
        <v>57</v>
      </c>
      <c r="P29" s="92"/>
      <c r="Q29" s="92"/>
      <c r="R29" s="93">
        <f t="shared" si="4"/>
        <v>57</v>
      </c>
      <c r="S29" s="73">
        <v>1</v>
      </c>
      <c r="T29" s="839"/>
      <c r="U29" s="852"/>
      <c r="V29" s="82" t="s">
        <v>870</v>
      </c>
      <c r="W29" s="73" t="s">
        <v>17</v>
      </c>
      <c r="X29" s="73" t="s">
        <v>11</v>
      </c>
      <c r="Y29" s="83">
        <v>57</v>
      </c>
      <c r="AD29" s="82"/>
      <c r="AG29" s="83"/>
      <c r="AL29" s="82"/>
      <c r="AO29" s="83"/>
      <c r="AP29" s="82"/>
      <c r="AS29" s="83"/>
      <c r="AW29" s="83"/>
      <c r="BA29" s="84"/>
    </row>
    <row r="30" spans="1:53" s="73" customFormat="1">
      <c r="A30" s="73">
        <v>2001</v>
      </c>
      <c r="B30" s="852"/>
      <c r="C30" s="917" t="s">
        <v>966</v>
      </c>
      <c r="D30" s="917"/>
      <c r="E30" s="101">
        <v>204</v>
      </c>
      <c r="G30" s="119">
        <v>8</v>
      </c>
      <c r="H30" s="73">
        <v>2</v>
      </c>
      <c r="J30" s="126">
        <v>16</v>
      </c>
      <c r="K30" s="92">
        <f t="shared" si="0"/>
        <v>50</v>
      </c>
      <c r="L30" s="92">
        <f t="shared" si="1"/>
        <v>12.5</v>
      </c>
      <c r="M30" s="92">
        <f t="shared" si="2"/>
        <v>0</v>
      </c>
      <c r="N30" s="121">
        <f t="shared" si="3"/>
        <v>62.5</v>
      </c>
      <c r="O30" s="91">
        <v>57</v>
      </c>
      <c r="P30" s="92"/>
      <c r="Q30" s="92"/>
      <c r="R30" s="93">
        <f t="shared" si="4"/>
        <v>57</v>
      </c>
      <c r="S30" s="73">
        <v>1</v>
      </c>
      <c r="T30" s="839"/>
      <c r="U30" s="852"/>
      <c r="V30" s="82" t="s">
        <v>870</v>
      </c>
      <c r="W30" s="73" t="s">
        <v>17</v>
      </c>
      <c r="X30" s="73" t="s">
        <v>11</v>
      </c>
      <c r="Y30" s="83">
        <v>57</v>
      </c>
      <c r="AD30" s="82"/>
      <c r="AG30" s="83"/>
      <c r="AL30" s="82"/>
      <c r="AO30" s="83"/>
      <c r="AP30" s="82"/>
      <c r="AS30" s="83"/>
      <c r="AW30" s="83"/>
      <c r="BA30" s="84"/>
    </row>
    <row r="31" spans="1:53" s="292" customFormat="1">
      <c r="A31" s="292">
        <v>2001</v>
      </c>
      <c r="B31" s="850">
        <v>37096</v>
      </c>
      <c r="C31" s="916" t="s">
        <v>975</v>
      </c>
      <c r="D31" s="916"/>
      <c r="E31" s="338">
        <v>161</v>
      </c>
      <c r="F31" s="292">
        <v>1</v>
      </c>
      <c r="G31" s="366">
        <v>15</v>
      </c>
      <c r="I31" s="292">
        <v>2</v>
      </c>
      <c r="J31" s="377">
        <v>17</v>
      </c>
      <c r="K31" s="336">
        <f t="shared" si="0"/>
        <v>88.235294117647058</v>
      </c>
      <c r="L31" s="336">
        <f t="shared" si="1"/>
        <v>0</v>
      </c>
      <c r="M31" s="336">
        <f t="shared" si="2"/>
        <v>11.76470588235294</v>
      </c>
      <c r="N31" s="368">
        <f>SUM(K31:M31)</f>
        <v>100</v>
      </c>
      <c r="O31" s="335">
        <v>58.75</v>
      </c>
      <c r="P31" s="336"/>
      <c r="Q31" s="336">
        <v>20</v>
      </c>
      <c r="R31" s="337">
        <f t="shared" si="4"/>
        <v>78.75</v>
      </c>
      <c r="S31" s="292">
        <v>3</v>
      </c>
      <c r="T31" s="838">
        <v>37059</v>
      </c>
      <c r="U31" s="836">
        <v>37096</v>
      </c>
      <c r="V31" s="299" t="s">
        <v>976</v>
      </c>
      <c r="W31" s="292" t="s">
        <v>977</v>
      </c>
      <c r="X31" s="292" t="s">
        <v>11</v>
      </c>
      <c r="Y31" s="300">
        <v>50</v>
      </c>
      <c r="Z31" s="292" t="s">
        <v>978</v>
      </c>
      <c r="AA31" s="292" t="s">
        <v>90</v>
      </c>
      <c r="AB31" s="292" t="s">
        <v>11</v>
      </c>
      <c r="AC31" s="292">
        <v>8.8000000000000007</v>
      </c>
      <c r="AD31" s="299" t="s">
        <v>980</v>
      </c>
      <c r="AE31" s="292" t="s">
        <v>116</v>
      </c>
      <c r="AF31" s="292" t="s">
        <v>12</v>
      </c>
      <c r="AG31" s="300">
        <v>20</v>
      </c>
      <c r="AL31" s="299"/>
      <c r="AO31" s="300"/>
      <c r="AP31" s="299"/>
      <c r="AS31" s="300"/>
      <c r="AW31" s="300"/>
      <c r="BA31" s="301"/>
    </row>
    <row r="32" spans="1:53" s="292" customFormat="1">
      <c r="A32" s="292">
        <v>2002</v>
      </c>
      <c r="B32" s="850"/>
      <c r="C32" s="916" t="s">
        <v>975</v>
      </c>
      <c r="D32" s="916"/>
      <c r="E32" s="380">
        <v>148</v>
      </c>
      <c r="G32" s="366">
        <v>15</v>
      </c>
      <c r="I32" s="292">
        <v>2</v>
      </c>
      <c r="J32" s="377">
        <v>17</v>
      </c>
      <c r="K32" s="336">
        <f t="shared" si="0"/>
        <v>88.235294117647058</v>
      </c>
      <c r="L32" s="336">
        <f t="shared" si="1"/>
        <v>0</v>
      </c>
      <c r="M32" s="336">
        <f t="shared" si="2"/>
        <v>11.76470588235294</v>
      </c>
      <c r="N32" s="368">
        <f t="shared" ref="N32:N60" si="5">SUM(K32:M32)</f>
        <v>100</v>
      </c>
      <c r="O32" s="335">
        <v>58.75</v>
      </c>
      <c r="P32" s="336"/>
      <c r="Q32" s="336">
        <v>20</v>
      </c>
      <c r="R32" s="337">
        <f t="shared" si="4"/>
        <v>78.75</v>
      </c>
      <c r="S32" s="292">
        <v>3</v>
      </c>
      <c r="T32" s="838"/>
      <c r="U32" s="836"/>
      <c r="V32" s="299" t="s">
        <v>976</v>
      </c>
      <c r="W32" s="292" t="s">
        <v>977</v>
      </c>
      <c r="X32" s="292" t="s">
        <v>11</v>
      </c>
      <c r="Y32" s="300">
        <v>50</v>
      </c>
      <c r="Z32" s="292" t="s">
        <v>978</v>
      </c>
      <c r="AA32" s="292" t="s">
        <v>90</v>
      </c>
      <c r="AB32" s="292" t="s">
        <v>11</v>
      </c>
      <c r="AC32" s="292">
        <v>8.8000000000000007</v>
      </c>
      <c r="AD32" s="299" t="s">
        <v>980</v>
      </c>
      <c r="AE32" s="292" t="s">
        <v>116</v>
      </c>
      <c r="AF32" s="292" t="s">
        <v>12</v>
      </c>
      <c r="AG32" s="300">
        <v>20</v>
      </c>
      <c r="AL32" s="299"/>
      <c r="AO32" s="300"/>
      <c r="AP32" s="299"/>
      <c r="AS32" s="300"/>
      <c r="AW32" s="300"/>
      <c r="BA32" s="301"/>
    </row>
    <row r="33" spans="1:53" s="292" customFormat="1">
      <c r="A33" s="292">
        <v>2002</v>
      </c>
      <c r="B33" s="862">
        <v>37405</v>
      </c>
      <c r="C33" s="916" t="s">
        <v>975</v>
      </c>
      <c r="D33" s="916"/>
      <c r="E33" s="380">
        <f>365-E32</f>
        <v>217</v>
      </c>
      <c r="F33" s="381">
        <v>0</v>
      </c>
      <c r="G33" s="366">
        <v>16</v>
      </c>
      <c r="I33" s="292">
        <v>2</v>
      </c>
      <c r="J33" s="377">
        <v>18</v>
      </c>
      <c r="K33" s="336">
        <f t="shared" si="0"/>
        <v>88.888888888888886</v>
      </c>
      <c r="L33" s="336">
        <f t="shared" si="1"/>
        <v>0</v>
      </c>
      <c r="M33" s="336">
        <f t="shared" si="2"/>
        <v>11.111111111111111</v>
      </c>
      <c r="N33" s="368">
        <f t="shared" si="5"/>
        <v>100</v>
      </c>
      <c r="O33" s="335">
        <v>58.75</v>
      </c>
      <c r="P33" s="336"/>
      <c r="Q33" s="336">
        <v>20</v>
      </c>
      <c r="R33" s="337">
        <f t="shared" si="4"/>
        <v>78.75</v>
      </c>
      <c r="S33" s="292">
        <v>3</v>
      </c>
      <c r="T33" s="838"/>
      <c r="U33" s="836"/>
      <c r="V33" s="299" t="s">
        <v>976</v>
      </c>
      <c r="W33" s="292" t="s">
        <v>977</v>
      </c>
      <c r="X33" s="292" t="s">
        <v>11</v>
      </c>
      <c r="Y33" s="300">
        <v>50</v>
      </c>
      <c r="Z33" s="292" t="s">
        <v>978</v>
      </c>
      <c r="AA33" s="292" t="s">
        <v>90</v>
      </c>
      <c r="AB33" s="292" t="s">
        <v>11</v>
      </c>
      <c r="AC33" s="292">
        <v>8.8000000000000007</v>
      </c>
      <c r="AD33" s="299" t="s">
        <v>980</v>
      </c>
      <c r="AE33" s="292" t="s">
        <v>116</v>
      </c>
      <c r="AF33" s="292" t="s">
        <v>12</v>
      </c>
      <c r="AG33" s="300">
        <v>20</v>
      </c>
      <c r="AL33" s="299"/>
      <c r="AO33" s="300"/>
      <c r="AP33" s="299"/>
      <c r="AS33" s="300"/>
      <c r="AW33" s="300"/>
      <c r="BA33" s="301"/>
    </row>
    <row r="34" spans="1:53" s="292" customFormat="1">
      <c r="A34" s="292">
        <v>2003</v>
      </c>
      <c r="B34" s="863"/>
      <c r="C34" s="916" t="s">
        <v>975</v>
      </c>
      <c r="D34" s="916"/>
      <c r="E34" s="380">
        <v>0</v>
      </c>
      <c r="G34" s="366">
        <v>16</v>
      </c>
      <c r="I34" s="292">
        <v>2</v>
      </c>
      <c r="J34" s="377">
        <v>18</v>
      </c>
      <c r="K34" s="336">
        <f t="shared" si="0"/>
        <v>88.888888888888886</v>
      </c>
      <c r="L34" s="336">
        <f t="shared" si="1"/>
        <v>0</v>
      </c>
      <c r="M34" s="336">
        <f t="shared" si="2"/>
        <v>11.111111111111111</v>
      </c>
      <c r="N34" s="368">
        <f t="shared" si="5"/>
        <v>100</v>
      </c>
      <c r="O34" s="335">
        <v>58.75</v>
      </c>
      <c r="P34" s="336"/>
      <c r="Q34" s="336">
        <v>20</v>
      </c>
      <c r="R34" s="337">
        <f t="shared" si="4"/>
        <v>78.75</v>
      </c>
      <c r="S34" s="292">
        <v>3</v>
      </c>
      <c r="T34" s="838"/>
      <c r="U34" s="836"/>
      <c r="V34" s="299" t="s">
        <v>976</v>
      </c>
      <c r="W34" s="292" t="s">
        <v>977</v>
      </c>
      <c r="X34" s="292" t="s">
        <v>11</v>
      </c>
      <c r="Y34" s="300">
        <v>50</v>
      </c>
      <c r="Z34" s="292" t="s">
        <v>978</v>
      </c>
      <c r="AA34" s="292" t="s">
        <v>90</v>
      </c>
      <c r="AB34" s="292" t="s">
        <v>11</v>
      </c>
      <c r="AC34" s="292">
        <v>8.8000000000000007</v>
      </c>
      <c r="AD34" s="299" t="s">
        <v>980</v>
      </c>
      <c r="AE34" s="292" t="s">
        <v>116</v>
      </c>
      <c r="AF34" s="292" t="s">
        <v>12</v>
      </c>
      <c r="AG34" s="300">
        <v>20</v>
      </c>
      <c r="AL34" s="299"/>
      <c r="AO34" s="300"/>
      <c r="AP34" s="299"/>
      <c r="AS34" s="300"/>
      <c r="AW34" s="300"/>
      <c r="BA34" s="301"/>
    </row>
    <row r="35" spans="1:53" s="292" customFormat="1">
      <c r="A35" s="292">
        <v>2003</v>
      </c>
      <c r="B35" s="863"/>
      <c r="C35" s="916" t="s">
        <v>975</v>
      </c>
      <c r="D35" s="916"/>
      <c r="E35" s="380">
        <v>365</v>
      </c>
      <c r="G35" s="366">
        <v>16</v>
      </c>
      <c r="I35" s="292">
        <v>2</v>
      </c>
      <c r="J35" s="377">
        <v>18</v>
      </c>
      <c r="K35" s="336">
        <f t="shared" si="0"/>
        <v>88.888888888888886</v>
      </c>
      <c r="L35" s="336">
        <f t="shared" si="1"/>
        <v>0</v>
      </c>
      <c r="M35" s="336">
        <f t="shared" si="2"/>
        <v>11.111111111111111</v>
      </c>
      <c r="N35" s="368">
        <f t="shared" si="5"/>
        <v>100</v>
      </c>
      <c r="O35" s="335">
        <v>58.75</v>
      </c>
      <c r="P35" s="336"/>
      <c r="Q35" s="336">
        <v>20</v>
      </c>
      <c r="R35" s="337">
        <f t="shared" si="4"/>
        <v>78.75</v>
      </c>
      <c r="S35" s="292">
        <v>3</v>
      </c>
      <c r="T35" s="838"/>
      <c r="U35" s="836"/>
      <c r="V35" s="299" t="s">
        <v>976</v>
      </c>
      <c r="W35" s="292" t="s">
        <v>977</v>
      </c>
      <c r="X35" s="292" t="s">
        <v>11</v>
      </c>
      <c r="Y35" s="300">
        <v>50</v>
      </c>
      <c r="Z35" s="292" t="s">
        <v>978</v>
      </c>
      <c r="AA35" s="292" t="s">
        <v>90</v>
      </c>
      <c r="AB35" s="292" t="s">
        <v>11</v>
      </c>
      <c r="AC35" s="292">
        <v>8.8000000000000007</v>
      </c>
      <c r="AD35" s="299" t="s">
        <v>980</v>
      </c>
      <c r="AE35" s="292" t="s">
        <v>116</v>
      </c>
      <c r="AF35" s="292" t="s">
        <v>12</v>
      </c>
      <c r="AG35" s="300">
        <v>20</v>
      </c>
      <c r="AL35" s="299"/>
      <c r="AO35" s="300"/>
      <c r="AP35" s="299"/>
      <c r="AS35" s="300"/>
      <c r="AW35" s="300"/>
      <c r="BA35" s="301"/>
    </row>
    <row r="36" spans="1:53" s="292" customFormat="1">
      <c r="A36" s="292">
        <v>2004</v>
      </c>
      <c r="B36" s="863"/>
      <c r="C36" s="916" t="s">
        <v>975</v>
      </c>
      <c r="D36" s="916"/>
      <c r="E36" s="380">
        <v>0</v>
      </c>
      <c r="G36" s="366">
        <v>16</v>
      </c>
      <c r="I36" s="292">
        <v>2</v>
      </c>
      <c r="J36" s="377">
        <v>18</v>
      </c>
      <c r="K36" s="336">
        <f t="shared" si="0"/>
        <v>88.888888888888886</v>
      </c>
      <c r="L36" s="336">
        <f t="shared" si="1"/>
        <v>0</v>
      </c>
      <c r="M36" s="336">
        <f t="shared" si="2"/>
        <v>11.111111111111111</v>
      </c>
      <c r="N36" s="368">
        <f t="shared" si="5"/>
        <v>100</v>
      </c>
      <c r="O36" s="335">
        <v>58.75</v>
      </c>
      <c r="P36" s="336"/>
      <c r="Q36" s="336">
        <v>20</v>
      </c>
      <c r="R36" s="337">
        <f t="shared" si="4"/>
        <v>78.75</v>
      </c>
      <c r="S36" s="292">
        <v>3</v>
      </c>
      <c r="T36" s="838"/>
      <c r="U36" s="836"/>
      <c r="V36" s="299" t="s">
        <v>976</v>
      </c>
      <c r="W36" s="292" t="s">
        <v>977</v>
      </c>
      <c r="X36" s="292" t="s">
        <v>11</v>
      </c>
      <c r="Y36" s="300">
        <v>50</v>
      </c>
      <c r="Z36" s="292" t="s">
        <v>978</v>
      </c>
      <c r="AA36" s="292" t="s">
        <v>90</v>
      </c>
      <c r="AB36" s="292" t="s">
        <v>11</v>
      </c>
      <c r="AC36" s="292">
        <v>8.8000000000000007</v>
      </c>
      <c r="AD36" s="299" t="s">
        <v>980</v>
      </c>
      <c r="AE36" s="292" t="s">
        <v>116</v>
      </c>
      <c r="AF36" s="292" t="s">
        <v>12</v>
      </c>
      <c r="AG36" s="300">
        <v>20</v>
      </c>
      <c r="AL36" s="299"/>
      <c r="AO36" s="300"/>
      <c r="AP36" s="299"/>
      <c r="AS36" s="300"/>
      <c r="AW36" s="300"/>
      <c r="BA36" s="301"/>
    </row>
    <row r="37" spans="1:53" s="292" customFormat="1">
      <c r="A37" s="292">
        <v>2004</v>
      </c>
      <c r="B37" s="863"/>
      <c r="C37" s="916" t="s">
        <v>975</v>
      </c>
      <c r="D37" s="916"/>
      <c r="E37" s="380">
        <v>366</v>
      </c>
      <c r="G37" s="366">
        <v>16</v>
      </c>
      <c r="I37" s="292">
        <v>2</v>
      </c>
      <c r="J37" s="377">
        <v>18</v>
      </c>
      <c r="K37" s="336">
        <f t="shared" si="0"/>
        <v>88.888888888888886</v>
      </c>
      <c r="L37" s="336">
        <f t="shared" si="1"/>
        <v>0</v>
      </c>
      <c r="M37" s="336">
        <f t="shared" si="2"/>
        <v>11.111111111111111</v>
      </c>
      <c r="N37" s="368">
        <f t="shared" si="5"/>
        <v>100</v>
      </c>
      <c r="O37" s="335">
        <v>58.75</v>
      </c>
      <c r="P37" s="336"/>
      <c r="Q37" s="336">
        <v>20</v>
      </c>
      <c r="R37" s="337">
        <f t="shared" si="4"/>
        <v>78.75</v>
      </c>
      <c r="S37" s="292">
        <v>3</v>
      </c>
      <c r="T37" s="838"/>
      <c r="U37" s="836"/>
      <c r="V37" s="299" t="s">
        <v>976</v>
      </c>
      <c r="W37" s="292" t="s">
        <v>977</v>
      </c>
      <c r="X37" s="292" t="s">
        <v>11</v>
      </c>
      <c r="Y37" s="300">
        <v>50</v>
      </c>
      <c r="Z37" s="292" t="s">
        <v>978</v>
      </c>
      <c r="AA37" s="292" t="s">
        <v>90</v>
      </c>
      <c r="AB37" s="292" t="s">
        <v>11</v>
      </c>
      <c r="AC37" s="292">
        <v>8.8000000000000007</v>
      </c>
      <c r="AD37" s="299" t="s">
        <v>980</v>
      </c>
      <c r="AE37" s="292" t="s">
        <v>116</v>
      </c>
      <c r="AF37" s="292" t="s">
        <v>12</v>
      </c>
      <c r="AG37" s="300">
        <v>20</v>
      </c>
      <c r="AL37" s="299"/>
      <c r="AO37" s="300"/>
      <c r="AP37" s="299"/>
      <c r="AS37" s="300"/>
      <c r="AW37" s="300"/>
      <c r="BA37" s="301"/>
    </row>
    <row r="38" spans="1:53" s="292" customFormat="1">
      <c r="A38" s="292">
        <v>2005</v>
      </c>
      <c r="B38" s="863"/>
      <c r="C38" s="916" t="s">
        <v>975</v>
      </c>
      <c r="D38" s="916"/>
      <c r="E38" s="382">
        <v>51</v>
      </c>
      <c r="G38" s="366">
        <v>16</v>
      </c>
      <c r="I38" s="292">
        <v>2</v>
      </c>
      <c r="J38" s="377">
        <v>18</v>
      </c>
      <c r="K38" s="336">
        <f t="shared" si="0"/>
        <v>88.888888888888886</v>
      </c>
      <c r="L38" s="336">
        <f t="shared" si="1"/>
        <v>0</v>
      </c>
      <c r="M38" s="336">
        <f t="shared" si="2"/>
        <v>11.111111111111111</v>
      </c>
      <c r="N38" s="368">
        <f t="shared" si="5"/>
        <v>100</v>
      </c>
      <c r="O38" s="335">
        <v>58.75</v>
      </c>
      <c r="P38" s="336"/>
      <c r="Q38" s="336">
        <v>20</v>
      </c>
      <c r="R38" s="337">
        <f t="shared" si="4"/>
        <v>78.75</v>
      </c>
      <c r="S38" s="292">
        <v>3</v>
      </c>
      <c r="T38" s="838"/>
      <c r="U38" s="836"/>
      <c r="V38" s="299" t="s">
        <v>976</v>
      </c>
      <c r="W38" s="292" t="s">
        <v>977</v>
      </c>
      <c r="X38" s="292" t="s">
        <v>11</v>
      </c>
      <c r="Y38" s="300">
        <v>50</v>
      </c>
      <c r="Z38" s="292" t="s">
        <v>978</v>
      </c>
      <c r="AA38" s="292" t="s">
        <v>90</v>
      </c>
      <c r="AB38" s="292" t="s">
        <v>11</v>
      </c>
      <c r="AC38" s="292">
        <v>8.8000000000000007</v>
      </c>
      <c r="AD38" s="299" t="s">
        <v>980</v>
      </c>
      <c r="AE38" s="292" t="s">
        <v>116</v>
      </c>
      <c r="AF38" s="292" t="s">
        <v>12</v>
      </c>
      <c r="AG38" s="300">
        <v>20</v>
      </c>
      <c r="AL38" s="299"/>
      <c r="AO38" s="300"/>
      <c r="AP38" s="299"/>
      <c r="AS38" s="300"/>
      <c r="AW38" s="300"/>
      <c r="BA38" s="301"/>
    </row>
    <row r="39" spans="1:53" s="292" customFormat="1">
      <c r="A39" s="292">
        <v>2005</v>
      </c>
      <c r="B39" s="862">
        <v>38404</v>
      </c>
      <c r="C39" s="916" t="s">
        <v>975</v>
      </c>
      <c r="D39" s="916"/>
      <c r="E39" s="382">
        <f>365-E40-E38</f>
        <v>176</v>
      </c>
      <c r="F39" s="381">
        <v>0</v>
      </c>
      <c r="G39" s="366">
        <v>17</v>
      </c>
      <c r="I39" s="292">
        <v>2</v>
      </c>
      <c r="J39" s="377">
        <v>19</v>
      </c>
      <c r="K39" s="336">
        <f>G39/J39*100</f>
        <v>89.473684210526315</v>
      </c>
      <c r="L39" s="336">
        <f>H39/J39*100</f>
        <v>0</v>
      </c>
      <c r="M39" s="336">
        <f>I39/J39*100</f>
        <v>10.526315789473683</v>
      </c>
      <c r="N39" s="368">
        <f t="shared" si="5"/>
        <v>100</v>
      </c>
      <c r="O39" s="335">
        <v>58.75</v>
      </c>
      <c r="P39" s="336"/>
      <c r="Q39" s="336">
        <v>20</v>
      </c>
      <c r="R39" s="337">
        <f t="shared" si="4"/>
        <v>78.75</v>
      </c>
      <c r="S39" s="292">
        <v>3</v>
      </c>
      <c r="T39" s="838"/>
      <c r="U39" s="836"/>
      <c r="V39" s="299" t="s">
        <v>976</v>
      </c>
      <c r="W39" s="292" t="s">
        <v>977</v>
      </c>
      <c r="X39" s="292" t="s">
        <v>11</v>
      </c>
      <c r="Y39" s="300">
        <v>50</v>
      </c>
      <c r="Z39" s="292" t="s">
        <v>978</v>
      </c>
      <c r="AA39" s="292" t="s">
        <v>90</v>
      </c>
      <c r="AB39" s="292" t="s">
        <v>11</v>
      </c>
      <c r="AC39" s="292">
        <v>8.8000000000000007</v>
      </c>
      <c r="AD39" s="299" t="s">
        <v>980</v>
      </c>
      <c r="AE39" s="292" t="s">
        <v>116</v>
      </c>
      <c r="AF39" s="292" t="s">
        <v>12</v>
      </c>
      <c r="AG39" s="300">
        <v>20</v>
      </c>
      <c r="AL39" s="299"/>
      <c r="AO39" s="300"/>
      <c r="AP39" s="299"/>
      <c r="AS39" s="300"/>
      <c r="AW39" s="300"/>
      <c r="BA39" s="301"/>
    </row>
    <row r="40" spans="1:53" s="73" customFormat="1">
      <c r="A40" s="73">
        <v>2005</v>
      </c>
      <c r="B40" s="830">
        <v>38580</v>
      </c>
      <c r="C40" s="917" t="s">
        <v>979</v>
      </c>
      <c r="D40" s="917"/>
      <c r="E40" s="142">
        <v>138</v>
      </c>
      <c r="F40" s="73">
        <v>1</v>
      </c>
      <c r="G40" s="119">
        <v>8</v>
      </c>
      <c r="I40" s="73">
        <v>9</v>
      </c>
      <c r="J40" s="126">
        <v>18</v>
      </c>
      <c r="K40" s="92">
        <f t="shared" si="0"/>
        <v>44.444444444444443</v>
      </c>
      <c r="L40" s="92">
        <f t="shared" si="1"/>
        <v>0</v>
      </c>
      <c r="M40" s="92">
        <f t="shared" si="2"/>
        <v>50</v>
      </c>
      <c r="N40" s="121">
        <f t="shared" si="5"/>
        <v>94.444444444444443</v>
      </c>
      <c r="O40" s="91">
        <v>35.869999999999997</v>
      </c>
      <c r="P40" s="92"/>
      <c r="Q40" s="92">
        <v>33.979999999999997</v>
      </c>
      <c r="R40" s="93">
        <f t="shared" si="4"/>
        <v>69.849999999999994</v>
      </c>
      <c r="S40" s="73">
        <v>3</v>
      </c>
      <c r="T40" s="839">
        <v>38528</v>
      </c>
      <c r="U40" s="852">
        <v>38580</v>
      </c>
      <c r="V40" s="82" t="s">
        <v>981</v>
      </c>
      <c r="W40" s="73" t="s">
        <v>116</v>
      </c>
      <c r="X40" s="73" t="s">
        <v>12</v>
      </c>
      <c r="Y40" s="83">
        <v>34</v>
      </c>
      <c r="Z40" s="73" t="s">
        <v>976</v>
      </c>
      <c r="AA40" s="73" t="s">
        <v>977</v>
      </c>
      <c r="AB40" s="73" t="s">
        <v>11</v>
      </c>
      <c r="AC40" s="73">
        <v>21.7</v>
      </c>
      <c r="AD40" s="82" t="s">
        <v>978</v>
      </c>
      <c r="AE40" s="73" t="s">
        <v>90</v>
      </c>
      <c r="AF40" s="73" t="s">
        <v>11</v>
      </c>
      <c r="AG40" s="83">
        <v>14.2</v>
      </c>
      <c r="AL40" s="82"/>
      <c r="AO40" s="83"/>
      <c r="AP40" s="82"/>
      <c r="AS40" s="83"/>
      <c r="AW40" s="83"/>
      <c r="BA40" s="84"/>
    </row>
    <row r="41" spans="1:53" s="73" customFormat="1">
      <c r="A41" s="73">
        <v>2006</v>
      </c>
      <c r="B41" s="830"/>
      <c r="C41" s="917" t="s">
        <v>979</v>
      </c>
      <c r="D41" s="917"/>
      <c r="E41" s="142">
        <v>0</v>
      </c>
      <c r="G41" s="119">
        <v>8</v>
      </c>
      <c r="I41" s="73">
        <v>9</v>
      </c>
      <c r="J41" s="126">
        <v>18</v>
      </c>
      <c r="K41" s="92">
        <f t="shared" si="0"/>
        <v>44.444444444444443</v>
      </c>
      <c r="L41" s="92">
        <f t="shared" si="1"/>
        <v>0</v>
      </c>
      <c r="M41" s="92">
        <f t="shared" si="2"/>
        <v>50</v>
      </c>
      <c r="N41" s="121">
        <f t="shared" si="5"/>
        <v>94.444444444444443</v>
      </c>
      <c r="O41" s="91">
        <v>35.869999999999997</v>
      </c>
      <c r="P41" s="92"/>
      <c r="Q41" s="92">
        <v>33.979999999999997</v>
      </c>
      <c r="R41" s="93">
        <f t="shared" si="4"/>
        <v>69.849999999999994</v>
      </c>
      <c r="S41" s="73">
        <v>3</v>
      </c>
      <c r="T41" s="839"/>
      <c r="U41" s="852"/>
      <c r="V41" s="82" t="s">
        <v>981</v>
      </c>
      <c r="W41" s="73" t="s">
        <v>116</v>
      </c>
      <c r="X41" s="73" t="s">
        <v>12</v>
      </c>
      <c r="Y41" s="83">
        <v>34</v>
      </c>
      <c r="Z41" s="73" t="s">
        <v>976</v>
      </c>
      <c r="AA41" s="73" t="s">
        <v>977</v>
      </c>
      <c r="AB41" s="73" t="s">
        <v>11</v>
      </c>
      <c r="AC41" s="73">
        <v>21.7</v>
      </c>
      <c r="AD41" s="82" t="s">
        <v>978</v>
      </c>
      <c r="AE41" s="73" t="s">
        <v>90</v>
      </c>
      <c r="AF41" s="73" t="s">
        <v>11</v>
      </c>
      <c r="AG41" s="83">
        <v>14.2</v>
      </c>
      <c r="AL41" s="82"/>
      <c r="AO41" s="83"/>
      <c r="AP41" s="82"/>
      <c r="AS41" s="83"/>
      <c r="AW41" s="83"/>
      <c r="BA41" s="84"/>
    </row>
    <row r="42" spans="1:53" s="73" customFormat="1">
      <c r="A42" s="73">
        <v>2006</v>
      </c>
      <c r="B42" s="830"/>
      <c r="C42" s="917" t="s">
        <v>979</v>
      </c>
      <c r="D42" s="917"/>
      <c r="E42" s="142">
        <v>365</v>
      </c>
      <c r="G42" s="119">
        <v>8</v>
      </c>
      <c r="I42" s="73">
        <v>9</v>
      </c>
      <c r="J42" s="126">
        <v>18</v>
      </c>
      <c r="K42" s="92">
        <f t="shared" si="0"/>
        <v>44.444444444444443</v>
      </c>
      <c r="L42" s="92">
        <f t="shared" si="1"/>
        <v>0</v>
      </c>
      <c r="M42" s="92">
        <f t="shared" si="2"/>
        <v>50</v>
      </c>
      <c r="N42" s="121">
        <f t="shared" si="5"/>
        <v>94.444444444444443</v>
      </c>
      <c r="O42" s="91">
        <v>35.869999999999997</v>
      </c>
      <c r="P42" s="92"/>
      <c r="Q42" s="92">
        <v>33.979999999999997</v>
      </c>
      <c r="R42" s="93">
        <f t="shared" si="4"/>
        <v>69.849999999999994</v>
      </c>
      <c r="S42" s="73">
        <v>3</v>
      </c>
      <c r="T42" s="839"/>
      <c r="U42" s="852"/>
      <c r="V42" s="82" t="s">
        <v>981</v>
      </c>
      <c r="W42" s="73" t="s">
        <v>116</v>
      </c>
      <c r="X42" s="73" t="s">
        <v>12</v>
      </c>
      <c r="Y42" s="83">
        <v>34</v>
      </c>
      <c r="Z42" s="73" t="s">
        <v>976</v>
      </c>
      <c r="AA42" s="73" t="s">
        <v>977</v>
      </c>
      <c r="AB42" s="73" t="s">
        <v>11</v>
      </c>
      <c r="AC42" s="73">
        <v>21.7</v>
      </c>
      <c r="AD42" s="82" t="s">
        <v>978</v>
      </c>
      <c r="AE42" s="73" t="s">
        <v>90</v>
      </c>
      <c r="AF42" s="73" t="s">
        <v>11</v>
      </c>
      <c r="AG42" s="83">
        <v>14.2</v>
      </c>
      <c r="AL42" s="82"/>
      <c r="AO42" s="83"/>
      <c r="AP42" s="82"/>
      <c r="AS42" s="83"/>
      <c r="AW42" s="83"/>
      <c r="BA42" s="84"/>
    </row>
    <row r="43" spans="1:53" s="73" customFormat="1">
      <c r="A43" s="73">
        <v>2007</v>
      </c>
      <c r="B43" s="830"/>
      <c r="C43" s="917" t="s">
        <v>979</v>
      </c>
      <c r="D43" s="917"/>
      <c r="E43" s="142">
        <v>0</v>
      </c>
      <c r="G43" s="119">
        <v>8</v>
      </c>
      <c r="I43" s="73">
        <v>9</v>
      </c>
      <c r="J43" s="126">
        <v>18</v>
      </c>
      <c r="K43" s="92">
        <f t="shared" si="0"/>
        <v>44.444444444444443</v>
      </c>
      <c r="L43" s="92">
        <f t="shared" si="1"/>
        <v>0</v>
      </c>
      <c r="M43" s="92">
        <f t="shared" si="2"/>
        <v>50</v>
      </c>
      <c r="N43" s="121">
        <f t="shared" si="5"/>
        <v>94.444444444444443</v>
      </c>
      <c r="O43" s="91">
        <v>35.869999999999997</v>
      </c>
      <c r="P43" s="92"/>
      <c r="Q43" s="92">
        <v>33.979999999999997</v>
      </c>
      <c r="R43" s="93">
        <f t="shared" si="4"/>
        <v>69.849999999999994</v>
      </c>
      <c r="S43" s="73">
        <v>3</v>
      </c>
      <c r="T43" s="839"/>
      <c r="U43" s="852"/>
      <c r="V43" s="82" t="s">
        <v>981</v>
      </c>
      <c r="W43" s="73" t="s">
        <v>116</v>
      </c>
      <c r="X43" s="73" t="s">
        <v>12</v>
      </c>
      <c r="Y43" s="83">
        <v>34</v>
      </c>
      <c r="Z43" s="73" t="s">
        <v>976</v>
      </c>
      <c r="AA43" s="73" t="s">
        <v>977</v>
      </c>
      <c r="AB43" s="73" t="s">
        <v>11</v>
      </c>
      <c r="AC43" s="73">
        <v>21.7</v>
      </c>
      <c r="AD43" s="82" t="s">
        <v>978</v>
      </c>
      <c r="AE43" s="73" t="s">
        <v>90</v>
      </c>
      <c r="AF43" s="73" t="s">
        <v>11</v>
      </c>
      <c r="AG43" s="83">
        <v>14.2</v>
      </c>
      <c r="AL43" s="82"/>
      <c r="AO43" s="83"/>
      <c r="AP43" s="82"/>
      <c r="AS43" s="83"/>
      <c r="AW43" s="83"/>
      <c r="BA43" s="84"/>
    </row>
    <row r="44" spans="1:53" s="73" customFormat="1">
      <c r="A44" s="73">
        <v>2007</v>
      </c>
      <c r="B44" s="830"/>
      <c r="C44" s="917" t="s">
        <v>979</v>
      </c>
      <c r="D44" s="917"/>
      <c r="E44" s="142">
        <v>365</v>
      </c>
      <c r="G44" s="119">
        <v>8</v>
      </c>
      <c r="I44" s="73">
        <v>9</v>
      </c>
      <c r="J44" s="126">
        <v>18</v>
      </c>
      <c r="K44" s="92">
        <f t="shared" si="0"/>
        <v>44.444444444444443</v>
      </c>
      <c r="L44" s="92">
        <f t="shared" si="1"/>
        <v>0</v>
      </c>
      <c r="M44" s="92">
        <f t="shared" si="2"/>
        <v>50</v>
      </c>
      <c r="N44" s="121">
        <f t="shared" si="5"/>
        <v>94.444444444444443</v>
      </c>
      <c r="O44" s="91">
        <v>35.869999999999997</v>
      </c>
      <c r="P44" s="92"/>
      <c r="Q44" s="92">
        <v>33.979999999999997</v>
      </c>
      <c r="R44" s="93">
        <f t="shared" si="4"/>
        <v>69.849999999999994</v>
      </c>
      <c r="S44" s="73">
        <v>3</v>
      </c>
      <c r="T44" s="839"/>
      <c r="U44" s="852"/>
      <c r="V44" s="82" t="s">
        <v>981</v>
      </c>
      <c r="W44" s="73" t="s">
        <v>116</v>
      </c>
      <c r="X44" s="73" t="s">
        <v>12</v>
      </c>
      <c r="Y44" s="83">
        <v>34</v>
      </c>
      <c r="Z44" s="73" t="s">
        <v>976</v>
      </c>
      <c r="AA44" s="73" t="s">
        <v>977</v>
      </c>
      <c r="AB44" s="73" t="s">
        <v>11</v>
      </c>
      <c r="AC44" s="73">
        <v>21.7</v>
      </c>
      <c r="AD44" s="82" t="s">
        <v>978</v>
      </c>
      <c r="AE44" s="73" t="s">
        <v>90</v>
      </c>
      <c r="AF44" s="73" t="s">
        <v>11</v>
      </c>
      <c r="AG44" s="83">
        <v>14.2</v>
      </c>
      <c r="AL44" s="82"/>
      <c r="AO44" s="83"/>
      <c r="AP44" s="82"/>
      <c r="AS44" s="83"/>
      <c r="AW44" s="83"/>
      <c r="BA44" s="84"/>
    </row>
    <row r="45" spans="1:53" s="73" customFormat="1">
      <c r="A45" s="73">
        <v>2008</v>
      </c>
      <c r="B45" s="830"/>
      <c r="C45" s="917" t="s">
        <v>979</v>
      </c>
      <c r="D45" s="917"/>
      <c r="E45" s="142">
        <v>114</v>
      </c>
      <c r="G45" s="119">
        <v>8</v>
      </c>
      <c r="I45" s="73">
        <v>9</v>
      </c>
      <c r="J45" s="126">
        <v>18</v>
      </c>
      <c r="K45" s="92">
        <f t="shared" si="0"/>
        <v>44.444444444444443</v>
      </c>
      <c r="L45" s="92">
        <f t="shared" si="1"/>
        <v>0</v>
      </c>
      <c r="M45" s="92">
        <f t="shared" si="2"/>
        <v>50</v>
      </c>
      <c r="N45" s="121">
        <f t="shared" si="5"/>
        <v>94.444444444444443</v>
      </c>
      <c r="O45" s="91">
        <v>35.869999999999997</v>
      </c>
      <c r="P45" s="92"/>
      <c r="Q45" s="92">
        <v>33.979999999999997</v>
      </c>
      <c r="R45" s="93">
        <f t="shared" si="4"/>
        <v>69.849999999999994</v>
      </c>
      <c r="S45" s="73">
        <v>3</v>
      </c>
      <c r="T45" s="839"/>
      <c r="U45" s="852"/>
      <c r="V45" s="82" t="s">
        <v>981</v>
      </c>
      <c r="W45" s="73" t="s">
        <v>116</v>
      </c>
      <c r="X45" s="73" t="s">
        <v>12</v>
      </c>
      <c r="Y45" s="83">
        <v>34</v>
      </c>
      <c r="Z45" s="73" t="s">
        <v>976</v>
      </c>
      <c r="AA45" s="73" t="s">
        <v>977</v>
      </c>
      <c r="AB45" s="73" t="s">
        <v>11</v>
      </c>
      <c r="AC45" s="73">
        <v>21.7</v>
      </c>
      <c r="AD45" s="82" t="s">
        <v>978</v>
      </c>
      <c r="AE45" s="73" t="s">
        <v>90</v>
      </c>
      <c r="AF45" s="73" t="s">
        <v>11</v>
      </c>
      <c r="AG45" s="83">
        <v>14.2</v>
      </c>
      <c r="AL45" s="82"/>
      <c r="AO45" s="83"/>
      <c r="AP45" s="82"/>
      <c r="AS45" s="83"/>
      <c r="AW45" s="83"/>
      <c r="BA45" s="84"/>
    </row>
    <row r="46" spans="1:53" s="73" customFormat="1">
      <c r="A46" s="73">
        <v>2008</v>
      </c>
      <c r="B46" s="864">
        <v>39562</v>
      </c>
      <c r="C46" s="917" t="s">
        <v>979</v>
      </c>
      <c r="D46" s="917"/>
      <c r="E46" s="142">
        <v>252</v>
      </c>
      <c r="F46" s="139">
        <v>0</v>
      </c>
      <c r="G46" s="119">
        <v>8</v>
      </c>
      <c r="I46" s="73">
        <v>10</v>
      </c>
      <c r="J46" s="126">
        <v>19</v>
      </c>
      <c r="K46" s="92">
        <f t="shared" si="0"/>
        <v>42.105263157894733</v>
      </c>
      <c r="L46" s="92">
        <f t="shared" si="1"/>
        <v>0</v>
      </c>
      <c r="M46" s="92">
        <f t="shared" si="2"/>
        <v>52.631578947368418</v>
      </c>
      <c r="N46" s="121">
        <f t="shared" si="5"/>
        <v>94.73684210526315</v>
      </c>
      <c r="O46" s="91">
        <v>35.869999999999997</v>
      </c>
      <c r="P46" s="92"/>
      <c r="Q46" s="92">
        <v>33.979999999999997</v>
      </c>
      <c r="R46" s="93">
        <f t="shared" si="4"/>
        <v>69.849999999999994</v>
      </c>
      <c r="S46" s="73">
        <v>3</v>
      </c>
      <c r="T46" s="839"/>
      <c r="U46" s="852"/>
      <c r="V46" s="82" t="s">
        <v>981</v>
      </c>
      <c r="W46" s="73" t="s">
        <v>116</v>
      </c>
      <c r="X46" s="73" t="s">
        <v>12</v>
      </c>
      <c r="Y46" s="83">
        <v>34</v>
      </c>
      <c r="Z46" s="73" t="s">
        <v>976</v>
      </c>
      <c r="AA46" s="73" t="s">
        <v>977</v>
      </c>
      <c r="AB46" s="73" t="s">
        <v>11</v>
      </c>
      <c r="AC46" s="73">
        <v>21.7</v>
      </c>
      <c r="AD46" s="82" t="s">
        <v>978</v>
      </c>
      <c r="AE46" s="73" t="s">
        <v>90</v>
      </c>
      <c r="AF46" s="73" t="s">
        <v>11</v>
      </c>
      <c r="AG46" s="83">
        <v>14.2</v>
      </c>
      <c r="AL46" s="82"/>
      <c r="AO46" s="83"/>
      <c r="AP46" s="82"/>
      <c r="AS46" s="83"/>
      <c r="AW46" s="83"/>
      <c r="BA46" s="84"/>
    </row>
    <row r="47" spans="1:53" s="260" customFormat="1">
      <c r="A47" s="260">
        <v>2009</v>
      </c>
      <c r="B47" s="830"/>
      <c r="C47" s="917" t="s">
        <v>979</v>
      </c>
      <c r="D47" s="917"/>
      <c r="E47" s="142">
        <v>207</v>
      </c>
      <c r="G47" s="119">
        <v>8</v>
      </c>
      <c r="I47" s="260">
        <v>10</v>
      </c>
      <c r="J47" s="126">
        <v>19</v>
      </c>
      <c r="K47" s="92">
        <f t="shared" si="0"/>
        <v>42.105263157894733</v>
      </c>
      <c r="L47" s="92">
        <f t="shared" si="1"/>
        <v>0</v>
      </c>
      <c r="M47" s="92">
        <f t="shared" si="2"/>
        <v>52.631578947368418</v>
      </c>
      <c r="N47" s="121">
        <f t="shared" si="5"/>
        <v>94.73684210526315</v>
      </c>
      <c r="O47" s="91">
        <v>35.869999999999997</v>
      </c>
      <c r="P47" s="92"/>
      <c r="Q47" s="92">
        <v>33.979999999999997</v>
      </c>
      <c r="R47" s="93">
        <f t="shared" si="4"/>
        <v>69.849999999999994</v>
      </c>
      <c r="S47" s="260">
        <v>3</v>
      </c>
      <c r="T47" s="839"/>
      <c r="U47" s="852"/>
      <c r="V47" s="82" t="s">
        <v>981</v>
      </c>
      <c r="W47" s="260" t="s">
        <v>116</v>
      </c>
      <c r="X47" s="260" t="s">
        <v>12</v>
      </c>
      <c r="Y47" s="83">
        <v>34</v>
      </c>
      <c r="Z47" s="260" t="s">
        <v>976</v>
      </c>
      <c r="AA47" s="260" t="s">
        <v>977</v>
      </c>
      <c r="AB47" s="260" t="s">
        <v>11</v>
      </c>
      <c r="AC47" s="260">
        <v>21.7</v>
      </c>
      <c r="AD47" s="82" t="s">
        <v>978</v>
      </c>
      <c r="AE47" s="260" t="s">
        <v>90</v>
      </c>
      <c r="AF47" s="260" t="s">
        <v>11</v>
      </c>
      <c r="AG47" s="83">
        <v>14.2</v>
      </c>
      <c r="AL47" s="82"/>
      <c r="AO47" s="83"/>
      <c r="AP47" s="82"/>
      <c r="AS47" s="83"/>
      <c r="AW47" s="83"/>
      <c r="BA47" s="84"/>
    </row>
    <row r="48" spans="1:53" s="292" customFormat="1">
      <c r="A48" s="292">
        <v>2009</v>
      </c>
      <c r="B48" s="863">
        <v>40021</v>
      </c>
      <c r="C48" s="916" t="s">
        <v>982</v>
      </c>
      <c r="D48" s="916"/>
      <c r="E48" s="383">
        <f>365-E47</f>
        <v>158</v>
      </c>
      <c r="F48" s="292">
        <v>1</v>
      </c>
      <c r="G48" s="366">
        <v>16</v>
      </c>
      <c r="J48" s="377">
        <v>17</v>
      </c>
      <c r="K48" s="336">
        <f t="shared" si="0"/>
        <v>94.117647058823522</v>
      </c>
      <c r="L48" s="336">
        <f t="shared" si="1"/>
        <v>0</v>
      </c>
      <c r="M48" s="336">
        <f t="shared" si="2"/>
        <v>0</v>
      </c>
      <c r="N48" s="368">
        <f t="shared" si="5"/>
        <v>94.117647058823522</v>
      </c>
      <c r="O48" s="335">
        <v>48.8</v>
      </c>
      <c r="P48" s="336"/>
      <c r="Q48" s="336"/>
      <c r="R48" s="337">
        <f t="shared" si="4"/>
        <v>48.8</v>
      </c>
      <c r="S48" s="292">
        <v>4</v>
      </c>
      <c r="T48" s="838">
        <v>39999</v>
      </c>
      <c r="U48" s="836">
        <v>40021</v>
      </c>
      <c r="V48" s="299" t="s">
        <v>983</v>
      </c>
      <c r="W48" s="292" t="s">
        <v>74</v>
      </c>
      <c r="X48" s="292" t="s">
        <v>11</v>
      </c>
      <c r="Y48" s="300">
        <v>48.8</v>
      </c>
      <c r="AD48" s="299"/>
      <c r="AG48" s="300"/>
      <c r="AL48" s="299"/>
      <c r="AO48" s="300"/>
      <c r="AP48" s="299"/>
      <c r="AS48" s="300"/>
      <c r="AW48" s="300"/>
      <c r="BA48" s="301"/>
    </row>
    <row r="49" spans="1:53" s="292" customFormat="1">
      <c r="A49" s="292">
        <v>2010</v>
      </c>
      <c r="B49" s="863"/>
      <c r="C49" s="916" t="s">
        <v>982</v>
      </c>
      <c r="D49" s="916"/>
      <c r="E49" s="383">
        <v>76</v>
      </c>
      <c r="G49" s="366">
        <v>16</v>
      </c>
      <c r="J49" s="377">
        <v>17</v>
      </c>
      <c r="K49" s="336">
        <f>G49/J49*100</f>
        <v>94.117647058823522</v>
      </c>
      <c r="L49" s="336">
        <f>H49/J49*100</f>
        <v>0</v>
      </c>
      <c r="M49" s="336">
        <f>I49/J49*100</f>
        <v>0</v>
      </c>
      <c r="N49" s="368">
        <f t="shared" si="5"/>
        <v>94.117647058823522</v>
      </c>
      <c r="O49" s="335">
        <v>48.8</v>
      </c>
      <c r="P49" s="336"/>
      <c r="Q49" s="336"/>
      <c r="R49" s="337">
        <f t="shared" si="4"/>
        <v>48.8</v>
      </c>
      <c r="S49" s="292">
        <v>4</v>
      </c>
      <c r="T49" s="838"/>
      <c r="U49" s="836"/>
      <c r="V49" s="299" t="s">
        <v>983</v>
      </c>
      <c r="W49" s="292" t="s">
        <v>74</v>
      </c>
      <c r="X49" s="292" t="s">
        <v>11</v>
      </c>
      <c r="Y49" s="300">
        <v>48.8</v>
      </c>
      <c r="AD49" s="299"/>
      <c r="AG49" s="300"/>
      <c r="AL49" s="299"/>
      <c r="AO49" s="300"/>
      <c r="AP49" s="299"/>
      <c r="AS49" s="300"/>
      <c r="AW49" s="300"/>
      <c r="BA49" s="301"/>
    </row>
    <row r="50" spans="1:53" s="292" customFormat="1">
      <c r="A50" s="292">
        <v>2010</v>
      </c>
      <c r="B50" s="862">
        <v>40255</v>
      </c>
      <c r="C50" s="916" t="s">
        <v>982</v>
      </c>
      <c r="D50" s="916"/>
      <c r="E50" s="383">
        <v>12</v>
      </c>
      <c r="F50" s="381">
        <v>0</v>
      </c>
      <c r="G50" s="366">
        <v>17</v>
      </c>
      <c r="J50" s="377">
        <v>18</v>
      </c>
      <c r="K50" s="336">
        <f>G50/J50*100</f>
        <v>94.444444444444443</v>
      </c>
      <c r="L50" s="336">
        <f>H50/J50*100</f>
        <v>0</v>
      </c>
      <c r="M50" s="336">
        <f>I50/J50*100</f>
        <v>0</v>
      </c>
      <c r="N50" s="368">
        <f t="shared" si="5"/>
        <v>94.444444444444443</v>
      </c>
      <c r="O50" s="335">
        <v>48.8</v>
      </c>
      <c r="P50" s="336"/>
      <c r="Q50" s="336"/>
      <c r="R50" s="337">
        <f t="shared" si="4"/>
        <v>48.8</v>
      </c>
      <c r="S50" s="292">
        <v>4</v>
      </c>
      <c r="T50" s="838"/>
      <c r="U50" s="836"/>
      <c r="V50" s="299" t="s">
        <v>983</v>
      </c>
      <c r="W50" s="292" t="s">
        <v>74</v>
      </c>
      <c r="X50" s="292" t="s">
        <v>11</v>
      </c>
      <c r="Y50" s="300">
        <v>48.8</v>
      </c>
      <c r="AD50" s="299"/>
      <c r="AG50" s="300"/>
      <c r="AL50" s="299"/>
      <c r="AO50" s="300"/>
      <c r="AP50" s="299"/>
      <c r="AS50" s="300"/>
      <c r="AW50" s="300"/>
      <c r="BA50" s="301"/>
    </row>
    <row r="51" spans="1:53" s="292" customFormat="1">
      <c r="A51" s="292">
        <v>2010</v>
      </c>
      <c r="B51" s="862">
        <v>40267</v>
      </c>
      <c r="C51" s="916" t="s">
        <v>982</v>
      </c>
      <c r="D51" s="916"/>
      <c r="E51" s="383">
        <v>264</v>
      </c>
      <c r="F51" s="381">
        <v>0</v>
      </c>
      <c r="G51" s="366">
        <v>16</v>
      </c>
      <c r="J51" s="377">
        <v>18</v>
      </c>
      <c r="K51" s="336">
        <f t="shared" si="0"/>
        <v>88.888888888888886</v>
      </c>
      <c r="L51" s="336">
        <f t="shared" si="1"/>
        <v>0</v>
      </c>
      <c r="M51" s="336">
        <f t="shared" si="2"/>
        <v>0</v>
      </c>
      <c r="N51" s="368">
        <f t="shared" si="5"/>
        <v>88.888888888888886</v>
      </c>
      <c r="O51" s="335">
        <v>48.8</v>
      </c>
      <c r="P51" s="336"/>
      <c r="Q51" s="336"/>
      <c r="R51" s="337">
        <f t="shared" si="4"/>
        <v>48.8</v>
      </c>
      <c r="S51" s="292">
        <v>4</v>
      </c>
      <c r="T51" s="838"/>
      <c r="U51" s="836"/>
      <c r="V51" s="299" t="s">
        <v>983</v>
      </c>
      <c r="W51" s="292" t="s">
        <v>74</v>
      </c>
      <c r="X51" s="292" t="s">
        <v>11</v>
      </c>
      <c r="Y51" s="300">
        <v>48.8</v>
      </c>
      <c r="AD51" s="299"/>
      <c r="AG51" s="300"/>
      <c r="AL51" s="299"/>
      <c r="AO51" s="300"/>
      <c r="AP51" s="299"/>
      <c r="AS51" s="300"/>
      <c r="AW51" s="300"/>
      <c r="BA51" s="301"/>
    </row>
    <row r="52" spans="1:53" s="292" customFormat="1">
      <c r="A52" s="292">
        <v>2010</v>
      </c>
      <c r="B52" s="862">
        <v>40531</v>
      </c>
      <c r="C52" s="916" t="s">
        <v>982</v>
      </c>
      <c r="D52" s="916"/>
      <c r="E52" s="383">
        <v>13</v>
      </c>
      <c r="F52" s="381">
        <v>0</v>
      </c>
      <c r="G52" s="366">
        <v>15</v>
      </c>
      <c r="J52" s="377">
        <v>17</v>
      </c>
      <c r="K52" s="336">
        <f t="shared" si="0"/>
        <v>88.235294117647058</v>
      </c>
      <c r="L52" s="336">
        <f t="shared" si="1"/>
        <v>0</v>
      </c>
      <c r="M52" s="336">
        <f t="shared" si="2"/>
        <v>0</v>
      </c>
      <c r="N52" s="368">
        <f t="shared" si="5"/>
        <v>88.235294117647058</v>
      </c>
      <c r="O52" s="335">
        <v>48.8</v>
      </c>
      <c r="P52" s="336"/>
      <c r="Q52" s="336"/>
      <c r="R52" s="337">
        <f t="shared" si="4"/>
        <v>48.8</v>
      </c>
      <c r="S52" s="292">
        <v>4</v>
      </c>
      <c r="T52" s="838"/>
      <c r="U52" s="836"/>
      <c r="V52" s="299" t="s">
        <v>983</v>
      </c>
      <c r="W52" s="292" t="s">
        <v>74</v>
      </c>
      <c r="X52" s="292" t="s">
        <v>11</v>
      </c>
      <c r="Y52" s="300">
        <v>48.8</v>
      </c>
      <c r="AD52" s="299"/>
      <c r="AG52" s="300"/>
      <c r="AL52" s="299"/>
      <c r="AO52" s="300"/>
      <c r="AP52" s="299"/>
      <c r="AS52" s="300"/>
      <c r="AW52" s="300"/>
      <c r="BA52" s="301"/>
    </row>
    <row r="53" spans="1:53" s="292" customFormat="1">
      <c r="A53" s="292">
        <v>2011</v>
      </c>
      <c r="B53" s="862"/>
      <c r="C53" s="916" t="s">
        <v>982</v>
      </c>
      <c r="D53" s="916"/>
      <c r="E53" s="383">
        <v>0</v>
      </c>
      <c r="G53" s="366">
        <v>15</v>
      </c>
      <c r="J53" s="377">
        <v>17</v>
      </c>
      <c r="K53" s="336">
        <f t="shared" ref="K53:K60" si="6">G53/J53*100</f>
        <v>88.235294117647058</v>
      </c>
      <c r="L53" s="336">
        <f t="shared" ref="L53:L60" si="7">H53/J53*100</f>
        <v>0</v>
      </c>
      <c r="M53" s="336">
        <f t="shared" ref="M53:M60" si="8">I53/J53*100</f>
        <v>0</v>
      </c>
      <c r="N53" s="368">
        <f t="shared" si="5"/>
        <v>88.235294117647058</v>
      </c>
      <c r="O53" s="335">
        <v>48.8</v>
      </c>
      <c r="P53" s="336"/>
      <c r="Q53" s="336"/>
      <c r="R53" s="337">
        <f t="shared" si="4"/>
        <v>48.8</v>
      </c>
      <c r="S53" s="292">
        <v>4</v>
      </c>
      <c r="T53" s="838"/>
      <c r="U53" s="836"/>
      <c r="V53" s="299" t="s">
        <v>983</v>
      </c>
      <c r="W53" s="292" t="s">
        <v>74</v>
      </c>
      <c r="X53" s="292" t="s">
        <v>11</v>
      </c>
      <c r="Y53" s="300">
        <v>48.8</v>
      </c>
      <c r="AD53" s="299"/>
      <c r="AG53" s="300"/>
      <c r="AL53" s="299"/>
      <c r="AO53" s="300"/>
      <c r="AP53" s="299"/>
      <c r="AS53" s="300"/>
      <c r="AW53" s="300"/>
      <c r="BA53" s="301"/>
    </row>
    <row r="54" spans="1:53" s="292" customFormat="1">
      <c r="A54" s="292">
        <v>2011</v>
      </c>
      <c r="B54" s="862"/>
      <c r="C54" s="916" t="s">
        <v>982</v>
      </c>
      <c r="D54" s="916"/>
      <c r="E54" s="383">
        <v>365</v>
      </c>
      <c r="F54" s="381"/>
      <c r="G54" s="366">
        <v>15</v>
      </c>
      <c r="J54" s="377">
        <v>17</v>
      </c>
      <c r="K54" s="336">
        <f t="shared" si="6"/>
        <v>88.235294117647058</v>
      </c>
      <c r="L54" s="336">
        <f t="shared" si="7"/>
        <v>0</v>
      </c>
      <c r="M54" s="336">
        <f t="shared" si="8"/>
        <v>0</v>
      </c>
      <c r="N54" s="368">
        <f t="shared" si="5"/>
        <v>88.235294117647058</v>
      </c>
      <c r="O54" s="335">
        <v>48.8</v>
      </c>
      <c r="P54" s="336"/>
      <c r="Q54" s="336"/>
      <c r="R54" s="337">
        <f t="shared" si="4"/>
        <v>48.8</v>
      </c>
      <c r="S54" s="292">
        <v>4</v>
      </c>
      <c r="T54" s="838"/>
      <c r="U54" s="836"/>
      <c r="V54" s="299" t="s">
        <v>983</v>
      </c>
      <c r="W54" s="292" t="s">
        <v>74</v>
      </c>
      <c r="X54" s="292" t="s">
        <v>11</v>
      </c>
      <c r="Y54" s="300">
        <v>48.8</v>
      </c>
      <c r="AD54" s="299"/>
      <c r="AG54" s="300"/>
      <c r="AL54" s="299"/>
      <c r="AO54" s="300"/>
      <c r="AP54" s="299"/>
      <c r="AS54" s="300"/>
      <c r="AW54" s="300"/>
      <c r="BA54" s="301"/>
    </row>
    <row r="55" spans="1:53" s="292" customFormat="1">
      <c r="A55" s="292">
        <v>2012</v>
      </c>
      <c r="B55" s="862"/>
      <c r="C55" s="916" t="s">
        <v>982</v>
      </c>
      <c r="D55" s="916"/>
      <c r="E55" s="383">
        <v>80</v>
      </c>
      <c r="F55" s="301"/>
      <c r="G55" s="292">
        <v>15</v>
      </c>
      <c r="J55" s="377">
        <v>17</v>
      </c>
      <c r="K55" s="336">
        <f t="shared" si="6"/>
        <v>88.235294117647058</v>
      </c>
      <c r="L55" s="336">
        <f t="shared" si="7"/>
        <v>0</v>
      </c>
      <c r="M55" s="336">
        <f t="shared" si="8"/>
        <v>0</v>
      </c>
      <c r="N55" s="368">
        <f t="shared" si="5"/>
        <v>88.235294117647058</v>
      </c>
      <c r="O55" s="335">
        <v>48.8</v>
      </c>
      <c r="P55" s="336"/>
      <c r="Q55" s="336"/>
      <c r="R55" s="337">
        <f t="shared" si="4"/>
        <v>48.8</v>
      </c>
      <c r="S55" s="292">
        <v>4</v>
      </c>
      <c r="T55" s="838"/>
      <c r="U55" s="836"/>
      <c r="V55" s="299" t="s">
        <v>983</v>
      </c>
      <c r="W55" s="292" t="s">
        <v>74</v>
      </c>
      <c r="X55" s="292" t="s">
        <v>11</v>
      </c>
      <c r="Y55" s="300">
        <v>48.8</v>
      </c>
      <c r="AD55" s="299"/>
      <c r="AG55" s="300"/>
      <c r="AL55" s="299"/>
      <c r="AO55" s="300"/>
      <c r="AP55" s="299"/>
      <c r="AS55" s="300"/>
      <c r="AW55" s="300"/>
      <c r="BA55" s="301"/>
    </row>
    <row r="56" spans="1:53" s="292" customFormat="1">
      <c r="A56" s="292">
        <v>2012</v>
      </c>
      <c r="B56" s="862">
        <v>40989</v>
      </c>
      <c r="C56" s="916" t="s">
        <v>982</v>
      </c>
      <c r="D56" s="916"/>
      <c r="E56" s="383">
        <v>286</v>
      </c>
      <c r="F56" s="384">
        <v>0</v>
      </c>
      <c r="G56" s="292">
        <v>16</v>
      </c>
      <c r="J56" s="377">
        <v>17</v>
      </c>
      <c r="K56" s="336">
        <f t="shared" si="6"/>
        <v>94.117647058823522</v>
      </c>
      <c r="L56" s="336">
        <f t="shared" si="7"/>
        <v>0</v>
      </c>
      <c r="M56" s="336">
        <f t="shared" si="8"/>
        <v>0</v>
      </c>
      <c r="N56" s="368">
        <f t="shared" si="5"/>
        <v>94.117647058823522</v>
      </c>
      <c r="O56" s="335">
        <v>48.8</v>
      </c>
      <c r="P56" s="336"/>
      <c r="Q56" s="336"/>
      <c r="R56" s="337">
        <f t="shared" si="4"/>
        <v>48.8</v>
      </c>
      <c r="S56" s="292">
        <v>4</v>
      </c>
      <c r="T56" s="838"/>
      <c r="U56" s="836"/>
      <c r="V56" s="299" t="s">
        <v>983</v>
      </c>
      <c r="W56" s="292" t="s">
        <v>74</v>
      </c>
      <c r="X56" s="292" t="s">
        <v>11</v>
      </c>
      <c r="Y56" s="300">
        <v>48.8</v>
      </c>
      <c r="AD56" s="299"/>
      <c r="AG56" s="300"/>
      <c r="AL56" s="299"/>
      <c r="AO56" s="300"/>
      <c r="AP56" s="299"/>
      <c r="AS56" s="300"/>
      <c r="AW56" s="300"/>
      <c r="BA56" s="301"/>
    </row>
    <row r="57" spans="1:53" s="292" customFormat="1">
      <c r="A57" s="292">
        <v>2013</v>
      </c>
      <c r="B57" s="862"/>
      <c r="C57" s="916" t="s">
        <v>982</v>
      </c>
      <c r="D57" s="916"/>
      <c r="E57" s="383">
        <v>36</v>
      </c>
      <c r="F57" s="384"/>
      <c r="G57" s="292">
        <v>16</v>
      </c>
      <c r="J57" s="377">
        <v>17</v>
      </c>
      <c r="K57" s="336">
        <f t="shared" si="6"/>
        <v>94.117647058823522</v>
      </c>
      <c r="L57" s="336">
        <f t="shared" si="7"/>
        <v>0</v>
      </c>
      <c r="M57" s="336">
        <f t="shared" si="8"/>
        <v>0</v>
      </c>
      <c r="N57" s="368">
        <f t="shared" si="5"/>
        <v>94.117647058823522</v>
      </c>
      <c r="O57" s="335">
        <v>48.8</v>
      </c>
      <c r="P57" s="336"/>
      <c r="Q57" s="336"/>
      <c r="R57" s="337">
        <f t="shared" ref="R57:R64" si="9">SUM(O57:Q57)</f>
        <v>48.8</v>
      </c>
      <c r="S57" s="292">
        <v>4</v>
      </c>
      <c r="T57" s="838"/>
      <c r="U57" s="836"/>
      <c r="V57" s="299" t="s">
        <v>983</v>
      </c>
      <c r="W57" s="292" t="s">
        <v>74</v>
      </c>
      <c r="X57" s="292" t="s">
        <v>11</v>
      </c>
      <c r="Y57" s="300">
        <v>48.8</v>
      </c>
      <c r="AD57" s="299"/>
      <c r="AG57" s="300"/>
      <c r="AL57" s="299"/>
      <c r="AO57" s="300"/>
      <c r="AP57" s="299"/>
      <c r="AS57" s="300"/>
      <c r="AW57" s="300"/>
      <c r="BA57" s="301"/>
    </row>
    <row r="58" spans="1:53" s="292" customFormat="1">
      <c r="A58" s="292">
        <v>2013</v>
      </c>
      <c r="B58" s="862">
        <v>41311</v>
      </c>
      <c r="C58" s="916" t="s">
        <v>982</v>
      </c>
      <c r="D58" s="916"/>
      <c r="E58" s="383">
        <v>35</v>
      </c>
      <c r="F58" s="384">
        <v>0</v>
      </c>
      <c r="G58" s="292">
        <v>15</v>
      </c>
      <c r="J58" s="377">
        <v>17</v>
      </c>
      <c r="K58" s="336">
        <f t="shared" si="6"/>
        <v>88.235294117647058</v>
      </c>
      <c r="L58" s="336">
        <f t="shared" si="7"/>
        <v>0</v>
      </c>
      <c r="M58" s="336">
        <f t="shared" si="8"/>
        <v>0</v>
      </c>
      <c r="N58" s="368">
        <f t="shared" si="5"/>
        <v>88.235294117647058</v>
      </c>
      <c r="O58" s="335">
        <v>48.8</v>
      </c>
      <c r="P58" s="336"/>
      <c r="Q58" s="336"/>
      <c r="R58" s="337">
        <f t="shared" si="9"/>
        <v>48.8</v>
      </c>
      <c r="S58" s="292">
        <v>4</v>
      </c>
      <c r="T58" s="838"/>
      <c r="U58" s="836"/>
      <c r="V58" s="299" t="s">
        <v>983</v>
      </c>
      <c r="W58" s="292" t="s">
        <v>74</v>
      </c>
      <c r="X58" s="292" t="s">
        <v>11</v>
      </c>
      <c r="Y58" s="300">
        <v>48.8</v>
      </c>
      <c r="AD58" s="299"/>
      <c r="AG58" s="300"/>
      <c r="AL58" s="299"/>
      <c r="AO58" s="300"/>
      <c r="AP58" s="299"/>
      <c r="AS58" s="300"/>
      <c r="AW58" s="300"/>
      <c r="BA58" s="301"/>
    </row>
    <row r="59" spans="1:53" s="281" customFormat="1">
      <c r="A59" s="281">
        <v>2013</v>
      </c>
      <c r="B59" s="830">
        <v>41346</v>
      </c>
      <c r="C59" s="917" t="s">
        <v>1244</v>
      </c>
      <c r="D59" s="917"/>
      <c r="E59" s="142">
        <v>77</v>
      </c>
      <c r="F59" s="281">
        <v>2</v>
      </c>
      <c r="G59" s="119"/>
      <c r="J59" s="126">
        <v>17</v>
      </c>
      <c r="K59" s="92">
        <f t="shared" si="6"/>
        <v>0</v>
      </c>
      <c r="L59" s="92">
        <f t="shared" si="7"/>
        <v>0</v>
      </c>
      <c r="M59" s="92">
        <f t="shared" si="8"/>
        <v>0</v>
      </c>
      <c r="N59" s="121">
        <f t="shared" si="5"/>
        <v>0</v>
      </c>
      <c r="O59" s="91">
        <v>0</v>
      </c>
      <c r="P59" s="92">
        <v>0</v>
      </c>
      <c r="Q59" s="92">
        <v>0</v>
      </c>
      <c r="R59" s="93">
        <f t="shared" si="9"/>
        <v>0</v>
      </c>
      <c r="S59" s="281">
        <v>6</v>
      </c>
      <c r="T59" s="839"/>
      <c r="U59" s="852">
        <v>41346</v>
      </c>
      <c r="V59" s="282" t="s">
        <v>800</v>
      </c>
      <c r="Y59" s="83"/>
      <c r="AD59" s="82"/>
      <c r="AG59" s="83"/>
      <c r="AL59" s="82"/>
      <c r="AO59" s="83"/>
      <c r="AP59" s="82"/>
      <c r="AS59" s="83"/>
      <c r="AW59" s="83"/>
      <c r="BA59" s="84"/>
    </row>
    <row r="60" spans="1:53" s="292" customFormat="1">
      <c r="A60" s="292">
        <v>2013</v>
      </c>
      <c r="B60" s="863">
        <v>41423</v>
      </c>
      <c r="C60" s="916" t="s">
        <v>1245</v>
      </c>
      <c r="D60" s="916"/>
      <c r="E60" s="383">
        <v>29</v>
      </c>
      <c r="F60" s="292">
        <v>1</v>
      </c>
      <c r="G60" s="366">
        <v>2</v>
      </c>
      <c r="I60" s="292">
        <v>4</v>
      </c>
      <c r="J60" s="377">
        <v>17</v>
      </c>
      <c r="K60" s="336">
        <f t="shared" si="6"/>
        <v>11.76470588235294</v>
      </c>
      <c r="L60" s="336">
        <f t="shared" si="7"/>
        <v>0</v>
      </c>
      <c r="M60" s="336">
        <f t="shared" si="8"/>
        <v>23.52941176470588</v>
      </c>
      <c r="N60" s="368">
        <f t="shared" si="5"/>
        <v>35.294117647058819</v>
      </c>
      <c r="O60" s="335">
        <v>15</v>
      </c>
      <c r="P60" s="336"/>
      <c r="Q60" s="336">
        <v>35</v>
      </c>
      <c r="R60" s="337">
        <f t="shared" si="9"/>
        <v>50</v>
      </c>
      <c r="S60" s="292">
        <v>5</v>
      </c>
      <c r="T60" s="838">
        <v>41406</v>
      </c>
      <c r="U60" s="836">
        <v>41423</v>
      </c>
      <c r="V60" s="299" t="s">
        <v>981</v>
      </c>
      <c r="W60" s="292" t="s">
        <v>116</v>
      </c>
      <c r="X60" s="292" t="s">
        <v>12</v>
      </c>
      <c r="Y60" s="300">
        <v>35</v>
      </c>
      <c r="Z60" s="292" t="s">
        <v>978</v>
      </c>
      <c r="AA60" s="292" t="s">
        <v>90</v>
      </c>
      <c r="AB60" s="292" t="s">
        <v>11</v>
      </c>
      <c r="AC60" s="292">
        <v>15</v>
      </c>
      <c r="AD60" s="299"/>
      <c r="AG60" s="300"/>
      <c r="AL60" s="299"/>
      <c r="AO60" s="300"/>
      <c r="AP60" s="299"/>
      <c r="AS60" s="300"/>
      <c r="AW60" s="300"/>
      <c r="BA60" s="301"/>
    </row>
    <row r="61" spans="1:53" s="292" customFormat="1">
      <c r="A61" s="292">
        <v>2013</v>
      </c>
      <c r="B61" s="862">
        <v>41452</v>
      </c>
      <c r="C61" s="916" t="s">
        <v>1245</v>
      </c>
      <c r="D61" s="916"/>
      <c r="E61" s="383">
        <f>365-E60-E59-E58-E57</f>
        <v>188</v>
      </c>
      <c r="F61" s="381">
        <v>0</v>
      </c>
      <c r="G61" s="366">
        <v>2</v>
      </c>
      <c r="I61" s="292">
        <v>4</v>
      </c>
      <c r="J61" s="377">
        <v>18</v>
      </c>
      <c r="K61" s="336">
        <f t="shared" ref="K61:K67" si="10">G61/J61*100</f>
        <v>11.111111111111111</v>
      </c>
      <c r="L61" s="336">
        <f t="shared" ref="L61:L67" si="11">H61/J61*100</f>
        <v>0</v>
      </c>
      <c r="M61" s="336">
        <f t="shared" ref="M61:M67" si="12">I61/J61*100</f>
        <v>22.222222222222221</v>
      </c>
      <c r="N61" s="368">
        <f t="shared" ref="N61:N67" si="13">SUM(K61:M61)</f>
        <v>33.333333333333329</v>
      </c>
      <c r="O61" s="335">
        <v>15</v>
      </c>
      <c r="P61" s="336"/>
      <c r="Q61" s="336">
        <v>35</v>
      </c>
      <c r="R61" s="337">
        <f t="shared" si="9"/>
        <v>50</v>
      </c>
      <c r="S61" s="292">
        <v>5</v>
      </c>
      <c r="T61" s="838"/>
      <c r="U61" s="836"/>
      <c r="V61" s="299" t="s">
        <v>981</v>
      </c>
      <c r="W61" s="292" t="s">
        <v>116</v>
      </c>
      <c r="X61" s="292" t="s">
        <v>12</v>
      </c>
      <c r="Y61" s="300">
        <v>35</v>
      </c>
      <c r="Z61" s="292" t="s">
        <v>978</v>
      </c>
      <c r="AA61" s="292" t="s">
        <v>90</v>
      </c>
      <c r="AB61" s="292" t="s">
        <v>11</v>
      </c>
      <c r="AC61" s="292">
        <v>15</v>
      </c>
      <c r="AD61" s="299"/>
      <c r="AG61" s="300"/>
      <c r="AL61" s="299"/>
      <c r="AO61" s="300"/>
      <c r="AP61" s="299"/>
      <c r="AS61" s="300"/>
      <c r="AW61" s="300"/>
      <c r="BA61" s="301"/>
    </row>
    <row r="62" spans="1:53" s="440" customFormat="1">
      <c r="A62" s="440">
        <v>2014</v>
      </c>
      <c r="B62" s="863"/>
      <c r="C62" s="916" t="s">
        <v>1245</v>
      </c>
      <c r="D62" s="916"/>
      <c r="E62" s="383">
        <v>217</v>
      </c>
      <c r="G62" s="425">
        <v>2</v>
      </c>
      <c r="I62" s="440">
        <v>4</v>
      </c>
      <c r="J62" s="427">
        <v>18</v>
      </c>
      <c r="K62" s="423">
        <f t="shared" si="10"/>
        <v>11.111111111111111</v>
      </c>
      <c r="L62" s="423">
        <f t="shared" si="11"/>
        <v>0</v>
      </c>
      <c r="M62" s="423">
        <f t="shared" si="12"/>
        <v>22.222222222222221</v>
      </c>
      <c r="N62" s="426">
        <f t="shared" si="13"/>
        <v>33.333333333333329</v>
      </c>
      <c r="O62" s="422">
        <v>15</v>
      </c>
      <c r="P62" s="423"/>
      <c r="Q62" s="423">
        <v>35</v>
      </c>
      <c r="R62" s="424">
        <f t="shared" si="9"/>
        <v>50</v>
      </c>
      <c r="S62" s="440">
        <v>5</v>
      </c>
      <c r="T62" s="838"/>
      <c r="U62" s="836"/>
      <c r="V62" s="417" t="s">
        <v>981</v>
      </c>
      <c r="W62" s="440" t="s">
        <v>116</v>
      </c>
      <c r="X62" s="440" t="s">
        <v>12</v>
      </c>
      <c r="Y62" s="418">
        <v>35</v>
      </c>
      <c r="Z62" s="440" t="s">
        <v>978</v>
      </c>
      <c r="AA62" s="440" t="s">
        <v>90</v>
      </c>
      <c r="AB62" s="440" t="s">
        <v>11</v>
      </c>
      <c r="AC62" s="440">
        <v>15</v>
      </c>
      <c r="AD62" s="417"/>
      <c r="AG62" s="418"/>
      <c r="AL62" s="417"/>
      <c r="AO62" s="418"/>
      <c r="AP62" s="417"/>
      <c r="AS62" s="418"/>
      <c r="AW62" s="418"/>
      <c r="BA62" s="419"/>
    </row>
    <row r="63" spans="1:53" s="439" customFormat="1">
      <c r="A63" s="439">
        <v>2014</v>
      </c>
      <c r="B63" s="830"/>
      <c r="C63" s="917" t="s">
        <v>1285</v>
      </c>
      <c r="D63" s="917"/>
      <c r="E63" s="142">
        <v>93</v>
      </c>
      <c r="F63" s="439">
        <v>2</v>
      </c>
      <c r="G63" s="411"/>
      <c r="J63" s="413">
        <v>17</v>
      </c>
      <c r="K63" s="409">
        <f t="shared" si="10"/>
        <v>0</v>
      </c>
      <c r="L63" s="409">
        <f t="shared" si="11"/>
        <v>0</v>
      </c>
      <c r="M63" s="409">
        <f t="shared" si="12"/>
        <v>0</v>
      </c>
      <c r="N63" s="412">
        <f t="shared" si="13"/>
        <v>0</v>
      </c>
      <c r="O63" s="408">
        <v>0</v>
      </c>
      <c r="P63" s="409">
        <v>0</v>
      </c>
      <c r="Q63" s="409">
        <v>0</v>
      </c>
      <c r="R63" s="410">
        <f t="shared" si="9"/>
        <v>0</v>
      </c>
      <c r="S63" s="439">
        <v>6</v>
      </c>
      <c r="T63" s="839"/>
      <c r="U63" s="852">
        <v>41857</v>
      </c>
      <c r="V63" s="441" t="s">
        <v>800</v>
      </c>
      <c r="Y63" s="406"/>
      <c r="AD63" s="405"/>
      <c r="AG63" s="406"/>
      <c r="AL63" s="405"/>
      <c r="AO63" s="406"/>
      <c r="AP63" s="405"/>
      <c r="AS63" s="406"/>
      <c r="AW63" s="406"/>
      <c r="BA63" s="407"/>
    </row>
    <row r="64" spans="1:53" s="531" customFormat="1">
      <c r="A64" s="531">
        <v>2014</v>
      </c>
      <c r="B64" s="863">
        <v>41950</v>
      </c>
      <c r="C64" s="916" t="s">
        <v>1286</v>
      </c>
      <c r="D64" s="916"/>
      <c r="E64" s="383">
        <v>55</v>
      </c>
      <c r="F64" s="531">
        <v>1</v>
      </c>
      <c r="G64" s="539">
        <v>19</v>
      </c>
      <c r="I64" s="531">
        <v>1</v>
      </c>
      <c r="J64" s="541">
        <v>20</v>
      </c>
      <c r="K64" s="537">
        <f t="shared" si="10"/>
        <v>95</v>
      </c>
      <c r="L64" s="537">
        <f t="shared" si="11"/>
        <v>0</v>
      </c>
      <c r="M64" s="537">
        <f t="shared" si="12"/>
        <v>5</v>
      </c>
      <c r="N64" s="540">
        <f t="shared" si="13"/>
        <v>100</v>
      </c>
      <c r="O64" s="536">
        <v>44.6</v>
      </c>
      <c r="P64" s="537"/>
      <c r="Q64" s="537">
        <v>4.5999999999999996</v>
      </c>
      <c r="R64" s="538">
        <f t="shared" si="9"/>
        <v>49.2</v>
      </c>
      <c r="S64" s="531">
        <v>5</v>
      </c>
      <c r="T64" s="838">
        <v>41917</v>
      </c>
      <c r="U64" s="836">
        <v>41950</v>
      </c>
      <c r="V64" s="532" t="s">
        <v>983</v>
      </c>
      <c r="W64" s="531" t="s">
        <v>74</v>
      </c>
      <c r="X64" s="531" t="s">
        <v>11</v>
      </c>
      <c r="Y64" s="533">
        <v>35</v>
      </c>
      <c r="Z64" s="531" t="s">
        <v>1287</v>
      </c>
      <c r="AA64" s="531" t="s">
        <v>80</v>
      </c>
      <c r="AB64" s="531" t="s">
        <v>11</v>
      </c>
      <c r="AC64" s="531">
        <v>9.6</v>
      </c>
      <c r="AD64" s="532" t="s">
        <v>1288</v>
      </c>
      <c r="AE64" s="531" t="s">
        <v>307</v>
      </c>
      <c r="AF64" s="531" t="s">
        <v>12</v>
      </c>
      <c r="AG64" s="533">
        <v>4.5999999999999996</v>
      </c>
      <c r="AL64" s="532"/>
      <c r="AO64" s="533"/>
      <c r="AP64" s="532"/>
      <c r="AS64" s="533"/>
      <c r="AW64" s="533"/>
      <c r="BA64" s="534"/>
    </row>
    <row r="65" spans="1:53" s="569" customFormat="1">
      <c r="A65" s="569">
        <v>2015</v>
      </c>
      <c r="B65" s="863"/>
      <c r="C65" s="916" t="s">
        <v>1286</v>
      </c>
      <c r="D65" s="916"/>
      <c r="E65" s="383">
        <v>351</v>
      </c>
      <c r="G65" s="539">
        <v>19</v>
      </c>
      <c r="I65" s="569">
        <v>1</v>
      </c>
      <c r="J65" s="541">
        <v>20</v>
      </c>
      <c r="K65" s="537">
        <f t="shared" si="10"/>
        <v>95</v>
      </c>
      <c r="L65" s="537">
        <f t="shared" si="11"/>
        <v>0</v>
      </c>
      <c r="M65" s="537">
        <f t="shared" si="12"/>
        <v>5</v>
      </c>
      <c r="N65" s="540">
        <f t="shared" si="13"/>
        <v>100</v>
      </c>
      <c r="O65" s="536">
        <v>44.6</v>
      </c>
      <c r="P65" s="537"/>
      <c r="Q65" s="537">
        <v>4.5999999999999996</v>
      </c>
      <c r="R65" s="538">
        <f t="shared" ref="R65" si="14">SUM(O65:Q65)</f>
        <v>49.2</v>
      </c>
      <c r="S65" s="569">
        <v>5</v>
      </c>
      <c r="T65" s="838"/>
      <c r="U65" s="836"/>
      <c r="V65" s="532" t="s">
        <v>983</v>
      </c>
      <c r="W65" s="569" t="s">
        <v>74</v>
      </c>
      <c r="X65" s="569" t="s">
        <v>11</v>
      </c>
      <c r="Y65" s="533">
        <v>35</v>
      </c>
      <c r="Z65" s="569" t="s">
        <v>1287</v>
      </c>
      <c r="AA65" s="569" t="s">
        <v>80</v>
      </c>
      <c r="AB65" s="569" t="s">
        <v>11</v>
      </c>
      <c r="AC65" s="569">
        <v>9.6</v>
      </c>
      <c r="AD65" s="532" t="s">
        <v>1288</v>
      </c>
      <c r="AE65" s="569" t="s">
        <v>307</v>
      </c>
      <c r="AF65" s="569" t="s">
        <v>12</v>
      </c>
      <c r="AG65" s="533">
        <v>4.5999999999999996</v>
      </c>
      <c r="AL65" s="532"/>
      <c r="AO65" s="533"/>
      <c r="AP65" s="532"/>
      <c r="AS65" s="533"/>
      <c r="AW65" s="533"/>
      <c r="BA65" s="534"/>
    </row>
    <row r="66" spans="1:53" s="569" customFormat="1">
      <c r="A66" s="569">
        <v>2015</v>
      </c>
      <c r="B66" s="862">
        <v>42356</v>
      </c>
      <c r="C66" s="916" t="s">
        <v>1286</v>
      </c>
      <c r="D66" s="916"/>
      <c r="E66" s="383">
        <v>14</v>
      </c>
      <c r="F66" s="428">
        <v>0</v>
      </c>
      <c r="G66" s="539">
        <v>18</v>
      </c>
      <c r="I66" s="569">
        <v>1</v>
      </c>
      <c r="J66" s="541">
        <v>20</v>
      </c>
      <c r="K66" s="537">
        <f t="shared" si="10"/>
        <v>90</v>
      </c>
      <c r="L66" s="537">
        <f t="shared" si="11"/>
        <v>0</v>
      </c>
      <c r="M66" s="537">
        <f t="shared" si="12"/>
        <v>5</v>
      </c>
      <c r="N66" s="540">
        <f t="shared" si="13"/>
        <v>95</v>
      </c>
      <c r="O66" s="536">
        <v>44.6</v>
      </c>
      <c r="P66" s="537"/>
      <c r="Q66" s="537">
        <v>4.5999999999999996</v>
      </c>
      <c r="R66" s="538">
        <f>SUM(O66:Q66)</f>
        <v>49.2</v>
      </c>
      <c r="S66" s="569">
        <v>5</v>
      </c>
      <c r="T66" s="838"/>
      <c r="U66" s="836"/>
      <c r="V66" s="532" t="s">
        <v>983</v>
      </c>
      <c r="W66" s="569" t="s">
        <v>74</v>
      </c>
      <c r="X66" s="569" t="s">
        <v>11</v>
      </c>
      <c r="Y66" s="533">
        <v>35</v>
      </c>
      <c r="Z66" s="569" t="s">
        <v>1287</v>
      </c>
      <c r="AA66" s="569" t="s">
        <v>80</v>
      </c>
      <c r="AB66" s="569" t="s">
        <v>11</v>
      </c>
      <c r="AC66" s="569">
        <v>9.6</v>
      </c>
      <c r="AD66" s="532" t="s">
        <v>1288</v>
      </c>
      <c r="AE66" s="569" t="s">
        <v>307</v>
      </c>
      <c r="AF66" s="569" t="s">
        <v>12</v>
      </c>
      <c r="AG66" s="533">
        <v>4.5999999999999996</v>
      </c>
      <c r="AL66" s="532"/>
      <c r="AO66" s="533"/>
      <c r="AP66" s="532"/>
      <c r="AS66" s="533"/>
      <c r="AW66" s="533"/>
      <c r="BA66" s="534"/>
    </row>
    <row r="67" spans="1:53" s="647" customFormat="1">
      <c r="A67" s="647">
        <v>2016</v>
      </c>
      <c r="B67" s="836"/>
      <c r="C67" s="916" t="s">
        <v>1286</v>
      </c>
      <c r="D67" s="916"/>
      <c r="E67" s="383">
        <v>77</v>
      </c>
      <c r="F67" s="428"/>
      <c r="G67" s="539">
        <v>18</v>
      </c>
      <c r="I67" s="647">
        <v>1</v>
      </c>
      <c r="J67" s="541">
        <v>20</v>
      </c>
      <c r="K67" s="536">
        <f t="shared" si="10"/>
        <v>90</v>
      </c>
      <c r="L67" s="537">
        <f t="shared" si="11"/>
        <v>0</v>
      </c>
      <c r="M67" s="537">
        <f t="shared" si="12"/>
        <v>5</v>
      </c>
      <c r="N67" s="538">
        <f t="shared" si="13"/>
        <v>95</v>
      </c>
      <c r="O67" s="536">
        <v>44.6</v>
      </c>
      <c r="P67" s="537"/>
      <c r="Q67" s="537">
        <v>4.5999999999999996</v>
      </c>
      <c r="R67" s="538">
        <f t="shared" ref="R67:R71" si="15">SUM(O67:Q67)</f>
        <v>49.2</v>
      </c>
      <c r="S67" s="647">
        <v>5</v>
      </c>
      <c r="T67" s="838"/>
      <c r="U67" s="836"/>
      <c r="V67" s="532" t="s">
        <v>983</v>
      </c>
      <c r="W67" s="647" t="s">
        <v>74</v>
      </c>
      <c r="X67" s="647" t="s">
        <v>11</v>
      </c>
      <c r="Y67" s="533">
        <v>35</v>
      </c>
      <c r="Z67" s="647" t="s">
        <v>1287</v>
      </c>
      <c r="AA67" s="647" t="s">
        <v>80</v>
      </c>
      <c r="AB67" s="647" t="s">
        <v>11</v>
      </c>
      <c r="AC67" s="647">
        <v>9.6</v>
      </c>
      <c r="AD67" s="532" t="s">
        <v>1288</v>
      </c>
      <c r="AE67" s="647" t="s">
        <v>307</v>
      </c>
      <c r="AF67" s="647" t="s">
        <v>12</v>
      </c>
      <c r="AG67" s="533">
        <v>4.5999999999999996</v>
      </c>
    </row>
    <row r="68" spans="1:53" s="647" customFormat="1">
      <c r="A68" s="647">
        <v>2016</v>
      </c>
      <c r="B68" s="862">
        <v>42447</v>
      </c>
      <c r="C68" s="916" t="s">
        <v>1286</v>
      </c>
      <c r="D68" s="916"/>
      <c r="E68" s="383">
        <v>289</v>
      </c>
      <c r="F68" s="428">
        <v>0</v>
      </c>
      <c r="G68" s="539">
        <v>17</v>
      </c>
      <c r="J68" s="541">
        <v>18</v>
      </c>
      <c r="K68" s="536">
        <f t="shared" ref="K68:K69" si="16">G68/J68*100</f>
        <v>94.444444444444443</v>
      </c>
      <c r="L68" s="537">
        <f t="shared" ref="L68:L69" si="17">H68/J68*100</f>
        <v>0</v>
      </c>
      <c r="M68" s="537">
        <f t="shared" ref="M68:M69" si="18">I68/J68*100</f>
        <v>0</v>
      </c>
      <c r="N68" s="538">
        <f t="shared" ref="N68:N69" si="19">SUM(K68:M68)</f>
        <v>94.444444444444443</v>
      </c>
      <c r="O68" s="536">
        <v>44.6</v>
      </c>
      <c r="P68" s="537"/>
      <c r="Q68" s="537">
        <v>4.5999999999999996</v>
      </c>
      <c r="R68" s="538">
        <f t="shared" si="15"/>
        <v>49.2</v>
      </c>
      <c r="S68" s="647">
        <v>5</v>
      </c>
      <c r="T68" s="838"/>
      <c r="U68" s="836"/>
      <c r="V68" s="532" t="s">
        <v>983</v>
      </c>
      <c r="W68" s="647" t="s">
        <v>74</v>
      </c>
      <c r="X68" s="647" t="s">
        <v>11</v>
      </c>
      <c r="Y68" s="533">
        <v>35</v>
      </c>
      <c r="Z68" s="647" t="s">
        <v>1287</v>
      </c>
      <c r="AA68" s="647" t="s">
        <v>80</v>
      </c>
      <c r="AB68" s="647" t="s">
        <v>11</v>
      </c>
      <c r="AC68" s="647">
        <v>9.6</v>
      </c>
      <c r="AD68" s="532" t="s">
        <v>1288</v>
      </c>
      <c r="AE68" s="647" t="s">
        <v>307</v>
      </c>
      <c r="AF68" s="647" t="s">
        <v>12</v>
      </c>
      <c r="AG68" s="533">
        <v>4.5999999999999996</v>
      </c>
    </row>
    <row r="69" spans="1:53" s="722" customFormat="1">
      <c r="A69" s="722">
        <v>2017</v>
      </c>
      <c r="B69" s="862"/>
      <c r="C69" s="916" t="s">
        <v>1286</v>
      </c>
      <c r="D69" s="916"/>
      <c r="E69" s="383">
        <v>26</v>
      </c>
      <c r="F69" s="751">
        <v>2</v>
      </c>
      <c r="G69" s="539">
        <v>17</v>
      </c>
      <c r="J69" s="541">
        <v>18</v>
      </c>
      <c r="K69" s="536">
        <f t="shared" si="16"/>
        <v>94.444444444444443</v>
      </c>
      <c r="L69" s="537">
        <f t="shared" si="17"/>
        <v>0</v>
      </c>
      <c r="M69" s="537">
        <f t="shared" si="18"/>
        <v>0</v>
      </c>
      <c r="N69" s="538">
        <f t="shared" si="19"/>
        <v>94.444444444444443</v>
      </c>
      <c r="O69" s="536">
        <v>44.6</v>
      </c>
      <c r="P69" s="537"/>
      <c r="Q69" s="537">
        <v>4.5999999999999996</v>
      </c>
      <c r="R69" s="538">
        <f t="shared" si="15"/>
        <v>49.2</v>
      </c>
      <c r="S69" s="722">
        <v>5</v>
      </c>
      <c r="T69" s="838"/>
      <c r="U69" s="836"/>
      <c r="V69" s="532" t="s">
        <v>983</v>
      </c>
      <c r="W69" s="722" t="s">
        <v>74</v>
      </c>
      <c r="X69" s="722" t="s">
        <v>11</v>
      </c>
      <c r="Y69" s="533">
        <v>35</v>
      </c>
      <c r="Z69" s="722" t="s">
        <v>1287</v>
      </c>
      <c r="AA69" s="722" t="s">
        <v>80</v>
      </c>
      <c r="AB69" s="722" t="s">
        <v>11</v>
      </c>
      <c r="AC69" s="722">
        <v>9.6</v>
      </c>
      <c r="AD69" s="532" t="s">
        <v>1288</v>
      </c>
      <c r="AE69" s="722" t="s">
        <v>307</v>
      </c>
      <c r="AF69" s="722" t="s">
        <v>12</v>
      </c>
      <c r="AG69" s="533">
        <v>4.5999999999999996</v>
      </c>
    </row>
    <row r="70" spans="1:53" s="723" customFormat="1">
      <c r="A70" s="723">
        <v>2017</v>
      </c>
      <c r="B70" s="851">
        <v>42762</v>
      </c>
      <c r="C70" s="917" t="s">
        <v>1370</v>
      </c>
      <c r="D70" s="917"/>
      <c r="E70" s="142">
        <v>97</v>
      </c>
      <c r="F70" s="723">
        <v>2</v>
      </c>
      <c r="G70" s="498"/>
      <c r="I70" s="723">
        <v>1</v>
      </c>
      <c r="J70" s="500">
        <v>20</v>
      </c>
      <c r="K70" s="495">
        <f t="shared" ref="K70" si="20">G70/J70*100</f>
        <v>0</v>
      </c>
      <c r="L70" s="496">
        <f t="shared" ref="L70" si="21">H70/J70*100</f>
        <v>0</v>
      </c>
      <c r="M70" s="496">
        <f t="shared" ref="M70" si="22">I70/J70*100</f>
        <v>5</v>
      </c>
      <c r="N70" s="497">
        <f t="shared" ref="N70" si="23">SUM(K70:M70)</f>
        <v>5</v>
      </c>
      <c r="O70" s="495">
        <v>0</v>
      </c>
      <c r="P70" s="496">
        <v>0</v>
      </c>
      <c r="Q70" s="496">
        <v>0</v>
      </c>
      <c r="R70" s="497">
        <f t="shared" si="15"/>
        <v>0</v>
      </c>
      <c r="S70" s="723">
        <v>6</v>
      </c>
      <c r="T70" s="839"/>
      <c r="U70" s="852">
        <v>42762</v>
      </c>
      <c r="V70" s="492" t="s">
        <v>969</v>
      </c>
      <c r="W70" s="723" t="s">
        <v>98</v>
      </c>
      <c r="X70" s="723" t="s">
        <v>12</v>
      </c>
      <c r="Y70" s="493">
        <v>5</v>
      </c>
      <c r="AD70" s="492"/>
      <c r="AG70" s="493"/>
    </row>
    <row r="71" spans="1:53" s="722" customFormat="1">
      <c r="A71" s="722">
        <v>2017</v>
      </c>
      <c r="B71" s="850">
        <v>42859</v>
      </c>
      <c r="C71" s="916" t="s">
        <v>1369</v>
      </c>
      <c r="D71" s="916"/>
      <c r="E71" s="383">
        <v>242</v>
      </c>
      <c r="F71" s="722">
        <v>1</v>
      </c>
      <c r="G71" s="539">
        <v>21</v>
      </c>
      <c r="J71" s="541">
        <v>21</v>
      </c>
      <c r="K71" s="536">
        <f t="shared" ref="K71:K73" si="24">G71/J71*100</f>
        <v>100</v>
      </c>
      <c r="L71" s="537">
        <f t="shared" ref="L71:L73" si="25">H71/J71*100</f>
        <v>0</v>
      </c>
      <c r="M71" s="537">
        <f t="shared" ref="M71:M73" si="26">I71/J71*100</f>
        <v>0</v>
      </c>
      <c r="N71" s="538">
        <f t="shared" ref="N71:N73" si="27">SUM(K71:M71)</f>
        <v>100</v>
      </c>
      <c r="O71" s="536">
        <v>50.9</v>
      </c>
      <c r="P71" s="537">
        <v>0</v>
      </c>
      <c r="Q71" s="537">
        <v>0</v>
      </c>
      <c r="R71" s="538">
        <f t="shared" si="15"/>
        <v>50.9</v>
      </c>
      <c r="S71" s="722">
        <v>2</v>
      </c>
      <c r="T71" s="838">
        <v>42820</v>
      </c>
      <c r="U71" s="836">
        <v>42859</v>
      </c>
      <c r="V71" s="532" t="s">
        <v>983</v>
      </c>
      <c r="W71" s="722" t="s">
        <v>74</v>
      </c>
      <c r="X71" s="722" t="s">
        <v>11</v>
      </c>
      <c r="Y71" s="533">
        <v>39.6</v>
      </c>
      <c r="Z71" s="722" t="s">
        <v>1371</v>
      </c>
      <c r="AA71" s="722" t="s">
        <v>1140</v>
      </c>
      <c r="AB71" s="722" t="s">
        <v>11</v>
      </c>
      <c r="AC71" s="722">
        <v>11.3</v>
      </c>
      <c r="AD71" s="532"/>
      <c r="AG71" s="533"/>
    </row>
    <row r="72" spans="1:53" s="759" customFormat="1">
      <c r="A72" s="759">
        <v>2018</v>
      </c>
      <c r="B72" s="850"/>
      <c r="C72" s="916" t="s">
        <v>1369</v>
      </c>
      <c r="D72" s="916"/>
      <c r="E72" s="383">
        <v>354</v>
      </c>
      <c r="G72" s="539">
        <v>21</v>
      </c>
      <c r="J72" s="541">
        <v>21</v>
      </c>
      <c r="K72" s="536">
        <f t="shared" si="24"/>
        <v>100</v>
      </c>
      <c r="L72" s="537">
        <f t="shared" si="25"/>
        <v>0</v>
      </c>
      <c r="M72" s="537">
        <f t="shared" si="26"/>
        <v>0</v>
      </c>
      <c r="N72" s="538">
        <f t="shared" si="27"/>
        <v>100</v>
      </c>
      <c r="O72" s="536">
        <v>50.9</v>
      </c>
      <c r="P72" s="537">
        <v>0</v>
      </c>
      <c r="Q72" s="537">
        <v>0</v>
      </c>
      <c r="R72" s="538">
        <f t="shared" ref="R72:R73" si="28">SUM(O72:Q72)</f>
        <v>50.9</v>
      </c>
      <c r="S72" s="759">
        <v>2</v>
      </c>
      <c r="T72" s="838"/>
      <c r="U72" s="836"/>
      <c r="V72" s="532" t="s">
        <v>983</v>
      </c>
      <c r="W72" s="759" t="s">
        <v>74</v>
      </c>
      <c r="X72" s="759" t="s">
        <v>11</v>
      </c>
      <c r="Y72" s="533">
        <v>39.6</v>
      </c>
      <c r="Z72" s="759" t="s">
        <v>1371</v>
      </c>
      <c r="AA72" s="759" t="s">
        <v>1140</v>
      </c>
      <c r="AB72" s="759" t="s">
        <v>11</v>
      </c>
      <c r="AC72" s="759">
        <v>11.3</v>
      </c>
      <c r="AD72" s="532"/>
      <c r="AG72" s="533"/>
    </row>
    <row r="73" spans="1:53" s="759" customFormat="1">
      <c r="A73" s="759">
        <v>2018</v>
      </c>
      <c r="B73" s="862">
        <v>43455</v>
      </c>
      <c r="C73" s="916" t="s">
        <v>1369</v>
      </c>
      <c r="D73" s="916"/>
      <c r="E73" s="383">
        <v>11</v>
      </c>
      <c r="F73" s="428">
        <v>0</v>
      </c>
      <c r="G73" s="539">
        <v>20</v>
      </c>
      <c r="J73" s="541">
        <v>20</v>
      </c>
      <c r="K73" s="536">
        <f t="shared" si="24"/>
        <v>100</v>
      </c>
      <c r="L73" s="537">
        <f t="shared" si="25"/>
        <v>0</v>
      </c>
      <c r="M73" s="537">
        <f t="shared" si="26"/>
        <v>0</v>
      </c>
      <c r="N73" s="538">
        <f t="shared" si="27"/>
        <v>100</v>
      </c>
      <c r="O73" s="536">
        <v>50.9</v>
      </c>
      <c r="P73" s="537">
        <v>0</v>
      </c>
      <c r="Q73" s="537">
        <v>0</v>
      </c>
      <c r="R73" s="538">
        <f t="shared" si="28"/>
        <v>50.9</v>
      </c>
      <c r="S73" s="759">
        <v>2</v>
      </c>
      <c r="T73" s="838"/>
      <c r="U73" s="836"/>
      <c r="V73" s="532" t="s">
        <v>983</v>
      </c>
      <c r="W73" s="759" t="s">
        <v>74</v>
      </c>
      <c r="X73" s="759" t="s">
        <v>11</v>
      </c>
      <c r="Y73" s="533">
        <v>39.6</v>
      </c>
      <c r="Z73" s="759" t="s">
        <v>1371</v>
      </c>
      <c r="AA73" s="759" t="s">
        <v>1140</v>
      </c>
      <c r="AB73" s="759" t="s">
        <v>11</v>
      </c>
      <c r="AC73" s="759">
        <v>11.3</v>
      </c>
      <c r="AD73" s="532"/>
      <c r="AG73" s="533"/>
    </row>
    <row r="74" spans="1:53" s="786" customFormat="1">
      <c r="A74" s="786">
        <v>2019</v>
      </c>
      <c r="B74" s="862"/>
      <c r="C74" s="916" t="s">
        <v>1369</v>
      </c>
      <c r="D74" s="916"/>
      <c r="E74" s="383">
        <v>0</v>
      </c>
      <c r="F74" s="428"/>
      <c r="G74" s="539">
        <v>20</v>
      </c>
      <c r="J74" s="541">
        <v>20</v>
      </c>
      <c r="K74" s="536">
        <f t="shared" ref="K74:K75" si="29">G74/J74*100</f>
        <v>100</v>
      </c>
      <c r="L74" s="537">
        <f t="shared" ref="L74:L75" si="30">H74/J74*100</f>
        <v>0</v>
      </c>
      <c r="M74" s="537">
        <f t="shared" ref="M74:M75" si="31">I74/J74*100</f>
        <v>0</v>
      </c>
      <c r="N74" s="538">
        <f t="shared" ref="N74:N75" si="32">SUM(K74:M74)</f>
        <v>100</v>
      </c>
      <c r="O74" s="536">
        <v>50.9</v>
      </c>
      <c r="P74" s="537">
        <v>0</v>
      </c>
      <c r="Q74" s="537">
        <v>0</v>
      </c>
      <c r="R74" s="538">
        <f t="shared" ref="R74:R75" si="33">SUM(O74:Q74)</f>
        <v>50.9</v>
      </c>
      <c r="S74" s="786">
        <v>2</v>
      </c>
      <c r="T74" s="838"/>
      <c r="U74" s="836"/>
      <c r="V74" s="532" t="s">
        <v>983</v>
      </c>
      <c r="W74" s="786" t="s">
        <v>74</v>
      </c>
      <c r="X74" s="786" t="s">
        <v>11</v>
      </c>
      <c r="Y74" s="533">
        <v>39.6</v>
      </c>
      <c r="Z74" s="821" t="s">
        <v>1371</v>
      </c>
      <c r="AA74" s="821" t="s">
        <v>1140</v>
      </c>
      <c r="AB74" s="821" t="s">
        <v>11</v>
      </c>
      <c r="AC74" s="821">
        <v>11.3</v>
      </c>
      <c r="AD74" s="532"/>
      <c r="AE74" s="821"/>
      <c r="AF74" s="821"/>
      <c r="AG74" s="533"/>
    </row>
    <row r="75" spans="1:53" s="786" customFormat="1">
      <c r="A75" s="786">
        <v>2019</v>
      </c>
      <c r="B75" s="862"/>
      <c r="C75" s="916" t="s">
        <v>1369</v>
      </c>
      <c r="D75" s="916"/>
      <c r="E75" s="383">
        <v>365</v>
      </c>
      <c r="F75" s="428"/>
      <c r="G75" s="539">
        <v>20</v>
      </c>
      <c r="J75" s="541">
        <v>20</v>
      </c>
      <c r="K75" s="536">
        <f t="shared" si="29"/>
        <v>100</v>
      </c>
      <c r="L75" s="537">
        <f t="shared" si="30"/>
        <v>0</v>
      </c>
      <c r="M75" s="537">
        <f t="shared" si="31"/>
        <v>0</v>
      </c>
      <c r="N75" s="538">
        <f t="shared" si="32"/>
        <v>100</v>
      </c>
      <c r="O75" s="536">
        <v>50.9</v>
      </c>
      <c r="P75" s="537">
        <v>0</v>
      </c>
      <c r="Q75" s="537">
        <v>0</v>
      </c>
      <c r="R75" s="538">
        <f t="shared" si="33"/>
        <v>50.9</v>
      </c>
      <c r="S75" s="786">
        <v>2</v>
      </c>
      <c r="T75" s="838"/>
      <c r="U75" s="836"/>
      <c r="V75" s="532" t="s">
        <v>983</v>
      </c>
      <c r="W75" s="786" t="s">
        <v>74</v>
      </c>
      <c r="X75" s="786" t="s">
        <v>11</v>
      </c>
      <c r="Y75" s="533">
        <v>39.6</v>
      </c>
      <c r="Z75" s="821" t="s">
        <v>1371</v>
      </c>
      <c r="AA75" s="821" t="s">
        <v>1140</v>
      </c>
      <c r="AB75" s="821" t="s">
        <v>11</v>
      </c>
      <c r="AC75" s="821">
        <v>11.3</v>
      </c>
      <c r="AD75" s="532"/>
      <c r="AE75" s="821"/>
      <c r="AF75" s="821"/>
      <c r="AG75" s="533"/>
    </row>
    <row r="76" spans="1:53" s="724" customFormat="1">
      <c r="E76" s="60"/>
    </row>
    <row r="77" spans="1:53">
      <c r="B77" s="2"/>
      <c r="C77" s="2"/>
      <c r="D77" s="2"/>
      <c r="E77" s="2"/>
      <c r="F77" s="2"/>
      <c r="G77" s="2"/>
      <c r="H77" s="2"/>
      <c r="I77" s="2"/>
      <c r="J77" s="2"/>
      <c r="K77" s="2"/>
      <c r="L77" s="2"/>
      <c r="M77" s="2"/>
      <c r="N77" s="2"/>
    </row>
    <row r="78" spans="1:53" s="2" customFormat="1" ht="18" customHeight="1">
      <c r="B78" s="22" t="s">
        <v>1269</v>
      </c>
    </row>
    <row r="79" spans="1:53" s="2" customFormat="1" ht="9" customHeight="1"/>
    <row r="80" spans="1:53" s="317" customFormat="1" ht="9" customHeight="1">
      <c r="A80" s="315"/>
      <c r="B80" s="316" t="s">
        <v>1220</v>
      </c>
      <c r="C80" s="316"/>
      <c r="D80" s="316"/>
      <c r="E80" s="316"/>
      <c r="F80" s="316"/>
      <c r="G80" s="316" t="s">
        <v>1221</v>
      </c>
      <c r="H80" s="316"/>
      <c r="I80" s="316"/>
      <c r="J80" s="316"/>
      <c r="K80" s="316"/>
      <c r="L80" s="316"/>
      <c r="M80" s="316"/>
      <c r="N80" s="316"/>
      <c r="R80" s="895" t="s">
        <v>1222</v>
      </c>
      <c r="S80" s="895"/>
      <c r="T80" s="895"/>
      <c r="U80" s="895"/>
      <c r="V80" s="895"/>
      <c r="W80" s="895"/>
      <c r="X80" s="318"/>
      <c r="Y80" s="318"/>
      <c r="AA80" s="318"/>
      <c r="AB80" s="318"/>
      <c r="AC80" s="318"/>
      <c r="AD80" s="318"/>
    </row>
    <row r="81" spans="1:30" s="322" customFormat="1" ht="9" customHeight="1">
      <c r="A81" s="319"/>
      <c r="B81" s="320" t="s">
        <v>1224</v>
      </c>
      <c r="C81" s="321"/>
      <c r="D81" s="321"/>
      <c r="E81" s="321"/>
      <c r="F81" s="321"/>
      <c r="G81" s="320" t="s">
        <v>1223</v>
      </c>
      <c r="H81" s="321"/>
      <c r="I81" s="321"/>
      <c r="J81" s="321"/>
      <c r="K81" s="321"/>
      <c r="L81" s="321"/>
      <c r="M81" s="321"/>
      <c r="N81" s="321"/>
      <c r="R81" s="323" t="s">
        <v>1225</v>
      </c>
      <c r="S81" s="324"/>
      <c r="T81" s="325"/>
      <c r="U81" s="325"/>
      <c r="V81" s="325"/>
      <c r="W81" s="323" t="s">
        <v>1226</v>
      </c>
      <c r="X81" s="325"/>
      <c r="Y81" s="325"/>
      <c r="AA81" s="325"/>
      <c r="AB81" s="325"/>
      <c r="AC81" s="325"/>
      <c r="AD81" s="325"/>
    </row>
    <row r="82" spans="1:30" s="307" customFormat="1" ht="12" customHeight="1">
      <c r="A82" s="326" t="s">
        <v>3</v>
      </c>
      <c r="B82" s="327" t="s">
        <v>8</v>
      </c>
      <c r="C82" s="327" t="s">
        <v>9</v>
      </c>
      <c r="D82" s="327" t="s">
        <v>10</v>
      </c>
      <c r="E82" s="328" t="s">
        <v>1200</v>
      </c>
      <c r="F82" s="327"/>
      <c r="G82" s="307" t="s">
        <v>3</v>
      </c>
      <c r="H82" s="896" t="s">
        <v>0</v>
      </c>
      <c r="I82" s="896"/>
      <c r="J82" s="896" t="s">
        <v>1</v>
      </c>
      <c r="K82" s="896"/>
      <c r="L82" s="896" t="s">
        <v>2</v>
      </c>
      <c r="M82" s="896"/>
      <c r="N82" s="897" t="s">
        <v>1200</v>
      </c>
      <c r="O82" s="897"/>
      <c r="P82" s="329"/>
      <c r="Q82" s="329"/>
      <c r="R82" s="330" t="s">
        <v>3</v>
      </c>
      <c r="S82" s="331" t="s">
        <v>136</v>
      </c>
      <c r="T82" s="329" t="s">
        <v>134</v>
      </c>
      <c r="U82" s="327" t="s">
        <v>135</v>
      </c>
      <c r="V82" s="329"/>
      <c r="W82" s="332" t="s">
        <v>26</v>
      </c>
    </row>
    <row r="83" spans="1:30" ht="9" customHeight="1">
      <c r="A83" s="1">
        <v>1990</v>
      </c>
      <c r="B83" s="8">
        <f>(K7*($E7/103))+(K8*($E8/103))</f>
        <v>6.7421790722761603</v>
      </c>
      <c r="C83" s="8">
        <f>(L7*($E7/103))+(L8*($E8/103))</f>
        <v>0</v>
      </c>
      <c r="D83" s="8">
        <f>(M7*($E7/103))+(M8*($E8/103))</f>
        <v>86.515641855447683</v>
      </c>
      <c r="E83" s="63">
        <f>SUM(B83:D83)</f>
        <v>93.257820927723841</v>
      </c>
      <c r="G83" s="1">
        <v>1990</v>
      </c>
      <c r="H83" s="933">
        <f>(O7/$R7*100*($E7/103))+(O8/$R8*100*($E8/103))</f>
        <v>10.473287879263935</v>
      </c>
      <c r="I83" s="933"/>
      <c r="J83" s="933">
        <f>(P7/$R7*100*($E7/103))+(P8/$R8*100*($E8/103))</f>
        <v>0</v>
      </c>
      <c r="K83" s="933"/>
      <c r="L83" s="933">
        <f>(Q7/$R7*100*($E7/103))+(Q8/$R8*100*($E8/103))</f>
        <v>89.526712120736065</v>
      </c>
      <c r="M83" s="933"/>
      <c r="N83" s="934">
        <f t="shared" ref="N83:N105" si="34">SUM(H83:M83)</f>
        <v>100</v>
      </c>
      <c r="O83" s="934"/>
      <c r="R83" s="1">
        <v>1990</v>
      </c>
      <c r="S83" s="8">
        <f>(O7*($E7/103))+(O8*($E8/103))</f>
        <v>9.7087378640776691</v>
      </c>
      <c r="T83" s="8">
        <f>(P7*($E7/103))+(P8*($E8/103))</f>
        <v>0</v>
      </c>
      <c r="U83" s="8">
        <f>(Q7*($E7/103))+(Q8*($E8/103))</f>
        <v>52.7</v>
      </c>
      <c r="W83" s="7">
        <f>SUM(S83:U83)</f>
        <v>62.408737864077672</v>
      </c>
      <c r="Y83" s="72" t="s">
        <v>1145</v>
      </c>
    </row>
    <row r="84" spans="1:30" ht="9" customHeight="1">
      <c r="A84" s="1">
        <v>1991</v>
      </c>
      <c r="B84" s="8">
        <f>(K9*($E9/365))+(K10*($E10/365))</f>
        <v>38.462709284627095</v>
      </c>
      <c r="C84" s="8">
        <f>(L9*($E9/365))+(L10*($E10/365))</f>
        <v>0</v>
      </c>
      <c r="D84" s="8">
        <f>(M9*($E9/365))+(M10*($E10/365))</f>
        <v>37.86910197869102</v>
      </c>
      <c r="E84" s="63">
        <f t="shared" ref="E84:E105" si="35">SUM(B84:D84)</f>
        <v>76.331811263318116</v>
      </c>
      <c r="G84" s="1">
        <v>1991</v>
      </c>
      <c r="H84" s="918">
        <f>(O9/$R9*100*($E9/365))+(O10/$R10*100*($E10/365))</f>
        <v>51.560638973858815</v>
      </c>
      <c r="I84" s="918"/>
      <c r="J84" s="918">
        <f>(P9/$R9*100*($E9/365))+(P10/$R10*100*($E10/365))</f>
        <v>0</v>
      </c>
      <c r="K84" s="918"/>
      <c r="L84" s="918">
        <f>(Q9/$R9*100*($E9/365))+(Q10/$R10*100*($E10/365))</f>
        <v>48.439361026141185</v>
      </c>
      <c r="M84" s="918"/>
      <c r="N84" s="919">
        <f t="shared" si="34"/>
        <v>100</v>
      </c>
      <c r="O84" s="919"/>
      <c r="R84" s="1">
        <v>1991</v>
      </c>
      <c r="S84" s="8">
        <f>(O9*($E9/365))+(O10*($E10/365))</f>
        <v>40.872876712328775</v>
      </c>
      <c r="T84" s="8">
        <f>(P9*($E9/365))+(P10*($E10/365))</f>
        <v>0</v>
      </c>
      <c r="U84" s="8">
        <f>(Q9*($E9/365))+(Q10*($E10/365))</f>
        <v>44.903287671232881</v>
      </c>
      <c r="W84" s="7">
        <f t="shared" ref="W84:W106" si="36">SUM(S84:U84)</f>
        <v>85.77616438356165</v>
      </c>
    </row>
    <row r="85" spans="1:30" ht="9" customHeight="1">
      <c r="A85" s="1">
        <v>1992</v>
      </c>
      <c r="B85" s="8">
        <f>(K11*($E11/366))+(K12*($E12/366))</f>
        <v>99.453551912568301</v>
      </c>
      <c r="C85" s="8">
        <f>(L11*($E11/366))+(L12*($E12/366))</f>
        <v>0</v>
      </c>
      <c r="D85" s="8">
        <f>(M11*($E11/366))+(M12*($E12/366))</f>
        <v>0</v>
      </c>
      <c r="E85" s="63">
        <f t="shared" si="35"/>
        <v>99.453551912568301</v>
      </c>
      <c r="G85" s="1">
        <v>1992</v>
      </c>
      <c r="H85" s="918">
        <f>(O11/$R11*100*($E11/366))</f>
        <v>99.453551912568301</v>
      </c>
      <c r="I85" s="918"/>
      <c r="J85" s="918">
        <f>(P11/$R11*100*($E11/366))</f>
        <v>0</v>
      </c>
      <c r="K85" s="918"/>
      <c r="L85" s="918">
        <f>(Q11/$R11*100*($E11/366))</f>
        <v>0</v>
      </c>
      <c r="M85" s="918"/>
      <c r="N85" s="919">
        <f t="shared" si="34"/>
        <v>99.453551912568301</v>
      </c>
      <c r="O85" s="919"/>
      <c r="R85" s="1">
        <v>1992</v>
      </c>
      <c r="S85" s="8">
        <f>(O11*($E11/366))+(O12*($E12/366))</f>
        <v>45.649180327868848</v>
      </c>
      <c r="T85" s="8">
        <f>(P11*($E11/366))+(P12*($E12/366))</f>
        <v>0</v>
      </c>
      <c r="U85" s="8">
        <f>(Q11*($E11/366))+(Q12*($E12/366))</f>
        <v>0</v>
      </c>
      <c r="W85" s="7">
        <f t="shared" si="36"/>
        <v>45.649180327868848</v>
      </c>
    </row>
    <row r="86" spans="1:30" ht="9" customHeight="1">
      <c r="A86" s="1">
        <v>1993</v>
      </c>
      <c r="B86" s="8">
        <f>(K13*($E13/365))+(K14*($E14/365))</f>
        <v>0</v>
      </c>
      <c r="C86" s="8">
        <f>(L13*($E13/365))+(L14*($E14/365))</f>
        <v>0</v>
      </c>
      <c r="D86" s="8">
        <f>(M13*($E13/365))+(M14*($E14/365))</f>
        <v>0</v>
      </c>
      <c r="E86" s="63">
        <f t="shared" si="35"/>
        <v>0</v>
      </c>
      <c r="G86" s="1">
        <v>1993</v>
      </c>
      <c r="H86" s="928">
        <v>0</v>
      </c>
      <c r="I86" s="928"/>
      <c r="J86" s="928">
        <v>0</v>
      </c>
      <c r="K86" s="928"/>
      <c r="L86" s="928">
        <v>0</v>
      </c>
      <c r="M86" s="928"/>
      <c r="N86" s="919">
        <f t="shared" si="34"/>
        <v>0</v>
      </c>
      <c r="O86" s="919"/>
      <c r="R86" s="1">
        <v>1993</v>
      </c>
      <c r="S86" s="8">
        <f>(O13*($E13/365))+(O14*($E14/365))</f>
        <v>0</v>
      </c>
      <c r="T86" s="8">
        <f>(P13*($E13/365))+(P14*($E14/365))</f>
        <v>0</v>
      </c>
      <c r="U86" s="8">
        <f>(Q13*($E13/365))+(Q14*($E14/365))</f>
        <v>0</v>
      </c>
      <c r="W86" s="7">
        <f t="shared" si="36"/>
        <v>0</v>
      </c>
    </row>
    <row r="87" spans="1:30" ht="9" customHeight="1">
      <c r="A87" s="1">
        <v>1994</v>
      </c>
      <c r="B87" s="8">
        <f>(K15*($E15/365))+(K16*($E16/365))</f>
        <v>0</v>
      </c>
      <c r="C87" s="8">
        <f>(L15*($E15/365))+(L16*($E16/365))</f>
        <v>0</v>
      </c>
      <c r="D87" s="8">
        <f>(M15*($E15/365))+(M16*($E16/365))</f>
        <v>0</v>
      </c>
      <c r="E87" s="63">
        <f t="shared" si="35"/>
        <v>0</v>
      </c>
      <c r="G87" s="1">
        <v>1994</v>
      </c>
      <c r="H87" s="928">
        <v>0</v>
      </c>
      <c r="I87" s="928"/>
      <c r="J87" s="928">
        <v>0</v>
      </c>
      <c r="K87" s="928"/>
      <c r="L87" s="928">
        <v>0</v>
      </c>
      <c r="M87" s="928"/>
      <c r="N87" s="919">
        <f t="shared" si="34"/>
        <v>0</v>
      </c>
      <c r="O87" s="919"/>
      <c r="R87" s="1">
        <v>1994</v>
      </c>
      <c r="S87" s="8">
        <f>(O15*($E15/365))+(O16*($E16/365))</f>
        <v>0</v>
      </c>
      <c r="T87" s="8">
        <f>(P15*($E15/365))+(P16*($E16/365))</f>
        <v>0</v>
      </c>
      <c r="U87" s="8">
        <f>(Q15*($E15/365))+(Q16*($E16/365))</f>
        <v>0</v>
      </c>
      <c r="W87" s="7">
        <f t="shared" si="36"/>
        <v>0</v>
      </c>
    </row>
    <row r="88" spans="1:30" ht="9" customHeight="1">
      <c r="A88" s="1">
        <v>1995</v>
      </c>
      <c r="B88" s="8">
        <f>(K17*($E17/365))+(K18*($E18/365))</f>
        <v>0</v>
      </c>
      <c r="C88" s="8">
        <f>(L17*($E17/365))+(L18*($E18/365))</f>
        <v>0</v>
      </c>
      <c r="D88" s="8">
        <f>(M17*($E17/365))+(M18*($E18/365))</f>
        <v>51.902587519025879</v>
      </c>
      <c r="E88" s="63">
        <f t="shared" si="35"/>
        <v>51.902587519025879</v>
      </c>
      <c r="G88" s="1">
        <v>1995</v>
      </c>
      <c r="H88" s="918">
        <f>(O18/$R18*100*($E18/365))</f>
        <v>0</v>
      </c>
      <c r="I88" s="918"/>
      <c r="J88" s="918">
        <f>(P18/$R18*100*($E18/365))</f>
        <v>0</v>
      </c>
      <c r="K88" s="918"/>
      <c r="L88" s="918">
        <f>(Q18/$R18*100*($E18/365))</f>
        <v>93.424657534246577</v>
      </c>
      <c r="M88" s="918"/>
      <c r="N88" s="919">
        <f t="shared" si="34"/>
        <v>93.424657534246577</v>
      </c>
      <c r="O88" s="919"/>
      <c r="R88" s="1">
        <v>1995</v>
      </c>
      <c r="S88" s="8">
        <f>(O17*($E17/365))+(O18*($E18/365))</f>
        <v>0</v>
      </c>
      <c r="T88" s="8">
        <f>(P17*($E17/365))+(P18*($E18/365))</f>
        <v>0</v>
      </c>
      <c r="U88" s="8">
        <f>(Q17*($E17/365))+(Q18*($E18/365))</f>
        <v>48.674246575342472</v>
      </c>
      <c r="W88" s="7">
        <f t="shared" si="36"/>
        <v>48.674246575342472</v>
      </c>
    </row>
    <row r="89" spans="1:30" ht="9" customHeight="1">
      <c r="A89" s="1">
        <v>1996</v>
      </c>
      <c r="B89" s="8">
        <f>(K19*($E19/366))+(K20*($E20/366))</f>
        <v>0</v>
      </c>
      <c r="C89" s="8">
        <f>(L19*($E19/366))+(L20*($E20/366))</f>
        <v>0</v>
      </c>
      <c r="D89" s="8">
        <f>(M19*($E19/366))+(M20*($E20/366))</f>
        <v>55.555555555555557</v>
      </c>
      <c r="E89" s="63">
        <f t="shared" si="35"/>
        <v>55.555555555555557</v>
      </c>
      <c r="G89" s="1">
        <v>1996</v>
      </c>
      <c r="H89" s="918">
        <f>(O19/$R19*100*($E19/366))+(O20/$R20*100*($E20/366))</f>
        <v>0</v>
      </c>
      <c r="I89" s="918"/>
      <c r="J89" s="918">
        <f>(P19/$R19*100*($E19/366))+(P20/$R20*100*($E20/366))</f>
        <v>0</v>
      </c>
      <c r="K89" s="918"/>
      <c r="L89" s="918">
        <f>(Q19/$R19*100*($E19/366))+(Q20/$R20*100*($E20/366))</f>
        <v>100</v>
      </c>
      <c r="M89" s="918"/>
      <c r="N89" s="919">
        <f t="shared" si="34"/>
        <v>100</v>
      </c>
      <c r="O89" s="919"/>
      <c r="R89" s="1">
        <v>1996</v>
      </c>
      <c r="S89" s="8">
        <f>(O19*($E19/366))+(O20*($E20/366))</f>
        <v>0</v>
      </c>
      <c r="T89" s="8">
        <f>(P19*($E19/366))+(P20*($E20/366))</f>
        <v>0</v>
      </c>
      <c r="U89" s="8">
        <f>(Q19*($E19/366))+(Q20*($E20/366))</f>
        <v>52.1</v>
      </c>
      <c r="W89" s="7">
        <f t="shared" si="36"/>
        <v>52.1</v>
      </c>
    </row>
    <row r="90" spans="1:30" ht="9" customHeight="1">
      <c r="A90" s="1">
        <v>1997</v>
      </c>
      <c r="B90" s="8">
        <f>(K21*($E21/365))+(K22*($E22/365))+(K23*($E23/365))</f>
        <v>63.223207091055606</v>
      </c>
      <c r="C90" s="8">
        <f>(L21*($E21/365))+(L22*($E22/365))+(L23*($E23/365))</f>
        <v>0</v>
      </c>
      <c r="D90" s="8">
        <f>(M21*($E21/365))+(M22*($E22/365))+(M23*($E23/365))</f>
        <v>6.3926940639269407</v>
      </c>
      <c r="E90" s="63">
        <f t="shared" si="35"/>
        <v>69.615901154982552</v>
      </c>
      <c r="G90" s="1">
        <v>1997</v>
      </c>
      <c r="H90" s="918">
        <f>(O21/$R21*100*($E21/365))+(O22/$R22*100*($E22/365))+(O23/$R23*100*($E23/365))</f>
        <v>88.493150684931507</v>
      </c>
      <c r="I90" s="918"/>
      <c r="J90" s="918">
        <f>(P21/$R21*100*($E21/365))+(P22/$R22*100*($E22/365))+(P23/$R23*100*($E23/365))</f>
        <v>0</v>
      </c>
      <c r="K90" s="918"/>
      <c r="L90" s="918">
        <f>(Q21/$R21*100*($E21/365))+(Q22/$R22*100*($E22/365))+(Q23/$R23*100*($E23/365))</f>
        <v>11.506849315068493</v>
      </c>
      <c r="M90" s="918"/>
      <c r="N90" s="919">
        <f t="shared" si="34"/>
        <v>100</v>
      </c>
      <c r="O90" s="919"/>
      <c r="R90" s="1">
        <v>1997</v>
      </c>
      <c r="S90" s="8">
        <f>(O21*($E21/365))+(O22*($E22/365))+(O23*($E23/365))</f>
        <v>42.869589041095892</v>
      </c>
      <c r="T90" s="8">
        <f>(P21*($E21/365))+(P22*($E22/365))+(P23*($E23/365))</f>
        <v>0</v>
      </c>
      <c r="U90" s="8">
        <f>(Q21*($E21/365))+(Q22*($E22/365))+(Q23*($E23/365))</f>
        <v>5.9950684931506855</v>
      </c>
      <c r="W90" s="7">
        <f t="shared" si="36"/>
        <v>48.864657534246575</v>
      </c>
    </row>
    <row r="91" spans="1:30" ht="9" customHeight="1">
      <c r="A91" s="1">
        <v>1998</v>
      </c>
      <c r="B91" s="8">
        <f>(K24*($E24/365))+(K25*($E25/365))</f>
        <v>100</v>
      </c>
      <c r="C91" s="8">
        <f>(L24*($E24/365))+(L25*($E25/365))</f>
        <v>0</v>
      </c>
      <c r="D91" s="8">
        <f>(M24*($E24/365))+(M25*($E25/365))</f>
        <v>0</v>
      </c>
      <c r="E91" s="63">
        <f t="shared" si="35"/>
        <v>100</v>
      </c>
      <c r="G91" s="1">
        <v>1998</v>
      </c>
      <c r="H91" s="918">
        <f>(O24/$R24*100*($E24/365))+(O25/$R25*100*($E25/365))</f>
        <v>100</v>
      </c>
      <c r="I91" s="918"/>
      <c r="J91" s="918">
        <f>(P24/$R24*100*($E24/365))+(P25/$R25*100*($E25/365))</f>
        <v>0</v>
      </c>
      <c r="K91" s="918"/>
      <c r="L91" s="918">
        <f>(Q24/$R24*100*($E24/365))+(Q25/$R25*100*($E25/365))</f>
        <v>0</v>
      </c>
      <c r="M91" s="918"/>
      <c r="N91" s="919">
        <f t="shared" si="34"/>
        <v>100</v>
      </c>
      <c r="O91" s="919"/>
      <c r="R91" s="1">
        <v>1998</v>
      </c>
      <c r="S91" s="8">
        <f>(O24*($E24/365))+(O25*($E25/365))</f>
        <v>57</v>
      </c>
      <c r="T91" s="8">
        <f>(P24*($E24/365))+(P25*($E25/365))</f>
        <v>0</v>
      </c>
      <c r="U91" s="8">
        <f>(Q24*($E24/365))+(Q25*($E25/365))</f>
        <v>0</v>
      </c>
      <c r="W91" s="7">
        <f t="shared" si="36"/>
        <v>57</v>
      </c>
    </row>
    <row r="92" spans="1:30" ht="9" customHeight="1">
      <c r="A92" s="1">
        <v>1999</v>
      </c>
      <c r="B92" s="8">
        <f>(K26*($E26/365))+(K27*($E27/365))</f>
        <v>98.493150684931507</v>
      </c>
      <c r="C92" s="8">
        <f>(L26*($E26/365))+(L27*($E27/365))</f>
        <v>0.37671232876712329</v>
      </c>
      <c r="D92" s="8">
        <f>(M26*($E26/365))+(M27*($E27/365))</f>
        <v>0</v>
      </c>
      <c r="E92" s="63">
        <f t="shared" si="35"/>
        <v>98.869863013698634</v>
      </c>
      <c r="G92" s="1">
        <v>1999</v>
      </c>
      <c r="H92" s="918">
        <f>(O26/$R26*100*($E26/365))+(O27/$R27*100*($E27/365))</f>
        <v>100</v>
      </c>
      <c r="I92" s="918"/>
      <c r="J92" s="918">
        <f>(P26/$R26*100*($E26/365))+(P27/$R27*100*($E27/365))</f>
        <v>0</v>
      </c>
      <c r="K92" s="918"/>
      <c r="L92" s="918">
        <f>(Q26/$R26*100*($E26/365))+(Q27/$R27*100*($E27/365))</f>
        <v>0</v>
      </c>
      <c r="M92" s="918"/>
      <c r="N92" s="919">
        <f t="shared" si="34"/>
        <v>100</v>
      </c>
      <c r="O92" s="919"/>
      <c r="R92" s="1">
        <v>1999</v>
      </c>
      <c r="S92" s="8">
        <f>(O26*($E26/365))+(O27*($E27/365))</f>
        <v>57</v>
      </c>
      <c r="T92" s="8">
        <f>(P26*($E26/365))+(P27*($E27/365))</f>
        <v>0</v>
      </c>
      <c r="U92" s="8">
        <f>(Q26*($E26/365))+(Q27*($E27/365))</f>
        <v>0</v>
      </c>
      <c r="W92" s="7">
        <f t="shared" si="36"/>
        <v>57</v>
      </c>
    </row>
    <row r="93" spans="1:30" ht="9" customHeight="1">
      <c r="A93" s="1">
        <v>2000</v>
      </c>
      <c r="B93" s="8">
        <f>(K28*($E28/366))+(K29*($E29/366))</f>
        <v>50</v>
      </c>
      <c r="C93" s="8">
        <f>(L28*($E28/366))+(L29*($E29/366))</f>
        <v>12.5</v>
      </c>
      <c r="D93" s="8">
        <f>(M28*($E28/366))+(M29*($E29/366))</f>
        <v>0</v>
      </c>
      <c r="E93" s="63">
        <f t="shared" si="35"/>
        <v>62.5</v>
      </c>
      <c r="G93" s="1">
        <v>2000</v>
      </c>
      <c r="H93" s="918">
        <f>(O28/$R28*100*($E28/366))+(O29/$R29*100*($E29/366))</f>
        <v>100</v>
      </c>
      <c r="I93" s="918"/>
      <c r="J93" s="918">
        <f>(P28/$R28*100*($E28/366))+(P29/$R29*100*($E29/366))</f>
        <v>0</v>
      </c>
      <c r="K93" s="918"/>
      <c r="L93" s="918">
        <f>(Q28/$R28*100*($E28/366))+(Q29/$R29*100*($E29/366))</f>
        <v>0</v>
      </c>
      <c r="M93" s="918"/>
      <c r="N93" s="919">
        <f t="shared" si="34"/>
        <v>100</v>
      </c>
      <c r="O93" s="919"/>
      <c r="R93" s="1">
        <v>2000</v>
      </c>
      <c r="S93" s="8">
        <f>(O28*($E28/366))+(O29*($E29/366))</f>
        <v>57</v>
      </c>
      <c r="T93" s="8">
        <f>(P28*($E28/366))+(P29*($E29/366))</f>
        <v>0</v>
      </c>
      <c r="U93" s="8">
        <f>(Q28*($E28/366))+(Q29*($E29/366))</f>
        <v>0</v>
      </c>
      <c r="W93" s="7">
        <f t="shared" si="36"/>
        <v>57</v>
      </c>
    </row>
    <row r="94" spans="1:30" ht="9" customHeight="1">
      <c r="A94" s="1">
        <v>2001</v>
      </c>
      <c r="B94" s="8">
        <f>(K30*($E30/365))+(K31*($E31/365))</f>
        <v>66.865431103948424</v>
      </c>
      <c r="C94" s="8">
        <f>(L30*($E30/365))+(L31*($E31/365))</f>
        <v>6.9863013698630141</v>
      </c>
      <c r="D94" s="8">
        <f>(M30*($E30/365))+(M31*($E31/365))</f>
        <v>5.1893634165995159</v>
      </c>
      <c r="E94" s="63">
        <f t="shared" si="35"/>
        <v>79.041095890410958</v>
      </c>
      <c r="G94" s="1">
        <v>2001</v>
      </c>
      <c r="H94" s="918">
        <f>(O30/$R30*100*($E30/365))+(O31/$R31*100*($E31/365))</f>
        <v>88.797564687975651</v>
      </c>
      <c r="I94" s="918"/>
      <c r="J94" s="918">
        <f>(P30/$R30*100*($E30/365))+(P31/$R31*100*($E31/365))</f>
        <v>0</v>
      </c>
      <c r="K94" s="918"/>
      <c r="L94" s="918">
        <f>(Q30/$R30*100*($E30/365))+(Q31/$R31*100*($E31/365))</f>
        <v>11.202435312024352</v>
      </c>
      <c r="M94" s="918"/>
      <c r="N94" s="919">
        <f t="shared" si="34"/>
        <v>100</v>
      </c>
      <c r="O94" s="919"/>
      <c r="R94" s="1">
        <v>2001</v>
      </c>
      <c r="S94" s="8">
        <f>(O30*($E30/365))+(O31*($E31/365))</f>
        <v>57.771917808219186</v>
      </c>
      <c r="T94" s="8">
        <f>(P30*($E30/365))+(P31*($E31/365))</f>
        <v>0</v>
      </c>
      <c r="U94" s="8">
        <f>(Q30*($E30/365))+(Q31*($E31/365))</f>
        <v>8.8219178082191778</v>
      </c>
      <c r="W94" s="7">
        <f t="shared" si="36"/>
        <v>66.593835616438369</v>
      </c>
    </row>
    <row r="95" spans="1:30" ht="9" customHeight="1">
      <c r="A95" s="1">
        <v>2002</v>
      </c>
      <c r="B95" s="8">
        <f>(K32*($E32/365))+(K33*($E33/365))</f>
        <v>88.623869639179873</v>
      </c>
      <c r="C95" s="8">
        <f>(L32*($E32/365))+(L33*($E33/365))</f>
        <v>0</v>
      </c>
      <c r="D95" s="8">
        <f>(M32*($E32/365))+(M33*($E33/365))</f>
        <v>11.376130360820127</v>
      </c>
      <c r="E95" s="63">
        <f t="shared" si="35"/>
        <v>100</v>
      </c>
      <c r="G95" s="1">
        <v>2002</v>
      </c>
      <c r="H95" s="918">
        <f>(O32/$R32*100*($E32/365))+(O33/$R33*100*($E33/365))</f>
        <v>74.603174603174608</v>
      </c>
      <c r="I95" s="918"/>
      <c r="J95" s="918">
        <f>(P32/$R32*100*($E32/365))+(P33/$R33*100*($E33/365))</f>
        <v>0</v>
      </c>
      <c r="K95" s="918"/>
      <c r="L95" s="918">
        <f>(Q32/$R32*100*($E32/365))+(Q33/$R33*100*($E33/365))</f>
        <v>25.396825396825395</v>
      </c>
      <c r="M95" s="918"/>
      <c r="N95" s="919">
        <f t="shared" si="34"/>
        <v>100</v>
      </c>
      <c r="O95" s="919"/>
      <c r="R95" s="1">
        <v>2002</v>
      </c>
      <c r="S95" s="8">
        <f>(O32*($E32/365))+(O33*($E33/365))</f>
        <v>58.75</v>
      </c>
      <c r="T95" s="8">
        <f>(P32*($E32/365))+(P33*($E33/365))</f>
        <v>0</v>
      </c>
      <c r="U95" s="8">
        <f>(Q32*($E32/365))+(Q33*($E33/365))</f>
        <v>20</v>
      </c>
      <c r="W95" s="7">
        <f t="shared" si="36"/>
        <v>78.75</v>
      </c>
    </row>
    <row r="96" spans="1:30" ht="9" customHeight="1">
      <c r="A96" s="1">
        <v>2003</v>
      </c>
      <c r="B96" s="8">
        <f>(K34*($E34/365))+(K35*($E35/365))</f>
        <v>88.888888888888886</v>
      </c>
      <c r="C96" s="8">
        <f>(L34*($E34/365))+(L35*($E35/365))</f>
        <v>0</v>
      </c>
      <c r="D96" s="8">
        <f>(M34*($E34/365))+(M35*($E35/365))</f>
        <v>11.111111111111111</v>
      </c>
      <c r="E96" s="63">
        <f t="shared" si="35"/>
        <v>100</v>
      </c>
      <c r="G96" s="1">
        <v>2003</v>
      </c>
      <c r="H96" s="918">
        <f>(O34/$R34*100*($E34/365))+(O35/$R35*100*($E35/365))</f>
        <v>74.603174603174608</v>
      </c>
      <c r="I96" s="918"/>
      <c r="J96" s="918">
        <f>(P34/$R34*100*($E34/365))+(P35/$R35*100*($E35/365))</f>
        <v>0</v>
      </c>
      <c r="K96" s="918"/>
      <c r="L96" s="918">
        <f>(Q34/$R34*100*($E34/365))+(Q35/$R35*100*($E35/365))</f>
        <v>25.396825396825395</v>
      </c>
      <c r="M96" s="918"/>
      <c r="N96" s="919">
        <f t="shared" si="34"/>
        <v>100</v>
      </c>
      <c r="O96" s="919"/>
      <c r="R96" s="1">
        <v>2003</v>
      </c>
      <c r="S96" s="8">
        <f>(O34*($E34/365))+(O35*($E35/365))</f>
        <v>58.75</v>
      </c>
      <c r="T96" s="8">
        <f>(P34*($E34/365))+(P35*($E35/365))</f>
        <v>0</v>
      </c>
      <c r="U96" s="8">
        <f>(Q34*($E34/365))+(Q35*($E35/365))</f>
        <v>20</v>
      </c>
      <c r="W96" s="7">
        <f t="shared" si="36"/>
        <v>78.75</v>
      </c>
    </row>
    <row r="97" spans="1:23" ht="9" customHeight="1">
      <c r="A97" s="1">
        <v>2004</v>
      </c>
      <c r="B97" s="8">
        <f>(K36*($E36/366))+(K37*($E37/366))</f>
        <v>88.888888888888886</v>
      </c>
      <c r="C97" s="8">
        <f>(L36*($E36/366))+(L37*($E37/366))</f>
        <v>0</v>
      </c>
      <c r="D97" s="8">
        <f>(M36*($E36/366))+(M37*($E37/366))</f>
        <v>11.111111111111111</v>
      </c>
      <c r="E97" s="63">
        <f t="shared" si="35"/>
        <v>100</v>
      </c>
      <c r="G97" s="1">
        <v>2004</v>
      </c>
      <c r="H97" s="918">
        <f>(O36/$R36*100*($E36/366))+(O37/$R37*100*($E37/366))</f>
        <v>74.603174603174608</v>
      </c>
      <c r="I97" s="918"/>
      <c r="J97" s="918">
        <f>(P36/$R36*100*($E36/366))+(P37/$R37*100*($E37/366))</f>
        <v>0</v>
      </c>
      <c r="K97" s="918"/>
      <c r="L97" s="918">
        <f>(Q36/$R36*100*($E36/366))+(Q37/$R37*100*($E37/366))</f>
        <v>25.396825396825395</v>
      </c>
      <c r="M97" s="918"/>
      <c r="N97" s="919">
        <f t="shared" si="34"/>
        <v>100</v>
      </c>
      <c r="O97" s="919"/>
      <c r="R97" s="1">
        <v>2004</v>
      </c>
      <c r="S97" s="8">
        <f>(O36*($E36/366))+(O37*($E37/366))</f>
        <v>58.75</v>
      </c>
      <c r="T97" s="8">
        <f>(P36*($E36/366))+(P37*($E37/366))</f>
        <v>0</v>
      </c>
      <c r="U97" s="8">
        <f>(Q36*($E36/366))+(Q37*($E37/366))</f>
        <v>20</v>
      </c>
      <c r="W97" s="7">
        <f t="shared" si="36"/>
        <v>78.75</v>
      </c>
    </row>
    <row r="98" spans="1:23" ht="9" customHeight="1">
      <c r="A98" s="1">
        <v>2005</v>
      </c>
      <c r="B98" s="8">
        <f>(K38*($E38/365))+(K39*($E39/365))+(K40*($E40/365))</f>
        <v>72.367219418409036</v>
      </c>
      <c r="C98" s="8">
        <f>(L38*($E38/365))+(L39*($E39/365))+(L40*($E40/365))</f>
        <v>0</v>
      </c>
      <c r="D98" s="8">
        <f>(M38*($E38/365))+(M39*($E39/365))+(M40*($E40/365))</f>
        <v>25.532323960586396</v>
      </c>
      <c r="E98" s="63">
        <f t="shared" si="35"/>
        <v>97.899543378995432</v>
      </c>
      <c r="G98" s="1">
        <v>2005</v>
      </c>
      <c r="H98" s="918">
        <f>(O38/$R38*100*($E38/365))+(O39/$R39*100*($E39/365))+(O40/$R40*100*($E40/365))</f>
        <v>65.812659469870127</v>
      </c>
      <c r="I98" s="918"/>
      <c r="J98" s="918">
        <f>(P38/$R38*100*($E38/365))+(P39/$R39*100*($E39/365))+(P40/$R40*100*($E40/365))</f>
        <v>0</v>
      </c>
      <c r="K98" s="918"/>
      <c r="L98" s="918">
        <f>(Q38/$R38*100*($E38/365))+(Q39/$R39*100*($E39/365))+(Q40/$R40*100*($E40/365))</f>
        <v>34.187340530129873</v>
      </c>
      <c r="M98" s="918"/>
      <c r="N98" s="919">
        <f t="shared" si="34"/>
        <v>100</v>
      </c>
      <c r="O98" s="919"/>
      <c r="R98" s="1">
        <v>2005</v>
      </c>
      <c r="S98" s="8">
        <f>(O38*($E38/365))+(O39*($E39/365))+(O40*($E40/365))</f>
        <v>50.099479452054801</v>
      </c>
      <c r="T98" s="8">
        <f>(P38*($E38/365))+(P39*($E39/365))+(P40*($E40/365))</f>
        <v>0</v>
      </c>
      <c r="U98" s="8">
        <f>(Q38*($E38/365))+(Q39*($E39/365))+(Q40*($E40/365))</f>
        <v>25.285589041095889</v>
      </c>
      <c r="W98" s="7">
        <f t="shared" si="36"/>
        <v>75.385068493150698</v>
      </c>
    </row>
    <row r="99" spans="1:23" ht="9" customHeight="1">
      <c r="A99" s="1">
        <v>2006</v>
      </c>
      <c r="B99" s="8">
        <f>(K41*($E41/365))+(K42*($E42/365))</f>
        <v>44.444444444444443</v>
      </c>
      <c r="C99" s="8">
        <f>(L41*($E41/365))+(L42*($E42/365))</f>
        <v>0</v>
      </c>
      <c r="D99" s="8">
        <f>(M41*($E41/365))+(M42*($E42/365))</f>
        <v>50</v>
      </c>
      <c r="E99" s="63">
        <f t="shared" si="35"/>
        <v>94.444444444444443</v>
      </c>
      <c r="G99" s="1">
        <v>2006</v>
      </c>
      <c r="H99" s="918">
        <f>(O41/$R41*100*($E41/365))+(O42/$R42*100*($E42/365))</f>
        <v>51.3528990694345</v>
      </c>
      <c r="I99" s="918"/>
      <c r="J99" s="918">
        <f>(P41/$R41*100*($E41/365))+(P42/$R42*100*($E42/365))</f>
        <v>0</v>
      </c>
      <c r="K99" s="918"/>
      <c r="L99" s="918">
        <f>(Q41/$R41*100*($E41/365))+(Q42/$R42*100*($E42/365))</f>
        <v>48.647100930565493</v>
      </c>
      <c r="M99" s="918"/>
      <c r="N99" s="919">
        <f t="shared" si="34"/>
        <v>100</v>
      </c>
      <c r="O99" s="919"/>
      <c r="R99" s="1">
        <v>2006</v>
      </c>
      <c r="S99" s="8">
        <f>(O41*($E41/365))+(O42*($E42/365))</f>
        <v>35.869999999999997</v>
      </c>
      <c r="T99" s="8">
        <f>(P41*($E41/365))+(P42*($E42/365))</f>
        <v>0</v>
      </c>
      <c r="U99" s="8">
        <f>(Q41*($E41/365))+(Q42*($E42/365))</f>
        <v>33.979999999999997</v>
      </c>
      <c r="W99" s="7">
        <f t="shared" si="36"/>
        <v>69.849999999999994</v>
      </c>
    </row>
    <row r="100" spans="1:23" ht="9" customHeight="1">
      <c r="A100" s="1">
        <v>2007</v>
      </c>
      <c r="B100" s="7">
        <f>(K43*($E43/365))+(K44*($E44/365))</f>
        <v>44.444444444444443</v>
      </c>
      <c r="C100" s="7">
        <f>(L43*($E43/365))+(L44*($E44/365))</f>
        <v>0</v>
      </c>
      <c r="D100" s="7">
        <f>(M43*($E43/365))+(M44*($E44/365))</f>
        <v>50</v>
      </c>
      <c r="E100" s="63">
        <f t="shared" si="35"/>
        <v>94.444444444444443</v>
      </c>
      <c r="G100" s="1">
        <v>2007</v>
      </c>
      <c r="H100" s="918">
        <f>(O43/$R43*100*($E43/365))+(O44/$R44*100*($E44/365))</f>
        <v>51.3528990694345</v>
      </c>
      <c r="I100" s="918"/>
      <c r="J100" s="918">
        <f>(P43/$R43*100*($E43/365))+(P44/$R44*100*($E44/365))</f>
        <v>0</v>
      </c>
      <c r="K100" s="918"/>
      <c r="L100" s="918">
        <f>(Q43/$R43*100*($E43/365))+(Q44/$R44*100*($E44/365))</f>
        <v>48.647100930565493</v>
      </c>
      <c r="M100" s="918"/>
      <c r="N100" s="919">
        <f t="shared" si="34"/>
        <v>100</v>
      </c>
      <c r="O100" s="919"/>
      <c r="R100" s="1">
        <v>2007</v>
      </c>
      <c r="S100" s="7">
        <f>(O43*($E43/365))+(O44*($E44/365))</f>
        <v>35.869999999999997</v>
      </c>
      <c r="T100" s="7">
        <f>(P43*($E43/365))+(P44*($E44/365))</f>
        <v>0</v>
      </c>
      <c r="U100" s="7">
        <f>(Q43*($E43/365))+(Q44*($E44/365))</f>
        <v>33.979999999999997</v>
      </c>
      <c r="W100" s="7">
        <f t="shared" si="36"/>
        <v>69.849999999999994</v>
      </c>
    </row>
    <row r="101" spans="1:23" ht="9" customHeight="1">
      <c r="A101" s="1">
        <v>2008</v>
      </c>
      <c r="B101" s="7">
        <f>(K45*($E45/366))+(K46*($E46/366))</f>
        <v>42.833860607803658</v>
      </c>
      <c r="C101" s="7">
        <f>(L45*($E45/366))+(L46*($E46/366))</f>
        <v>0</v>
      </c>
      <c r="D101" s="7">
        <f>(M45*($E45/366))+(M46*($E46/366))</f>
        <v>51.811906816220876</v>
      </c>
      <c r="E101" s="63">
        <f t="shared" si="35"/>
        <v>94.645767424024541</v>
      </c>
      <c r="G101" s="1">
        <v>2008</v>
      </c>
      <c r="H101" s="918">
        <f>(O45/$R45*100*($E45/366))+(O46/$R46*100*($E46/366))</f>
        <v>51.3528990694345</v>
      </c>
      <c r="I101" s="918"/>
      <c r="J101" s="918">
        <f>(P45/$R45*100*($E45/366))+(P46/$R46*100*($E46/366))</f>
        <v>0</v>
      </c>
      <c r="K101" s="918"/>
      <c r="L101" s="918">
        <f>(Q45/$R45*100*($E45/366))+(Q46/$R46*100*($E46/366))</f>
        <v>48.647100930565493</v>
      </c>
      <c r="M101" s="918"/>
      <c r="N101" s="919">
        <f t="shared" si="34"/>
        <v>100</v>
      </c>
      <c r="O101" s="919"/>
      <c r="R101" s="1">
        <v>2008</v>
      </c>
      <c r="S101" s="7">
        <f>(O45*($E45/366))+(O46*($E46/366))</f>
        <v>35.869999999999997</v>
      </c>
      <c r="T101" s="7">
        <f>(P45*($E45/366))+(P46*($E46/366))</f>
        <v>0</v>
      </c>
      <c r="U101" s="7">
        <f>(Q45*($E45/366))+(Q46*($E46/366))</f>
        <v>33.979999999999997</v>
      </c>
      <c r="W101" s="7">
        <f t="shared" si="36"/>
        <v>69.849999999999994</v>
      </c>
    </row>
    <row r="102" spans="1:23" ht="9" customHeight="1">
      <c r="A102" s="1">
        <v>2009</v>
      </c>
      <c r="B102" s="7">
        <f>(K47*($E47/365))+(K48*($E48/365))</f>
        <v>64.620212901310481</v>
      </c>
      <c r="C102" s="7">
        <f>(L47*($E47/365))+(L48*($E48/365))</f>
        <v>0</v>
      </c>
      <c r="D102" s="7">
        <f>(M47*($E47/365))+(M48*($E48/365))</f>
        <v>29.848594087959622</v>
      </c>
      <c r="E102" s="63">
        <f t="shared" si="35"/>
        <v>94.468806989270107</v>
      </c>
      <c r="G102" s="1">
        <v>2009</v>
      </c>
      <c r="H102" s="918">
        <f>(O47/$R47*100*($E47/365))+(O48/$R48*100*($E48/365))</f>
        <v>72.4110961845834</v>
      </c>
      <c r="I102" s="918"/>
      <c r="J102" s="918">
        <f>(P47/$R47*100*($E47/365))+(P48/$R48*100*($E48/365))</f>
        <v>0</v>
      </c>
      <c r="K102" s="918"/>
      <c r="L102" s="918">
        <f>(Q47/$R47*100*($E47/365))+(Q48/$R48*100*($E48/365))</f>
        <v>27.588903815416593</v>
      </c>
      <c r="M102" s="918"/>
      <c r="N102" s="919">
        <f t="shared" si="34"/>
        <v>100</v>
      </c>
      <c r="O102" s="919"/>
      <c r="R102" s="1">
        <v>2009</v>
      </c>
      <c r="S102" s="7">
        <f>(O47*($E47/365))+(O48*($E48/365))</f>
        <v>41.46709589041096</v>
      </c>
      <c r="T102" s="7">
        <f>(P47*($E47/365))+(P48*($E48/365))</f>
        <v>0</v>
      </c>
      <c r="U102" s="7">
        <f>(Q47*($E47/365))+(Q48*($E48/365))</f>
        <v>19.270849315068492</v>
      </c>
      <c r="W102" s="7">
        <f t="shared" si="36"/>
        <v>60.737945205479448</v>
      </c>
    </row>
    <row r="103" spans="1:23" ht="9" customHeight="1">
      <c r="A103" s="1">
        <v>2010</v>
      </c>
      <c r="B103" s="7">
        <f>(K49*($E49/365))+(K50*($E50/365))+(K51*($E51/365))+(K52*($E52/365))</f>
        <v>90.136986301369859</v>
      </c>
      <c r="C103" s="7">
        <f>(L49*($E49/365))+(L50*($E50/365))+(L51*($E51/365))+(L52*($E52/365))</f>
        <v>0</v>
      </c>
      <c r="D103" s="7">
        <f>(M49*($E49/365))+(M50*($E50/365))+(M51*($E51/365))+(M52*($E52/365))</f>
        <v>0</v>
      </c>
      <c r="E103" s="63">
        <f t="shared" si="35"/>
        <v>90.136986301369859</v>
      </c>
      <c r="G103" s="1">
        <v>2010</v>
      </c>
      <c r="H103" s="918">
        <f>(O49/$R49*100*($E49/365))+(O50/$R50*100*($E50/365))+(O51/$R51*100*($E51/365))+(O52/$R52*100*($E52/365))</f>
        <v>100</v>
      </c>
      <c r="I103" s="918"/>
      <c r="J103" s="918">
        <f>(P49/$R49*100*($E49/365))+(P50/$R50*100*($E50/365))+(P51/$R51*100*($E51/365))+(P52/$R52*100*($E52/365))</f>
        <v>0</v>
      </c>
      <c r="K103" s="918"/>
      <c r="L103" s="918">
        <f>(Q49/$R49*100*($E49/365))+(Q50/$R50*100*($E50/365))+(Q51/$R51*100*($E51/365))+(Q52/$R52*100*($E52/365))</f>
        <v>0</v>
      </c>
      <c r="M103" s="918"/>
      <c r="N103" s="919">
        <f t="shared" si="34"/>
        <v>100</v>
      </c>
      <c r="O103" s="919"/>
      <c r="R103" s="1">
        <v>2010</v>
      </c>
      <c r="S103" s="7">
        <f>(O49*($E49/365))+(O50*($E50/365))+(O51*($E51/365))+(O52*($E52/365))</f>
        <v>48.8</v>
      </c>
      <c r="T103" s="7">
        <f>(P49*($E49/365))+(P50*($E50/365))+(P51*($E51/365))+(P52*($E52/365))</f>
        <v>0</v>
      </c>
      <c r="U103" s="7">
        <f>(Q49*($E49/365))+(Q50*($E50/365))+(Q51*($E51/365))+(Q52*($E52/365))</f>
        <v>0</v>
      </c>
      <c r="W103" s="7">
        <f t="shared" si="36"/>
        <v>48.8</v>
      </c>
    </row>
    <row r="104" spans="1:23" ht="9" customHeight="1">
      <c r="A104" s="1">
        <v>2011</v>
      </c>
      <c r="B104" s="7">
        <f>(K53*($E53/365))+(K54*($E54/365))</f>
        <v>88.235294117647058</v>
      </c>
      <c r="C104" s="7">
        <f>(L53*($E53/365))+(L54*($E54/365))</f>
        <v>0</v>
      </c>
      <c r="D104" s="7">
        <f>(M53*($E53/365))+(M54*($E54/365))</f>
        <v>0</v>
      </c>
      <c r="E104" s="63">
        <f t="shared" si="35"/>
        <v>88.235294117647058</v>
      </c>
      <c r="G104" s="1">
        <v>2011</v>
      </c>
      <c r="H104" s="918">
        <f>(O53/$R53*100*($E53/365))+(O54/$R54*100*($E54/365))</f>
        <v>100</v>
      </c>
      <c r="I104" s="918"/>
      <c r="J104" s="918">
        <f>(P53/$R53*100*($E53/365))+(P54/$R54*100*($E54/365))</f>
        <v>0</v>
      </c>
      <c r="K104" s="918"/>
      <c r="L104" s="918">
        <f>(Q53/$R53*100*($E53/365))+(Q54/$R54*100*($E54/365))</f>
        <v>0</v>
      </c>
      <c r="M104" s="918"/>
      <c r="N104" s="919">
        <f t="shared" si="34"/>
        <v>100</v>
      </c>
      <c r="O104" s="919"/>
      <c r="R104" s="1">
        <v>2011</v>
      </c>
      <c r="S104" s="7">
        <f>(O53*($E53/365))+(O54*($E54/365))</f>
        <v>48.8</v>
      </c>
      <c r="T104" s="7">
        <f>(P53*($E53/365))+(P54*($E54/365))</f>
        <v>0</v>
      </c>
      <c r="U104" s="7">
        <f>(Q53*($E53/365))+(Q54*($E54/365))</f>
        <v>0</v>
      </c>
      <c r="W104" s="7">
        <f t="shared" si="36"/>
        <v>48.8</v>
      </c>
    </row>
    <row r="105" spans="1:23" ht="9" customHeight="1">
      <c r="A105" s="1">
        <v>2012</v>
      </c>
      <c r="B105" s="7">
        <f>(K55*($E55/366))+(K56*($E56/366))</f>
        <v>92.831886853101878</v>
      </c>
      <c r="C105" s="7">
        <f>(L55*($E55/366))+(L56*($E56/366))</f>
        <v>0</v>
      </c>
      <c r="D105" s="7">
        <f>(M55*($E55/366))+(M56*($E56/366))</f>
        <v>0</v>
      </c>
      <c r="E105" s="63">
        <f t="shared" si="35"/>
        <v>92.831886853101878</v>
      </c>
      <c r="G105" s="1">
        <v>2012</v>
      </c>
      <c r="H105" s="918">
        <f>(O55/$R55*100*($E55/366))+(O56/$R56*100*($E56/366))</f>
        <v>100</v>
      </c>
      <c r="I105" s="918"/>
      <c r="J105" s="918">
        <f>(P55/$R55*100*($E55/366))+(P56/$R56*100*($E56/366))</f>
        <v>0</v>
      </c>
      <c r="K105" s="918"/>
      <c r="L105" s="918">
        <f>(Q55/$R55*100*($E55/366))+(Q56/$R56*100*($E56/366))</f>
        <v>0</v>
      </c>
      <c r="M105" s="918"/>
      <c r="N105" s="919">
        <f t="shared" si="34"/>
        <v>100</v>
      </c>
      <c r="O105" s="919"/>
      <c r="R105" s="1">
        <v>2012</v>
      </c>
      <c r="S105" s="7">
        <f>(O55*($E55/366))+(O56*($E56/366))</f>
        <v>48.8</v>
      </c>
      <c r="T105" s="7">
        <f>(P55*($E55/366))+(P56*($E56/366))</f>
        <v>0</v>
      </c>
      <c r="U105" s="7">
        <f>(Q55*($E55/366))+(Q56*($E56/366))</f>
        <v>0</v>
      </c>
      <c r="W105" s="7">
        <f t="shared" si="36"/>
        <v>48.8</v>
      </c>
    </row>
    <row r="106" spans="1:23" ht="9" customHeight="1">
      <c r="A106" s="1">
        <v>2013</v>
      </c>
      <c r="B106" s="7">
        <f>(K57*($E57/365))+(K58*($E58/365))+(K59*($E59/365))+(K60*($E60/365))+(K61*($E61/365))</f>
        <v>24.401468349897034</v>
      </c>
      <c r="C106" s="7">
        <f>(L57*($E57/365))+(L58*($E58/365))+(L59*($E59/365))+(L60*($E60/365))+(L61*($E61/365))</f>
        <v>0</v>
      </c>
      <c r="D106" s="7">
        <f>(M57*($E57/365))+(M58*($E58/365))+(M59*($E59/365))+(M60*($E60/365))+(M61*($E61/365))</f>
        <v>13.315426627271913</v>
      </c>
      <c r="E106" s="261">
        <f t="shared" ref="E106:E111" si="37">SUM(B106:D106)</f>
        <v>37.716894977168948</v>
      </c>
      <c r="G106" s="1">
        <v>2013</v>
      </c>
      <c r="H106" s="918">
        <f>(O57/$R57*100*($E57/365))+(O58/$R58*100*($E58/365))+(O60/$R60*100*($E60/365))+(O61/$R61*100*($E61/365))</f>
        <v>37.287671232876711</v>
      </c>
      <c r="I106" s="918"/>
      <c r="J106" s="918">
        <f>(P57/$R57*100*($E57/365))+(P58/$R58*100*($E58/365))+(P60/$R60*100*($E60/365))+(P61/$R61*100*($E61/365))</f>
        <v>0</v>
      </c>
      <c r="K106" s="918"/>
      <c r="L106" s="918">
        <f>(Q57/$R57*100*($E57/365))+(Q58/$R58*100*($E58/365))+(Q60/$R60*100*($E60/365))+(Q61/$R61*100*($E61/365))</f>
        <v>41.61643835616438</v>
      </c>
      <c r="M106" s="918"/>
      <c r="N106" s="919">
        <f t="shared" ref="N106:N111" si="38">SUM(H106:M106)</f>
        <v>78.904109589041099</v>
      </c>
      <c r="O106" s="919"/>
      <c r="R106" s="1">
        <v>2013</v>
      </c>
      <c r="S106" s="7">
        <f>(O57*($E57/365))+(O58*($E58/365))+(O59*($E59/365))+(O60*($E60/365))+(O61*($E61/365))</f>
        <v>18.410410958904109</v>
      </c>
      <c r="T106" s="7">
        <f>(P57*($E57/365))+(P58*($E58/365))+(P59*($E59/365))+(P60*($E60/365))+(P61*($E61/365))</f>
        <v>0</v>
      </c>
      <c r="U106" s="7">
        <f>(Q57*($E57/365))+(Q58*($E58/365))+(Q59*($E59/365))+(Q60*($E60/365))+(Q61*($E61/365))</f>
        <v>20.80821917808219</v>
      </c>
      <c r="W106" s="7">
        <f t="shared" si="36"/>
        <v>39.218630136986299</v>
      </c>
    </row>
    <row r="107" spans="1:23" ht="9" customHeight="1">
      <c r="A107" s="1">
        <v>2014</v>
      </c>
      <c r="B107" s="7">
        <f>(K62*($E62/365))+(K63*($E63/365))+(K64*($E64/365))</f>
        <v>20.920852359208524</v>
      </c>
      <c r="C107" s="7">
        <f>(L62*($E62/365))+(L63*($E63/365))+(L64*($E64/365))</f>
        <v>0</v>
      </c>
      <c r="D107" s="7">
        <f>(M62*($E62/365))+(M63*($E63/365))+(M64*($E64/365))</f>
        <v>13.964992389649924</v>
      </c>
      <c r="E107" s="530">
        <f t="shared" si="37"/>
        <v>34.885844748858446</v>
      </c>
      <c r="G107" s="1">
        <v>2014</v>
      </c>
      <c r="H107" s="918">
        <f>(O62/$R62*100*($E62/365))+(O64/$R64*100*($E64/365))</f>
        <v>31.495266733489252</v>
      </c>
      <c r="I107" s="918"/>
      <c r="J107" s="918">
        <f>(P62/$R62*100*($E62/365))+(P64/$R64*100*($E64/365))</f>
        <v>0</v>
      </c>
      <c r="K107" s="918"/>
      <c r="L107" s="918">
        <f>(Q62/$R62*100*($E62/365))+(Q64/$R64*100*($E64/365))</f>
        <v>43.025281211716226</v>
      </c>
      <c r="M107" s="918"/>
      <c r="N107" s="919">
        <f t="shared" si="38"/>
        <v>74.520547945205479</v>
      </c>
      <c r="O107" s="919"/>
      <c r="R107" s="1">
        <v>2014</v>
      </c>
      <c r="S107" s="7">
        <f>(O62*($E62/365))+(O63*($E63/365))+(O64*($E64/365))</f>
        <v>15.638356164383563</v>
      </c>
      <c r="T107" s="7">
        <f>(P62*($E62/365))+(P63*($E63/365))+(P64*($E64/365))</f>
        <v>0</v>
      </c>
      <c r="U107" s="7">
        <f>(Q62*($E62/365))+(Q63*($E63/365))+(Q64*($E64/365))</f>
        <v>21.501369863013696</v>
      </c>
      <c r="W107" s="7">
        <f t="shared" ref="W107:W112" si="39">SUM(S107:U107)</f>
        <v>37.139726027397259</v>
      </c>
    </row>
    <row r="108" spans="1:23" s="572" customFormat="1" ht="9" customHeight="1">
      <c r="A108" s="572">
        <v>2015</v>
      </c>
      <c r="B108" s="571">
        <f>(K65*($E65/365))+(K66*($E66/365))</f>
        <v>94.808219178082197</v>
      </c>
      <c r="C108" s="571">
        <f>(L65*($E65/365))+(L66*($E66/365))</f>
        <v>0</v>
      </c>
      <c r="D108" s="571">
        <f>(M65*($E65/365))+(M66*($E66/365))</f>
        <v>5</v>
      </c>
      <c r="E108" s="567">
        <f t="shared" si="37"/>
        <v>99.808219178082197</v>
      </c>
      <c r="G108" s="572">
        <v>2015</v>
      </c>
      <c r="H108" s="918">
        <f>(O65/$R65*100*($E65/365))+(O66/$R66*100*($E66/365))</f>
        <v>90.650406504065046</v>
      </c>
      <c r="I108" s="918"/>
      <c r="J108" s="918">
        <f>(P65/$R65*100*($E65/365))+(P66/$R66*100*($E66/365))</f>
        <v>0</v>
      </c>
      <c r="K108" s="918"/>
      <c r="L108" s="918">
        <f>(Q65/$R65*100*($E65/365))+(Q66/$R66*100*($E66/365))</f>
        <v>9.3495934959349576</v>
      </c>
      <c r="M108" s="918"/>
      <c r="N108" s="919">
        <f t="shared" si="38"/>
        <v>100</v>
      </c>
      <c r="O108" s="919"/>
      <c r="R108" s="572">
        <v>2015</v>
      </c>
      <c r="S108" s="571">
        <f>(O65*($E65/365))+(O66*($E66/365))</f>
        <v>44.6</v>
      </c>
      <c r="T108" s="571">
        <f>(P65*($E65/365))+(P66*($E66/365))</f>
        <v>0</v>
      </c>
      <c r="U108" s="571">
        <f>(Q65*($E65/365))+(Q66*($E66/365))</f>
        <v>4.5999999999999996</v>
      </c>
      <c r="W108" s="571">
        <f t="shared" si="39"/>
        <v>49.2</v>
      </c>
    </row>
    <row r="109" spans="1:23" s="572" customFormat="1" ht="9" customHeight="1">
      <c r="A109" s="572">
        <v>2016</v>
      </c>
      <c r="B109" s="649">
        <f>(K67*($E67/366))+(K68*($E68/366))</f>
        <v>93.509411050394647</v>
      </c>
      <c r="C109" s="649">
        <f>(L67*($E67/366))+(L68*($E68/366))</f>
        <v>0</v>
      </c>
      <c r="D109" s="649">
        <f>(M67*($E67/366))+(M68*($E68/366))</f>
        <v>1.0519125683060109</v>
      </c>
      <c r="E109" s="646">
        <f t="shared" si="37"/>
        <v>94.561323618700655</v>
      </c>
      <c r="G109" s="572">
        <v>2016</v>
      </c>
      <c r="H109" s="918">
        <f>(O67/$R67*100*($E67/366))+(O68/$R68*100*($E68/366))</f>
        <v>90.650406504065046</v>
      </c>
      <c r="I109" s="918"/>
      <c r="J109" s="918">
        <f>(P67/$R67*100*($E67/366))+(P68/$R68*100*($E68/366))</f>
        <v>0</v>
      </c>
      <c r="K109" s="918"/>
      <c r="L109" s="918">
        <f>(Q67/$R67*100*($E67/366))+(Q68/$R68*100*($E68/366))</f>
        <v>9.3495934959349576</v>
      </c>
      <c r="M109" s="918"/>
      <c r="N109" s="919">
        <f t="shared" si="38"/>
        <v>100</v>
      </c>
      <c r="O109" s="919"/>
      <c r="R109" s="572">
        <v>2016</v>
      </c>
      <c r="S109" s="649">
        <f>(O67*($E67/366))+(O68*($E68/366))</f>
        <v>44.6</v>
      </c>
      <c r="T109" s="649">
        <f>(P67*($E67/366))+(P68*($E68/366))</f>
        <v>0</v>
      </c>
      <c r="U109" s="649">
        <f>(Q67*($E67/366))+(Q68*($E68/366))</f>
        <v>4.5999999999999996</v>
      </c>
      <c r="V109" s="650"/>
      <c r="W109" s="649">
        <f t="shared" si="39"/>
        <v>49.2</v>
      </c>
    </row>
    <row r="110" spans="1:23" s="572" customFormat="1" ht="9" customHeight="1">
      <c r="A110" s="741">
        <v>2017</v>
      </c>
      <c r="B110" s="739">
        <f>(K69*($E69/365))+(K70*($E70/365))+(K71*($E71/365))</f>
        <v>73.028919330289199</v>
      </c>
      <c r="C110" s="739">
        <f t="shared" ref="C110:D110" si="40">(L69*($E69/365))+(L70*($E70/365))+(L71*($E71/365))</f>
        <v>0</v>
      </c>
      <c r="D110" s="739">
        <f t="shared" si="40"/>
        <v>1.3287671232876712</v>
      </c>
      <c r="E110" s="737">
        <f t="shared" si="37"/>
        <v>74.357686453576875</v>
      </c>
      <c r="F110" s="741"/>
      <c r="G110" s="741">
        <v>2017</v>
      </c>
      <c r="H110" s="918">
        <f>(O69/$R69*100*($E69/365))+(O71/$R71*100*($E71/365))</f>
        <v>72.758659093440258</v>
      </c>
      <c r="I110" s="918"/>
      <c r="J110" s="918">
        <f>(P69/$R69*100*($E69/365))+(P71/$R71*100*($E71/365))</f>
        <v>0</v>
      </c>
      <c r="K110" s="918"/>
      <c r="L110" s="918">
        <f>(Q69/$R69*100*($E69/365))+(Q71/$R71*100*($E71/365))</f>
        <v>0.66599844080632575</v>
      </c>
      <c r="M110" s="918"/>
      <c r="N110" s="919">
        <f t="shared" si="38"/>
        <v>73.424657534246577</v>
      </c>
      <c r="O110" s="919"/>
      <c r="P110" s="741"/>
      <c r="Q110" s="741"/>
      <c r="R110" s="741">
        <v>2017</v>
      </c>
      <c r="S110" s="739">
        <f>(O69*($E69/365))+(O70*($E70/365))+(O71*($E71/365))</f>
        <v>36.924383561643843</v>
      </c>
      <c r="T110" s="739">
        <f t="shared" ref="T110:U110" si="41">(P69*($E69/365))+(P70*($E70/365))+(P71*($E71/365))</f>
        <v>0</v>
      </c>
      <c r="U110" s="739">
        <f t="shared" si="41"/>
        <v>0.32767123287671229</v>
      </c>
      <c r="V110" s="741"/>
      <c r="W110" s="739">
        <f t="shared" si="39"/>
        <v>37.252054794520554</v>
      </c>
    </row>
    <row r="111" spans="1:23" s="572" customFormat="1" ht="9" customHeight="1">
      <c r="A111" s="766">
        <v>2018</v>
      </c>
      <c r="B111" s="762">
        <f>(K72*($E72/365))+(K73*($E73/365))</f>
        <v>100</v>
      </c>
      <c r="C111" s="762">
        <f>(L72*($E72/365))+(L73*($E73/365))</f>
        <v>0</v>
      </c>
      <c r="D111" s="762">
        <f>(M72*($E72/365))+(M73*($E73/365))</f>
        <v>0</v>
      </c>
      <c r="E111" s="758">
        <f t="shared" si="37"/>
        <v>100</v>
      </c>
      <c r="G111" s="572">
        <v>2018</v>
      </c>
      <c r="H111" s="918">
        <f>(O72/$R72*100*($E72/365))+(O73/$R73*100*($E73/365))</f>
        <v>100</v>
      </c>
      <c r="I111" s="918"/>
      <c r="J111" s="918">
        <f>(P72/$R72*100*($E72/365))+(P73/$R73*100*($E73/365))</f>
        <v>0</v>
      </c>
      <c r="K111" s="918"/>
      <c r="L111" s="918">
        <f>(Q72/$R72*100*($E72/365))+(Q73/$R73*100*($E73/365))</f>
        <v>0</v>
      </c>
      <c r="M111" s="918"/>
      <c r="N111" s="919">
        <f t="shared" si="38"/>
        <v>100</v>
      </c>
      <c r="O111" s="919"/>
      <c r="R111" s="766">
        <v>2018</v>
      </c>
      <c r="S111" s="762">
        <f>(O72*($E72/365))+(O73*($E73/365))</f>
        <v>50.9</v>
      </c>
      <c r="T111" s="762">
        <f>(P72*($E72/365))+(P73*($E73/365))</f>
        <v>0</v>
      </c>
      <c r="U111" s="762">
        <f>(Q72*($E72/365))+(Q73*($E73/365))</f>
        <v>0</v>
      </c>
      <c r="V111" s="766"/>
      <c r="W111" s="762">
        <f t="shared" si="39"/>
        <v>50.9</v>
      </c>
    </row>
    <row r="112" spans="1:23" s="572" customFormat="1" ht="9" customHeight="1">
      <c r="A112" s="572">
        <v>2019</v>
      </c>
      <c r="B112" s="791">
        <f>(K74*($E74/365))+(K75*($E75/365))</f>
        <v>100</v>
      </c>
      <c r="C112" s="791">
        <f>(L74*($E74/365))+(L75*($E75/365))</f>
        <v>0</v>
      </c>
      <c r="D112" s="791">
        <f>(M74*($E74/365))+(M75*($E75/365))</f>
        <v>0</v>
      </c>
      <c r="E112" s="789">
        <f t="shared" ref="E112" si="42">SUM(B112:D112)</f>
        <v>100</v>
      </c>
      <c r="F112" s="794"/>
      <c r="G112" s="794">
        <v>2019</v>
      </c>
      <c r="H112" s="918">
        <f>(O74/$R74*100*($E74/365))+(O75/$R75*100*($E75/365))</f>
        <v>100</v>
      </c>
      <c r="I112" s="918"/>
      <c r="J112" s="918">
        <f>(P74/$R74*100*($E74/365))+(P75/$R75*100*($E75/365))</f>
        <v>0</v>
      </c>
      <c r="K112" s="918"/>
      <c r="L112" s="918">
        <f>(Q74/$R74*100*($E74/365))+(Q75/$R75*100*($E75/365))</f>
        <v>0</v>
      </c>
      <c r="M112" s="918"/>
      <c r="N112" s="919">
        <f t="shared" ref="N112" si="43">SUM(H112:M112)</f>
        <v>100</v>
      </c>
      <c r="O112" s="919"/>
      <c r="P112" s="794"/>
      <c r="Q112" s="794"/>
      <c r="R112" s="794">
        <v>2019</v>
      </c>
      <c r="S112" s="791">
        <f>(O74*($E74/365))+(O75*($E75/365))</f>
        <v>50.9</v>
      </c>
      <c r="T112" s="791">
        <f>(P74*($E74/365))+(P75*($E75/365))</f>
        <v>0</v>
      </c>
      <c r="U112" s="791">
        <f>(Q74*($E74/365))+(Q75*($E75/365))</f>
        <v>0</v>
      </c>
      <c r="V112" s="794"/>
      <c r="W112" s="791">
        <f t="shared" si="39"/>
        <v>50.9</v>
      </c>
    </row>
    <row r="113" spans="2:23" s="572" customFormat="1" ht="9" customHeight="1">
      <c r="B113" s="1"/>
      <c r="C113" s="1"/>
      <c r="D113" s="1"/>
      <c r="E113" s="1"/>
      <c r="F113" s="1"/>
      <c r="G113" s="1"/>
      <c r="H113" s="1"/>
      <c r="I113" s="1"/>
      <c r="J113" s="1"/>
      <c r="K113" s="1"/>
      <c r="L113" s="1"/>
      <c r="M113" s="1"/>
      <c r="N113" s="1"/>
      <c r="O113" s="1"/>
      <c r="P113" s="1"/>
      <c r="Q113" s="1"/>
      <c r="R113" s="1"/>
      <c r="S113" s="1"/>
      <c r="T113" s="1"/>
      <c r="U113" s="1"/>
      <c r="V113" s="1"/>
      <c r="W113" s="1"/>
    </row>
  </sheetData>
  <mergeCells count="216">
    <mergeCell ref="H91:I91"/>
    <mergeCell ref="H92:I92"/>
    <mergeCell ref="N101:O101"/>
    <mergeCell ref="N102:O102"/>
    <mergeCell ref="N93:O93"/>
    <mergeCell ref="N94:O94"/>
    <mergeCell ref="H107:I107"/>
    <mergeCell ref="J106:K106"/>
    <mergeCell ref="C68:D68"/>
    <mergeCell ref="C69:D69"/>
    <mergeCell ref="C70:D70"/>
    <mergeCell ref="C71:D71"/>
    <mergeCell ref="J90:K90"/>
    <mergeCell ref="N96:O96"/>
    <mergeCell ref="C74:D74"/>
    <mergeCell ref="C75:D75"/>
    <mergeCell ref="L99:M99"/>
    <mergeCell ref="L100:M100"/>
    <mergeCell ref="L101:M101"/>
    <mergeCell ref="J88:K88"/>
    <mergeCell ref="J91:K91"/>
    <mergeCell ref="J92:K92"/>
    <mergeCell ref="J97:K97"/>
    <mergeCell ref="J98:K98"/>
    <mergeCell ref="C62:D62"/>
    <mergeCell ref="C63:D63"/>
    <mergeCell ref="C64:D64"/>
    <mergeCell ref="N106:O106"/>
    <mergeCell ref="H106:I106"/>
    <mergeCell ref="H95:I95"/>
    <mergeCell ref="J89:K89"/>
    <mergeCell ref="L89:M89"/>
    <mergeCell ref="N98:O98"/>
    <mergeCell ref="N103:O103"/>
    <mergeCell ref="N99:O99"/>
    <mergeCell ref="H96:I96"/>
    <mergeCell ref="H88:I88"/>
    <mergeCell ref="C72:D72"/>
    <mergeCell ref="C73:D73"/>
    <mergeCell ref="N97:O97"/>
    <mergeCell ref="J96:K96"/>
    <mergeCell ref="L96:M96"/>
    <mergeCell ref="N95:O95"/>
    <mergeCell ref="N105:O105"/>
    <mergeCell ref="H89:I89"/>
    <mergeCell ref="J99:K99"/>
    <mergeCell ref="J102:K102"/>
    <mergeCell ref="H90:I90"/>
    <mergeCell ref="C55:D55"/>
    <mergeCell ref="C56:D56"/>
    <mergeCell ref="N104:O104"/>
    <mergeCell ref="H104:I104"/>
    <mergeCell ref="C57:D57"/>
    <mergeCell ref="C58:D58"/>
    <mergeCell ref="C59:D59"/>
    <mergeCell ref="N85:O85"/>
    <mergeCell ref="N86:O86"/>
    <mergeCell ref="C60:D60"/>
    <mergeCell ref="H85:I85"/>
    <mergeCell ref="J85:K85"/>
    <mergeCell ref="L85:M85"/>
    <mergeCell ref="C61:D61"/>
    <mergeCell ref="J86:K86"/>
    <mergeCell ref="L86:M86"/>
    <mergeCell ref="C65:D65"/>
    <mergeCell ref="C66:D66"/>
    <mergeCell ref="C67:D67"/>
    <mergeCell ref="H97:I97"/>
    <mergeCell ref="H98:I98"/>
    <mergeCell ref="H99:I99"/>
    <mergeCell ref="L102:M102"/>
    <mergeCell ref="H101:I101"/>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C29:D29"/>
    <mergeCell ref="C30:D30"/>
    <mergeCell ref="C31:D31"/>
    <mergeCell ref="C32:D32"/>
    <mergeCell ref="C33:D33"/>
    <mergeCell ref="C34:D34"/>
    <mergeCell ref="C35:D35"/>
    <mergeCell ref="C36:D36"/>
    <mergeCell ref="C37:D37"/>
    <mergeCell ref="C19:D19"/>
    <mergeCell ref="C20:D20"/>
    <mergeCell ref="C21:D21"/>
    <mergeCell ref="C23:D23"/>
    <mergeCell ref="C24:D24"/>
    <mergeCell ref="C25:D25"/>
    <mergeCell ref="C26:D26"/>
    <mergeCell ref="C27:D27"/>
    <mergeCell ref="C28:D28"/>
    <mergeCell ref="C22:D22"/>
    <mergeCell ref="C10:D10"/>
    <mergeCell ref="C11:D11"/>
    <mergeCell ref="C12:D12"/>
    <mergeCell ref="C13:D13"/>
    <mergeCell ref="C14:D14"/>
    <mergeCell ref="C15:D15"/>
    <mergeCell ref="C16:D16"/>
    <mergeCell ref="C17:D17"/>
    <mergeCell ref="C18:D18"/>
    <mergeCell ref="A4:A5"/>
    <mergeCell ref="B4:B5"/>
    <mergeCell ref="C4:D5"/>
    <mergeCell ref="E4:E5"/>
    <mergeCell ref="F4:F5"/>
    <mergeCell ref="C6:D6"/>
    <mergeCell ref="C8:D8"/>
    <mergeCell ref="C9:D9"/>
    <mergeCell ref="S4:S5"/>
    <mergeCell ref="K4:N4"/>
    <mergeCell ref="O4:R4"/>
    <mergeCell ref="C7:D7"/>
    <mergeCell ref="G4:J4"/>
    <mergeCell ref="G3:M3"/>
    <mergeCell ref="O3:Q3"/>
    <mergeCell ref="V4:Y4"/>
    <mergeCell ref="H83:I83"/>
    <mergeCell ref="T4:T5"/>
    <mergeCell ref="U4:U5"/>
    <mergeCell ref="N87:O87"/>
    <mergeCell ref="N83:O83"/>
    <mergeCell ref="N84:O84"/>
    <mergeCell ref="J83:K83"/>
    <mergeCell ref="L83:M83"/>
    <mergeCell ref="H86:I86"/>
    <mergeCell ref="R80:W80"/>
    <mergeCell ref="H82:I82"/>
    <mergeCell ref="J82:K82"/>
    <mergeCell ref="L82:M82"/>
    <mergeCell ref="N82:O82"/>
    <mergeCell ref="H84:I84"/>
    <mergeCell ref="J84:K84"/>
    <mergeCell ref="H87:I87"/>
    <mergeCell ref="J87:K87"/>
    <mergeCell ref="AX4:BA4"/>
    <mergeCell ref="L87:M87"/>
    <mergeCell ref="L88:M88"/>
    <mergeCell ref="L91:M91"/>
    <mergeCell ref="L92:M92"/>
    <mergeCell ref="AH4:AK4"/>
    <mergeCell ref="AL4:AO4"/>
    <mergeCell ref="AP4:AS4"/>
    <mergeCell ref="L84:M84"/>
    <mergeCell ref="Z4:AC4"/>
    <mergeCell ref="AD4:AG4"/>
    <mergeCell ref="N89:O89"/>
    <mergeCell ref="L90:M90"/>
    <mergeCell ref="N90:O90"/>
    <mergeCell ref="N88:O88"/>
    <mergeCell ref="AT4:AW4"/>
    <mergeCell ref="N91:O91"/>
    <mergeCell ref="N92:O92"/>
    <mergeCell ref="H93:I93"/>
    <mergeCell ref="J93:K93"/>
    <mergeCell ref="L93:M93"/>
    <mergeCell ref="H94:I94"/>
    <mergeCell ref="J94:K94"/>
    <mergeCell ref="L94:M94"/>
    <mergeCell ref="H111:I111"/>
    <mergeCell ref="J111:K111"/>
    <mergeCell ref="L111:M111"/>
    <mergeCell ref="H108:I108"/>
    <mergeCell ref="J108:K108"/>
    <mergeCell ref="L108:M108"/>
    <mergeCell ref="N111:O111"/>
    <mergeCell ref="H112:I112"/>
    <mergeCell ref="J112:K112"/>
    <mergeCell ref="L112:M112"/>
    <mergeCell ref="N112:O112"/>
    <mergeCell ref="H109:I109"/>
    <mergeCell ref="J109:K109"/>
    <mergeCell ref="L109:M109"/>
    <mergeCell ref="N109:O109"/>
    <mergeCell ref="H110:I110"/>
    <mergeCell ref="J110:K110"/>
    <mergeCell ref="L110:M110"/>
    <mergeCell ref="N110:O110"/>
    <mergeCell ref="N108:O108"/>
    <mergeCell ref="J100:K100"/>
    <mergeCell ref="J101:K101"/>
    <mergeCell ref="L97:M97"/>
    <mergeCell ref="J95:K95"/>
    <mergeCell ref="L95:M95"/>
    <mergeCell ref="N100:O100"/>
    <mergeCell ref="H102:I102"/>
    <mergeCell ref="H100:I100"/>
    <mergeCell ref="L106:M106"/>
    <mergeCell ref="H105:I105"/>
    <mergeCell ref="J105:K105"/>
    <mergeCell ref="L105:M105"/>
    <mergeCell ref="H103:I103"/>
    <mergeCell ref="J103:K103"/>
    <mergeCell ref="L103:M103"/>
    <mergeCell ref="L104:M104"/>
    <mergeCell ref="J104:K104"/>
    <mergeCell ref="J107:K107"/>
    <mergeCell ref="L107:M107"/>
    <mergeCell ref="N107:O107"/>
    <mergeCell ref="L98:M98"/>
  </mergeCells>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86:N87"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A199"/>
  <sheetViews>
    <sheetView zoomScale="150" zoomScaleNormal="120" workbookViewId="0">
      <pane xSplit="1" ySplit="5" topLeftCell="B108" activePane="bottomRight" state="frozen"/>
      <selection pane="topRight" activeCell="B1" sqref="B1"/>
      <selection pane="bottomLeft" activeCell="A6" sqref="A6"/>
      <selection pane="bottomRight" activeCell="E112" sqref="E11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50</v>
      </c>
    </row>
    <row r="3" spans="1:53" s="2" customFormat="1">
      <c r="G3" s="924"/>
      <c r="H3" s="924"/>
      <c r="I3" s="924"/>
      <c r="J3" s="924"/>
      <c r="K3" s="924"/>
      <c r="L3" s="924"/>
      <c r="M3" s="924"/>
      <c r="O3" s="924"/>
      <c r="P3" s="924"/>
      <c r="Q3" s="924"/>
      <c r="R3" s="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222"/>
      <c r="C6" s="912" t="s">
        <v>230</v>
      </c>
      <c r="D6" s="912"/>
      <c r="E6" s="227">
        <v>0</v>
      </c>
      <c r="G6" s="235">
        <v>21</v>
      </c>
      <c r="J6" s="242">
        <v>21</v>
      </c>
      <c r="K6" s="218">
        <f>G6/J6*100</f>
        <v>100</v>
      </c>
      <c r="L6" s="218">
        <f>H6/J6*100</f>
        <v>0</v>
      </c>
      <c r="M6" s="218">
        <f>I6/J6*100</f>
        <v>0</v>
      </c>
      <c r="N6" s="237">
        <f>SUM(K6:M6)</f>
        <v>100</v>
      </c>
      <c r="O6" s="217">
        <v>78.5</v>
      </c>
      <c r="P6" s="218"/>
      <c r="Q6" s="218"/>
      <c r="R6" s="219">
        <f>SUM(O6:Q6)</f>
        <v>78.5</v>
      </c>
      <c r="S6" s="224">
        <v>1</v>
      </c>
      <c r="T6" s="221"/>
      <c r="U6" s="222"/>
      <c r="V6" s="226" t="s">
        <v>101</v>
      </c>
      <c r="W6" s="227" t="s">
        <v>74</v>
      </c>
      <c r="X6" s="227" t="s">
        <v>11</v>
      </c>
      <c r="Y6" s="228">
        <v>78.5</v>
      </c>
      <c r="AD6" s="226"/>
      <c r="AG6" s="228"/>
      <c r="AL6" s="226"/>
      <c r="AO6" s="228"/>
      <c r="AP6" s="226"/>
      <c r="AS6" s="228"/>
      <c r="AW6" s="228"/>
      <c r="BA6" s="229"/>
    </row>
    <row r="7" spans="1:53" s="227" customFormat="1">
      <c r="A7" s="233">
        <v>1959</v>
      </c>
      <c r="B7" s="222"/>
      <c r="C7" s="912" t="s">
        <v>230</v>
      </c>
      <c r="D7" s="912"/>
      <c r="E7" s="227">
        <v>365</v>
      </c>
      <c r="G7" s="235">
        <v>21</v>
      </c>
      <c r="J7" s="242">
        <v>21</v>
      </c>
      <c r="K7" s="218">
        <f>G7/J7*100</f>
        <v>100</v>
      </c>
      <c r="L7" s="218">
        <f>H7/J7*100</f>
        <v>0</v>
      </c>
      <c r="M7" s="218">
        <f>I7/J7*100</f>
        <v>0</v>
      </c>
      <c r="N7" s="237">
        <f>SUM(K7:M7)</f>
        <v>100</v>
      </c>
      <c r="O7" s="217">
        <v>78.5</v>
      </c>
      <c r="P7" s="218"/>
      <c r="Q7" s="218"/>
      <c r="R7" s="219">
        <f>SUM(O7:Q7)</f>
        <v>78.5</v>
      </c>
      <c r="S7" s="224">
        <v>1</v>
      </c>
      <c r="T7" s="221"/>
      <c r="U7" s="222"/>
      <c r="V7" s="226" t="s">
        <v>101</v>
      </c>
      <c r="W7" s="227" t="s">
        <v>74</v>
      </c>
      <c r="X7" s="227" t="s">
        <v>11</v>
      </c>
      <c r="Y7" s="228">
        <v>78.5</v>
      </c>
      <c r="AD7" s="226"/>
      <c r="AG7" s="228"/>
      <c r="AL7" s="226"/>
      <c r="AO7" s="228"/>
      <c r="AP7" s="226"/>
      <c r="AS7" s="228"/>
      <c r="AW7" s="228"/>
      <c r="BA7" s="229"/>
    </row>
    <row r="8" spans="1:53" s="73" customFormat="1">
      <c r="A8" s="101">
        <v>1960</v>
      </c>
      <c r="B8" s="85"/>
      <c r="C8" s="901" t="s">
        <v>230</v>
      </c>
      <c r="D8" s="901"/>
      <c r="E8" s="73">
        <v>0</v>
      </c>
      <c r="G8" s="119">
        <v>21</v>
      </c>
      <c r="J8" s="126">
        <v>21</v>
      </c>
      <c r="K8" s="92">
        <f>G8/J8*100</f>
        <v>100</v>
      </c>
      <c r="L8" s="92">
        <f>H8/J8*100</f>
        <v>0</v>
      </c>
      <c r="M8" s="92">
        <f>I8/J8*100</f>
        <v>0</v>
      </c>
      <c r="N8" s="121">
        <f>SUM(K8:M8)</f>
        <v>100</v>
      </c>
      <c r="O8" s="91">
        <v>78.5</v>
      </c>
      <c r="P8" s="92"/>
      <c r="Q8" s="92"/>
      <c r="R8" s="93">
        <f>SUM(O8:Q8)</f>
        <v>78.5</v>
      </c>
      <c r="S8" s="97">
        <v>1</v>
      </c>
      <c r="T8" s="95"/>
      <c r="U8" s="85"/>
      <c r="V8" s="82" t="s">
        <v>101</v>
      </c>
      <c r="W8" s="73" t="s">
        <v>74</v>
      </c>
      <c r="X8" s="73" t="s">
        <v>11</v>
      </c>
      <c r="Y8" s="83">
        <v>78.5</v>
      </c>
      <c r="AD8" s="82"/>
      <c r="AG8" s="83"/>
      <c r="AL8" s="82"/>
      <c r="AO8" s="83"/>
      <c r="AP8" s="82"/>
      <c r="AS8" s="83"/>
      <c r="AW8" s="83"/>
      <c r="BA8" s="84"/>
    </row>
    <row r="9" spans="1:53" s="73" customFormat="1">
      <c r="A9" s="101">
        <v>1960</v>
      </c>
      <c r="B9" s="85"/>
      <c r="C9" s="901" t="s">
        <v>230</v>
      </c>
      <c r="D9" s="901"/>
      <c r="E9" s="73">
        <v>366</v>
      </c>
      <c r="G9" s="119">
        <v>21</v>
      </c>
      <c r="J9" s="126">
        <v>21</v>
      </c>
      <c r="K9" s="92">
        <f t="shared" ref="K9:K14" si="0">G9/J9*100</f>
        <v>100</v>
      </c>
      <c r="L9" s="92">
        <f t="shared" ref="L9:L14" si="1">H9/J9*100</f>
        <v>0</v>
      </c>
      <c r="M9" s="92">
        <f t="shared" ref="M9:M14" si="2">I9/J9*100</f>
        <v>0</v>
      </c>
      <c r="N9" s="121">
        <f t="shared" ref="N9:N72" si="3">SUM(K9:M9)</f>
        <v>100</v>
      </c>
      <c r="O9" s="91">
        <v>78.5</v>
      </c>
      <c r="P9" s="92"/>
      <c r="Q9" s="92"/>
      <c r="R9" s="93">
        <f t="shared" ref="R9:R72" si="4">SUM(O9:Q9)</f>
        <v>78.5</v>
      </c>
      <c r="S9" s="97">
        <v>1</v>
      </c>
      <c r="T9" s="95"/>
      <c r="U9" s="85"/>
      <c r="V9" s="82" t="s">
        <v>101</v>
      </c>
      <c r="W9" s="73" t="s">
        <v>74</v>
      </c>
      <c r="X9" s="73" t="s">
        <v>11</v>
      </c>
      <c r="Y9" s="83">
        <v>78.5</v>
      </c>
      <c r="AD9" s="82"/>
      <c r="AG9" s="83"/>
      <c r="AL9" s="82"/>
      <c r="AO9" s="83"/>
      <c r="AP9" s="82"/>
      <c r="AS9" s="83"/>
      <c r="AW9" s="83"/>
      <c r="BA9" s="84"/>
    </row>
    <row r="10" spans="1:53" s="73" customFormat="1">
      <c r="A10" s="101">
        <v>1961</v>
      </c>
      <c r="B10" s="85"/>
      <c r="C10" s="901" t="s">
        <v>230</v>
      </c>
      <c r="D10" s="901"/>
      <c r="E10" s="73">
        <v>0</v>
      </c>
      <c r="G10" s="119">
        <v>21</v>
      </c>
      <c r="J10" s="126">
        <v>21</v>
      </c>
      <c r="K10" s="92">
        <f t="shared" si="0"/>
        <v>100</v>
      </c>
      <c r="L10" s="92">
        <f t="shared" si="1"/>
        <v>0</v>
      </c>
      <c r="M10" s="92">
        <f t="shared" si="2"/>
        <v>0</v>
      </c>
      <c r="N10" s="121">
        <f t="shared" si="3"/>
        <v>100</v>
      </c>
      <c r="O10" s="91">
        <v>78.5</v>
      </c>
      <c r="P10" s="92"/>
      <c r="Q10" s="92"/>
      <c r="R10" s="93">
        <f t="shared" si="4"/>
        <v>78.5</v>
      </c>
      <c r="S10" s="97">
        <v>1</v>
      </c>
      <c r="T10" s="95"/>
      <c r="U10" s="85"/>
      <c r="V10" s="82" t="s">
        <v>101</v>
      </c>
      <c r="W10" s="73" t="s">
        <v>74</v>
      </c>
      <c r="X10" s="73" t="s">
        <v>11</v>
      </c>
      <c r="Y10" s="83">
        <v>78.5</v>
      </c>
      <c r="AD10" s="82"/>
      <c r="AG10" s="83"/>
      <c r="AL10" s="82"/>
      <c r="AO10" s="83"/>
      <c r="AP10" s="82"/>
      <c r="AS10" s="83"/>
      <c r="AW10" s="83"/>
      <c r="BA10" s="84"/>
    </row>
    <row r="11" spans="1:53" s="73" customFormat="1">
      <c r="A11" s="101">
        <v>1961</v>
      </c>
      <c r="B11" s="85"/>
      <c r="C11" s="901" t="s">
        <v>230</v>
      </c>
      <c r="D11" s="901"/>
      <c r="E11" s="73">
        <f>365-E10</f>
        <v>365</v>
      </c>
      <c r="G11" s="119">
        <v>21</v>
      </c>
      <c r="J11" s="126">
        <v>21</v>
      </c>
      <c r="K11" s="92">
        <f t="shared" si="0"/>
        <v>100</v>
      </c>
      <c r="L11" s="92">
        <f t="shared" si="1"/>
        <v>0</v>
      </c>
      <c r="M11" s="92">
        <f t="shared" si="2"/>
        <v>0</v>
      </c>
      <c r="N11" s="121">
        <f t="shared" si="3"/>
        <v>100</v>
      </c>
      <c r="O11" s="91">
        <v>78.5</v>
      </c>
      <c r="P11" s="92"/>
      <c r="Q11" s="92"/>
      <c r="R11" s="93">
        <f t="shared" si="4"/>
        <v>78.5</v>
      </c>
      <c r="S11" s="97">
        <v>1</v>
      </c>
      <c r="T11" s="95"/>
      <c r="U11" s="85"/>
      <c r="V11" s="82" t="s">
        <v>101</v>
      </c>
      <c r="W11" s="73" t="s">
        <v>74</v>
      </c>
      <c r="X11" s="73" t="s">
        <v>11</v>
      </c>
      <c r="Y11" s="83">
        <v>78.5</v>
      </c>
      <c r="AD11" s="82"/>
      <c r="AG11" s="83"/>
      <c r="AL11" s="82"/>
      <c r="AO11" s="83"/>
      <c r="AP11" s="82"/>
      <c r="AS11" s="83"/>
      <c r="AW11" s="83"/>
      <c r="BA11" s="84"/>
    </row>
    <row r="12" spans="1:53" s="73" customFormat="1">
      <c r="A12" s="101">
        <v>1962</v>
      </c>
      <c r="B12" s="85"/>
      <c r="C12" s="901" t="s">
        <v>230</v>
      </c>
      <c r="D12" s="901"/>
      <c r="E12" s="73">
        <v>220</v>
      </c>
      <c r="G12" s="119">
        <v>21</v>
      </c>
      <c r="J12" s="126">
        <v>21</v>
      </c>
      <c r="K12" s="92">
        <f t="shared" si="0"/>
        <v>100</v>
      </c>
      <c r="L12" s="92">
        <f t="shared" si="1"/>
        <v>0</v>
      </c>
      <c r="M12" s="92">
        <f t="shared" si="2"/>
        <v>0</v>
      </c>
      <c r="N12" s="121">
        <f t="shared" si="3"/>
        <v>100</v>
      </c>
      <c r="O12" s="91">
        <v>78.5</v>
      </c>
      <c r="P12" s="92"/>
      <c r="Q12" s="92"/>
      <c r="R12" s="93">
        <f t="shared" si="4"/>
        <v>78.5</v>
      </c>
      <c r="S12" s="97">
        <v>1</v>
      </c>
      <c r="T12" s="95"/>
      <c r="U12" s="85"/>
      <c r="V12" s="82" t="s">
        <v>101</v>
      </c>
      <c r="W12" s="73" t="s">
        <v>74</v>
      </c>
      <c r="X12" s="73" t="s">
        <v>11</v>
      </c>
      <c r="Y12" s="83">
        <v>78.5</v>
      </c>
      <c r="AD12" s="82"/>
      <c r="AG12" s="83"/>
      <c r="AL12" s="82"/>
      <c r="AO12" s="83"/>
      <c r="AP12" s="82"/>
      <c r="AS12" s="83"/>
      <c r="AW12" s="83"/>
      <c r="BA12" s="84"/>
    </row>
    <row r="13" spans="1:53" s="292" customFormat="1">
      <c r="A13" s="338">
        <v>1962</v>
      </c>
      <c r="B13" s="836">
        <v>22867</v>
      </c>
      <c r="C13" s="909" t="s">
        <v>229</v>
      </c>
      <c r="D13" s="909"/>
      <c r="E13" s="292">
        <f>365-E12</f>
        <v>145</v>
      </c>
      <c r="F13" s="292">
        <v>1</v>
      </c>
      <c r="G13" s="366">
        <v>20</v>
      </c>
      <c r="J13" s="377">
        <v>20</v>
      </c>
      <c r="K13" s="336">
        <f t="shared" si="0"/>
        <v>100</v>
      </c>
      <c r="L13" s="336">
        <f t="shared" si="1"/>
        <v>0</v>
      </c>
      <c r="M13" s="336">
        <f t="shared" si="2"/>
        <v>0</v>
      </c>
      <c r="N13" s="368">
        <f t="shared" si="3"/>
        <v>100</v>
      </c>
      <c r="O13" s="335">
        <v>43.8</v>
      </c>
      <c r="P13" s="336"/>
      <c r="Q13" s="336"/>
      <c r="R13" s="337">
        <f t="shared" si="4"/>
        <v>43.8</v>
      </c>
      <c r="S13" s="340">
        <v>4</v>
      </c>
      <c r="T13" s="838">
        <v>22815</v>
      </c>
      <c r="U13" s="836">
        <v>22867</v>
      </c>
      <c r="V13" s="299" t="s">
        <v>101</v>
      </c>
      <c r="W13" s="292" t="s">
        <v>74</v>
      </c>
      <c r="X13" s="292" t="s">
        <v>11</v>
      </c>
      <c r="Y13" s="300">
        <v>43.8</v>
      </c>
      <c r="AD13" s="299"/>
      <c r="AG13" s="300"/>
      <c r="AL13" s="299"/>
      <c r="AO13" s="300"/>
      <c r="AP13" s="299"/>
      <c r="AS13" s="300"/>
      <c r="AW13" s="300"/>
      <c r="BA13" s="301"/>
    </row>
    <row r="14" spans="1:53" s="292" customFormat="1">
      <c r="A14" s="338">
        <v>1962.6</v>
      </c>
      <c r="B14" s="836"/>
      <c r="C14" s="909" t="s">
        <v>229</v>
      </c>
      <c r="D14" s="909"/>
      <c r="E14" s="292">
        <v>111</v>
      </c>
      <c r="G14" s="366">
        <v>20</v>
      </c>
      <c r="J14" s="377">
        <v>20</v>
      </c>
      <c r="K14" s="336">
        <f t="shared" si="0"/>
        <v>100</v>
      </c>
      <c r="L14" s="336">
        <f t="shared" si="1"/>
        <v>0</v>
      </c>
      <c r="M14" s="336">
        <f t="shared" si="2"/>
        <v>0</v>
      </c>
      <c r="N14" s="368">
        <f t="shared" si="3"/>
        <v>100</v>
      </c>
      <c r="O14" s="335">
        <v>43.8</v>
      </c>
      <c r="P14" s="336"/>
      <c r="Q14" s="336"/>
      <c r="R14" s="337">
        <f t="shared" si="4"/>
        <v>43.8</v>
      </c>
      <c r="S14" s="340">
        <v>4</v>
      </c>
      <c r="T14" s="838"/>
      <c r="U14" s="836"/>
      <c r="V14" s="299" t="s">
        <v>101</v>
      </c>
      <c r="W14" s="292" t="s">
        <v>74</v>
      </c>
      <c r="X14" s="292" t="s">
        <v>11</v>
      </c>
      <c r="Y14" s="300">
        <v>43.8</v>
      </c>
      <c r="AD14" s="299"/>
      <c r="AG14" s="300"/>
      <c r="AL14" s="299"/>
      <c r="AO14" s="300"/>
      <c r="AP14" s="299"/>
      <c r="AS14" s="300"/>
      <c r="AW14" s="300"/>
      <c r="BA14" s="301"/>
    </row>
    <row r="15" spans="1:53" s="73" customFormat="1">
      <c r="A15" s="101">
        <v>1963.05714285714</v>
      </c>
      <c r="B15" s="852">
        <v>23123</v>
      </c>
      <c r="C15" s="901" t="s">
        <v>231</v>
      </c>
      <c r="D15" s="901"/>
      <c r="E15" s="73">
        <v>254</v>
      </c>
      <c r="F15" s="73">
        <v>5</v>
      </c>
      <c r="G15" s="119"/>
      <c r="H15" s="73">
        <v>24</v>
      </c>
      <c r="J15" s="126">
        <v>24</v>
      </c>
      <c r="K15" s="92">
        <f>G15/J15*100</f>
        <v>0</v>
      </c>
      <c r="L15" s="92">
        <f>H15/J15*100</f>
        <v>100</v>
      </c>
      <c r="M15" s="92">
        <f>I15/J15*100</f>
        <v>0</v>
      </c>
      <c r="N15" s="121">
        <f t="shared" si="3"/>
        <v>100</v>
      </c>
      <c r="O15" s="91"/>
      <c r="P15" s="92">
        <v>48.7</v>
      </c>
      <c r="Q15" s="92"/>
      <c r="R15" s="93">
        <f t="shared" si="4"/>
        <v>48.7</v>
      </c>
      <c r="S15" s="97">
        <v>4</v>
      </c>
      <c r="T15" s="839">
        <v>23109</v>
      </c>
      <c r="U15" s="852">
        <v>23123</v>
      </c>
      <c r="V15" s="82" t="s">
        <v>72</v>
      </c>
      <c r="W15" s="73" t="s">
        <v>22</v>
      </c>
      <c r="X15" s="73" t="s">
        <v>18</v>
      </c>
      <c r="Y15" s="83">
        <v>48.7</v>
      </c>
      <c r="AD15" s="82"/>
      <c r="AG15" s="83"/>
      <c r="AL15" s="82"/>
      <c r="AO15" s="83"/>
      <c r="AP15" s="82"/>
      <c r="AS15" s="83"/>
      <c r="AW15" s="83"/>
      <c r="BA15" s="84"/>
    </row>
    <row r="16" spans="1:53" s="73" customFormat="1">
      <c r="A16" s="101">
        <v>1963.5142857142901</v>
      </c>
      <c r="B16" s="852"/>
      <c r="C16" s="901" t="s">
        <v>231</v>
      </c>
      <c r="D16" s="901"/>
      <c r="E16" s="73">
        <v>0</v>
      </c>
      <c r="G16" s="119"/>
      <c r="H16" s="73">
        <v>24</v>
      </c>
      <c r="J16" s="126">
        <v>24</v>
      </c>
      <c r="K16" s="92">
        <f t="shared" ref="K16:K21" si="5">G16/J16*100</f>
        <v>0</v>
      </c>
      <c r="L16" s="92">
        <f t="shared" ref="L16:L21" si="6">H16/J16*100</f>
        <v>100</v>
      </c>
      <c r="M16" s="92">
        <f t="shared" ref="M16:M21" si="7">I16/J16*100</f>
        <v>0</v>
      </c>
      <c r="N16" s="121">
        <f t="shared" si="3"/>
        <v>100</v>
      </c>
      <c r="O16" s="91"/>
      <c r="P16" s="92">
        <v>48.7</v>
      </c>
      <c r="Q16" s="92"/>
      <c r="R16" s="93">
        <f t="shared" si="4"/>
        <v>48.7</v>
      </c>
      <c r="S16" s="97">
        <v>4</v>
      </c>
      <c r="T16" s="839"/>
      <c r="U16" s="852"/>
      <c r="V16" s="82" t="s">
        <v>72</v>
      </c>
      <c r="W16" s="73" t="s">
        <v>22</v>
      </c>
      <c r="X16" s="73" t="s">
        <v>18</v>
      </c>
      <c r="Y16" s="83">
        <v>48.7</v>
      </c>
      <c r="AD16" s="82"/>
      <c r="AG16" s="83"/>
      <c r="AL16" s="82"/>
      <c r="AO16" s="83"/>
      <c r="AP16" s="82"/>
      <c r="AS16" s="83"/>
      <c r="AW16" s="83"/>
      <c r="BA16" s="84"/>
    </row>
    <row r="17" spans="1:53" s="73" customFormat="1">
      <c r="A17" s="101">
        <v>1963.9714285714299</v>
      </c>
      <c r="B17" s="852"/>
      <c r="C17" s="901" t="s">
        <v>231</v>
      </c>
      <c r="D17" s="901"/>
      <c r="E17" s="73">
        <v>366</v>
      </c>
      <c r="G17" s="119"/>
      <c r="H17" s="73">
        <v>24</v>
      </c>
      <c r="J17" s="126">
        <v>24</v>
      </c>
      <c r="K17" s="92">
        <f t="shared" si="5"/>
        <v>0</v>
      </c>
      <c r="L17" s="92">
        <f t="shared" si="6"/>
        <v>100</v>
      </c>
      <c r="M17" s="92">
        <f t="shared" si="7"/>
        <v>0</v>
      </c>
      <c r="N17" s="121">
        <f t="shared" si="3"/>
        <v>100</v>
      </c>
      <c r="O17" s="91"/>
      <c r="P17" s="92">
        <v>48.7</v>
      </c>
      <c r="Q17" s="92"/>
      <c r="R17" s="93">
        <f t="shared" si="4"/>
        <v>48.7</v>
      </c>
      <c r="S17" s="97">
        <v>4</v>
      </c>
      <c r="T17" s="839"/>
      <c r="U17" s="852"/>
      <c r="V17" s="82" t="s">
        <v>72</v>
      </c>
      <c r="W17" s="73" t="s">
        <v>22</v>
      </c>
      <c r="X17" s="73" t="s">
        <v>18</v>
      </c>
      <c r="Y17" s="83">
        <v>48.7</v>
      </c>
      <c r="AD17" s="82"/>
      <c r="AG17" s="83"/>
      <c r="AL17" s="82"/>
      <c r="AO17" s="83"/>
      <c r="AP17" s="82"/>
      <c r="AS17" s="83"/>
      <c r="AW17" s="83"/>
      <c r="BA17" s="84"/>
    </row>
    <row r="18" spans="1:53" s="73" customFormat="1">
      <c r="A18" s="101">
        <v>1965</v>
      </c>
      <c r="B18" s="852"/>
      <c r="C18" s="901" t="s">
        <v>231</v>
      </c>
      <c r="D18" s="901"/>
      <c r="E18" s="73">
        <v>351</v>
      </c>
      <c r="G18" s="119"/>
      <c r="H18" s="73">
        <v>24</v>
      </c>
      <c r="J18" s="126">
        <v>24</v>
      </c>
      <c r="K18" s="92">
        <f t="shared" si="5"/>
        <v>0</v>
      </c>
      <c r="L18" s="92">
        <f t="shared" si="6"/>
        <v>100</v>
      </c>
      <c r="M18" s="92">
        <f t="shared" si="7"/>
        <v>0</v>
      </c>
      <c r="N18" s="121">
        <f t="shared" si="3"/>
        <v>100</v>
      </c>
      <c r="O18" s="91"/>
      <c r="P18" s="92">
        <v>48.7</v>
      </c>
      <c r="Q18" s="92"/>
      <c r="R18" s="93">
        <f t="shared" si="4"/>
        <v>48.7</v>
      </c>
      <c r="S18" s="97">
        <v>4</v>
      </c>
      <c r="T18" s="839"/>
      <c r="U18" s="852"/>
      <c r="V18" s="82" t="s">
        <v>72</v>
      </c>
      <c r="W18" s="73" t="s">
        <v>22</v>
      </c>
      <c r="X18" s="73" t="s">
        <v>18</v>
      </c>
      <c r="Y18" s="83">
        <v>48.7</v>
      </c>
      <c r="AD18" s="82"/>
      <c r="AG18" s="83"/>
      <c r="AL18" s="82"/>
      <c r="AO18" s="83"/>
      <c r="AP18" s="82"/>
      <c r="AS18" s="83"/>
      <c r="AW18" s="83"/>
      <c r="BA18" s="84"/>
    </row>
    <row r="19" spans="1:53" s="292" customFormat="1">
      <c r="A19" s="338">
        <v>1964.88571428572</v>
      </c>
      <c r="B19" s="836">
        <v>24094</v>
      </c>
      <c r="C19" s="909" t="s">
        <v>232</v>
      </c>
      <c r="D19" s="909"/>
      <c r="E19" s="292">
        <v>14</v>
      </c>
      <c r="F19" s="292">
        <v>1</v>
      </c>
      <c r="G19" s="366"/>
      <c r="H19" s="292">
        <v>23</v>
      </c>
      <c r="J19" s="377">
        <v>23</v>
      </c>
      <c r="K19" s="336">
        <f t="shared" si="5"/>
        <v>0</v>
      </c>
      <c r="L19" s="336">
        <f t="shared" si="6"/>
        <v>100</v>
      </c>
      <c r="M19" s="336">
        <f t="shared" si="7"/>
        <v>0</v>
      </c>
      <c r="N19" s="368">
        <f t="shared" si="3"/>
        <v>100</v>
      </c>
      <c r="O19" s="335"/>
      <c r="P19" s="336">
        <v>49.4</v>
      </c>
      <c r="Q19" s="336"/>
      <c r="R19" s="337">
        <f t="shared" si="4"/>
        <v>49.4</v>
      </c>
      <c r="S19" s="340">
        <v>4</v>
      </c>
      <c r="T19" s="838">
        <v>24054</v>
      </c>
      <c r="U19" s="836">
        <v>24094</v>
      </c>
      <c r="V19" s="299" t="s">
        <v>72</v>
      </c>
      <c r="W19" s="292" t="s">
        <v>22</v>
      </c>
      <c r="X19" s="292" t="s">
        <v>18</v>
      </c>
      <c r="Y19" s="300">
        <v>49.4</v>
      </c>
      <c r="AD19" s="299"/>
      <c r="AG19" s="300"/>
      <c r="AL19" s="299"/>
      <c r="AO19" s="300"/>
      <c r="AP19" s="299"/>
      <c r="AS19" s="300"/>
      <c r="AW19" s="300"/>
      <c r="BA19" s="301"/>
    </row>
    <row r="20" spans="1:53" s="292" customFormat="1">
      <c r="A20" s="338">
        <v>1966</v>
      </c>
      <c r="B20" s="836"/>
      <c r="C20" s="909" t="s">
        <v>232</v>
      </c>
      <c r="D20" s="909"/>
      <c r="E20" s="292">
        <v>0</v>
      </c>
      <c r="G20" s="366"/>
      <c r="H20" s="292">
        <v>23</v>
      </c>
      <c r="J20" s="377">
        <v>23</v>
      </c>
      <c r="K20" s="336">
        <f t="shared" si="5"/>
        <v>0</v>
      </c>
      <c r="L20" s="336">
        <f t="shared" si="6"/>
        <v>100</v>
      </c>
      <c r="M20" s="336">
        <f t="shared" si="7"/>
        <v>0</v>
      </c>
      <c r="N20" s="368">
        <f t="shared" si="3"/>
        <v>100</v>
      </c>
      <c r="O20" s="335"/>
      <c r="P20" s="336">
        <v>49.4</v>
      </c>
      <c r="Q20" s="336"/>
      <c r="R20" s="337">
        <f t="shared" si="4"/>
        <v>49.4</v>
      </c>
      <c r="S20" s="340">
        <v>4</v>
      </c>
      <c r="T20" s="838"/>
      <c r="U20" s="836"/>
      <c r="V20" s="299" t="s">
        <v>72</v>
      </c>
      <c r="W20" s="292" t="s">
        <v>22</v>
      </c>
      <c r="X20" s="292" t="s">
        <v>18</v>
      </c>
      <c r="Y20" s="300">
        <v>49.4</v>
      </c>
      <c r="AD20" s="299"/>
      <c r="AG20" s="300"/>
      <c r="AL20" s="299"/>
      <c r="AO20" s="300"/>
      <c r="AP20" s="299"/>
      <c r="AS20" s="300"/>
      <c r="AW20" s="300"/>
      <c r="BA20" s="301"/>
    </row>
    <row r="21" spans="1:53" s="292" customFormat="1">
      <c r="A21" s="338">
        <v>1965.8</v>
      </c>
      <c r="B21" s="836"/>
      <c r="C21" s="909" t="s">
        <v>232</v>
      </c>
      <c r="D21" s="909"/>
      <c r="E21" s="292">
        <v>365</v>
      </c>
      <c r="G21" s="366"/>
      <c r="H21" s="292">
        <v>23</v>
      </c>
      <c r="J21" s="377">
        <v>23</v>
      </c>
      <c r="K21" s="336">
        <f t="shared" si="5"/>
        <v>0</v>
      </c>
      <c r="L21" s="336">
        <f t="shared" si="6"/>
        <v>100</v>
      </c>
      <c r="M21" s="336">
        <f t="shared" si="7"/>
        <v>0</v>
      </c>
      <c r="N21" s="368">
        <f t="shared" si="3"/>
        <v>100</v>
      </c>
      <c r="O21" s="335"/>
      <c r="P21" s="336">
        <v>49.4</v>
      </c>
      <c r="Q21" s="336"/>
      <c r="R21" s="337">
        <f t="shared" si="4"/>
        <v>49.4</v>
      </c>
      <c r="S21" s="340">
        <v>4</v>
      </c>
      <c r="T21" s="838"/>
      <c r="U21" s="836"/>
      <c r="V21" s="299" t="s">
        <v>72</v>
      </c>
      <c r="W21" s="292" t="s">
        <v>22</v>
      </c>
      <c r="X21" s="292" t="s">
        <v>18</v>
      </c>
      <c r="Y21" s="300">
        <v>49.4</v>
      </c>
      <c r="AD21" s="299"/>
      <c r="AG21" s="300"/>
      <c r="AL21" s="299"/>
      <c r="AO21" s="300"/>
      <c r="AP21" s="299"/>
      <c r="AS21" s="300"/>
      <c r="AW21" s="300"/>
      <c r="BA21" s="301"/>
    </row>
    <row r="22" spans="1:53" s="292" customFormat="1">
      <c r="A22" s="338">
        <v>1967</v>
      </c>
      <c r="B22" s="836"/>
      <c r="C22" s="909" t="s">
        <v>232</v>
      </c>
      <c r="D22" s="909"/>
      <c r="E22" s="292">
        <v>0</v>
      </c>
      <c r="G22" s="366"/>
      <c r="H22" s="292">
        <v>23</v>
      </c>
      <c r="J22" s="377">
        <v>23</v>
      </c>
      <c r="K22" s="336">
        <f>G22/J22*100</f>
        <v>0</v>
      </c>
      <c r="L22" s="336">
        <f>H22/J22*100</f>
        <v>100</v>
      </c>
      <c r="M22" s="336">
        <f>I22/J22*100</f>
        <v>0</v>
      </c>
      <c r="N22" s="368">
        <f t="shared" si="3"/>
        <v>100</v>
      </c>
      <c r="O22" s="335"/>
      <c r="P22" s="336">
        <v>49.4</v>
      </c>
      <c r="Q22" s="336"/>
      <c r="R22" s="337">
        <f t="shared" si="4"/>
        <v>49.4</v>
      </c>
      <c r="S22" s="340">
        <v>4</v>
      </c>
      <c r="T22" s="838"/>
      <c r="U22" s="836"/>
      <c r="V22" s="299" t="s">
        <v>72</v>
      </c>
      <c r="W22" s="292" t="s">
        <v>22</v>
      </c>
      <c r="X22" s="292" t="s">
        <v>18</v>
      </c>
      <c r="Y22" s="300">
        <v>49.4</v>
      </c>
      <c r="AD22" s="299"/>
      <c r="AG22" s="300"/>
      <c r="AL22" s="299"/>
      <c r="AO22" s="300"/>
      <c r="AP22" s="299"/>
      <c r="AS22" s="300"/>
      <c r="AW22" s="300"/>
      <c r="BA22" s="301"/>
    </row>
    <row r="23" spans="1:53" s="292" customFormat="1">
      <c r="A23" s="338">
        <v>1966.7142857142901</v>
      </c>
      <c r="B23" s="836"/>
      <c r="C23" s="909" t="s">
        <v>232</v>
      </c>
      <c r="D23" s="909"/>
      <c r="E23" s="292">
        <f>365-E22</f>
        <v>365</v>
      </c>
      <c r="G23" s="366"/>
      <c r="H23" s="292">
        <v>23</v>
      </c>
      <c r="J23" s="377">
        <v>23</v>
      </c>
      <c r="K23" s="336">
        <f t="shared" ref="K23:K29" si="8">G23/J23*100</f>
        <v>0</v>
      </c>
      <c r="L23" s="336">
        <f t="shared" ref="L23:L29" si="9">H23/J23*100</f>
        <v>100</v>
      </c>
      <c r="M23" s="336">
        <f t="shared" ref="M23:M29" si="10">I23/J23*100</f>
        <v>0</v>
      </c>
      <c r="N23" s="368">
        <f t="shared" si="3"/>
        <v>100</v>
      </c>
      <c r="O23" s="335"/>
      <c r="P23" s="336">
        <v>49.4</v>
      </c>
      <c r="Q23" s="336"/>
      <c r="R23" s="337">
        <f t="shared" si="4"/>
        <v>49.4</v>
      </c>
      <c r="S23" s="340">
        <v>4</v>
      </c>
      <c r="T23" s="838"/>
      <c r="U23" s="836"/>
      <c r="V23" s="299" t="s">
        <v>72</v>
      </c>
      <c r="W23" s="292" t="s">
        <v>22</v>
      </c>
      <c r="X23" s="292" t="s">
        <v>18</v>
      </c>
      <c r="Y23" s="300">
        <v>49.4</v>
      </c>
      <c r="AD23" s="299"/>
      <c r="AG23" s="300"/>
      <c r="AL23" s="299"/>
      <c r="AO23" s="300"/>
      <c r="AP23" s="299"/>
      <c r="AS23" s="300"/>
      <c r="AW23" s="300"/>
      <c r="BA23" s="301"/>
    </row>
    <row r="24" spans="1:53" s="292" customFormat="1">
      <c r="A24" s="338">
        <v>1968</v>
      </c>
      <c r="B24" s="836"/>
      <c r="C24" s="909" t="s">
        <v>232</v>
      </c>
      <c r="D24" s="909"/>
      <c r="E24" s="292">
        <v>111</v>
      </c>
      <c r="G24" s="366"/>
      <c r="H24" s="292">
        <v>23</v>
      </c>
      <c r="J24" s="377">
        <v>23</v>
      </c>
      <c r="K24" s="336">
        <f t="shared" si="8"/>
        <v>0</v>
      </c>
      <c r="L24" s="336">
        <f t="shared" si="9"/>
        <v>100</v>
      </c>
      <c r="M24" s="336">
        <f t="shared" si="10"/>
        <v>0</v>
      </c>
      <c r="N24" s="368">
        <f t="shared" si="3"/>
        <v>100</v>
      </c>
      <c r="O24" s="335"/>
      <c r="P24" s="336">
        <v>49.4</v>
      </c>
      <c r="Q24" s="336"/>
      <c r="R24" s="337">
        <f t="shared" si="4"/>
        <v>49.4</v>
      </c>
      <c r="S24" s="340">
        <v>4</v>
      </c>
      <c r="T24" s="838"/>
      <c r="U24" s="836"/>
      <c r="V24" s="299" t="s">
        <v>72</v>
      </c>
      <c r="W24" s="292" t="s">
        <v>22</v>
      </c>
      <c r="X24" s="292" t="s">
        <v>18</v>
      </c>
      <c r="Y24" s="300">
        <v>49.4</v>
      </c>
      <c r="AD24" s="299"/>
      <c r="AG24" s="300"/>
      <c r="AL24" s="299"/>
      <c r="AO24" s="300"/>
      <c r="AP24" s="299"/>
      <c r="AS24" s="300"/>
      <c r="AW24" s="300"/>
      <c r="BA24" s="301"/>
    </row>
    <row r="25" spans="1:53" s="73" customFormat="1">
      <c r="A25" s="101">
        <v>1967.62857142857</v>
      </c>
      <c r="B25" s="852">
        <v>24949</v>
      </c>
      <c r="C25" s="901" t="s">
        <v>1447</v>
      </c>
      <c r="D25" s="901"/>
      <c r="E25" s="73">
        <v>77</v>
      </c>
      <c r="F25" s="73">
        <v>2</v>
      </c>
      <c r="G25" s="119"/>
      <c r="H25" s="73">
        <v>25</v>
      </c>
      <c r="J25" s="126">
        <v>25</v>
      </c>
      <c r="K25" s="92">
        <f>G25/J25*100</f>
        <v>0</v>
      </c>
      <c r="L25" s="92">
        <f>H25/J25*100</f>
        <v>100</v>
      </c>
      <c r="M25" s="92">
        <f>I25/J25*100</f>
        <v>0</v>
      </c>
      <c r="N25" s="121">
        <f t="shared" si="3"/>
        <v>100</v>
      </c>
      <c r="O25" s="91"/>
      <c r="P25" s="92">
        <v>49.4</v>
      </c>
      <c r="Q25" s="92"/>
      <c r="R25" s="93">
        <f t="shared" si="4"/>
        <v>49.4</v>
      </c>
      <c r="S25" s="97">
        <v>4</v>
      </c>
      <c r="T25" s="839"/>
      <c r="U25" s="852">
        <v>24949</v>
      </c>
      <c r="V25" s="82" t="s">
        <v>72</v>
      </c>
      <c r="W25" s="73" t="s">
        <v>22</v>
      </c>
      <c r="X25" s="73" t="s">
        <v>18</v>
      </c>
      <c r="Y25" s="83">
        <v>49.4</v>
      </c>
      <c r="AD25" s="82"/>
      <c r="AG25" s="83"/>
      <c r="AL25" s="82"/>
      <c r="AO25" s="83"/>
      <c r="AP25" s="82"/>
      <c r="AS25" s="83"/>
      <c r="AW25" s="83"/>
      <c r="BA25" s="84"/>
    </row>
    <row r="26" spans="1:53" s="292" customFormat="1">
      <c r="A26" s="338">
        <v>1967.62857142857</v>
      </c>
      <c r="B26" s="836">
        <v>25026</v>
      </c>
      <c r="C26" s="909" t="s">
        <v>1448</v>
      </c>
      <c r="D26" s="909"/>
      <c r="E26" s="292">
        <v>178</v>
      </c>
      <c r="F26" s="292">
        <v>1</v>
      </c>
      <c r="G26" s="366"/>
      <c r="H26" s="292">
        <v>28</v>
      </c>
      <c r="J26" s="377">
        <v>28</v>
      </c>
      <c r="K26" s="336">
        <f t="shared" si="8"/>
        <v>0</v>
      </c>
      <c r="L26" s="336">
        <f t="shared" si="9"/>
        <v>100</v>
      </c>
      <c r="M26" s="336">
        <f t="shared" si="10"/>
        <v>0</v>
      </c>
      <c r="N26" s="368">
        <f t="shared" si="3"/>
        <v>100</v>
      </c>
      <c r="O26" s="335"/>
      <c r="P26" s="336">
        <v>58.7</v>
      </c>
      <c r="Q26" s="336"/>
      <c r="R26" s="337">
        <f t="shared" si="4"/>
        <v>58.7</v>
      </c>
      <c r="S26" s="340">
        <v>1</v>
      </c>
      <c r="T26" s="838">
        <v>25014</v>
      </c>
      <c r="U26" s="836">
        <v>25026</v>
      </c>
      <c r="V26" s="299" t="s">
        <v>72</v>
      </c>
      <c r="W26" s="292" t="s">
        <v>22</v>
      </c>
      <c r="X26" s="292" t="s">
        <v>18</v>
      </c>
      <c r="Y26" s="300">
        <v>58.7</v>
      </c>
      <c r="AD26" s="299"/>
      <c r="AG26" s="300"/>
      <c r="AL26" s="299"/>
      <c r="AO26" s="300"/>
      <c r="AP26" s="299"/>
      <c r="AS26" s="300"/>
      <c r="AW26" s="300"/>
      <c r="BA26" s="301"/>
    </row>
    <row r="27" spans="1:53" s="292" customFormat="1">
      <c r="A27" s="338">
        <v>1969</v>
      </c>
      <c r="B27" s="836"/>
      <c r="C27" s="909" t="s">
        <v>1448</v>
      </c>
      <c r="D27" s="909"/>
      <c r="E27" s="292">
        <v>0</v>
      </c>
      <c r="G27" s="366"/>
      <c r="H27" s="292">
        <v>28</v>
      </c>
      <c r="J27" s="377">
        <v>28</v>
      </c>
      <c r="K27" s="336">
        <f t="shared" si="8"/>
        <v>0</v>
      </c>
      <c r="L27" s="336">
        <f t="shared" si="9"/>
        <v>100</v>
      </c>
      <c r="M27" s="336">
        <f t="shared" si="10"/>
        <v>0</v>
      </c>
      <c r="N27" s="368">
        <f t="shared" si="3"/>
        <v>100</v>
      </c>
      <c r="O27" s="335"/>
      <c r="P27" s="336">
        <v>58.7</v>
      </c>
      <c r="Q27" s="336"/>
      <c r="R27" s="337">
        <f t="shared" si="4"/>
        <v>58.7</v>
      </c>
      <c r="S27" s="340">
        <v>1</v>
      </c>
      <c r="T27" s="838"/>
      <c r="U27" s="836"/>
      <c r="V27" s="299" t="s">
        <v>72</v>
      </c>
      <c r="W27" s="292" t="s">
        <v>22</v>
      </c>
      <c r="X27" s="292" t="s">
        <v>18</v>
      </c>
      <c r="Y27" s="300">
        <v>58.7</v>
      </c>
      <c r="AD27" s="299"/>
      <c r="AG27" s="300"/>
      <c r="AL27" s="299"/>
      <c r="AO27" s="300"/>
      <c r="AP27" s="299"/>
      <c r="AS27" s="300"/>
      <c r="AW27" s="300"/>
      <c r="BA27" s="301"/>
    </row>
    <row r="28" spans="1:53" s="292" customFormat="1">
      <c r="A28" s="338">
        <v>1968.5428571428599</v>
      </c>
      <c r="B28" s="836"/>
      <c r="C28" s="909" t="s">
        <v>1448</v>
      </c>
      <c r="D28" s="909"/>
      <c r="E28" s="292">
        <f>365-E27</f>
        <v>365</v>
      </c>
      <c r="G28" s="366"/>
      <c r="H28" s="292">
        <v>28</v>
      </c>
      <c r="J28" s="377">
        <v>28</v>
      </c>
      <c r="K28" s="336">
        <f t="shared" si="8"/>
        <v>0</v>
      </c>
      <c r="L28" s="336">
        <f t="shared" si="9"/>
        <v>100</v>
      </c>
      <c r="M28" s="336">
        <f t="shared" si="10"/>
        <v>0</v>
      </c>
      <c r="N28" s="368">
        <f t="shared" si="3"/>
        <v>100</v>
      </c>
      <c r="O28" s="335"/>
      <c r="P28" s="336">
        <v>58.7</v>
      </c>
      <c r="Q28" s="336"/>
      <c r="R28" s="337">
        <f t="shared" si="4"/>
        <v>58.7</v>
      </c>
      <c r="S28" s="340">
        <v>1</v>
      </c>
      <c r="T28" s="838"/>
      <c r="U28" s="836"/>
      <c r="V28" s="299" t="s">
        <v>72</v>
      </c>
      <c r="W28" s="292" t="s">
        <v>22</v>
      </c>
      <c r="X28" s="292" t="s">
        <v>18</v>
      </c>
      <c r="Y28" s="300">
        <v>58.7</v>
      </c>
      <c r="AD28" s="299"/>
      <c r="AG28" s="300"/>
      <c r="AL28" s="299"/>
      <c r="AO28" s="300"/>
      <c r="AP28" s="299"/>
      <c r="AS28" s="300"/>
      <c r="AW28" s="300"/>
      <c r="BA28" s="301"/>
    </row>
    <row r="29" spans="1:53" s="292" customFormat="1">
      <c r="A29" s="338">
        <v>1970</v>
      </c>
      <c r="B29" s="836"/>
      <c r="C29" s="909" t="s">
        <v>1448</v>
      </c>
      <c r="D29" s="909"/>
      <c r="E29" s="292">
        <v>0</v>
      </c>
      <c r="G29" s="366"/>
      <c r="H29" s="292">
        <v>28</v>
      </c>
      <c r="J29" s="377">
        <v>28</v>
      </c>
      <c r="K29" s="336">
        <f t="shared" si="8"/>
        <v>0</v>
      </c>
      <c r="L29" s="336">
        <f t="shared" si="9"/>
        <v>100</v>
      </c>
      <c r="M29" s="336">
        <f t="shared" si="10"/>
        <v>0</v>
      </c>
      <c r="N29" s="368">
        <f t="shared" si="3"/>
        <v>100</v>
      </c>
      <c r="O29" s="335"/>
      <c r="P29" s="336">
        <v>58.7</v>
      </c>
      <c r="Q29" s="336"/>
      <c r="R29" s="337">
        <f t="shared" si="4"/>
        <v>58.7</v>
      </c>
      <c r="S29" s="340">
        <v>1</v>
      </c>
      <c r="T29" s="838"/>
      <c r="U29" s="836"/>
      <c r="V29" s="299" t="s">
        <v>72</v>
      </c>
      <c r="W29" s="292" t="s">
        <v>22</v>
      </c>
      <c r="X29" s="292" t="s">
        <v>18</v>
      </c>
      <c r="Y29" s="300">
        <v>58.7</v>
      </c>
      <c r="AD29" s="299"/>
      <c r="AG29" s="300"/>
      <c r="AL29" s="299"/>
      <c r="AO29" s="300"/>
      <c r="AP29" s="299"/>
      <c r="AS29" s="300"/>
      <c r="AW29" s="300"/>
      <c r="BA29" s="301"/>
    </row>
    <row r="30" spans="1:53" s="292" customFormat="1">
      <c r="A30" s="338">
        <v>1970</v>
      </c>
      <c r="B30" s="836"/>
      <c r="C30" s="909" t="s">
        <v>1448</v>
      </c>
      <c r="D30" s="909"/>
      <c r="E30" s="292">
        <v>365</v>
      </c>
      <c r="G30" s="366"/>
      <c r="H30" s="292">
        <v>28</v>
      </c>
      <c r="J30" s="377">
        <v>28</v>
      </c>
      <c r="K30" s="336">
        <f>G30/J30*100</f>
        <v>0</v>
      </c>
      <c r="L30" s="336">
        <f>H30/J30*100</f>
        <v>100</v>
      </c>
      <c r="M30" s="336">
        <f>I30/J30*100</f>
        <v>0</v>
      </c>
      <c r="N30" s="368">
        <f t="shared" si="3"/>
        <v>100</v>
      </c>
      <c r="O30" s="335"/>
      <c r="P30" s="336">
        <v>58.7</v>
      </c>
      <c r="Q30" s="336"/>
      <c r="R30" s="337">
        <f t="shared" si="4"/>
        <v>58.7</v>
      </c>
      <c r="S30" s="340">
        <v>1</v>
      </c>
      <c r="T30" s="838"/>
      <c r="U30" s="836"/>
      <c r="V30" s="299" t="s">
        <v>72</v>
      </c>
      <c r="W30" s="292" t="s">
        <v>22</v>
      </c>
      <c r="X30" s="292" t="s">
        <v>18</v>
      </c>
      <c r="Y30" s="300">
        <v>58.7</v>
      </c>
      <c r="AD30" s="299"/>
      <c r="AG30" s="300"/>
      <c r="AL30" s="299"/>
      <c r="AO30" s="300"/>
      <c r="AP30" s="299"/>
      <c r="AS30" s="300"/>
      <c r="AW30" s="300"/>
      <c r="BA30" s="301"/>
    </row>
    <row r="31" spans="1:53" s="292" customFormat="1">
      <c r="A31" s="338">
        <v>1971</v>
      </c>
      <c r="B31" s="836"/>
      <c r="C31" s="909" t="s">
        <v>1448</v>
      </c>
      <c r="D31" s="909"/>
      <c r="E31" s="292">
        <f>365-E30</f>
        <v>0</v>
      </c>
      <c r="G31" s="366"/>
      <c r="H31" s="292">
        <v>28</v>
      </c>
      <c r="J31" s="377">
        <v>28</v>
      </c>
      <c r="K31" s="336">
        <f t="shared" ref="K31:K36" si="11">G31/J31*100</f>
        <v>0</v>
      </c>
      <c r="L31" s="336">
        <f t="shared" ref="L31:L36" si="12">H31/J31*100</f>
        <v>100</v>
      </c>
      <c r="M31" s="336">
        <f t="shared" ref="M31:M36" si="13">I31/J31*100</f>
        <v>0</v>
      </c>
      <c r="N31" s="368">
        <f t="shared" si="3"/>
        <v>100</v>
      </c>
      <c r="O31" s="335"/>
      <c r="P31" s="336">
        <v>58.7</v>
      </c>
      <c r="Q31" s="336"/>
      <c r="R31" s="337">
        <f t="shared" si="4"/>
        <v>58.7</v>
      </c>
      <c r="S31" s="340">
        <v>1</v>
      </c>
      <c r="T31" s="838"/>
      <c r="U31" s="836"/>
      <c r="V31" s="299" t="s">
        <v>72</v>
      </c>
      <c r="W31" s="292" t="s">
        <v>22</v>
      </c>
      <c r="X31" s="292" t="s">
        <v>18</v>
      </c>
      <c r="Y31" s="300">
        <v>58.7</v>
      </c>
      <c r="AD31" s="299"/>
      <c r="AG31" s="300"/>
      <c r="AL31" s="299"/>
      <c r="AO31" s="300"/>
      <c r="AP31" s="299"/>
      <c r="AS31" s="300"/>
      <c r="AW31" s="300"/>
      <c r="BA31" s="301"/>
    </row>
    <row r="32" spans="1:53" s="292" customFormat="1">
      <c r="A32" s="338">
        <v>1971</v>
      </c>
      <c r="B32" s="836"/>
      <c r="C32" s="909" t="s">
        <v>1448</v>
      </c>
      <c r="D32" s="909"/>
      <c r="E32" s="292">
        <v>365</v>
      </c>
      <c r="G32" s="366"/>
      <c r="H32" s="292">
        <v>28</v>
      </c>
      <c r="J32" s="377">
        <v>28</v>
      </c>
      <c r="K32" s="336">
        <f t="shared" si="11"/>
        <v>0</v>
      </c>
      <c r="L32" s="336">
        <f t="shared" si="12"/>
        <v>100</v>
      </c>
      <c r="M32" s="336">
        <f t="shared" si="13"/>
        <v>0</v>
      </c>
      <c r="N32" s="368">
        <f t="shared" si="3"/>
        <v>100</v>
      </c>
      <c r="O32" s="335"/>
      <c r="P32" s="336">
        <v>58.7</v>
      </c>
      <c r="Q32" s="336"/>
      <c r="R32" s="337">
        <f t="shared" si="4"/>
        <v>58.7</v>
      </c>
      <c r="S32" s="340">
        <v>1</v>
      </c>
      <c r="T32" s="838"/>
      <c r="U32" s="836"/>
      <c r="V32" s="299" t="s">
        <v>72</v>
      </c>
      <c r="W32" s="292" t="s">
        <v>22</v>
      </c>
      <c r="X32" s="292" t="s">
        <v>18</v>
      </c>
      <c r="Y32" s="300">
        <v>58.7</v>
      </c>
      <c r="AD32" s="299"/>
      <c r="AG32" s="300"/>
      <c r="AL32" s="299"/>
      <c r="AO32" s="300"/>
      <c r="AP32" s="299"/>
      <c r="AS32" s="300"/>
      <c r="AW32" s="300"/>
      <c r="BA32" s="301"/>
    </row>
    <row r="33" spans="1:53" s="292" customFormat="1">
      <c r="A33" s="338">
        <v>1972</v>
      </c>
      <c r="B33" s="836"/>
      <c r="C33" s="909" t="s">
        <v>1448</v>
      </c>
      <c r="D33" s="909"/>
      <c r="E33" s="292">
        <v>331</v>
      </c>
      <c r="G33" s="366"/>
      <c r="H33" s="292">
        <v>28</v>
      </c>
      <c r="J33" s="377">
        <v>28</v>
      </c>
      <c r="K33" s="336">
        <f t="shared" si="11"/>
        <v>0</v>
      </c>
      <c r="L33" s="336">
        <f t="shared" si="12"/>
        <v>100</v>
      </c>
      <c r="M33" s="336">
        <f t="shared" si="13"/>
        <v>0</v>
      </c>
      <c r="N33" s="368">
        <f t="shared" si="3"/>
        <v>100</v>
      </c>
      <c r="O33" s="335"/>
      <c r="P33" s="336">
        <v>58.7</v>
      </c>
      <c r="Q33" s="336"/>
      <c r="R33" s="337">
        <f t="shared" si="4"/>
        <v>58.7</v>
      </c>
      <c r="S33" s="340">
        <v>1</v>
      </c>
      <c r="T33" s="838"/>
      <c r="U33" s="836"/>
      <c r="V33" s="299" t="s">
        <v>72</v>
      </c>
      <c r="W33" s="292" t="s">
        <v>22</v>
      </c>
      <c r="X33" s="292" t="s">
        <v>18</v>
      </c>
      <c r="Y33" s="300">
        <v>58.7</v>
      </c>
      <c r="AD33" s="299"/>
      <c r="AG33" s="300"/>
      <c r="AL33" s="299"/>
      <c r="AO33" s="300"/>
      <c r="AP33" s="299"/>
      <c r="AS33" s="300"/>
      <c r="AW33" s="300"/>
      <c r="BA33" s="301"/>
    </row>
    <row r="34" spans="1:53" s="73" customFormat="1">
      <c r="A34" s="101">
        <v>1972</v>
      </c>
      <c r="B34" s="852">
        <v>26630</v>
      </c>
      <c r="C34" s="901" t="s">
        <v>1449</v>
      </c>
      <c r="D34" s="901"/>
      <c r="E34" s="73">
        <v>35</v>
      </c>
      <c r="F34" s="73">
        <v>1</v>
      </c>
      <c r="G34" s="119"/>
      <c r="H34" s="73">
        <v>27</v>
      </c>
      <c r="J34" s="126">
        <v>27</v>
      </c>
      <c r="K34" s="92">
        <f t="shared" si="11"/>
        <v>0</v>
      </c>
      <c r="L34" s="92">
        <f t="shared" si="12"/>
        <v>100</v>
      </c>
      <c r="M34" s="92">
        <f t="shared" si="13"/>
        <v>0</v>
      </c>
      <c r="N34" s="121">
        <f t="shared" si="3"/>
        <v>100</v>
      </c>
      <c r="O34" s="91"/>
      <c r="P34" s="92">
        <v>41.3</v>
      </c>
      <c r="Q34" s="92"/>
      <c r="R34" s="93">
        <f t="shared" si="4"/>
        <v>41.3</v>
      </c>
      <c r="S34" s="97">
        <v>4</v>
      </c>
      <c r="T34" s="839">
        <v>26602</v>
      </c>
      <c r="U34" s="852">
        <v>26630</v>
      </c>
      <c r="V34" s="82" t="s">
        <v>72</v>
      </c>
      <c r="W34" s="73" t="s">
        <v>22</v>
      </c>
      <c r="X34" s="73" t="s">
        <v>18</v>
      </c>
      <c r="Y34" s="83">
        <v>41.3</v>
      </c>
      <c r="AD34" s="82"/>
      <c r="AG34" s="83"/>
      <c r="AL34" s="82"/>
      <c r="AO34" s="83"/>
      <c r="AP34" s="82"/>
      <c r="AS34" s="83"/>
      <c r="AW34" s="83"/>
      <c r="BA34" s="84"/>
    </row>
    <row r="35" spans="1:53" s="73" customFormat="1">
      <c r="A35" s="101">
        <v>1973</v>
      </c>
      <c r="B35" s="852"/>
      <c r="C35" s="901" t="s">
        <v>1449</v>
      </c>
      <c r="D35" s="901"/>
      <c r="E35" s="73">
        <v>0</v>
      </c>
      <c r="G35" s="119"/>
      <c r="H35" s="73">
        <v>27</v>
      </c>
      <c r="J35" s="126">
        <v>27</v>
      </c>
      <c r="K35" s="92">
        <f t="shared" si="11"/>
        <v>0</v>
      </c>
      <c r="L35" s="92">
        <f t="shared" si="12"/>
        <v>100</v>
      </c>
      <c r="M35" s="92">
        <f t="shared" si="13"/>
        <v>0</v>
      </c>
      <c r="N35" s="121">
        <f t="shared" si="3"/>
        <v>100</v>
      </c>
      <c r="O35" s="91"/>
      <c r="P35" s="92">
        <v>41.3</v>
      </c>
      <c r="Q35" s="92"/>
      <c r="R35" s="93">
        <f t="shared" si="4"/>
        <v>41.3</v>
      </c>
      <c r="S35" s="97">
        <v>4</v>
      </c>
      <c r="T35" s="839"/>
      <c r="U35" s="852"/>
      <c r="V35" s="82" t="s">
        <v>72</v>
      </c>
      <c r="W35" s="73" t="s">
        <v>22</v>
      </c>
      <c r="X35" s="73" t="s">
        <v>18</v>
      </c>
      <c r="Y35" s="83">
        <v>41.3</v>
      </c>
      <c r="AD35" s="82"/>
      <c r="AG35" s="83"/>
      <c r="AL35" s="82"/>
      <c r="AO35" s="83"/>
      <c r="AP35" s="82"/>
      <c r="AS35" s="83"/>
      <c r="AW35" s="83"/>
      <c r="BA35" s="84"/>
    </row>
    <row r="36" spans="1:53" s="73" customFormat="1">
      <c r="A36" s="101">
        <v>1973</v>
      </c>
      <c r="B36" s="852"/>
      <c r="C36" s="901" t="s">
        <v>1449</v>
      </c>
      <c r="D36" s="901"/>
      <c r="E36" s="73">
        <v>365</v>
      </c>
      <c r="G36" s="119"/>
      <c r="H36" s="73">
        <v>27</v>
      </c>
      <c r="J36" s="126">
        <v>27</v>
      </c>
      <c r="K36" s="92">
        <f t="shared" si="11"/>
        <v>0</v>
      </c>
      <c r="L36" s="92">
        <f t="shared" si="12"/>
        <v>100</v>
      </c>
      <c r="M36" s="92">
        <f t="shared" si="13"/>
        <v>0</v>
      </c>
      <c r="N36" s="121">
        <f t="shared" si="3"/>
        <v>100</v>
      </c>
      <c r="O36" s="91"/>
      <c r="P36" s="92">
        <v>41.3</v>
      </c>
      <c r="Q36" s="92"/>
      <c r="R36" s="93">
        <f t="shared" si="4"/>
        <v>41.3</v>
      </c>
      <c r="S36" s="97">
        <v>4</v>
      </c>
      <c r="T36" s="839"/>
      <c r="U36" s="852"/>
      <c r="V36" s="82" t="s">
        <v>72</v>
      </c>
      <c r="W36" s="73" t="s">
        <v>22</v>
      </c>
      <c r="X36" s="73" t="s">
        <v>18</v>
      </c>
      <c r="Y36" s="83">
        <v>41.3</v>
      </c>
      <c r="AD36" s="82"/>
      <c r="AG36" s="83"/>
      <c r="AL36" s="82"/>
      <c r="AO36" s="83"/>
      <c r="AP36" s="82"/>
      <c r="AS36" s="83"/>
      <c r="AW36" s="83"/>
      <c r="BA36" s="84"/>
    </row>
    <row r="37" spans="1:53" s="73" customFormat="1">
      <c r="A37" s="101">
        <v>1974</v>
      </c>
      <c r="B37" s="852"/>
      <c r="C37" s="901" t="s">
        <v>1449</v>
      </c>
      <c r="D37" s="901"/>
      <c r="E37" s="73">
        <v>219</v>
      </c>
      <c r="G37" s="119"/>
      <c r="H37" s="73">
        <v>27</v>
      </c>
      <c r="J37" s="126">
        <v>27</v>
      </c>
      <c r="K37" s="92">
        <f>G37/J37*100</f>
        <v>0</v>
      </c>
      <c r="L37" s="92">
        <f>H37/J37*100</f>
        <v>100</v>
      </c>
      <c r="M37" s="92">
        <f>I37/J37*100</f>
        <v>0</v>
      </c>
      <c r="N37" s="121">
        <f t="shared" si="3"/>
        <v>100</v>
      </c>
      <c r="O37" s="91"/>
      <c r="P37" s="92">
        <v>41.3</v>
      </c>
      <c r="Q37" s="92"/>
      <c r="R37" s="93">
        <f t="shared" si="4"/>
        <v>41.3</v>
      </c>
      <c r="S37" s="97">
        <v>4</v>
      </c>
      <c r="T37" s="839"/>
      <c r="U37" s="852"/>
      <c r="V37" s="82" t="s">
        <v>72</v>
      </c>
      <c r="W37" s="73" t="s">
        <v>22</v>
      </c>
      <c r="X37" s="73" t="s">
        <v>18</v>
      </c>
      <c r="Y37" s="83">
        <v>41.3</v>
      </c>
      <c r="AD37" s="82"/>
      <c r="AG37" s="83"/>
      <c r="AL37" s="82"/>
      <c r="AO37" s="83"/>
      <c r="AP37" s="82"/>
      <c r="AS37" s="83"/>
      <c r="AW37" s="83"/>
      <c r="BA37" s="84"/>
    </row>
    <row r="38" spans="1:53" s="292" customFormat="1">
      <c r="A38" s="338">
        <v>1974</v>
      </c>
      <c r="B38" s="836">
        <v>27249</v>
      </c>
      <c r="C38" s="909" t="s">
        <v>1450</v>
      </c>
      <c r="D38" s="909"/>
      <c r="E38" s="292">
        <v>146</v>
      </c>
      <c r="F38" s="292">
        <v>5</v>
      </c>
      <c r="G38" s="366"/>
      <c r="H38" s="292">
        <v>28</v>
      </c>
      <c r="J38" s="377">
        <v>28</v>
      </c>
      <c r="K38" s="336">
        <f t="shared" ref="K38:K43" si="14">G38/J38*100</f>
        <v>0</v>
      </c>
      <c r="L38" s="336">
        <f t="shared" ref="L38:L43" si="15">H38/J38*100</f>
        <v>100</v>
      </c>
      <c r="M38" s="336">
        <f t="shared" ref="M38:M43" si="16">I38/J38*100</f>
        <v>0</v>
      </c>
      <c r="N38" s="368">
        <f t="shared" si="3"/>
        <v>100</v>
      </c>
      <c r="O38" s="335"/>
      <c r="P38" s="336">
        <v>53.4</v>
      </c>
      <c r="Q38" s="336"/>
      <c r="R38" s="337">
        <f t="shared" si="4"/>
        <v>53.4</v>
      </c>
      <c r="S38" s="340">
        <v>1</v>
      </c>
      <c r="T38" s="838">
        <v>27218</v>
      </c>
      <c r="U38" s="836">
        <v>27249</v>
      </c>
      <c r="V38" s="299" t="s">
        <v>72</v>
      </c>
      <c r="W38" s="292" t="s">
        <v>22</v>
      </c>
      <c r="X38" s="292" t="s">
        <v>18</v>
      </c>
      <c r="Y38" s="300">
        <v>53.4</v>
      </c>
      <c r="AD38" s="299"/>
      <c r="AG38" s="300"/>
      <c r="AL38" s="299"/>
      <c r="AO38" s="300"/>
      <c r="AP38" s="299"/>
      <c r="AS38" s="300"/>
      <c r="AW38" s="300"/>
      <c r="BA38" s="301"/>
    </row>
    <row r="39" spans="1:53" s="292" customFormat="1">
      <c r="A39" s="338">
        <v>1975</v>
      </c>
      <c r="B39" s="836"/>
      <c r="C39" s="909" t="s">
        <v>1450</v>
      </c>
      <c r="D39" s="909"/>
      <c r="E39" s="292">
        <v>0</v>
      </c>
      <c r="G39" s="366"/>
      <c r="H39" s="292">
        <v>28</v>
      </c>
      <c r="J39" s="377">
        <v>28</v>
      </c>
      <c r="K39" s="336">
        <f t="shared" si="14"/>
        <v>0</v>
      </c>
      <c r="L39" s="336">
        <f t="shared" si="15"/>
        <v>100</v>
      </c>
      <c r="M39" s="336">
        <f t="shared" si="16"/>
        <v>0</v>
      </c>
      <c r="N39" s="368">
        <f t="shared" si="3"/>
        <v>100</v>
      </c>
      <c r="O39" s="335"/>
      <c r="P39" s="336">
        <v>53.4</v>
      </c>
      <c r="Q39" s="336"/>
      <c r="R39" s="337">
        <f t="shared" si="4"/>
        <v>53.4</v>
      </c>
      <c r="S39" s="340">
        <v>1</v>
      </c>
      <c r="T39" s="838"/>
      <c r="U39" s="836"/>
      <c r="V39" s="299" t="s">
        <v>72</v>
      </c>
      <c r="W39" s="292" t="s">
        <v>22</v>
      </c>
      <c r="X39" s="292" t="s">
        <v>18</v>
      </c>
      <c r="Y39" s="300">
        <v>53.4</v>
      </c>
      <c r="AD39" s="299"/>
      <c r="AG39" s="300"/>
      <c r="AL39" s="299"/>
      <c r="AO39" s="300"/>
      <c r="AP39" s="299"/>
      <c r="AS39" s="300"/>
      <c r="AW39" s="300"/>
      <c r="BA39" s="301"/>
    </row>
    <row r="40" spans="1:53" s="292" customFormat="1">
      <c r="A40" s="338">
        <v>1975</v>
      </c>
      <c r="B40" s="836"/>
      <c r="C40" s="909" t="s">
        <v>1450</v>
      </c>
      <c r="D40" s="909"/>
      <c r="E40" s="292">
        <f>365-E39</f>
        <v>365</v>
      </c>
      <c r="G40" s="366"/>
      <c r="H40" s="292">
        <v>28</v>
      </c>
      <c r="J40" s="377">
        <v>28</v>
      </c>
      <c r="K40" s="336">
        <f t="shared" si="14"/>
        <v>0</v>
      </c>
      <c r="L40" s="336">
        <f t="shared" si="15"/>
        <v>100</v>
      </c>
      <c r="M40" s="336">
        <f t="shared" si="16"/>
        <v>0</v>
      </c>
      <c r="N40" s="368">
        <f t="shared" si="3"/>
        <v>100</v>
      </c>
      <c r="O40" s="335"/>
      <c r="P40" s="336">
        <v>53.4</v>
      </c>
      <c r="Q40" s="336"/>
      <c r="R40" s="337">
        <f t="shared" si="4"/>
        <v>53.4</v>
      </c>
      <c r="S40" s="340">
        <v>1</v>
      </c>
      <c r="T40" s="838"/>
      <c r="U40" s="836"/>
      <c r="V40" s="299" t="s">
        <v>72</v>
      </c>
      <c r="W40" s="292" t="s">
        <v>22</v>
      </c>
      <c r="X40" s="292" t="s">
        <v>18</v>
      </c>
      <c r="Y40" s="300">
        <v>53.4</v>
      </c>
      <c r="AD40" s="299"/>
      <c r="AG40" s="300"/>
      <c r="AL40" s="299"/>
      <c r="AO40" s="300"/>
      <c r="AP40" s="299"/>
      <c r="AS40" s="300"/>
      <c r="AW40" s="300"/>
      <c r="BA40" s="301"/>
    </row>
    <row r="41" spans="1:53" s="292" customFormat="1">
      <c r="A41" s="338">
        <v>1976</v>
      </c>
      <c r="B41" s="836"/>
      <c r="C41" s="909" t="s">
        <v>1450</v>
      </c>
      <c r="D41" s="909"/>
      <c r="E41" s="292">
        <v>0</v>
      </c>
      <c r="G41" s="366"/>
      <c r="H41" s="292">
        <v>28</v>
      </c>
      <c r="J41" s="377">
        <v>28</v>
      </c>
      <c r="K41" s="336">
        <f t="shared" si="14"/>
        <v>0</v>
      </c>
      <c r="L41" s="336">
        <f t="shared" si="15"/>
        <v>100</v>
      </c>
      <c r="M41" s="336">
        <f t="shared" si="16"/>
        <v>0</v>
      </c>
      <c r="N41" s="368">
        <f t="shared" si="3"/>
        <v>100</v>
      </c>
      <c r="O41" s="335"/>
      <c r="P41" s="336">
        <v>53.4</v>
      </c>
      <c r="Q41" s="336"/>
      <c r="R41" s="337">
        <f t="shared" si="4"/>
        <v>53.4</v>
      </c>
      <c r="S41" s="340">
        <v>1</v>
      </c>
      <c r="T41" s="838"/>
      <c r="U41" s="836"/>
      <c r="V41" s="299" t="s">
        <v>72</v>
      </c>
      <c r="W41" s="292" t="s">
        <v>22</v>
      </c>
      <c r="X41" s="292" t="s">
        <v>18</v>
      </c>
      <c r="Y41" s="300">
        <v>53.4</v>
      </c>
      <c r="AD41" s="299"/>
      <c r="AG41" s="300"/>
      <c r="AL41" s="299"/>
      <c r="AO41" s="300"/>
      <c r="AP41" s="299"/>
      <c r="AS41" s="300"/>
      <c r="AW41" s="300"/>
      <c r="BA41" s="301"/>
    </row>
    <row r="42" spans="1:53" s="292" customFormat="1">
      <c r="A42" s="338">
        <v>1976</v>
      </c>
      <c r="B42" s="836"/>
      <c r="C42" s="909" t="s">
        <v>1450</v>
      </c>
      <c r="D42" s="909"/>
      <c r="E42" s="292">
        <v>366</v>
      </c>
      <c r="G42" s="366"/>
      <c r="H42" s="292">
        <v>28</v>
      </c>
      <c r="J42" s="377">
        <v>28</v>
      </c>
      <c r="K42" s="336">
        <f t="shared" si="14"/>
        <v>0</v>
      </c>
      <c r="L42" s="336">
        <f t="shared" si="15"/>
        <v>100</v>
      </c>
      <c r="M42" s="336">
        <f t="shared" si="16"/>
        <v>0</v>
      </c>
      <c r="N42" s="368">
        <f t="shared" si="3"/>
        <v>100</v>
      </c>
      <c r="O42" s="335"/>
      <c r="P42" s="336">
        <v>53.4</v>
      </c>
      <c r="Q42" s="336"/>
      <c r="R42" s="337">
        <f t="shared" si="4"/>
        <v>53.4</v>
      </c>
      <c r="S42" s="340">
        <v>1</v>
      </c>
      <c r="T42" s="838"/>
      <c r="U42" s="836"/>
      <c r="V42" s="299" t="s">
        <v>72</v>
      </c>
      <c r="W42" s="292" t="s">
        <v>22</v>
      </c>
      <c r="X42" s="292" t="s">
        <v>18</v>
      </c>
      <c r="Y42" s="300">
        <v>53.4</v>
      </c>
      <c r="AD42" s="299"/>
      <c r="AG42" s="300"/>
      <c r="AL42" s="299"/>
      <c r="AO42" s="300"/>
      <c r="AP42" s="299"/>
      <c r="AS42" s="300"/>
      <c r="AW42" s="300"/>
      <c r="BA42" s="301"/>
    </row>
    <row r="43" spans="1:53" s="292" customFormat="1">
      <c r="A43" s="338">
        <v>1977</v>
      </c>
      <c r="B43" s="836"/>
      <c r="C43" s="909" t="s">
        <v>1450</v>
      </c>
      <c r="D43" s="909"/>
      <c r="E43" s="292">
        <v>0</v>
      </c>
      <c r="G43" s="366"/>
      <c r="H43" s="292">
        <v>28</v>
      </c>
      <c r="J43" s="377">
        <v>28</v>
      </c>
      <c r="K43" s="336">
        <f t="shared" si="14"/>
        <v>0</v>
      </c>
      <c r="L43" s="336">
        <f t="shared" si="15"/>
        <v>100</v>
      </c>
      <c r="M43" s="336">
        <f t="shared" si="16"/>
        <v>0</v>
      </c>
      <c r="N43" s="368">
        <f t="shared" si="3"/>
        <v>100</v>
      </c>
      <c r="O43" s="335"/>
      <c r="P43" s="336">
        <v>53.4</v>
      </c>
      <c r="Q43" s="336"/>
      <c r="R43" s="337">
        <f t="shared" si="4"/>
        <v>53.4</v>
      </c>
      <c r="S43" s="340">
        <v>1</v>
      </c>
      <c r="T43" s="838"/>
      <c r="U43" s="836"/>
      <c r="V43" s="299" t="s">
        <v>72</v>
      </c>
      <c r="W43" s="292" t="s">
        <v>22</v>
      </c>
      <c r="X43" s="292" t="s">
        <v>18</v>
      </c>
      <c r="Y43" s="300">
        <v>53.4</v>
      </c>
      <c r="AD43" s="299"/>
      <c r="AG43" s="300"/>
      <c r="AL43" s="299"/>
      <c r="AO43" s="300"/>
      <c r="AP43" s="299"/>
      <c r="AS43" s="300"/>
      <c r="AW43" s="300"/>
      <c r="BA43" s="301"/>
    </row>
    <row r="44" spans="1:53" s="292" customFormat="1">
      <c r="A44" s="338">
        <v>1977</v>
      </c>
      <c r="B44" s="836"/>
      <c r="C44" s="909" t="s">
        <v>1450</v>
      </c>
      <c r="D44" s="909"/>
      <c r="E44" s="292">
        <v>365</v>
      </c>
      <c r="G44" s="366"/>
      <c r="H44" s="292">
        <v>28</v>
      </c>
      <c r="J44" s="377">
        <v>28</v>
      </c>
      <c r="K44" s="336">
        <f>G44/J44*100</f>
        <v>0</v>
      </c>
      <c r="L44" s="336">
        <f>H44/J44*100</f>
        <v>100</v>
      </c>
      <c r="M44" s="336">
        <f>I44/J44*100</f>
        <v>0</v>
      </c>
      <c r="N44" s="368">
        <f t="shared" si="3"/>
        <v>100</v>
      </c>
      <c r="O44" s="335"/>
      <c r="P44" s="336">
        <v>53.4</v>
      </c>
      <c r="Q44" s="336"/>
      <c r="R44" s="337">
        <f t="shared" si="4"/>
        <v>53.4</v>
      </c>
      <c r="S44" s="340">
        <v>1</v>
      </c>
      <c r="T44" s="838"/>
      <c r="U44" s="836"/>
      <c r="V44" s="299" t="s">
        <v>72</v>
      </c>
      <c r="W44" s="292" t="s">
        <v>22</v>
      </c>
      <c r="X44" s="292" t="s">
        <v>18</v>
      </c>
      <c r="Y44" s="300">
        <v>53.4</v>
      </c>
      <c r="AD44" s="299"/>
      <c r="AG44" s="300"/>
      <c r="AL44" s="299"/>
      <c r="AO44" s="300"/>
      <c r="AP44" s="299"/>
      <c r="AS44" s="300"/>
      <c r="AW44" s="300"/>
      <c r="BA44" s="301"/>
    </row>
    <row r="45" spans="1:53" s="292" customFormat="1">
      <c r="A45" s="338">
        <v>1978</v>
      </c>
      <c r="B45" s="836"/>
      <c r="C45" s="909" t="s">
        <v>1450</v>
      </c>
      <c r="D45" s="909"/>
      <c r="E45" s="292">
        <v>0</v>
      </c>
      <c r="G45" s="366"/>
      <c r="H45" s="292">
        <v>28</v>
      </c>
      <c r="J45" s="377">
        <v>28</v>
      </c>
      <c r="K45" s="336">
        <f t="shared" ref="K45:K50" si="17">G45/J45*100</f>
        <v>0</v>
      </c>
      <c r="L45" s="336">
        <f t="shared" ref="L45:L50" si="18">H45/J45*100</f>
        <v>100</v>
      </c>
      <c r="M45" s="336">
        <f t="shared" ref="M45:M50" si="19">I45/J45*100</f>
        <v>0</v>
      </c>
      <c r="N45" s="368">
        <f t="shared" si="3"/>
        <v>100</v>
      </c>
      <c r="O45" s="335"/>
      <c r="P45" s="336">
        <v>53.4</v>
      </c>
      <c r="Q45" s="336"/>
      <c r="R45" s="337">
        <f t="shared" si="4"/>
        <v>53.4</v>
      </c>
      <c r="S45" s="340">
        <v>1</v>
      </c>
      <c r="T45" s="838"/>
      <c r="U45" s="836"/>
      <c r="V45" s="299" t="s">
        <v>72</v>
      </c>
      <c r="W45" s="292" t="s">
        <v>22</v>
      </c>
      <c r="X45" s="292" t="s">
        <v>18</v>
      </c>
      <c r="Y45" s="300">
        <v>53.4</v>
      </c>
      <c r="AD45" s="299"/>
      <c r="AG45" s="300"/>
      <c r="AL45" s="299"/>
      <c r="AO45" s="300"/>
      <c r="AP45" s="299"/>
      <c r="AS45" s="300"/>
      <c r="AW45" s="300"/>
      <c r="BA45" s="301"/>
    </row>
    <row r="46" spans="1:53" s="292" customFormat="1">
      <c r="A46" s="338">
        <v>1978</v>
      </c>
      <c r="B46" s="836"/>
      <c r="C46" s="909" t="s">
        <v>1450</v>
      </c>
      <c r="D46" s="909"/>
      <c r="E46" s="292">
        <v>365</v>
      </c>
      <c r="G46" s="366"/>
      <c r="H46" s="292">
        <v>28</v>
      </c>
      <c r="J46" s="377">
        <v>28</v>
      </c>
      <c r="K46" s="336">
        <f t="shared" si="17"/>
        <v>0</v>
      </c>
      <c r="L46" s="336">
        <f t="shared" si="18"/>
        <v>100</v>
      </c>
      <c r="M46" s="336">
        <f t="shared" si="19"/>
        <v>0</v>
      </c>
      <c r="N46" s="368">
        <f t="shared" si="3"/>
        <v>100</v>
      </c>
      <c r="O46" s="335"/>
      <c r="P46" s="336">
        <v>53.4</v>
      </c>
      <c r="Q46" s="336"/>
      <c r="R46" s="337">
        <f t="shared" si="4"/>
        <v>53.4</v>
      </c>
      <c r="S46" s="340">
        <v>1</v>
      </c>
      <c r="T46" s="838"/>
      <c r="U46" s="836"/>
      <c r="V46" s="299" t="s">
        <v>72</v>
      </c>
      <c r="W46" s="292" t="s">
        <v>22</v>
      </c>
      <c r="X46" s="292" t="s">
        <v>18</v>
      </c>
      <c r="Y46" s="300">
        <v>53.4</v>
      </c>
      <c r="AD46" s="299"/>
      <c r="AG46" s="300"/>
      <c r="AL46" s="299"/>
      <c r="AO46" s="300"/>
      <c r="AP46" s="299"/>
      <c r="AS46" s="300"/>
      <c r="AW46" s="300"/>
      <c r="BA46" s="301"/>
    </row>
    <row r="47" spans="1:53" s="292" customFormat="1">
      <c r="A47" s="338">
        <v>1979</v>
      </c>
      <c r="B47" s="836"/>
      <c r="C47" s="909" t="s">
        <v>1450</v>
      </c>
      <c r="D47" s="909"/>
      <c r="E47" s="292">
        <v>154</v>
      </c>
      <c r="G47" s="366"/>
      <c r="H47" s="292">
        <v>28</v>
      </c>
      <c r="J47" s="377">
        <v>28</v>
      </c>
      <c r="K47" s="336">
        <f t="shared" si="17"/>
        <v>0</v>
      </c>
      <c r="L47" s="336">
        <f t="shared" si="18"/>
        <v>100</v>
      </c>
      <c r="M47" s="336">
        <f t="shared" si="19"/>
        <v>0</v>
      </c>
      <c r="N47" s="368">
        <f t="shared" si="3"/>
        <v>100</v>
      </c>
      <c r="O47" s="335"/>
      <c r="P47" s="336">
        <v>53.4</v>
      </c>
      <c r="Q47" s="336"/>
      <c r="R47" s="337">
        <f t="shared" si="4"/>
        <v>53.4</v>
      </c>
      <c r="S47" s="340">
        <v>1</v>
      </c>
      <c r="T47" s="838"/>
      <c r="U47" s="836"/>
      <c r="V47" s="299" t="s">
        <v>72</v>
      </c>
      <c r="W47" s="292" t="s">
        <v>22</v>
      </c>
      <c r="X47" s="292" t="s">
        <v>18</v>
      </c>
      <c r="Y47" s="300">
        <v>53.4</v>
      </c>
      <c r="AD47" s="299"/>
      <c r="AG47" s="300"/>
      <c r="AL47" s="299"/>
      <c r="AO47" s="300"/>
      <c r="AP47" s="299"/>
      <c r="AS47" s="300"/>
      <c r="AW47" s="300"/>
      <c r="BA47" s="301"/>
    </row>
    <row r="48" spans="1:53" s="73" customFormat="1">
      <c r="A48" s="101">
        <v>1979</v>
      </c>
      <c r="B48" s="852">
        <v>29010</v>
      </c>
      <c r="C48" s="901" t="s">
        <v>233</v>
      </c>
      <c r="D48" s="901"/>
      <c r="E48" s="73">
        <v>211</v>
      </c>
      <c r="F48" s="73">
        <v>1</v>
      </c>
      <c r="G48" s="119">
        <v>11</v>
      </c>
      <c r="J48" s="126">
        <v>11</v>
      </c>
      <c r="K48" s="92">
        <f t="shared" si="17"/>
        <v>100</v>
      </c>
      <c r="L48" s="92">
        <f t="shared" si="18"/>
        <v>0</v>
      </c>
      <c r="M48" s="92">
        <f t="shared" si="19"/>
        <v>0</v>
      </c>
      <c r="N48" s="121">
        <f t="shared" si="3"/>
        <v>100</v>
      </c>
      <c r="O48" s="91">
        <v>48.2</v>
      </c>
      <c r="P48" s="92"/>
      <c r="Q48" s="92"/>
      <c r="R48" s="93">
        <f t="shared" si="4"/>
        <v>48.2</v>
      </c>
      <c r="S48" s="97">
        <v>4</v>
      </c>
      <c r="T48" s="839">
        <v>28997</v>
      </c>
      <c r="U48" s="852">
        <v>29010</v>
      </c>
      <c r="V48" s="82" t="s">
        <v>101</v>
      </c>
      <c r="W48" s="73" t="s">
        <v>74</v>
      </c>
      <c r="X48" s="73" t="s">
        <v>11</v>
      </c>
      <c r="Y48" s="83">
        <v>48.2</v>
      </c>
      <c r="AD48" s="82"/>
      <c r="AG48" s="83"/>
      <c r="AL48" s="82"/>
      <c r="AO48" s="83"/>
      <c r="AP48" s="82"/>
      <c r="AS48" s="83"/>
      <c r="AW48" s="83"/>
      <c r="BA48" s="84"/>
    </row>
    <row r="49" spans="1:53" s="73" customFormat="1">
      <c r="A49" s="101">
        <v>1980</v>
      </c>
      <c r="B49" s="852"/>
      <c r="C49" s="901" t="s">
        <v>233</v>
      </c>
      <c r="D49" s="901"/>
      <c r="E49" s="73">
        <v>62</v>
      </c>
      <c r="G49" s="119">
        <v>11</v>
      </c>
      <c r="J49" s="126">
        <v>11</v>
      </c>
      <c r="K49" s="92">
        <f t="shared" si="17"/>
        <v>100</v>
      </c>
      <c r="L49" s="92">
        <f t="shared" si="18"/>
        <v>0</v>
      </c>
      <c r="M49" s="92">
        <f t="shared" si="19"/>
        <v>0</v>
      </c>
      <c r="N49" s="121">
        <f t="shared" si="3"/>
        <v>100</v>
      </c>
      <c r="O49" s="91">
        <v>48.2</v>
      </c>
      <c r="P49" s="92"/>
      <c r="Q49" s="92"/>
      <c r="R49" s="93">
        <f t="shared" si="4"/>
        <v>48.2</v>
      </c>
      <c r="S49" s="97">
        <v>4</v>
      </c>
      <c r="T49" s="839"/>
      <c r="U49" s="852"/>
      <c r="V49" s="82" t="s">
        <v>101</v>
      </c>
      <c r="W49" s="73" t="s">
        <v>74</v>
      </c>
      <c r="X49" s="73" t="s">
        <v>11</v>
      </c>
      <c r="Y49" s="83">
        <v>48.2</v>
      </c>
      <c r="AD49" s="82"/>
      <c r="AG49" s="83"/>
      <c r="AL49" s="82"/>
      <c r="AO49" s="83"/>
      <c r="AP49" s="82"/>
      <c r="AS49" s="83"/>
      <c r="AW49" s="83"/>
      <c r="BA49" s="84"/>
    </row>
    <row r="50" spans="1:53" s="292" customFormat="1">
      <c r="A50" s="338">
        <v>1980</v>
      </c>
      <c r="B50" s="836">
        <v>29283</v>
      </c>
      <c r="C50" s="909" t="s">
        <v>1451</v>
      </c>
      <c r="D50" s="909"/>
      <c r="E50" s="292">
        <v>304</v>
      </c>
      <c r="F50" s="292">
        <v>5</v>
      </c>
      <c r="G50" s="366"/>
      <c r="H50" s="292">
        <v>27</v>
      </c>
      <c r="J50" s="377">
        <v>27</v>
      </c>
      <c r="K50" s="336">
        <f t="shared" si="17"/>
        <v>0</v>
      </c>
      <c r="L50" s="336">
        <f t="shared" si="18"/>
        <v>100</v>
      </c>
      <c r="M50" s="336">
        <f t="shared" si="19"/>
        <v>0</v>
      </c>
      <c r="N50" s="368">
        <f t="shared" si="3"/>
        <v>100</v>
      </c>
      <c r="O50" s="335"/>
      <c r="P50" s="336">
        <v>52.1</v>
      </c>
      <c r="Q50" s="336"/>
      <c r="R50" s="337">
        <f t="shared" si="4"/>
        <v>52.1</v>
      </c>
      <c r="S50" s="340">
        <v>1</v>
      </c>
      <c r="T50" s="838">
        <v>29269</v>
      </c>
      <c r="U50" s="836">
        <v>29283</v>
      </c>
      <c r="V50" s="299" t="s">
        <v>72</v>
      </c>
      <c r="W50" s="292" t="s">
        <v>22</v>
      </c>
      <c r="X50" s="292" t="s">
        <v>18</v>
      </c>
      <c r="Y50" s="300">
        <v>52.1</v>
      </c>
      <c r="AD50" s="299"/>
      <c r="AG50" s="300"/>
      <c r="AL50" s="299"/>
      <c r="AO50" s="300"/>
      <c r="AP50" s="299"/>
      <c r="AS50" s="300"/>
      <c r="AW50" s="300"/>
      <c r="BA50" s="301"/>
    </row>
    <row r="51" spans="1:53" s="292" customFormat="1">
      <c r="A51" s="338">
        <v>1981</v>
      </c>
      <c r="B51" s="836"/>
      <c r="C51" s="909" t="s">
        <v>1451</v>
      </c>
      <c r="D51" s="909"/>
      <c r="E51" s="292">
        <v>0</v>
      </c>
      <c r="G51" s="366"/>
      <c r="H51" s="292">
        <v>27</v>
      </c>
      <c r="J51" s="377">
        <v>27</v>
      </c>
      <c r="K51" s="336">
        <f>G51/J51*100</f>
        <v>0</v>
      </c>
      <c r="L51" s="336">
        <f>H51/J51*100</f>
        <v>100</v>
      </c>
      <c r="M51" s="336">
        <f>I51/J51*100</f>
        <v>0</v>
      </c>
      <c r="N51" s="368">
        <f t="shared" si="3"/>
        <v>100</v>
      </c>
      <c r="O51" s="335"/>
      <c r="P51" s="336">
        <v>52.1</v>
      </c>
      <c r="Q51" s="336"/>
      <c r="R51" s="337">
        <f t="shared" si="4"/>
        <v>52.1</v>
      </c>
      <c r="S51" s="340">
        <v>1</v>
      </c>
      <c r="T51" s="838"/>
      <c r="U51" s="836"/>
      <c r="V51" s="299" t="s">
        <v>72</v>
      </c>
      <c r="W51" s="292" t="s">
        <v>22</v>
      </c>
      <c r="X51" s="292" t="s">
        <v>18</v>
      </c>
      <c r="Y51" s="300">
        <v>52.1</v>
      </c>
      <c r="AD51" s="299"/>
      <c r="AG51" s="300"/>
      <c r="AL51" s="299"/>
      <c r="AO51" s="300"/>
      <c r="AP51" s="299"/>
      <c r="AS51" s="300"/>
      <c r="AW51" s="300"/>
      <c r="BA51" s="301"/>
    </row>
    <row r="52" spans="1:53" s="292" customFormat="1">
      <c r="A52" s="338">
        <v>1981</v>
      </c>
      <c r="B52" s="836"/>
      <c r="C52" s="909" t="s">
        <v>1451</v>
      </c>
      <c r="D52" s="909"/>
      <c r="E52" s="292">
        <f>365-E51</f>
        <v>365</v>
      </c>
      <c r="G52" s="366"/>
      <c r="H52" s="292">
        <v>27</v>
      </c>
      <c r="J52" s="377">
        <v>27</v>
      </c>
      <c r="K52" s="336">
        <f t="shared" ref="K52:K57" si="20">G52/J52*100</f>
        <v>0</v>
      </c>
      <c r="L52" s="336">
        <f t="shared" ref="L52:L57" si="21">H52/J52*100</f>
        <v>100</v>
      </c>
      <c r="M52" s="336">
        <f t="shared" ref="M52:M57" si="22">I52/J52*100</f>
        <v>0</v>
      </c>
      <c r="N52" s="368">
        <f t="shared" si="3"/>
        <v>100</v>
      </c>
      <c r="O52" s="335"/>
      <c r="P52" s="336">
        <v>52.1</v>
      </c>
      <c r="Q52" s="336"/>
      <c r="R52" s="337">
        <f t="shared" si="4"/>
        <v>52.1</v>
      </c>
      <c r="S52" s="340">
        <v>1</v>
      </c>
      <c r="T52" s="838"/>
      <c r="U52" s="836"/>
      <c r="V52" s="299" t="s">
        <v>72</v>
      </c>
      <c r="W52" s="292" t="s">
        <v>22</v>
      </c>
      <c r="X52" s="292" t="s">
        <v>18</v>
      </c>
      <c r="Y52" s="300">
        <v>52.1</v>
      </c>
      <c r="AD52" s="299"/>
      <c r="AG52" s="300"/>
      <c r="AL52" s="299"/>
      <c r="AO52" s="300"/>
      <c r="AP52" s="299"/>
      <c r="AS52" s="300"/>
      <c r="AW52" s="300"/>
      <c r="BA52" s="301"/>
    </row>
    <row r="53" spans="1:53" s="292" customFormat="1">
      <c r="A53" s="338">
        <v>1982</v>
      </c>
      <c r="B53" s="836"/>
      <c r="C53" s="909" t="s">
        <v>1451</v>
      </c>
      <c r="D53" s="909"/>
      <c r="E53" s="292">
        <v>0</v>
      </c>
      <c r="G53" s="366"/>
      <c r="H53" s="292">
        <v>27</v>
      </c>
      <c r="J53" s="377">
        <v>27</v>
      </c>
      <c r="K53" s="336">
        <f t="shared" si="20"/>
        <v>0</v>
      </c>
      <c r="L53" s="336">
        <f t="shared" si="21"/>
        <v>100</v>
      </c>
      <c r="M53" s="336">
        <f t="shared" si="22"/>
        <v>0</v>
      </c>
      <c r="N53" s="368">
        <f t="shared" si="3"/>
        <v>100</v>
      </c>
      <c r="O53" s="335"/>
      <c r="P53" s="336">
        <v>52.1</v>
      </c>
      <c r="Q53" s="336"/>
      <c r="R53" s="337">
        <f t="shared" si="4"/>
        <v>52.1</v>
      </c>
      <c r="S53" s="340">
        <v>1</v>
      </c>
      <c r="T53" s="838"/>
      <c r="U53" s="836"/>
      <c r="V53" s="299" t="s">
        <v>72</v>
      </c>
      <c r="W53" s="292" t="s">
        <v>22</v>
      </c>
      <c r="X53" s="292" t="s">
        <v>18</v>
      </c>
      <c r="Y53" s="300">
        <v>52.1</v>
      </c>
      <c r="AD53" s="299"/>
      <c r="AG53" s="300"/>
      <c r="AL53" s="299"/>
      <c r="AO53" s="300"/>
      <c r="AP53" s="299"/>
      <c r="AS53" s="300"/>
      <c r="AW53" s="300"/>
      <c r="BA53" s="301"/>
    </row>
    <row r="54" spans="1:53" s="292" customFormat="1">
      <c r="A54" s="338">
        <v>1982</v>
      </c>
      <c r="B54" s="836"/>
      <c r="C54" s="909" t="s">
        <v>1451</v>
      </c>
      <c r="D54" s="909"/>
      <c r="E54" s="292">
        <f>365-E53</f>
        <v>365</v>
      </c>
      <c r="G54" s="366"/>
      <c r="H54" s="292">
        <v>27</v>
      </c>
      <c r="J54" s="377">
        <v>27</v>
      </c>
      <c r="K54" s="336">
        <f t="shared" si="20"/>
        <v>0</v>
      </c>
      <c r="L54" s="336">
        <f t="shared" si="21"/>
        <v>100</v>
      </c>
      <c r="M54" s="336">
        <f t="shared" si="22"/>
        <v>0</v>
      </c>
      <c r="N54" s="368">
        <f t="shared" si="3"/>
        <v>100</v>
      </c>
      <c r="O54" s="335"/>
      <c r="P54" s="336">
        <v>52.1</v>
      </c>
      <c r="Q54" s="336"/>
      <c r="R54" s="337">
        <f t="shared" si="4"/>
        <v>52.1</v>
      </c>
      <c r="S54" s="340">
        <v>1</v>
      </c>
      <c r="T54" s="838"/>
      <c r="U54" s="836"/>
      <c r="V54" s="299" t="s">
        <v>72</v>
      </c>
      <c r="W54" s="292" t="s">
        <v>22</v>
      </c>
      <c r="X54" s="292" t="s">
        <v>18</v>
      </c>
      <c r="Y54" s="300">
        <v>52.1</v>
      </c>
      <c r="AD54" s="299"/>
      <c r="AG54" s="300"/>
      <c r="AL54" s="299"/>
      <c r="AO54" s="300"/>
      <c r="AP54" s="299"/>
      <c r="AS54" s="300"/>
      <c r="AW54" s="300"/>
      <c r="BA54" s="301"/>
    </row>
    <row r="55" spans="1:53" s="292" customFormat="1">
      <c r="A55" s="338">
        <v>1983</v>
      </c>
      <c r="B55" s="836"/>
      <c r="C55" s="909" t="s">
        <v>1451</v>
      </c>
      <c r="D55" s="909"/>
      <c r="E55" s="292">
        <v>180</v>
      </c>
      <c r="G55" s="366"/>
      <c r="H55" s="292">
        <v>27</v>
      </c>
      <c r="J55" s="377">
        <v>27</v>
      </c>
      <c r="K55" s="336">
        <f t="shared" si="20"/>
        <v>0</v>
      </c>
      <c r="L55" s="336">
        <f t="shared" si="21"/>
        <v>100</v>
      </c>
      <c r="M55" s="336">
        <f t="shared" si="22"/>
        <v>0</v>
      </c>
      <c r="N55" s="368">
        <f t="shared" si="3"/>
        <v>100</v>
      </c>
      <c r="O55" s="335"/>
      <c r="P55" s="336">
        <v>52.1</v>
      </c>
      <c r="Q55" s="336"/>
      <c r="R55" s="337">
        <f t="shared" si="4"/>
        <v>52.1</v>
      </c>
      <c r="S55" s="340">
        <v>1</v>
      </c>
      <c r="T55" s="838"/>
      <c r="U55" s="836"/>
      <c r="V55" s="299" t="s">
        <v>72</v>
      </c>
      <c r="W55" s="292" t="s">
        <v>22</v>
      </c>
      <c r="X55" s="292" t="s">
        <v>18</v>
      </c>
      <c r="Y55" s="300">
        <v>52.1</v>
      </c>
      <c r="AD55" s="299"/>
      <c r="AG55" s="300"/>
      <c r="AL55" s="299"/>
      <c r="AO55" s="300"/>
      <c r="AP55" s="299"/>
      <c r="AS55" s="300"/>
      <c r="AW55" s="300"/>
      <c r="BA55" s="301"/>
    </row>
    <row r="56" spans="1:53" s="73" customFormat="1">
      <c r="A56" s="101">
        <v>1983</v>
      </c>
      <c r="B56" s="852">
        <v>30497</v>
      </c>
      <c r="C56" s="901" t="s">
        <v>234</v>
      </c>
      <c r="D56" s="901"/>
      <c r="E56" s="73">
        <f>365-E55</f>
        <v>185</v>
      </c>
      <c r="F56" s="73">
        <v>2</v>
      </c>
      <c r="G56" s="119"/>
      <c r="H56" s="73">
        <v>25</v>
      </c>
      <c r="J56" s="126">
        <v>25</v>
      </c>
      <c r="K56" s="92">
        <f t="shared" si="20"/>
        <v>0</v>
      </c>
      <c r="L56" s="92">
        <f t="shared" si="21"/>
        <v>100</v>
      </c>
      <c r="M56" s="92">
        <f t="shared" si="22"/>
        <v>0</v>
      </c>
      <c r="N56" s="121">
        <f t="shared" si="3"/>
        <v>100</v>
      </c>
      <c r="O56" s="91"/>
      <c r="P56" s="92">
        <v>52.1</v>
      </c>
      <c r="Q56" s="92"/>
      <c r="R56" s="93">
        <f t="shared" si="4"/>
        <v>52.1</v>
      </c>
      <c r="S56" s="97">
        <v>1</v>
      </c>
      <c r="T56" s="839"/>
      <c r="U56" s="852">
        <v>30497</v>
      </c>
      <c r="V56" s="82" t="s">
        <v>72</v>
      </c>
      <c r="W56" s="73" t="s">
        <v>22</v>
      </c>
      <c r="X56" s="73" t="s">
        <v>18</v>
      </c>
      <c r="Y56" s="83">
        <v>52.1</v>
      </c>
      <c r="AD56" s="82"/>
      <c r="AG56" s="83"/>
      <c r="AL56" s="82"/>
      <c r="AO56" s="83"/>
      <c r="AP56" s="82"/>
      <c r="AS56" s="83"/>
      <c r="AW56" s="83"/>
      <c r="BA56" s="84"/>
    </row>
    <row r="57" spans="1:53" s="73" customFormat="1">
      <c r="A57" s="101">
        <v>1984</v>
      </c>
      <c r="B57" s="852"/>
      <c r="C57" s="901" t="s">
        <v>234</v>
      </c>
      <c r="D57" s="901"/>
      <c r="E57" s="73">
        <v>260</v>
      </c>
      <c r="G57" s="119"/>
      <c r="H57" s="73">
        <v>25</v>
      </c>
      <c r="J57" s="126">
        <v>25</v>
      </c>
      <c r="K57" s="92">
        <f t="shared" si="20"/>
        <v>0</v>
      </c>
      <c r="L57" s="92">
        <f t="shared" si="21"/>
        <v>100</v>
      </c>
      <c r="M57" s="92">
        <f t="shared" si="22"/>
        <v>0</v>
      </c>
      <c r="N57" s="121">
        <f t="shared" si="3"/>
        <v>100</v>
      </c>
      <c r="O57" s="91"/>
      <c r="P57" s="92">
        <v>52.1</v>
      </c>
      <c r="Q57" s="92"/>
      <c r="R57" s="93">
        <f t="shared" si="4"/>
        <v>52.1</v>
      </c>
      <c r="S57" s="97">
        <v>1</v>
      </c>
      <c r="T57" s="839"/>
      <c r="U57" s="852"/>
      <c r="V57" s="82" t="s">
        <v>72</v>
      </c>
      <c r="W57" s="73" t="s">
        <v>22</v>
      </c>
      <c r="X57" s="73" t="s">
        <v>18</v>
      </c>
      <c r="Y57" s="83">
        <v>52.1</v>
      </c>
      <c r="AD57" s="82"/>
      <c r="AG57" s="83"/>
      <c r="AL57" s="82"/>
      <c r="AO57" s="83"/>
      <c r="AP57" s="82"/>
      <c r="AS57" s="83"/>
      <c r="AW57" s="83"/>
      <c r="BA57" s="84"/>
    </row>
    <row r="58" spans="1:53" s="292" customFormat="1">
      <c r="A58" s="338">
        <v>1984</v>
      </c>
      <c r="B58" s="836">
        <v>30942</v>
      </c>
      <c r="C58" s="909" t="s">
        <v>235</v>
      </c>
      <c r="D58" s="909"/>
      <c r="E58" s="292">
        <v>106</v>
      </c>
      <c r="F58" s="292">
        <v>1</v>
      </c>
      <c r="G58" s="366">
        <v>30</v>
      </c>
      <c r="J58" s="377">
        <v>30</v>
      </c>
      <c r="K58" s="336">
        <f>G58/J58*100</f>
        <v>100</v>
      </c>
      <c r="L58" s="336">
        <f>H58/J58*100</f>
        <v>0</v>
      </c>
      <c r="M58" s="336">
        <f>I58/J58*100</f>
        <v>0</v>
      </c>
      <c r="N58" s="368">
        <f t="shared" si="3"/>
        <v>100</v>
      </c>
      <c r="O58" s="335">
        <v>74.8</v>
      </c>
      <c r="P58" s="336"/>
      <c r="Q58" s="336"/>
      <c r="R58" s="337">
        <f t="shared" si="4"/>
        <v>74.8</v>
      </c>
      <c r="S58" s="340">
        <v>1</v>
      </c>
      <c r="T58" s="838">
        <v>30929</v>
      </c>
      <c r="U58" s="836">
        <v>30942</v>
      </c>
      <c r="V58" s="299" t="s">
        <v>101</v>
      </c>
      <c r="W58" s="292" t="s">
        <v>74</v>
      </c>
      <c r="X58" s="292" t="s">
        <v>11</v>
      </c>
      <c r="Y58" s="300">
        <v>74.8</v>
      </c>
      <c r="AD58" s="299"/>
      <c r="AG58" s="300"/>
      <c r="AL58" s="299"/>
      <c r="AO58" s="300"/>
      <c r="AP58" s="299"/>
      <c r="AS58" s="300"/>
      <c r="AW58" s="300"/>
      <c r="BA58" s="301"/>
    </row>
    <row r="59" spans="1:53" s="292" customFormat="1">
      <c r="A59" s="338">
        <v>1985</v>
      </c>
      <c r="B59" s="836"/>
      <c r="C59" s="909" t="s">
        <v>235</v>
      </c>
      <c r="D59" s="909"/>
      <c r="E59" s="292">
        <v>0</v>
      </c>
      <c r="G59" s="366">
        <v>30</v>
      </c>
      <c r="J59" s="377">
        <v>30</v>
      </c>
      <c r="K59" s="336">
        <f t="shared" ref="K59:K64" si="23">G59/J59*100</f>
        <v>100</v>
      </c>
      <c r="L59" s="336">
        <f t="shared" ref="L59:L64" si="24">H59/J59*100</f>
        <v>0</v>
      </c>
      <c r="M59" s="336">
        <f t="shared" ref="M59:M64" si="25">I59/J59*100</f>
        <v>0</v>
      </c>
      <c r="N59" s="368">
        <f t="shared" si="3"/>
        <v>100</v>
      </c>
      <c r="O59" s="335">
        <v>74.8</v>
      </c>
      <c r="P59" s="336"/>
      <c r="Q59" s="336"/>
      <c r="R59" s="337">
        <f t="shared" si="4"/>
        <v>74.8</v>
      </c>
      <c r="S59" s="340">
        <v>1</v>
      </c>
      <c r="T59" s="838"/>
      <c r="U59" s="836"/>
      <c r="V59" s="299" t="s">
        <v>101</v>
      </c>
      <c r="W59" s="292" t="s">
        <v>74</v>
      </c>
      <c r="X59" s="292" t="s">
        <v>11</v>
      </c>
      <c r="Y59" s="300">
        <v>74.8</v>
      </c>
      <c r="AD59" s="299"/>
      <c r="AG59" s="300"/>
      <c r="AL59" s="299"/>
      <c r="AO59" s="300"/>
      <c r="AP59" s="299"/>
      <c r="AS59" s="300"/>
      <c r="AW59" s="300"/>
      <c r="BA59" s="301"/>
    </row>
    <row r="60" spans="1:53" s="292" customFormat="1">
      <c r="A60" s="338">
        <v>1985</v>
      </c>
      <c r="B60" s="836"/>
      <c r="C60" s="909" t="s">
        <v>235</v>
      </c>
      <c r="D60" s="909"/>
      <c r="E60" s="292">
        <v>365</v>
      </c>
      <c r="G60" s="366">
        <v>30</v>
      </c>
      <c r="J60" s="377">
        <v>30</v>
      </c>
      <c r="K60" s="336">
        <f t="shared" si="23"/>
        <v>100</v>
      </c>
      <c r="L60" s="336">
        <f t="shared" si="24"/>
        <v>0</v>
      </c>
      <c r="M60" s="336">
        <f t="shared" si="25"/>
        <v>0</v>
      </c>
      <c r="N60" s="368">
        <f t="shared" si="3"/>
        <v>100</v>
      </c>
      <c r="O60" s="335">
        <v>74.8</v>
      </c>
      <c r="P60" s="336"/>
      <c r="Q60" s="336"/>
      <c r="R60" s="337">
        <f t="shared" si="4"/>
        <v>74.8</v>
      </c>
      <c r="S60" s="340">
        <v>1</v>
      </c>
      <c r="T60" s="838"/>
      <c r="U60" s="836"/>
      <c r="V60" s="299" t="s">
        <v>101</v>
      </c>
      <c r="W60" s="292" t="s">
        <v>74</v>
      </c>
      <c r="X60" s="292" t="s">
        <v>11</v>
      </c>
      <c r="Y60" s="300">
        <v>74.8</v>
      </c>
      <c r="AD60" s="299"/>
      <c r="AG60" s="300"/>
      <c r="AL60" s="299"/>
      <c r="AO60" s="300"/>
      <c r="AP60" s="299"/>
      <c r="AS60" s="300"/>
      <c r="AW60" s="300"/>
      <c r="BA60" s="301"/>
    </row>
    <row r="61" spans="1:53" s="292" customFormat="1">
      <c r="A61" s="338">
        <v>1986</v>
      </c>
      <c r="B61" s="836"/>
      <c r="C61" s="909" t="s">
        <v>235</v>
      </c>
      <c r="D61" s="909"/>
      <c r="E61" s="292">
        <f>365-E60</f>
        <v>0</v>
      </c>
      <c r="G61" s="366">
        <v>30</v>
      </c>
      <c r="J61" s="377">
        <v>30</v>
      </c>
      <c r="K61" s="336">
        <f t="shared" si="23"/>
        <v>100</v>
      </c>
      <c r="L61" s="336">
        <f t="shared" si="24"/>
        <v>0</v>
      </c>
      <c r="M61" s="336">
        <f t="shared" si="25"/>
        <v>0</v>
      </c>
      <c r="N61" s="368">
        <f t="shared" si="3"/>
        <v>100</v>
      </c>
      <c r="O61" s="335">
        <v>74.8</v>
      </c>
      <c r="P61" s="336"/>
      <c r="Q61" s="336"/>
      <c r="R61" s="337">
        <f t="shared" si="4"/>
        <v>74.8</v>
      </c>
      <c r="S61" s="340">
        <v>1</v>
      </c>
      <c r="T61" s="838"/>
      <c r="U61" s="836"/>
      <c r="V61" s="299" t="s">
        <v>101</v>
      </c>
      <c r="W61" s="292" t="s">
        <v>74</v>
      </c>
      <c r="X61" s="292" t="s">
        <v>11</v>
      </c>
      <c r="Y61" s="300">
        <v>74.8</v>
      </c>
      <c r="AD61" s="299"/>
      <c r="AG61" s="300"/>
      <c r="AL61" s="299"/>
      <c r="AO61" s="300"/>
      <c r="AP61" s="299"/>
      <c r="AS61" s="300"/>
      <c r="AW61" s="300"/>
      <c r="BA61" s="301"/>
    </row>
    <row r="62" spans="1:53" s="292" customFormat="1">
      <c r="A62" s="338">
        <v>1986</v>
      </c>
      <c r="B62" s="836"/>
      <c r="C62" s="909" t="s">
        <v>235</v>
      </c>
      <c r="D62" s="909"/>
      <c r="E62" s="292">
        <v>365</v>
      </c>
      <c r="G62" s="366">
        <v>30</v>
      </c>
      <c r="J62" s="377">
        <v>30</v>
      </c>
      <c r="K62" s="336">
        <f t="shared" si="23"/>
        <v>100</v>
      </c>
      <c r="L62" s="336">
        <f t="shared" si="24"/>
        <v>0</v>
      </c>
      <c r="M62" s="336">
        <f t="shared" si="25"/>
        <v>0</v>
      </c>
      <c r="N62" s="368">
        <f t="shared" si="3"/>
        <v>100</v>
      </c>
      <c r="O62" s="335">
        <v>74.8</v>
      </c>
      <c r="P62" s="336"/>
      <c r="Q62" s="336"/>
      <c r="R62" s="337">
        <f t="shared" si="4"/>
        <v>74.8</v>
      </c>
      <c r="S62" s="340">
        <v>1</v>
      </c>
      <c r="T62" s="838"/>
      <c r="U62" s="836"/>
      <c r="V62" s="299" t="s">
        <v>101</v>
      </c>
      <c r="W62" s="292" t="s">
        <v>74</v>
      </c>
      <c r="X62" s="292" t="s">
        <v>11</v>
      </c>
      <c r="Y62" s="300">
        <v>74.8</v>
      </c>
      <c r="AD62" s="299"/>
      <c r="AG62" s="300"/>
      <c r="AL62" s="299"/>
      <c r="AO62" s="300"/>
      <c r="AP62" s="299"/>
      <c r="AS62" s="300"/>
      <c r="AW62" s="300"/>
      <c r="BA62" s="301"/>
    </row>
    <row r="63" spans="1:53" s="292" customFormat="1">
      <c r="A63" s="338">
        <v>1987</v>
      </c>
      <c r="B63" s="836"/>
      <c r="C63" s="909" t="s">
        <v>235</v>
      </c>
      <c r="D63" s="909"/>
      <c r="E63" s="292">
        <f>365-E62</f>
        <v>0</v>
      </c>
      <c r="G63" s="366">
        <v>30</v>
      </c>
      <c r="J63" s="377">
        <v>30</v>
      </c>
      <c r="K63" s="336">
        <f t="shared" si="23"/>
        <v>100</v>
      </c>
      <c r="L63" s="336">
        <f t="shared" si="24"/>
        <v>0</v>
      </c>
      <c r="M63" s="336">
        <f t="shared" si="25"/>
        <v>0</v>
      </c>
      <c r="N63" s="368">
        <f t="shared" si="3"/>
        <v>100</v>
      </c>
      <c r="O63" s="335">
        <v>74.8</v>
      </c>
      <c r="P63" s="336"/>
      <c r="Q63" s="336"/>
      <c r="R63" s="337">
        <f t="shared" si="4"/>
        <v>74.8</v>
      </c>
      <c r="S63" s="340">
        <v>1</v>
      </c>
      <c r="T63" s="838"/>
      <c r="U63" s="836"/>
      <c r="V63" s="299" t="s">
        <v>101</v>
      </c>
      <c r="W63" s="292" t="s">
        <v>74</v>
      </c>
      <c r="X63" s="292" t="s">
        <v>11</v>
      </c>
      <c r="Y63" s="300">
        <v>74.8</v>
      </c>
      <c r="AD63" s="299"/>
      <c r="AG63" s="300"/>
      <c r="AL63" s="299"/>
      <c r="AO63" s="300"/>
      <c r="AP63" s="299"/>
      <c r="AS63" s="300"/>
      <c r="AW63" s="300"/>
      <c r="BA63" s="301"/>
    </row>
    <row r="64" spans="1:53" s="292" customFormat="1">
      <c r="A64" s="338">
        <v>1987</v>
      </c>
      <c r="B64" s="836"/>
      <c r="C64" s="909" t="s">
        <v>235</v>
      </c>
      <c r="D64" s="909"/>
      <c r="E64" s="292">
        <v>365</v>
      </c>
      <c r="G64" s="366">
        <v>30</v>
      </c>
      <c r="J64" s="377">
        <v>30</v>
      </c>
      <c r="K64" s="336">
        <f t="shared" si="23"/>
        <v>100</v>
      </c>
      <c r="L64" s="336">
        <f t="shared" si="24"/>
        <v>0</v>
      </c>
      <c r="M64" s="336">
        <f t="shared" si="25"/>
        <v>0</v>
      </c>
      <c r="N64" s="368">
        <f t="shared" si="3"/>
        <v>100</v>
      </c>
      <c r="O64" s="335">
        <v>74.8</v>
      </c>
      <c r="P64" s="336"/>
      <c r="Q64" s="336"/>
      <c r="R64" s="337">
        <f t="shared" si="4"/>
        <v>74.8</v>
      </c>
      <c r="S64" s="340">
        <v>1</v>
      </c>
      <c r="T64" s="838"/>
      <c r="U64" s="836"/>
      <c r="V64" s="299" t="s">
        <v>101</v>
      </c>
      <c r="W64" s="292" t="s">
        <v>74</v>
      </c>
      <c r="X64" s="292" t="s">
        <v>11</v>
      </c>
      <c r="Y64" s="300">
        <v>74.8</v>
      </c>
      <c r="AD64" s="299"/>
      <c r="AG64" s="300"/>
      <c r="AL64" s="299"/>
      <c r="AO64" s="300"/>
      <c r="AP64" s="299"/>
      <c r="AS64" s="300"/>
      <c r="AW64" s="300"/>
      <c r="BA64" s="301"/>
    </row>
    <row r="65" spans="1:53" s="292" customFormat="1">
      <c r="A65" s="338">
        <v>1988</v>
      </c>
      <c r="B65" s="836"/>
      <c r="C65" s="909" t="s">
        <v>235</v>
      </c>
      <c r="D65" s="909"/>
      <c r="E65" s="292">
        <v>341</v>
      </c>
      <c r="G65" s="366">
        <v>30</v>
      </c>
      <c r="J65" s="377">
        <v>30</v>
      </c>
      <c r="K65" s="336">
        <f>G65/J65*100</f>
        <v>100</v>
      </c>
      <c r="L65" s="336">
        <f>H65/J65*100</f>
        <v>0</v>
      </c>
      <c r="M65" s="336">
        <f>I65/J65*100</f>
        <v>0</v>
      </c>
      <c r="N65" s="368">
        <f t="shared" si="3"/>
        <v>100</v>
      </c>
      <c r="O65" s="335">
        <v>74.8</v>
      </c>
      <c r="P65" s="336"/>
      <c r="Q65" s="336"/>
      <c r="R65" s="337">
        <f t="shared" si="4"/>
        <v>74.8</v>
      </c>
      <c r="S65" s="340">
        <v>1</v>
      </c>
      <c r="T65" s="838"/>
      <c r="U65" s="836"/>
      <c r="V65" s="299" t="s">
        <v>101</v>
      </c>
      <c r="W65" s="292" t="s">
        <v>74</v>
      </c>
      <c r="X65" s="292" t="s">
        <v>11</v>
      </c>
      <c r="Y65" s="300">
        <v>74.8</v>
      </c>
      <c r="AD65" s="299"/>
      <c r="AG65" s="300"/>
      <c r="AL65" s="299"/>
      <c r="AO65" s="300"/>
      <c r="AP65" s="299"/>
      <c r="AS65" s="300"/>
      <c r="AW65" s="300"/>
      <c r="BA65" s="301"/>
    </row>
    <row r="66" spans="1:53" s="73" customFormat="1">
      <c r="A66" s="101">
        <v>1988</v>
      </c>
      <c r="B66" s="852">
        <v>32484</v>
      </c>
      <c r="C66" s="901" t="s">
        <v>236</v>
      </c>
      <c r="D66" s="901"/>
      <c r="E66" s="73">
        <v>25</v>
      </c>
      <c r="F66" s="73">
        <v>1</v>
      </c>
      <c r="G66" s="119">
        <v>22</v>
      </c>
      <c r="J66" s="126">
        <v>22</v>
      </c>
      <c r="K66" s="92">
        <f>G66/J66*100</f>
        <v>100</v>
      </c>
      <c r="L66" s="92">
        <f>H66/J66*100</f>
        <v>0</v>
      </c>
      <c r="M66" s="92">
        <f>I66/J66*100</f>
        <v>0</v>
      </c>
      <c r="N66" s="121">
        <f t="shared" si="3"/>
        <v>100</v>
      </c>
      <c r="O66" s="91">
        <v>57.3</v>
      </c>
      <c r="P66" s="92"/>
      <c r="Q66" s="92"/>
      <c r="R66" s="93">
        <f t="shared" si="4"/>
        <v>57.3</v>
      </c>
      <c r="S66" s="97">
        <v>1</v>
      </c>
      <c r="T66" s="839">
        <v>32468</v>
      </c>
      <c r="U66" s="852">
        <v>32484</v>
      </c>
      <c r="V66" s="82" t="s">
        <v>101</v>
      </c>
      <c r="W66" s="73" t="s">
        <v>74</v>
      </c>
      <c r="X66" s="73" t="s">
        <v>11</v>
      </c>
      <c r="Y66" s="83">
        <v>57.3</v>
      </c>
      <c r="AD66" s="82"/>
      <c r="AG66" s="83"/>
      <c r="AL66" s="82"/>
      <c r="AO66" s="83"/>
      <c r="AP66" s="82"/>
      <c r="AS66" s="83"/>
      <c r="AW66" s="83"/>
      <c r="BA66" s="84"/>
    </row>
    <row r="67" spans="1:53" s="73" customFormat="1">
      <c r="A67" s="73">
        <v>1989</v>
      </c>
      <c r="B67" s="852"/>
      <c r="C67" s="901" t="s">
        <v>236</v>
      </c>
      <c r="D67" s="901"/>
      <c r="E67" s="73">
        <v>0</v>
      </c>
      <c r="G67" s="119">
        <v>22</v>
      </c>
      <c r="J67" s="126">
        <v>22</v>
      </c>
      <c r="K67" s="92">
        <f>G67/J67*100</f>
        <v>100</v>
      </c>
      <c r="L67" s="92">
        <f>H67/J67*100</f>
        <v>0</v>
      </c>
      <c r="M67" s="92">
        <f>I67/J67*100</f>
        <v>0</v>
      </c>
      <c r="N67" s="121">
        <f t="shared" si="3"/>
        <v>100</v>
      </c>
      <c r="O67" s="91">
        <v>57.3</v>
      </c>
      <c r="P67" s="92"/>
      <c r="Q67" s="92"/>
      <c r="R67" s="93">
        <f t="shared" si="4"/>
        <v>57.3</v>
      </c>
      <c r="S67" s="97">
        <v>1</v>
      </c>
      <c r="T67" s="839"/>
      <c r="U67" s="852"/>
      <c r="V67" s="82" t="s">
        <v>101</v>
      </c>
      <c r="W67" s="73" t="s">
        <v>74</v>
      </c>
      <c r="X67" s="73" t="s">
        <v>11</v>
      </c>
      <c r="Y67" s="83">
        <v>57.3</v>
      </c>
      <c r="AD67" s="82"/>
      <c r="AG67" s="83"/>
      <c r="AL67" s="82"/>
      <c r="AO67" s="83"/>
      <c r="AP67" s="82"/>
      <c r="AS67" s="83"/>
      <c r="AW67" s="83"/>
      <c r="BA67" s="84"/>
    </row>
    <row r="68" spans="1:53" s="128" customFormat="1">
      <c r="A68" s="128">
        <v>1989</v>
      </c>
      <c r="B68" s="859"/>
      <c r="C68" s="932" t="s">
        <v>236</v>
      </c>
      <c r="D68" s="932"/>
      <c r="E68" s="128">
        <f>365-E67</f>
        <v>365</v>
      </c>
      <c r="G68" s="129">
        <v>22</v>
      </c>
      <c r="J68" s="130">
        <v>22</v>
      </c>
      <c r="K68" s="131">
        <f>G68/J68*100</f>
        <v>100</v>
      </c>
      <c r="L68" s="131">
        <f>H68/J68*100</f>
        <v>0</v>
      </c>
      <c r="M68" s="131">
        <f>I68/J68*100</f>
        <v>0</v>
      </c>
      <c r="N68" s="132">
        <f t="shared" si="3"/>
        <v>100</v>
      </c>
      <c r="O68" s="133">
        <v>57.3</v>
      </c>
      <c r="P68" s="131"/>
      <c r="Q68" s="131"/>
      <c r="R68" s="134">
        <f t="shared" si="4"/>
        <v>57.3</v>
      </c>
      <c r="S68" s="135">
        <v>1</v>
      </c>
      <c r="T68" s="861"/>
      <c r="U68" s="859"/>
      <c r="V68" s="136" t="s">
        <v>101</v>
      </c>
      <c r="W68" s="128" t="s">
        <v>74</v>
      </c>
      <c r="X68" s="128" t="s">
        <v>11</v>
      </c>
      <c r="Y68" s="137">
        <v>57.3</v>
      </c>
      <c r="AD68" s="136"/>
      <c r="AG68" s="137"/>
      <c r="AL68" s="136"/>
      <c r="AO68" s="137"/>
      <c r="AP68" s="136"/>
      <c r="AS68" s="137"/>
      <c r="AW68" s="137"/>
      <c r="BA68" s="138"/>
    </row>
    <row r="69" spans="1:53" s="73" customFormat="1">
      <c r="A69" s="73">
        <v>1990</v>
      </c>
      <c r="B69" s="852"/>
      <c r="C69" s="901" t="s">
        <v>236</v>
      </c>
      <c r="D69" s="901"/>
      <c r="E69" s="73">
        <v>0</v>
      </c>
      <c r="G69" s="119">
        <v>22</v>
      </c>
      <c r="J69" s="126">
        <v>22</v>
      </c>
      <c r="K69" s="92">
        <v>100</v>
      </c>
      <c r="L69" s="92">
        <v>0</v>
      </c>
      <c r="M69" s="92">
        <v>0</v>
      </c>
      <c r="N69" s="121">
        <f t="shared" si="3"/>
        <v>100</v>
      </c>
      <c r="O69" s="91">
        <v>57.3</v>
      </c>
      <c r="P69" s="92"/>
      <c r="Q69" s="92"/>
      <c r="R69" s="93">
        <f t="shared" si="4"/>
        <v>57.3</v>
      </c>
      <c r="S69" s="97">
        <v>1</v>
      </c>
      <c r="T69" s="839"/>
      <c r="U69" s="852"/>
      <c r="V69" s="82" t="s">
        <v>101</v>
      </c>
      <c r="W69" s="73" t="s">
        <v>74</v>
      </c>
      <c r="X69" s="73" t="s">
        <v>11</v>
      </c>
      <c r="Y69" s="83">
        <v>57.3</v>
      </c>
      <c r="AD69" s="82"/>
      <c r="AG69" s="83"/>
      <c r="AL69" s="82"/>
      <c r="AO69" s="83"/>
      <c r="AP69" s="82"/>
      <c r="AS69" s="83"/>
      <c r="AW69" s="83"/>
      <c r="BA69" s="84"/>
    </row>
    <row r="70" spans="1:53" s="73" customFormat="1">
      <c r="A70" s="73">
        <v>1990</v>
      </c>
      <c r="B70" s="852"/>
      <c r="C70" s="901" t="s">
        <v>236</v>
      </c>
      <c r="D70" s="901"/>
      <c r="E70" s="73">
        <f>365-E69</f>
        <v>365</v>
      </c>
      <c r="G70" s="119">
        <v>22</v>
      </c>
      <c r="J70" s="126">
        <v>22</v>
      </c>
      <c r="K70" s="92">
        <v>100</v>
      </c>
      <c r="L70" s="92">
        <v>0</v>
      </c>
      <c r="M70" s="92">
        <v>0</v>
      </c>
      <c r="N70" s="121">
        <f t="shared" si="3"/>
        <v>100</v>
      </c>
      <c r="O70" s="91">
        <v>57.3</v>
      </c>
      <c r="P70" s="92"/>
      <c r="Q70" s="92"/>
      <c r="R70" s="93">
        <f t="shared" si="4"/>
        <v>57.3</v>
      </c>
      <c r="S70" s="97">
        <v>1</v>
      </c>
      <c r="T70" s="839"/>
      <c r="U70" s="852"/>
      <c r="V70" s="82" t="s">
        <v>101</v>
      </c>
      <c r="W70" s="73" t="s">
        <v>74</v>
      </c>
      <c r="X70" s="73" t="s">
        <v>11</v>
      </c>
      <c r="Y70" s="83">
        <v>57.3</v>
      </c>
      <c r="AD70" s="82"/>
      <c r="AG70" s="83"/>
      <c r="AL70" s="82"/>
      <c r="AO70" s="83"/>
      <c r="AP70" s="82"/>
      <c r="AS70" s="83"/>
      <c r="AW70" s="83"/>
      <c r="BA70" s="84"/>
    </row>
    <row r="71" spans="1:53" s="73" customFormat="1">
      <c r="A71" s="73">
        <v>1991</v>
      </c>
      <c r="B71" s="852"/>
      <c r="C71" s="901" t="s">
        <v>236</v>
      </c>
      <c r="D71" s="901"/>
      <c r="E71" s="73">
        <v>0</v>
      </c>
      <c r="G71" s="119">
        <v>22</v>
      </c>
      <c r="J71" s="126">
        <v>22</v>
      </c>
      <c r="K71" s="92">
        <f>G71/J71*100</f>
        <v>100</v>
      </c>
      <c r="L71" s="92">
        <f>H71/J71*100</f>
        <v>0</v>
      </c>
      <c r="M71" s="92">
        <f>I71/J71*100</f>
        <v>0</v>
      </c>
      <c r="N71" s="121">
        <f t="shared" si="3"/>
        <v>100</v>
      </c>
      <c r="O71" s="91">
        <v>57.3</v>
      </c>
      <c r="P71" s="92"/>
      <c r="Q71" s="92"/>
      <c r="R71" s="93">
        <f t="shared" si="4"/>
        <v>57.3</v>
      </c>
      <c r="S71" s="97">
        <v>1</v>
      </c>
      <c r="T71" s="839"/>
      <c r="U71" s="852"/>
      <c r="V71" s="82" t="s">
        <v>101</v>
      </c>
      <c r="W71" s="73" t="s">
        <v>74</v>
      </c>
      <c r="X71" s="73" t="s">
        <v>11</v>
      </c>
      <c r="Y71" s="83">
        <v>57.3</v>
      </c>
      <c r="AD71" s="82"/>
      <c r="AG71" s="83"/>
      <c r="AL71" s="82"/>
      <c r="AO71" s="83"/>
      <c r="AP71" s="82"/>
      <c r="AS71" s="83"/>
      <c r="AW71" s="83"/>
      <c r="BA71" s="84"/>
    </row>
    <row r="72" spans="1:53" s="73" customFormat="1">
      <c r="A72" s="73">
        <v>1991</v>
      </c>
      <c r="B72" s="852"/>
      <c r="C72" s="901" t="s">
        <v>236</v>
      </c>
      <c r="D72" s="901"/>
      <c r="E72" s="73">
        <f>365-E71</f>
        <v>365</v>
      </c>
      <c r="G72" s="119">
        <v>22</v>
      </c>
      <c r="J72" s="126">
        <v>22</v>
      </c>
      <c r="K72" s="92">
        <f>G72/J72*100</f>
        <v>100</v>
      </c>
      <c r="L72" s="92">
        <f>H72/J72*100</f>
        <v>0</v>
      </c>
      <c r="M72" s="92">
        <f>I72/J72*100</f>
        <v>0</v>
      </c>
      <c r="N72" s="121">
        <f t="shared" si="3"/>
        <v>100</v>
      </c>
      <c r="O72" s="91">
        <v>57.3</v>
      </c>
      <c r="P72" s="92"/>
      <c r="Q72" s="92"/>
      <c r="R72" s="93">
        <f t="shared" si="4"/>
        <v>57.3</v>
      </c>
      <c r="S72" s="97">
        <v>1</v>
      </c>
      <c r="T72" s="839"/>
      <c r="U72" s="852"/>
      <c r="V72" s="82" t="s">
        <v>101</v>
      </c>
      <c r="W72" s="73" t="s">
        <v>74</v>
      </c>
      <c r="X72" s="73" t="s">
        <v>11</v>
      </c>
      <c r="Y72" s="83">
        <v>57.3</v>
      </c>
      <c r="AD72" s="82"/>
      <c r="AG72" s="83"/>
      <c r="AL72" s="82"/>
      <c r="AO72" s="83"/>
      <c r="AP72" s="82"/>
      <c r="AS72" s="83"/>
      <c r="AW72" s="83"/>
      <c r="BA72" s="84"/>
    </row>
    <row r="73" spans="1:53" s="73" customFormat="1">
      <c r="A73" s="73">
        <v>1992</v>
      </c>
      <c r="B73" s="852"/>
      <c r="C73" s="901" t="s">
        <v>236</v>
      </c>
      <c r="D73" s="901"/>
      <c r="E73" s="73">
        <v>0</v>
      </c>
      <c r="G73" s="119">
        <v>22</v>
      </c>
      <c r="J73" s="126">
        <v>22</v>
      </c>
      <c r="K73" s="92">
        <f>G73/J73*100</f>
        <v>100</v>
      </c>
      <c r="L73" s="92">
        <f>H73/J73*100</f>
        <v>0</v>
      </c>
      <c r="M73" s="92">
        <f>I73/J73*100</f>
        <v>0</v>
      </c>
      <c r="N73" s="121">
        <f t="shared" ref="N73:N117" si="26">SUM(K73:M73)</f>
        <v>100</v>
      </c>
      <c r="O73" s="91">
        <v>57.3</v>
      </c>
      <c r="P73" s="92"/>
      <c r="Q73" s="92"/>
      <c r="R73" s="93">
        <f t="shared" ref="R73:R117" si="27">SUM(O73:Q73)</f>
        <v>57.3</v>
      </c>
      <c r="S73" s="97">
        <v>1</v>
      </c>
      <c r="T73" s="839"/>
      <c r="U73" s="852"/>
      <c r="V73" s="82" t="s">
        <v>101</v>
      </c>
      <c r="W73" s="73" t="s">
        <v>74</v>
      </c>
      <c r="X73" s="73" t="s">
        <v>11</v>
      </c>
      <c r="Y73" s="83">
        <v>57.3</v>
      </c>
      <c r="AD73" s="82"/>
      <c r="AG73" s="83"/>
      <c r="AL73" s="82"/>
      <c r="AO73" s="83"/>
      <c r="AP73" s="82"/>
      <c r="AS73" s="83"/>
      <c r="AW73" s="83"/>
      <c r="BA73" s="84"/>
    </row>
    <row r="74" spans="1:53" s="73" customFormat="1">
      <c r="A74" s="73">
        <v>1992</v>
      </c>
      <c r="B74" s="852"/>
      <c r="C74" s="901" t="s">
        <v>236</v>
      </c>
      <c r="D74" s="901"/>
      <c r="E74" s="73">
        <v>366</v>
      </c>
      <c r="G74" s="119">
        <v>22</v>
      </c>
      <c r="J74" s="126">
        <v>22</v>
      </c>
      <c r="K74" s="92">
        <f>G74/J74*100</f>
        <v>100</v>
      </c>
      <c r="L74" s="92">
        <f>H74/J74*100</f>
        <v>0</v>
      </c>
      <c r="M74" s="92">
        <f>I74/J74*100</f>
        <v>0</v>
      </c>
      <c r="N74" s="121">
        <f t="shared" si="26"/>
        <v>100</v>
      </c>
      <c r="O74" s="91">
        <v>57.3</v>
      </c>
      <c r="P74" s="92"/>
      <c r="Q74" s="92"/>
      <c r="R74" s="93">
        <f t="shared" si="27"/>
        <v>57.3</v>
      </c>
      <c r="S74" s="97">
        <v>1</v>
      </c>
      <c r="T74" s="839"/>
      <c r="U74" s="852"/>
      <c r="V74" s="82" t="s">
        <v>101</v>
      </c>
      <c r="W74" s="73" t="s">
        <v>74</v>
      </c>
      <c r="X74" s="73" t="s">
        <v>11</v>
      </c>
      <c r="Y74" s="83">
        <v>57.3</v>
      </c>
      <c r="AD74" s="82"/>
      <c r="AG74" s="83"/>
      <c r="AL74" s="82"/>
      <c r="AO74" s="83"/>
      <c r="AP74" s="82"/>
      <c r="AS74" s="83"/>
      <c r="AW74" s="83"/>
      <c r="BA74" s="84"/>
    </row>
    <row r="75" spans="1:53" s="73" customFormat="1">
      <c r="A75" s="73">
        <v>1993</v>
      </c>
      <c r="B75" s="852"/>
      <c r="C75" s="901" t="s">
        <v>236</v>
      </c>
      <c r="D75" s="901"/>
      <c r="E75" s="73">
        <v>175</v>
      </c>
      <c r="G75" s="119">
        <v>22</v>
      </c>
      <c r="J75" s="126">
        <v>22</v>
      </c>
      <c r="K75" s="92">
        <f>G75/J75*100</f>
        <v>100</v>
      </c>
      <c r="L75" s="92">
        <f>H75/J75*100</f>
        <v>0</v>
      </c>
      <c r="M75" s="92">
        <f>I75/J75*100</f>
        <v>0</v>
      </c>
      <c r="N75" s="121">
        <f t="shared" si="26"/>
        <v>100</v>
      </c>
      <c r="O75" s="91">
        <v>57.3</v>
      </c>
      <c r="P75" s="92"/>
      <c r="Q75" s="92"/>
      <c r="R75" s="93">
        <f>SUM(O75:Q75)</f>
        <v>57.3</v>
      </c>
      <c r="S75" s="97">
        <v>1</v>
      </c>
      <c r="T75" s="839"/>
      <c r="U75" s="852"/>
      <c r="V75" s="82" t="s">
        <v>101</v>
      </c>
      <c r="W75" s="73" t="s">
        <v>74</v>
      </c>
      <c r="X75" s="73" t="s">
        <v>11</v>
      </c>
      <c r="Y75" s="83">
        <v>57.3</v>
      </c>
      <c r="AD75" s="82"/>
      <c r="AG75" s="83"/>
      <c r="AL75" s="82"/>
      <c r="AO75" s="83"/>
      <c r="AP75" s="82"/>
      <c r="AS75" s="83"/>
      <c r="AW75" s="83"/>
      <c r="BA75" s="84"/>
    </row>
    <row r="76" spans="1:53" s="292" customFormat="1">
      <c r="A76" s="292">
        <v>1993</v>
      </c>
      <c r="B76" s="836">
        <v>34145</v>
      </c>
      <c r="C76" s="909" t="s">
        <v>237</v>
      </c>
      <c r="D76" s="909"/>
      <c r="E76" s="292">
        <v>132</v>
      </c>
      <c r="F76" s="292">
        <v>2</v>
      </c>
      <c r="G76" s="366">
        <v>25</v>
      </c>
      <c r="J76" s="377">
        <v>25</v>
      </c>
      <c r="K76" s="336">
        <f t="shared" ref="K76:K99" si="28">G76/J76*100</f>
        <v>100</v>
      </c>
      <c r="L76" s="336">
        <f t="shared" ref="L76:L99" si="29">H76/J76*100</f>
        <v>0</v>
      </c>
      <c r="M76" s="336">
        <f t="shared" ref="M76:M99" si="30">I76/J76*100</f>
        <v>0</v>
      </c>
      <c r="N76" s="368">
        <f t="shared" si="26"/>
        <v>100</v>
      </c>
      <c r="O76" s="335">
        <v>57.3</v>
      </c>
      <c r="P76" s="336"/>
      <c r="Q76" s="336"/>
      <c r="R76" s="337">
        <f t="shared" si="27"/>
        <v>57.3</v>
      </c>
      <c r="S76" s="340">
        <v>1</v>
      </c>
      <c r="T76" s="838"/>
      <c r="U76" s="836"/>
      <c r="V76" s="299" t="s">
        <v>101</v>
      </c>
      <c r="W76" s="292" t="s">
        <v>74</v>
      </c>
      <c r="X76" s="292" t="s">
        <v>11</v>
      </c>
      <c r="Y76" s="300">
        <v>57.3</v>
      </c>
      <c r="AD76" s="299"/>
      <c r="AG76" s="300"/>
      <c r="AL76" s="299"/>
      <c r="AO76" s="300"/>
      <c r="AP76" s="299"/>
      <c r="AS76" s="300"/>
      <c r="AW76" s="300"/>
      <c r="BA76" s="301"/>
    </row>
    <row r="77" spans="1:53" s="73" customFormat="1">
      <c r="A77" s="73">
        <v>1993</v>
      </c>
      <c r="B77" s="852">
        <v>34277</v>
      </c>
      <c r="C77" s="917" t="s">
        <v>238</v>
      </c>
      <c r="D77" s="917"/>
      <c r="E77" s="73">
        <v>58</v>
      </c>
      <c r="F77" s="73">
        <v>1</v>
      </c>
      <c r="G77" s="119"/>
      <c r="H77" s="73">
        <v>23</v>
      </c>
      <c r="J77" s="126">
        <v>23</v>
      </c>
      <c r="K77" s="92">
        <f t="shared" si="28"/>
        <v>0</v>
      </c>
      <c r="L77" s="92">
        <f t="shared" si="29"/>
        <v>100</v>
      </c>
      <c r="M77" s="92">
        <f t="shared" si="30"/>
        <v>0</v>
      </c>
      <c r="N77" s="121">
        <f t="shared" si="26"/>
        <v>100</v>
      </c>
      <c r="O77" s="91"/>
      <c r="P77" s="92">
        <v>60</v>
      </c>
      <c r="Q77" s="92"/>
      <c r="R77" s="93">
        <f t="shared" si="27"/>
        <v>60</v>
      </c>
      <c r="S77" s="97">
        <v>1</v>
      </c>
      <c r="T77" s="839">
        <v>34267</v>
      </c>
      <c r="U77" s="852">
        <v>34277</v>
      </c>
      <c r="V77" s="82" t="s">
        <v>72</v>
      </c>
      <c r="W77" s="73" t="s">
        <v>22</v>
      </c>
      <c r="X77" s="73" t="s">
        <v>18</v>
      </c>
      <c r="Y77" s="83">
        <v>60</v>
      </c>
      <c r="AD77" s="82"/>
      <c r="AG77" s="83"/>
      <c r="AL77" s="82"/>
      <c r="AO77" s="83"/>
      <c r="AP77" s="82"/>
      <c r="AS77" s="83"/>
      <c r="AW77" s="83"/>
      <c r="BA77" s="84"/>
    </row>
    <row r="78" spans="1:53" s="73" customFormat="1">
      <c r="A78" s="73">
        <v>1994</v>
      </c>
      <c r="B78" s="852"/>
      <c r="C78" s="917" t="s">
        <v>238</v>
      </c>
      <c r="D78" s="917"/>
      <c r="E78" s="73">
        <v>0</v>
      </c>
      <c r="G78" s="119"/>
      <c r="H78" s="73">
        <v>23</v>
      </c>
      <c r="J78" s="126">
        <v>23</v>
      </c>
      <c r="K78" s="92">
        <f t="shared" si="28"/>
        <v>0</v>
      </c>
      <c r="L78" s="92">
        <f t="shared" si="29"/>
        <v>100</v>
      </c>
      <c r="M78" s="92">
        <f t="shared" si="30"/>
        <v>0</v>
      </c>
      <c r="N78" s="121">
        <f t="shared" si="26"/>
        <v>100</v>
      </c>
      <c r="O78" s="91"/>
      <c r="P78" s="92">
        <v>60</v>
      </c>
      <c r="Q78" s="92"/>
      <c r="R78" s="93">
        <f t="shared" si="27"/>
        <v>60</v>
      </c>
      <c r="S78" s="97">
        <v>1</v>
      </c>
      <c r="T78" s="839"/>
      <c r="U78" s="852"/>
      <c r="V78" s="82" t="s">
        <v>72</v>
      </c>
      <c r="W78" s="73" t="s">
        <v>22</v>
      </c>
      <c r="X78" s="73" t="s">
        <v>18</v>
      </c>
      <c r="Y78" s="83">
        <v>60</v>
      </c>
      <c r="AD78" s="82"/>
      <c r="AG78" s="83"/>
      <c r="AL78" s="82"/>
      <c r="AO78" s="83"/>
      <c r="AP78" s="82"/>
      <c r="AS78" s="83"/>
      <c r="AW78" s="83"/>
      <c r="BA78" s="84"/>
    </row>
    <row r="79" spans="1:53" s="73" customFormat="1">
      <c r="A79" s="73">
        <v>1994</v>
      </c>
      <c r="B79" s="852"/>
      <c r="C79" s="917" t="s">
        <v>238</v>
      </c>
      <c r="D79" s="917"/>
      <c r="E79" s="73">
        <f>365-E78</f>
        <v>365</v>
      </c>
      <c r="G79" s="119"/>
      <c r="H79" s="73">
        <v>23</v>
      </c>
      <c r="J79" s="126">
        <v>23</v>
      </c>
      <c r="K79" s="92">
        <f t="shared" si="28"/>
        <v>0</v>
      </c>
      <c r="L79" s="92">
        <f t="shared" si="29"/>
        <v>100</v>
      </c>
      <c r="M79" s="92">
        <f t="shared" si="30"/>
        <v>0</v>
      </c>
      <c r="N79" s="121">
        <f t="shared" si="26"/>
        <v>100</v>
      </c>
      <c r="O79" s="91"/>
      <c r="P79" s="92">
        <v>60</v>
      </c>
      <c r="Q79" s="92"/>
      <c r="R79" s="93">
        <f t="shared" si="27"/>
        <v>60</v>
      </c>
      <c r="S79" s="97">
        <v>1</v>
      </c>
      <c r="T79" s="839"/>
      <c r="U79" s="852"/>
      <c r="V79" s="82" t="s">
        <v>72</v>
      </c>
      <c r="W79" s="73" t="s">
        <v>22</v>
      </c>
      <c r="X79" s="73" t="s">
        <v>18</v>
      </c>
      <c r="Y79" s="83">
        <v>60</v>
      </c>
      <c r="AD79" s="82"/>
      <c r="AG79" s="83"/>
      <c r="AL79" s="82"/>
      <c r="AO79" s="83"/>
      <c r="AP79" s="82"/>
      <c r="AS79" s="83"/>
      <c r="AW79" s="83"/>
      <c r="BA79" s="84"/>
    </row>
    <row r="80" spans="1:53" s="73" customFormat="1">
      <c r="A80" s="73">
        <v>1995</v>
      </c>
      <c r="B80" s="852"/>
      <c r="C80" s="917" t="s">
        <v>238</v>
      </c>
      <c r="D80" s="917"/>
      <c r="E80" s="73">
        <v>0</v>
      </c>
      <c r="G80" s="119"/>
      <c r="H80" s="73">
        <v>23</v>
      </c>
      <c r="J80" s="126">
        <v>23</v>
      </c>
      <c r="K80" s="92">
        <f t="shared" si="28"/>
        <v>0</v>
      </c>
      <c r="L80" s="92">
        <f t="shared" si="29"/>
        <v>100</v>
      </c>
      <c r="M80" s="92">
        <f t="shared" si="30"/>
        <v>0</v>
      </c>
      <c r="N80" s="121">
        <f t="shared" si="26"/>
        <v>100</v>
      </c>
      <c r="O80" s="91"/>
      <c r="P80" s="92">
        <v>60</v>
      </c>
      <c r="Q80" s="92"/>
      <c r="R80" s="93">
        <f t="shared" si="27"/>
        <v>60</v>
      </c>
      <c r="S80" s="97">
        <v>1</v>
      </c>
      <c r="T80" s="839"/>
      <c r="U80" s="852"/>
      <c r="V80" s="82" t="s">
        <v>72</v>
      </c>
      <c r="W80" s="73" t="s">
        <v>22</v>
      </c>
      <c r="X80" s="73" t="s">
        <v>18</v>
      </c>
      <c r="Y80" s="83">
        <v>60</v>
      </c>
      <c r="AD80" s="82"/>
      <c r="AG80" s="83"/>
      <c r="AL80" s="82"/>
      <c r="AO80" s="83"/>
      <c r="AP80" s="82"/>
      <c r="AS80" s="83"/>
      <c r="AW80" s="83"/>
      <c r="BA80" s="84"/>
    </row>
    <row r="81" spans="1:53" s="73" customFormat="1">
      <c r="A81" s="73">
        <v>1995</v>
      </c>
      <c r="B81" s="852"/>
      <c r="C81" s="917" t="s">
        <v>238</v>
      </c>
      <c r="D81" s="917"/>
      <c r="E81" s="73">
        <f>365-E80</f>
        <v>365</v>
      </c>
      <c r="G81" s="119"/>
      <c r="H81" s="73">
        <v>23</v>
      </c>
      <c r="J81" s="126">
        <v>23</v>
      </c>
      <c r="K81" s="92">
        <f t="shared" si="28"/>
        <v>0</v>
      </c>
      <c r="L81" s="92">
        <f t="shared" si="29"/>
        <v>100</v>
      </c>
      <c r="M81" s="92">
        <f t="shared" si="30"/>
        <v>0</v>
      </c>
      <c r="N81" s="121">
        <f t="shared" si="26"/>
        <v>100</v>
      </c>
      <c r="O81" s="91"/>
      <c r="P81" s="92">
        <v>60</v>
      </c>
      <c r="Q81" s="92"/>
      <c r="R81" s="93">
        <f t="shared" si="27"/>
        <v>60</v>
      </c>
      <c r="S81" s="97">
        <v>1</v>
      </c>
      <c r="T81" s="839"/>
      <c r="U81" s="852"/>
      <c r="V81" s="82" t="s">
        <v>72</v>
      </c>
      <c r="W81" s="73" t="s">
        <v>22</v>
      </c>
      <c r="X81" s="73" t="s">
        <v>18</v>
      </c>
      <c r="Y81" s="83">
        <v>60</v>
      </c>
      <c r="AD81" s="82"/>
      <c r="AG81" s="83"/>
      <c r="AL81" s="82"/>
      <c r="AO81" s="83"/>
      <c r="AP81" s="82"/>
      <c r="AS81" s="83"/>
      <c r="AW81" s="83"/>
      <c r="BA81" s="84"/>
    </row>
    <row r="82" spans="1:53" s="73" customFormat="1">
      <c r="A82" s="73">
        <v>1996</v>
      </c>
      <c r="B82" s="852"/>
      <c r="C82" s="917" t="s">
        <v>238</v>
      </c>
      <c r="D82" s="917"/>
      <c r="E82" s="73">
        <v>0</v>
      </c>
      <c r="G82" s="119"/>
      <c r="H82" s="73">
        <v>23</v>
      </c>
      <c r="J82" s="126">
        <v>23</v>
      </c>
      <c r="K82" s="92">
        <f t="shared" si="28"/>
        <v>0</v>
      </c>
      <c r="L82" s="92">
        <f t="shared" si="29"/>
        <v>100</v>
      </c>
      <c r="M82" s="92">
        <f t="shared" si="30"/>
        <v>0</v>
      </c>
      <c r="N82" s="121">
        <f t="shared" si="26"/>
        <v>100</v>
      </c>
      <c r="O82" s="91"/>
      <c r="P82" s="92">
        <v>60</v>
      </c>
      <c r="Q82" s="92"/>
      <c r="R82" s="93">
        <f t="shared" si="27"/>
        <v>60</v>
      </c>
      <c r="S82" s="97">
        <v>1</v>
      </c>
      <c r="T82" s="839"/>
      <c r="U82" s="852"/>
      <c r="V82" s="82" t="s">
        <v>72</v>
      </c>
      <c r="W82" s="73" t="s">
        <v>22</v>
      </c>
      <c r="X82" s="73" t="s">
        <v>18</v>
      </c>
      <c r="Y82" s="83">
        <v>60</v>
      </c>
      <c r="AD82" s="82"/>
      <c r="AG82" s="83"/>
      <c r="AL82" s="82"/>
      <c r="AO82" s="83"/>
      <c r="AP82" s="82"/>
      <c r="AS82" s="83"/>
      <c r="AW82" s="83"/>
      <c r="BA82" s="84"/>
    </row>
    <row r="83" spans="1:53" s="73" customFormat="1">
      <c r="A83" s="73">
        <v>1996</v>
      </c>
      <c r="B83" s="852"/>
      <c r="C83" s="917" t="s">
        <v>238</v>
      </c>
      <c r="D83" s="917"/>
      <c r="E83" s="73">
        <v>366</v>
      </c>
      <c r="G83" s="119"/>
      <c r="H83" s="73">
        <v>25</v>
      </c>
      <c r="J83" s="126">
        <v>25</v>
      </c>
      <c r="K83" s="92">
        <f t="shared" si="28"/>
        <v>0</v>
      </c>
      <c r="L83" s="92">
        <f t="shared" si="29"/>
        <v>100</v>
      </c>
      <c r="M83" s="92">
        <f t="shared" si="30"/>
        <v>0</v>
      </c>
      <c r="N83" s="121">
        <f t="shared" si="26"/>
        <v>100</v>
      </c>
      <c r="O83" s="91"/>
      <c r="P83" s="92">
        <v>60</v>
      </c>
      <c r="Q83" s="92"/>
      <c r="R83" s="93">
        <f t="shared" si="27"/>
        <v>60</v>
      </c>
      <c r="S83" s="97">
        <v>1</v>
      </c>
      <c r="T83" s="839"/>
      <c r="U83" s="852"/>
      <c r="V83" s="82" t="s">
        <v>72</v>
      </c>
      <c r="W83" s="73" t="s">
        <v>22</v>
      </c>
      <c r="X83" s="73" t="s">
        <v>18</v>
      </c>
      <c r="Y83" s="83">
        <v>60</v>
      </c>
      <c r="AD83" s="82"/>
      <c r="AG83" s="83"/>
      <c r="AL83" s="82"/>
      <c r="AO83" s="83"/>
      <c r="AP83" s="82"/>
      <c r="AS83" s="83"/>
      <c r="AW83" s="83"/>
      <c r="BA83" s="84"/>
    </row>
    <row r="84" spans="1:53" s="73" customFormat="1">
      <c r="A84" s="73">
        <v>1997</v>
      </c>
      <c r="B84" s="852"/>
      <c r="C84" s="917" t="s">
        <v>238</v>
      </c>
      <c r="D84" s="917"/>
      <c r="E84" s="73">
        <v>161</v>
      </c>
      <c r="G84" s="119"/>
      <c r="H84" s="73">
        <v>25</v>
      </c>
      <c r="J84" s="126">
        <v>25</v>
      </c>
      <c r="K84" s="92">
        <f t="shared" si="28"/>
        <v>0</v>
      </c>
      <c r="L84" s="92">
        <f t="shared" si="29"/>
        <v>100</v>
      </c>
      <c r="M84" s="92">
        <f t="shared" si="30"/>
        <v>0</v>
      </c>
      <c r="N84" s="121">
        <f t="shared" si="26"/>
        <v>100</v>
      </c>
      <c r="O84" s="91"/>
      <c r="P84" s="92">
        <v>60</v>
      </c>
      <c r="Q84" s="92"/>
      <c r="R84" s="93">
        <f t="shared" si="27"/>
        <v>60</v>
      </c>
      <c r="S84" s="97">
        <v>1</v>
      </c>
      <c r="T84" s="839"/>
      <c r="U84" s="852"/>
      <c r="V84" s="82" t="s">
        <v>72</v>
      </c>
      <c r="W84" s="73" t="s">
        <v>22</v>
      </c>
      <c r="X84" s="73" t="s">
        <v>18</v>
      </c>
      <c r="Y84" s="83">
        <v>60</v>
      </c>
      <c r="AD84" s="82"/>
      <c r="AG84" s="83"/>
      <c r="AL84" s="82"/>
      <c r="AO84" s="83"/>
      <c r="AP84" s="82"/>
      <c r="AS84" s="83"/>
      <c r="AW84" s="83"/>
      <c r="BA84" s="84"/>
    </row>
    <row r="85" spans="1:53" s="292" customFormat="1">
      <c r="A85" s="292">
        <v>1997</v>
      </c>
      <c r="B85" s="836">
        <v>35592</v>
      </c>
      <c r="C85" s="916" t="s">
        <v>239</v>
      </c>
      <c r="D85" s="916"/>
      <c r="E85" s="292">
        <v>204</v>
      </c>
      <c r="F85" s="292">
        <v>1</v>
      </c>
      <c r="G85" s="366"/>
      <c r="H85" s="292">
        <v>28</v>
      </c>
      <c r="J85" s="377">
        <v>28</v>
      </c>
      <c r="K85" s="336">
        <f t="shared" si="28"/>
        <v>0</v>
      </c>
      <c r="L85" s="336">
        <f t="shared" si="29"/>
        <v>100</v>
      </c>
      <c r="M85" s="336">
        <f t="shared" si="30"/>
        <v>0</v>
      </c>
      <c r="N85" s="368">
        <f t="shared" si="26"/>
        <v>100</v>
      </c>
      <c r="O85" s="335"/>
      <c r="P85" s="336">
        <v>51.5</v>
      </c>
      <c r="Q85" s="336"/>
      <c r="R85" s="337">
        <f t="shared" si="27"/>
        <v>51.5</v>
      </c>
      <c r="S85" s="340">
        <v>1</v>
      </c>
      <c r="T85" s="838">
        <v>35583</v>
      </c>
      <c r="U85" s="836">
        <v>35592</v>
      </c>
      <c r="V85" s="299" t="s">
        <v>72</v>
      </c>
      <c r="W85" s="292" t="s">
        <v>22</v>
      </c>
      <c r="X85" s="292" t="s">
        <v>18</v>
      </c>
      <c r="Y85" s="300">
        <v>51.5</v>
      </c>
      <c r="AD85" s="299"/>
      <c r="AG85" s="300"/>
      <c r="AL85" s="299"/>
      <c r="AO85" s="300"/>
      <c r="AP85" s="299"/>
      <c r="AS85" s="300"/>
      <c r="AW85" s="300"/>
      <c r="BA85" s="301"/>
    </row>
    <row r="86" spans="1:53" s="292" customFormat="1">
      <c r="A86" s="292">
        <v>1998</v>
      </c>
      <c r="B86" s="836"/>
      <c r="C86" s="916" t="s">
        <v>239</v>
      </c>
      <c r="D86" s="916"/>
      <c r="E86" s="292">
        <v>0</v>
      </c>
      <c r="G86" s="366"/>
      <c r="H86" s="292">
        <v>28</v>
      </c>
      <c r="J86" s="377">
        <v>28</v>
      </c>
      <c r="K86" s="336">
        <f t="shared" si="28"/>
        <v>0</v>
      </c>
      <c r="L86" s="336">
        <f t="shared" si="29"/>
        <v>100</v>
      </c>
      <c r="M86" s="336">
        <f t="shared" si="30"/>
        <v>0</v>
      </c>
      <c r="N86" s="368">
        <f t="shared" si="26"/>
        <v>100</v>
      </c>
      <c r="O86" s="335"/>
      <c r="P86" s="336">
        <v>51.5</v>
      </c>
      <c r="Q86" s="336"/>
      <c r="R86" s="337">
        <f t="shared" si="27"/>
        <v>51.5</v>
      </c>
      <c r="S86" s="340">
        <v>1</v>
      </c>
      <c r="T86" s="838"/>
      <c r="U86" s="836"/>
      <c r="V86" s="299" t="s">
        <v>72</v>
      </c>
      <c r="W86" s="292" t="s">
        <v>22</v>
      </c>
      <c r="X86" s="292" t="s">
        <v>18</v>
      </c>
      <c r="Y86" s="300">
        <v>51.5</v>
      </c>
      <c r="AD86" s="299"/>
      <c r="AG86" s="300"/>
      <c r="AL86" s="299"/>
      <c r="AO86" s="300"/>
      <c r="AP86" s="299"/>
      <c r="AS86" s="300"/>
      <c r="AW86" s="300"/>
      <c r="BA86" s="301"/>
    </row>
    <row r="87" spans="1:53" s="292" customFormat="1">
      <c r="A87" s="292">
        <v>1998</v>
      </c>
      <c r="B87" s="836"/>
      <c r="C87" s="916" t="s">
        <v>239</v>
      </c>
      <c r="D87" s="916"/>
      <c r="E87" s="292">
        <f>365-E86</f>
        <v>365</v>
      </c>
      <c r="G87" s="366"/>
      <c r="H87" s="292">
        <v>28</v>
      </c>
      <c r="J87" s="377">
        <v>28</v>
      </c>
      <c r="K87" s="336">
        <f t="shared" si="28"/>
        <v>0</v>
      </c>
      <c r="L87" s="336">
        <f t="shared" si="29"/>
        <v>100</v>
      </c>
      <c r="M87" s="336">
        <f t="shared" si="30"/>
        <v>0</v>
      </c>
      <c r="N87" s="368">
        <f t="shared" si="26"/>
        <v>100</v>
      </c>
      <c r="O87" s="335"/>
      <c r="P87" s="336">
        <v>51.5</v>
      </c>
      <c r="Q87" s="336"/>
      <c r="R87" s="337">
        <f t="shared" si="27"/>
        <v>51.5</v>
      </c>
      <c r="S87" s="340">
        <v>1</v>
      </c>
      <c r="T87" s="838"/>
      <c r="U87" s="836"/>
      <c r="V87" s="299" t="s">
        <v>72</v>
      </c>
      <c r="W87" s="292" t="s">
        <v>22</v>
      </c>
      <c r="X87" s="292" t="s">
        <v>18</v>
      </c>
      <c r="Y87" s="300">
        <v>51.5</v>
      </c>
      <c r="AD87" s="299"/>
      <c r="AG87" s="300"/>
      <c r="AL87" s="299"/>
      <c r="AO87" s="300"/>
      <c r="AP87" s="299"/>
      <c r="AS87" s="300"/>
      <c r="AW87" s="300"/>
      <c r="BA87" s="301"/>
    </row>
    <row r="88" spans="1:53" s="292" customFormat="1">
      <c r="A88" s="292">
        <v>1999</v>
      </c>
      <c r="B88" s="836"/>
      <c r="C88" s="916" t="s">
        <v>239</v>
      </c>
      <c r="D88" s="916"/>
      <c r="E88" s="292">
        <v>0</v>
      </c>
      <c r="G88" s="366"/>
      <c r="H88" s="292">
        <v>28</v>
      </c>
      <c r="J88" s="377">
        <v>28</v>
      </c>
      <c r="K88" s="336">
        <f t="shared" si="28"/>
        <v>0</v>
      </c>
      <c r="L88" s="336">
        <f t="shared" si="29"/>
        <v>100</v>
      </c>
      <c r="M88" s="336">
        <f t="shared" si="30"/>
        <v>0</v>
      </c>
      <c r="N88" s="368">
        <f t="shared" si="26"/>
        <v>100</v>
      </c>
      <c r="O88" s="335"/>
      <c r="P88" s="336">
        <v>51.5</v>
      </c>
      <c r="Q88" s="336"/>
      <c r="R88" s="337">
        <f t="shared" si="27"/>
        <v>51.5</v>
      </c>
      <c r="S88" s="340">
        <v>1</v>
      </c>
      <c r="T88" s="838"/>
      <c r="U88" s="836"/>
      <c r="V88" s="299" t="s">
        <v>72</v>
      </c>
      <c r="W88" s="292" t="s">
        <v>22</v>
      </c>
      <c r="X88" s="292" t="s">
        <v>18</v>
      </c>
      <c r="Y88" s="300">
        <v>51.5</v>
      </c>
      <c r="AD88" s="299"/>
      <c r="AG88" s="300"/>
      <c r="AL88" s="299"/>
      <c r="AO88" s="300"/>
      <c r="AP88" s="299"/>
      <c r="AS88" s="300"/>
      <c r="AW88" s="300"/>
      <c r="BA88" s="301"/>
    </row>
    <row r="89" spans="1:53" s="292" customFormat="1">
      <c r="A89" s="292">
        <v>1999</v>
      </c>
      <c r="B89" s="836"/>
      <c r="C89" s="916" t="s">
        <v>239</v>
      </c>
      <c r="D89" s="916"/>
      <c r="E89" s="292">
        <f>365-E88</f>
        <v>365</v>
      </c>
      <c r="G89" s="366"/>
      <c r="H89" s="292">
        <v>28</v>
      </c>
      <c r="J89" s="377">
        <v>28</v>
      </c>
      <c r="K89" s="336">
        <f t="shared" si="28"/>
        <v>0</v>
      </c>
      <c r="L89" s="336">
        <f t="shared" si="29"/>
        <v>100</v>
      </c>
      <c r="M89" s="336">
        <f t="shared" si="30"/>
        <v>0</v>
      </c>
      <c r="N89" s="368">
        <f t="shared" si="26"/>
        <v>100</v>
      </c>
      <c r="O89" s="335"/>
      <c r="P89" s="336">
        <v>51.5</v>
      </c>
      <c r="Q89" s="336"/>
      <c r="R89" s="337">
        <f t="shared" si="27"/>
        <v>51.5</v>
      </c>
      <c r="S89" s="340">
        <v>1</v>
      </c>
      <c r="T89" s="838"/>
      <c r="U89" s="836"/>
      <c r="V89" s="299" t="s">
        <v>72</v>
      </c>
      <c r="W89" s="292" t="s">
        <v>22</v>
      </c>
      <c r="X89" s="292" t="s">
        <v>18</v>
      </c>
      <c r="Y89" s="300">
        <v>51.5</v>
      </c>
      <c r="AD89" s="299"/>
      <c r="AG89" s="300"/>
      <c r="AL89" s="299"/>
      <c r="AO89" s="300"/>
      <c r="AP89" s="299"/>
      <c r="AS89" s="300"/>
      <c r="AW89" s="300"/>
      <c r="BA89" s="301"/>
    </row>
    <row r="90" spans="1:53" s="292" customFormat="1">
      <c r="A90" s="292">
        <v>2000</v>
      </c>
      <c r="B90" s="836"/>
      <c r="C90" s="916" t="s">
        <v>239</v>
      </c>
      <c r="D90" s="916"/>
      <c r="E90" s="292">
        <v>331</v>
      </c>
      <c r="G90" s="366"/>
      <c r="H90" s="292">
        <v>28</v>
      </c>
      <c r="J90" s="377">
        <v>28</v>
      </c>
      <c r="K90" s="336">
        <f t="shared" si="28"/>
        <v>0</v>
      </c>
      <c r="L90" s="336">
        <f t="shared" si="29"/>
        <v>100</v>
      </c>
      <c r="M90" s="336">
        <f t="shared" si="30"/>
        <v>0</v>
      </c>
      <c r="N90" s="368">
        <f t="shared" si="26"/>
        <v>100</v>
      </c>
      <c r="O90" s="335"/>
      <c r="P90" s="336">
        <v>51.5</v>
      </c>
      <c r="Q90" s="336"/>
      <c r="R90" s="337">
        <f t="shared" si="27"/>
        <v>51.5</v>
      </c>
      <c r="S90" s="340">
        <v>1</v>
      </c>
      <c r="T90" s="838"/>
      <c r="U90" s="836"/>
      <c r="V90" s="299" t="s">
        <v>72</v>
      </c>
      <c r="W90" s="292" t="s">
        <v>22</v>
      </c>
      <c r="X90" s="292" t="s">
        <v>18</v>
      </c>
      <c r="Y90" s="300">
        <v>51.5</v>
      </c>
      <c r="AD90" s="299"/>
      <c r="AG90" s="300"/>
      <c r="AL90" s="299"/>
      <c r="AO90" s="300"/>
      <c r="AP90" s="299"/>
      <c r="AS90" s="300"/>
      <c r="AW90" s="300"/>
      <c r="BA90" s="301"/>
    </row>
    <row r="91" spans="1:53" s="73" customFormat="1">
      <c r="A91" s="73">
        <v>2000</v>
      </c>
      <c r="B91" s="852">
        <v>36857</v>
      </c>
      <c r="C91" s="917" t="s">
        <v>240</v>
      </c>
      <c r="D91" s="917"/>
      <c r="E91" s="73">
        <v>35</v>
      </c>
      <c r="F91" s="73">
        <v>1</v>
      </c>
      <c r="G91" s="119"/>
      <c r="H91" s="73">
        <v>28</v>
      </c>
      <c r="J91" s="126">
        <v>28</v>
      </c>
      <c r="K91" s="92">
        <f t="shared" si="28"/>
        <v>0</v>
      </c>
      <c r="L91" s="92">
        <f t="shared" si="29"/>
        <v>100</v>
      </c>
      <c r="M91" s="92">
        <f t="shared" si="30"/>
        <v>0</v>
      </c>
      <c r="N91" s="121">
        <f t="shared" si="26"/>
        <v>100</v>
      </c>
      <c r="O91" s="91"/>
      <c r="P91" s="92">
        <v>57.1</v>
      </c>
      <c r="Q91" s="92"/>
      <c r="R91" s="93">
        <f t="shared" si="27"/>
        <v>57.1</v>
      </c>
      <c r="S91" s="97">
        <v>1</v>
      </c>
      <c r="T91" s="839">
        <v>36857</v>
      </c>
      <c r="U91" s="852">
        <v>36857</v>
      </c>
      <c r="V91" s="82" t="s">
        <v>72</v>
      </c>
      <c r="W91" s="73" t="s">
        <v>22</v>
      </c>
      <c r="X91" s="73" t="s">
        <v>18</v>
      </c>
      <c r="Y91" s="83">
        <v>57.1</v>
      </c>
      <c r="AD91" s="82"/>
      <c r="AG91" s="83"/>
      <c r="AL91" s="82"/>
      <c r="AO91" s="83"/>
      <c r="AP91" s="82"/>
      <c r="AS91" s="83"/>
      <c r="AW91" s="83"/>
      <c r="BA91" s="84"/>
    </row>
    <row r="92" spans="1:53" s="73" customFormat="1">
      <c r="A92" s="73">
        <v>2001</v>
      </c>
      <c r="B92" s="852"/>
      <c r="C92" s="917" t="s">
        <v>240</v>
      </c>
      <c r="D92" s="917"/>
      <c r="E92" s="73">
        <v>0</v>
      </c>
      <c r="G92" s="119"/>
      <c r="H92" s="73">
        <v>28</v>
      </c>
      <c r="J92" s="126">
        <v>28</v>
      </c>
      <c r="K92" s="92">
        <f t="shared" si="28"/>
        <v>0</v>
      </c>
      <c r="L92" s="92">
        <f t="shared" si="29"/>
        <v>100</v>
      </c>
      <c r="M92" s="92">
        <f t="shared" si="30"/>
        <v>0</v>
      </c>
      <c r="N92" s="121">
        <f t="shared" si="26"/>
        <v>100</v>
      </c>
      <c r="O92" s="91"/>
      <c r="P92" s="92">
        <v>57.1</v>
      </c>
      <c r="Q92" s="92"/>
      <c r="R92" s="93">
        <f t="shared" si="27"/>
        <v>57.1</v>
      </c>
      <c r="S92" s="97">
        <v>1</v>
      </c>
      <c r="T92" s="839"/>
      <c r="U92" s="852"/>
      <c r="V92" s="82" t="s">
        <v>72</v>
      </c>
      <c r="W92" s="73" t="s">
        <v>22</v>
      </c>
      <c r="X92" s="73" t="s">
        <v>18</v>
      </c>
      <c r="Y92" s="83">
        <v>57.1</v>
      </c>
      <c r="AD92" s="82"/>
      <c r="AG92" s="83"/>
      <c r="AL92" s="82"/>
      <c r="AO92" s="83"/>
      <c r="AP92" s="82"/>
      <c r="AS92" s="83"/>
      <c r="AW92" s="83"/>
      <c r="BA92" s="84"/>
    </row>
    <row r="93" spans="1:53" s="73" customFormat="1">
      <c r="A93" s="73">
        <v>2001</v>
      </c>
      <c r="B93" s="852"/>
      <c r="C93" s="917" t="s">
        <v>240</v>
      </c>
      <c r="D93" s="917"/>
      <c r="E93" s="73">
        <f>365-E92</f>
        <v>365</v>
      </c>
      <c r="G93" s="119"/>
      <c r="H93" s="73">
        <v>28</v>
      </c>
      <c r="J93" s="126">
        <v>28</v>
      </c>
      <c r="K93" s="92">
        <f t="shared" si="28"/>
        <v>0</v>
      </c>
      <c r="L93" s="92">
        <f t="shared" si="29"/>
        <v>100</v>
      </c>
      <c r="M93" s="92">
        <f t="shared" si="30"/>
        <v>0</v>
      </c>
      <c r="N93" s="121">
        <f t="shared" si="26"/>
        <v>100</v>
      </c>
      <c r="O93" s="91"/>
      <c r="P93" s="92">
        <v>57.1</v>
      </c>
      <c r="Q93" s="92"/>
      <c r="R93" s="93">
        <f t="shared" si="27"/>
        <v>57.1</v>
      </c>
      <c r="S93" s="97">
        <v>1</v>
      </c>
      <c r="T93" s="839"/>
      <c r="U93" s="852"/>
      <c r="V93" s="82" t="s">
        <v>72</v>
      </c>
      <c r="W93" s="73" t="s">
        <v>22</v>
      </c>
      <c r="X93" s="73" t="s">
        <v>18</v>
      </c>
      <c r="Y93" s="83">
        <v>57.1</v>
      </c>
      <c r="AD93" s="82"/>
      <c r="AG93" s="83"/>
      <c r="AL93" s="82"/>
      <c r="AO93" s="83"/>
      <c r="AP93" s="82"/>
      <c r="AS93" s="83"/>
      <c r="AW93" s="83"/>
      <c r="BA93" s="84"/>
    </row>
    <row r="94" spans="1:53" s="73" customFormat="1">
      <c r="A94" s="73">
        <v>2002</v>
      </c>
      <c r="B94" s="852"/>
      <c r="C94" s="917" t="s">
        <v>240</v>
      </c>
      <c r="D94" s="917"/>
      <c r="E94" s="73">
        <v>0</v>
      </c>
      <c r="G94" s="119"/>
      <c r="H94" s="73">
        <v>28</v>
      </c>
      <c r="J94" s="126">
        <v>28</v>
      </c>
      <c r="K94" s="92">
        <f t="shared" si="28"/>
        <v>0</v>
      </c>
      <c r="L94" s="92">
        <f t="shared" si="29"/>
        <v>100</v>
      </c>
      <c r="M94" s="92">
        <f t="shared" si="30"/>
        <v>0</v>
      </c>
      <c r="N94" s="121">
        <f t="shared" si="26"/>
        <v>100</v>
      </c>
      <c r="O94" s="91"/>
      <c r="P94" s="92">
        <v>57.1</v>
      </c>
      <c r="Q94" s="92"/>
      <c r="R94" s="93">
        <f t="shared" si="27"/>
        <v>57.1</v>
      </c>
      <c r="S94" s="97">
        <v>1</v>
      </c>
      <c r="T94" s="839"/>
      <c r="U94" s="852"/>
      <c r="V94" s="82" t="s">
        <v>72</v>
      </c>
      <c r="W94" s="73" t="s">
        <v>22</v>
      </c>
      <c r="X94" s="73" t="s">
        <v>18</v>
      </c>
      <c r="Y94" s="83">
        <v>57.1</v>
      </c>
      <c r="AD94" s="82"/>
      <c r="AG94" s="83"/>
      <c r="AL94" s="82"/>
      <c r="AO94" s="83"/>
      <c r="AP94" s="82"/>
      <c r="AS94" s="83"/>
      <c r="AW94" s="83"/>
      <c r="BA94" s="84"/>
    </row>
    <row r="95" spans="1:53" s="73" customFormat="1">
      <c r="A95" s="73">
        <v>2002</v>
      </c>
      <c r="B95" s="852"/>
      <c r="C95" s="917" t="s">
        <v>240</v>
      </c>
      <c r="D95" s="917"/>
      <c r="E95" s="73">
        <f>365-E94</f>
        <v>365</v>
      </c>
      <c r="G95" s="119"/>
      <c r="H95" s="73">
        <v>28</v>
      </c>
      <c r="J95" s="126">
        <v>28</v>
      </c>
      <c r="K95" s="92">
        <f t="shared" si="28"/>
        <v>0</v>
      </c>
      <c r="L95" s="92">
        <f t="shared" si="29"/>
        <v>100</v>
      </c>
      <c r="M95" s="92">
        <f t="shared" si="30"/>
        <v>0</v>
      </c>
      <c r="N95" s="121">
        <f t="shared" si="26"/>
        <v>100</v>
      </c>
      <c r="O95" s="91"/>
      <c r="P95" s="92">
        <v>57.1</v>
      </c>
      <c r="Q95" s="92"/>
      <c r="R95" s="93">
        <f t="shared" si="27"/>
        <v>57.1</v>
      </c>
      <c r="S95" s="97">
        <v>1</v>
      </c>
      <c r="T95" s="839"/>
      <c r="U95" s="852"/>
      <c r="V95" s="82" t="s">
        <v>72</v>
      </c>
      <c r="W95" s="73" t="s">
        <v>22</v>
      </c>
      <c r="X95" s="73" t="s">
        <v>18</v>
      </c>
      <c r="Y95" s="83">
        <v>57.1</v>
      </c>
      <c r="AD95" s="82"/>
      <c r="AG95" s="83"/>
      <c r="AL95" s="82"/>
      <c r="AO95" s="83"/>
      <c r="AP95" s="82"/>
      <c r="AS95" s="83"/>
      <c r="AW95" s="83"/>
      <c r="BA95" s="84"/>
    </row>
    <row r="96" spans="1:53" s="73" customFormat="1">
      <c r="A96" s="73">
        <v>2003</v>
      </c>
      <c r="B96" s="852"/>
      <c r="C96" s="917" t="s">
        <v>240</v>
      </c>
      <c r="D96" s="917"/>
      <c r="E96" s="73">
        <v>345</v>
      </c>
      <c r="G96" s="119"/>
      <c r="H96" s="73">
        <v>28</v>
      </c>
      <c r="J96" s="126">
        <v>28</v>
      </c>
      <c r="K96" s="92">
        <f t="shared" si="28"/>
        <v>0</v>
      </c>
      <c r="L96" s="92">
        <f t="shared" si="29"/>
        <v>100</v>
      </c>
      <c r="M96" s="92">
        <f t="shared" si="30"/>
        <v>0</v>
      </c>
      <c r="N96" s="121">
        <f t="shared" si="26"/>
        <v>100</v>
      </c>
      <c r="O96" s="91"/>
      <c r="P96" s="92">
        <v>57.1</v>
      </c>
      <c r="Q96" s="92"/>
      <c r="R96" s="93">
        <f t="shared" si="27"/>
        <v>57.1</v>
      </c>
      <c r="S96" s="97">
        <v>1</v>
      </c>
      <c r="T96" s="839"/>
      <c r="U96" s="852"/>
      <c r="V96" s="82" t="s">
        <v>72</v>
      </c>
      <c r="W96" s="73" t="s">
        <v>22</v>
      </c>
      <c r="X96" s="73" t="s">
        <v>18</v>
      </c>
      <c r="Y96" s="83">
        <v>57.1</v>
      </c>
      <c r="AD96" s="82"/>
      <c r="AG96" s="83"/>
      <c r="AL96" s="82"/>
      <c r="AO96" s="83"/>
      <c r="AP96" s="82"/>
      <c r="AS96" s="83"/>
      <c r="AW96" s="83"/>
      <c r="BA96" s="84"/>
    </row>
    <row r="97" spans="1:53" s="292" customFormat="1">
      <c r="A97" s="292">
        <v>2003</v>
      </c>
      <c r="B97" s="836">
        <v>37967</v>
      </c>
      <c r="C97" s="916" t="s">
        <v>241</v>
      </c>
      <c r="D97" s="916"/>
      <c r="E97" s="292">
        <f>365-E96</f>
        <v>20</v>
      </c>
      <c r="F97" s="292">
        <v>2</v>
      </c>
      <c r="G97" s="366"/>
      <c r="H97" s="292">
        <v>28</v>
      </c>
      <c r="J97" s="377">
        <v>28</v>
      </c>
      <c r="K97" s="336">
        <f t="shared" si="28"/>
        <v>0</v>
      </c>
      <c r="L97" s="336">
        <f t="shared" si="29"/>
        <v>100</v>
      </c>
      <c r="M97" s="336">
        <f t="shared" si="30"/>
        <v>0</v>
      </c>
      <c r="N97" s="368">
        <f t="shared" si="26"/>
        <v>100</v>
      </c>
      <c r="O97" s="335"/>
      <c r="P97" s="336">
        <v>57.1</v>
      </c>
      <c r="Q97" s="336"/>
      <c r="R97" s="337">
        <f t="shared" si="27"/>
        <v>57.1</v>
      </c>
      <c r="S97" s="340">
        <v>1</v>
      </c>
      <c r="T97" s="838"/>
      <c r="U97" s="836">
        <v>37967</v>
      </c>
      <c r="V97" s="299" t="s">
        <v>72</v>
      </c>
      <c r="W97" s="292" t="s">
        <v>22</v>
      </c>
      <c r="X97" s="292" t="s">
        <v>18</v>
      </c>
      <c r="Y97" s="300">
        <v>57.1</v>
      </c>
      <c r="AD97" s="299"/>
      <c r="AG97" s="300"/>
      <c r="AL97" s="299"/>
      <c r="AO97" s="300"/>
      <c r="AP97" s="299"/>
      <c r="AS97" s="300"/>
      <c r="AW97" s="300"/>
      <c r="BA97" s="301"/>
    </row>
    <row r="98" spans="1:53" s="292" customFormat="1">
      <c r="A98" s="292">
        <v>2004</v>
      </c>
      <c r="B98" s="836"/>
      <c r="C98" s="916" t="s">
        <v>241</v>
      </c>
      <c r="D98" s="916"/>
      <c r="E98" s="292">
        <v>201</v>
      </c>
      <c r="G98" s="366"/>
      <c r="H98" s="292">
        <v>28</v>
      </c>
      <c r="J98" s="377">
        <v>28</v>
      </c>
      <c r="K98" s="336">
        <f t="shared" si="28"/>
        <v>0</v>
      </c>
      <c r="L98" s="336">
        <f t="shared" si="29"/>
        <v>100</v>
      </c>
      <c r="M98" s="336">
        <f t="shared" si="30"/>
        <v>0</v>
      </c>
      <c r="N98" s="368">
        <f t="shared" si="26"/>
        <v>100</v>
      </c>
      <c r="O98" s="335"/>
      <c r="P98" s="336">
        <v>57.1</v>
      </c>
      <c r="Q98" s="336"/>
      <c r="R98" s="337">
        <f t="shared" si="27"/>
        <v>57.1</v>
      </c>
      <c r="S98" s="340">
        <v>1</v>
      </c>
      <c r="T98" s="838"/>
      <c r="U98" s="836"/>
      <c r="V98" s="299" t="s">
        <v>72</v>
      </c>
      <c r="W98" s="292" t="s">
        <v>22</v>
      </c>
      <c r="X98" s="292" t="s">
        <v>18</v>
      </c>
      <c r="Y98" s="300">
        <v>57.1</v>
      </c>
      <c r="AD98" s="299"/>
      <c r="AG98" s="300"/>
      <c r="AL98" s="299"/>
      <c r="AO98" s="300"/>
      <c r="AP98" s="299"/>
      <c r="AS98" s="300"/>
      <c r="AW98" s="300"/>
      <c r="BA98" s="301"/>
    </row>
    <row r="99" spans="1:53" s="73" customFormat="1">
      <c r="A99" s="73">
        <v>2004</v>
      </c>
      <c r="B99" s="852">
        <v>38188</v>
      </c>
      <c r="C99" s="917" t="s">
        <v>242</v>
      </c>
      <c r="D99" s="917"/>
      <c r="E99" s="73">
        <v>165</v>
      </c>
      <c r="F99" s="73">
        <v>1</v>
      </c>
      <c r="G99" s="119"/>
      <c r="H99" s="73">
        <v>39</v>
      </c>
      <c r="J99" s="126">
        <v>39</v>
      </c>
      <c r="K99" s="92">
        <f t="shared" si="28"/>
        <v>0</v>
      </c>
      <c r="L99" s="92">
        <f t="shared" si="29"/>
        <v>100</v>
      </c>
      <c r="M99" s="92">
        <f t="shared" si="30"/>
        <v>0</v>
      </c>
      <c r="N99" s="121">
        <f t="shared" si="26"/>
        <v>100</v>
      </c>
      <c r="O99" s="91"/>
      <c r="P99" s="92">
        <v>43.8</v>
      </c>
      <c r="Q99" s="92"/>
      <c r="R99" s="93">
        <f t="shared" si="27"/>
        <v>43.8</v>
      </c>
      <c r="S99" s="97">
        <v>4</v>
      </c>
      <c r="T99" s="839">
        <v>38166</v>
      </c>
      <c r="U99" s="852">
        <v>38188</v>
      </c>
      <c r="V99" s="82" t="s">
        <v>72</v>
      </c>
      <c r="W99" s="73" t="s">
        <v>22</v>
      </c>
      <c r="X99" s="73" t="s">
        <v>18</v>
      </c>
      <c r="Y99" s="83">
        <v>43.8</v>
      </c>
      <c r="AD99" s="82"/>
      <c r="AG99" s="83"/>
      <c r="AL99" s="82"/>
      <c r="AO99" s="83"/>
      <c r="AP99" s="82"/>
      <c r="AS99" s="83"/>
      <c r="AW99" s="83"/>
      <c r="BA99" s="84"/>
    </row>
    <row r="100" spans="1:53" s="73" customFormat="1">
      <c r="A100" s="73">
        <v>2005</v>
      </c>
      <c r="B100" s="852"/>
      <c r="C100" s="917" t="s">
        <v>242</v>
      </c>
      <c r="D100" s="917"/>
      <c r="E100" s="73">
        <v>0</v>
      </c>
      <c r="G100" s="119"/>
      <c r="H100" s="73">
        <v>39</v>
      </c>
      <c r="J100" s="126">
        <v>39</v>
      </c>
      <c r="K100" s="92">
        <f>G100/J100*100</f>
        <v>0</v>
      </c>
      <c r="L100" s="92">
        <f>H100/J100*100</f>
        <v>100</v>
      </c>
      <c r="M100" s="92">
        <f>I100/J100*100</f>
        <v>0</v>
      </c>
      <c r="N100" s="121">
        <f t="shared" si="26"/>
        <v>100</v>
      </c>
      <c r="O100" s="91"/>
      <c r="P100" s="92">
        <v>43.8</v>
      </c>
      <c r="Q100" s="92"/>
      <c r="R100" s="93">
        <f t="shared" si="27"/>
        <v>43.8</v>
      </c>
      <c r="S100" s="97">
        <v>4</v>
      </c>
      <c r="T100" s="839"/>
      <c r="U100" s="852"/>
      <c r="V100" s="82" t="s">
        <v>72</v>
      </c>
      <c r="W100" s="73" t="s">
        <v>22</v>
      </c>
      <c r="X100" s="73" t="s">
        <v>18</v>
      </c>
      <c r="Y100" s="83">
        <v>43.8</v>
      </c>
      <c r="AD100" s="82"/>
      <c r="AG100" s="83"/>
      <c r="AL100" s="82"/>
      <c r="AO100" s="83"/>
      <c r="AP100" s="82"/>
      <c r="AS100" s="83"/>
      <c r="AW100" s="83"/>
      <c r="BA100" s="84"/>
    </row>
    <row r="101" spans="1:53" s="73" customFormat="1">
      <c r="A101" s="73">
        <v>2005</v>
      </c>
      <c r="B101" s="852"/>
      <c r="C101" s="917" t="s">
        <v>242</v>
      </c>
      <c r="D101" s="917"/>
      <c r="E101" s="73">
        <f>365-E100</f>
        <v>365</v>
      </c>
      <c r="G101" s="119"/>
      <c r="H101" s="73">
        <v>39</v>
      </c>
      <c r="J101" s="126">
        <v>39</v>
      </c>
      <c r="K101" s="92">
        <f>G101/J101*100</f>
        <v>0</v>
      </c>
      <c r="L101" s="92">
        <f>H101/J101*100</f>
        <v>100</v>
      </c>
      <c r="M101" s="92">
        <f>I101/J101*100</f>
        <v>0</v>
      </c>
      <c r="N101" s="121">
        <f>SUM(K101:M101)</f>
        <v>100</v>
      </c>
      <c r="O101" s="91"/>
      <c r="P101" s="92">
        <v>43.8</v>
      </c>
      <c r="Q101" s="92"/>
      <c r="R101" s="93">
        <f t="shared" si="27"/>
        <v>43.8</v>
      </c>
      <c r="S101" s="97">
        <v>4</v>
      </c>
      <c r="T101" s="839"/>
      <c r="U101" s="852"/>
      <c r="V101" s="82" t="s">
        <v>72</v>
      </c>
      <c r="W101" s="73" t="s">
        <v>22</v>
      </c>
      <c r="X101" s="73" t="s">
        <v>18</v>
      </c>
      <c r="Y101" s="83">
        <v>43.8</v>
      </c>
      <c r="AD101" s="82"/>
      <c r="AG101" s="83"/>
      <c r="AL101" s="82"/>
      <c r="AO101" s="83"/>
      <c r="AP101" s="82"/>
      <c r="AS101" s="83"/>
      <c r="AW101" s="83"/>
      <c r="BA101" s="84"/>
    </row>
    <row r="102" spans="1:53" s="73" customFormat="1">
      <c r="A102" s="73">
        <v>2006</v>
      </c>
      <c r="B102" s="852"/>
      <c r="C102" s="917" t="s">
        <v>242</v>
      </c>
      <c r="D102" s="917"/>
      <c r="E102" s="73">
        <v>36</v>
      </c>
      <c r="G102" s="119"/>
      <c r="H102" s="73">
        <v>39</v>
      </c>
      <c r="J102" s="126">
        <v>39</v>
      </c>
      <c r="K102" s="92">
        <f>G102/J102*100</f>
        <v>0</v>
      </c>
      <c r="L102" s="92">
        <f>H102/J102*100</f>
        <v>100</v>
      </c>
      <c r="M102" s="92">
        <f>I102/J102*100</f>
        <v>0</v>
      </c>
      <c r="N102" s="121">
        <f t="shared" si="26"/>
        <v>100</v>
      </c>
      <c r="O102" s="91"/>
      <c r="P102" s="92">
        <v>43.8</v>
      </c>
      <c r="Q102" s="92"/>
      <c r="R102" s="93">
        <f t="shared" si="27"/>
        <v>43.8</v>
      </c>
      <c r="S102" s="97">
        <v>4</v>
      </c>
      <c r="T102" s="839"/>
      <c r="U102" s="852"/>
      <c r="V102" s="82" t="s">
        <v>72</v>
      </c>
      <c r="W102" s="73" t="s">
        <v>22</v>
      </c>
      <c r="X102" s="73" t="s">
        <v>18</v>
      </c>
      <c r="Y102" s="83">
        <v>43.8</v>
      </c>
      <c r="AD102" s="82"/>
      <c r="AG102" s="83"/>
      <c r="AL102" s="82"/>
      <c r="AO102" s="83"/>
      <c r="AP102" s="82"/>
      <c r="AS102" s="83"/>
      <c r="AW102" s="83"/>
      <c r="BA102" s="84"/>
    </row>
    <row r="103" spans="1:53" s="292" customFormat="1">
      <c r="A103" s="292">
        <v>2006</v>
      </c>
      <c r="B103" s="836">
        <v>38754</v>
      </c>
      <c r="C103" s="916" t="s">
        <v>243</v>
      </c>
      <c r="D103" s="916"/>
      <c r="E103" s="292">
        <f>365-E102</f>
        <v>329</v>
      </c>
      <c r="F103" s="292">
        <v>5</v>
      </c>
      <c r="G103" s="366">
        <v>27</v>
      </c>
      <c r="J103" s="377">
        <v>27</v>
      </c>
      <c r="K103" s="336">
        <f t="shared" ref="K103:K108" si="31">G103/J103*100</f>
        <v>100</v>
      </c>
      <c r="L103" s="336">
        <f t="shared" ref="L103:L111" si="32">H103/J103*100</f>
        <v>0</v>
      </c>
      <c r="M103" s="336">
        <f t="shared" ref="M103:M111" si="33">I103/J103*100</f>
        <v>0</v>
      </c>
      <c r="N103" s="368">
        <f t="shared" si="26"/>
        <v>100</v>
      </c>
      <c r="O103" s="335">
        <v>40.299999999999997</v>
      </c>
      <c r="P103" s="336"/>
      <c r="Q103" s="336"/>
      <c r="R103" s="337">
        <f t="shared" si="27"/>
        <v>40.299999999999997</v>
      </c>
      <c r="S103" s="340">
        <v>4</v>
      </c>
      <c r="T103" s="838">
        <v>38740</v>
      </c>
      <c r="U103" s="836">
        <v>38754</v>
      </c>
      <c r="V103" s="299" t="s">
        <v>101</v>
      </c>
      <c r="W103" s="292" t="s">
        <v>74</v>
      </c>
      <c r="X103" s="292" t="s">
        <v>11</v>
      </c>
      <c r="Y103" s="300">
        <v>40.299999999999997</v>
      </c>
      <c r="AD103" s="299"/>
      <c r="AG103" s="300"/>
      <c r="AL103" s="299"/>
      <c r="AO103" s="300"/>
      <c r="AP103" s="299"/>
      <c r="AS103" s="300"/>
      <c r="AW103" s="300"/>
      <c r="BA103" s="301"/>
    </row>
    <row r="104" spans="1:53" s="292" customFormat="1">
      <c r="A104" s="292">
        <v>2007</v>
      </c>
      <c r="B104" s="836"/>
      <c r="C104" s="916" t="s">
        <v>243</v>
      </c>
      <c r="D104" s="916"/>
      <c r="E104" s="292">
        <v>0</v>
      </c>
      <c r="G104" s="366">
        <v>27</v>
      </c>
      <c r="J104" s="377">
        <v>27</v>
      </c>
      <c r="K104" s="336">
        <f t="shared" si="31"/>
        <v>100</v>
      </c>
      <c r="L104" s="336">
        <f t="shared" si="32"/>
        <v>0</v>
      </c>
      <c r="M104" s="336">
        <f t="shared" si="33"/>
        <v>0</v>
      </c>
      <c r="N104" s="368">
        <f t="shared" si="26"/>
        <v>100</v>
      </c>
      <c r="O104" s="335">
        <v>40.299999999999997</v>
      </c>
      <c r="P104" s="336"/>
      <c r="Q104" s="336"/>
      <c r="R104" s="337">
        <f t="shared" si="27"/>
        <v>40.299999999999997</v>
      </c>
      <c r="S104" s="340">
        <v>4</v>
      </c>
      <c r="T104" s="838"/>
      <c r="U104" s="836"/>
      <c r="V104" s="299" t="s">
        <v>101</v>
      </c>
      <c r="W104" s="292" t="s">
        <v>74</v>
      </c>
      <c r="X104" s="292" t="s">
        <v>11</v>
      </c>
      <c r="Y104" s="300">
        <v>40.299999999999997</v>
      </c>
      <c r="AD104" s="299"/>
      <c r="AG104" s="300"/>
      <c r="AL104" s="299"/>
      <c r="AO104" s="300"/>
      <c r="AP104" s="299"/>
      <c r="AS104" s="300"/>
      <c r="AW104" s="300"/>
      <c r="BA104" s="301"/>
    </row>
    <row r="105" spans="1:53" s="292" customFormat="1">
      <c r="A105" s="292">
        <v>2007</v>
      </c>
      <c r="B105" s="836"/>
      <c r="C105" s="916" t="s">
        <v>243</v>
      </c>
      <c r="D105" s="916"/>
      <c r="E105" s="292">
        <f>365-E104</f>
        <v>365</v>
      </c>
      <c r="G105" s="366">
        <v>27</v>
      </c>
      <c r="J105" s="377">
        <v>27</v>
      </c>
      <c r="K105" s="336">
        <f t="shared" si="31"/>
        <v>100</v>
      </c>
      <c r="L105" s="336">
        <f t="shared" si="32"/>
        <v>0</v>
      </c>
      <c r="M105" s="336">
        <f t="shared" si="33"/>
        <v>0</v>
      </c>
      <c r="N105" s="368">
        <f t="shared" si="26"/>
        <v>100</v>
      </c>
      <c r="O105" s="335">
        <v>40.299999999999997</v>
      </c>
      <c r="P105" s="336"/>
      <c r="Q105" s="336"/>
      <c r="R105" s="337">
        <f t="shared" si="27"/>
        <v>40.299999999999997</v>
      </c>
      <c r="S105" s="340">
        <v>4</v>
      </c>
      <c r="T105" s="838"/>
      <c r="U105" s="836"/>
      <c r="V105" s="299" t="s">
        <v>101</v>
      </c>
      <c r="W105" s="292" t="s">
        <v>74</v>
      </c>
      <c r="X105" s="292" t="s">
        <v>11</v>
      </c>
      <c r="Y105" s="300">
        <v>40.299999999999997</v>
      </c>
      <c r="AD105" s="299"/>
      <c r="AG105" s="300"/>
      <c r="AL105" s="299"/>
      <c r="AO105" s="300"/>
      <c r="AP105" s="299"/>
      <c r="AS105" s="300"/>
      <c r="AW105" s="300"/>
      <c r="BA105" s="301"/>
    </row>
    <row r="106" spans="1:53" s="292" customFormat="1">
      <c r="A106" s="292">
        <v>2008</v>
      </c>
      <c r="B106" s="836"/>
      <c r="C106" s="916" t="s">
        <v>243</v>
      </c>
      <c r="D106" s="916"/>
      <c r="E106" s="292">
        <v>303</v>
      </c>
      <c r="G106" s="366">
        <v>27</v>
      </c>
      <c r="J106" s="377">
        <v>27</v>
      </c>
      <c r="K106" s="336">
        <f t="shared" si="31"/>
        <v>100</v>
      </c>
      <c r="L106" s="336">
        <f t="shared" si="32"/>
        <v>0</v>
      </c>
      <c r="M106" s="336">
        <f t="shared" si="33"/>
        <v>0</v>
      </c>
      <c r="N106" s="368">
        <f t="shared" si="26"/>
        <v>100</v>
      </c>
      <c r="O106" s="335">
        <v>40.299999999999997</v>
      </c>
      <c r="P106" s="336"/>
      <c r="Q106" s="336"/>
      <c r="R106" s="337">
        <f t="shared" si="27"/>
        <v>40.299999999999997</v>
      </c>
      <c r="S106" s="340">
        <v>4</v>
      </c>
      <c r="T106" s="838"/>
      <c r="U106" s="836"/>
      <c r="V106" s="299" t="s">
        <v>101</v>
      </c>
      <c r="W106" s="292" t="s">
        <v>74</v>
      </c>
      <c r="X106" s="292" t="s">
        <v>11</v>
      </c>
      <c r="Y106" s="300">
        <v>40.299999999999997</v>
      </c>
      <c r="AD106" s="299"/>
      <c r="AG106" s="300"/>
      <c r="AL106" s="299"/>
      <c r="AO106" s="300"/>
      <c r="AP106" s="299"/>
      <c r="AS106" s="300"/>
      <c r="AW106" s="300"/>
      <c r="BA106" s="301"/>
    </row>
    <row r="107" spans="1:53" s="73" customFormat="1">
      <c r="A107" s="73">
        <v>2008</v>
      </c>
      <c r="B107" s="852">
        <v>39751</v>
      </c>
      <c r="C107" s="917" t="s">
        <v>244</v>
      </c>
      <c r="D107" s="917"/>
      <c r="E107" s="73">
        <v>63</v>
      </c>
      <c r="F107" s="73">
        <v>1</v>
      </c>
      <c r="G107" s="119">
        <v>27</v>
      </c>
      <c r="J107" s="126">
        <v>27</v>
      </c>
      <c r="K107" s="92">
        <f t="shared" si="31"/>
        <v>100</v>
      </c>
      <c r="L107" s="92">
        <f t="shared" si="32"/>
        <v>0</v>
      </c>
      <c r="M107" s="92">
        <f t="shared" si="33"/>
        <v>0</v>
      </c>
      <c r="N107" s="121">
        <f t="shared" si="26"/>
        <v>100</v>
      </c>
      <c r="O107" s="91">
        <v>46.4</v>
      </c>
      <c r="P107" s="92"/>
      <c r="Q107" s="92"/>
      <c r="R107" s="93">
        <f t="shared" si="27"/>
        <v>46.4</v>
      </c>
      <c r="S107" s="97">
        <v>4</v>
      </c>
      <c r="T107" s="839">
        <v>39735</v>
      </c>
      <c r="U107" s="852">
        <v>39751</v>
      </c>
      <c r="V107" s="82" t="s">
        <v>101</v>
      </c>
      <c r="W107" s="73" t="s">
        <v>74</v>
      </c>
      <c r="X107" s="73" t="s">
        <v>11</v>
      </c>
      <c r="Y107" s="83">
        <v>46.4</v>
      </c>
      <c r="AD107" s="82"/>
      <c r="AG107" s="83"/>
      <c r="AL107" s="82"/>
      <c r="AO107" s="83"/>
      <c r="AP107" s="82"/>
      <c r="AS107" s="83"/>
      <c r="AW107" s="83"/>
      <c r="BA107" s="84"/>
    </row>
    <row r="108" spans="1:53" s="73" customFormat="1">
      <c r="A108" s="73">
        <v>2009</v>
      </c>
      <c r="B108" s="852"/>
      <c r="C108" s="917" t="s">
        <v>244</v>
      </c>
      <c r="D108" s="917"/>
      <c r="E108" s="73">
        <v>0</v>
      </c>
      <c r="G108" s="119">
        <v>27</v>
      </c>
      <c r="J108" s="126">
        <v>27</v>
      </c>
      <c r="K108" s="92">
        <f t="shared" si="31"/>
        <v>100</v>
      </c>
      <c r="L108" s="92">
        <f t="shared" si="32"/>
        <v>0</v>
      </c>
      <c r="M108" s="92">
        <f t="shared" si="33"/>
        <v>0</v>
      </c>
      <c r="N108" s="121">
        <f t="shared" si="26"/>
        <v>100</v>
      </c>
      <c r="O108" s="91">
        <v>46.4</v>
      </c>
      <c r="P108" s="92"/>
      <c r="Q108" s="92"/>
      <c r="R108" s="93">
        <f t="shared" si="27"/>
        <v>46.4</v>
      </c>
      <c r="S108" s="97">
        <v>4</v>
      </c>
      <c r="T108" s="839"/>
      <c r="U108" s="852"/>
      <c r="V108" s="82" t="s">
        <v>101</v>
      </c>
      <c r="W108" s="73" t="s">
        <v>74</v>
      </c>
      <c r="X108" s="73" t="s">
        <v>11</v>
      </c>
      <c r="Y108" s="83">
        <v>46.4</v>
      </c>
      <c r="AD108" s="82"/>
      <c r="AG108" s="83"/>
      <c r="AL108" s="82"/>
      <c r="AO108" s="83"/>
      <c r="AP108" s="82"/>
      <c r="AS108" s="83"/>
      <c r="AW108" s="83"/>
      <c r="BA108" s="84"/>
    </row>
    <row r="109" spans="1:53" s="73" customFormat="1">
      <c r="A109" s="73">
        <v>2009</v>
      </c>
      <c r="B109" s="852"/>
      <c r="C109" s="917" t="s">
        <v>244</v>
      </c>
      <c r="D109" s="917"/>
      <c r="E109" s="73">
        <v>365</v>
      </c>
      <c r="G109" s="119">
        <v>27</v>
      </c>
      <c r="J109" s="126">
        <v>27</v>
      </c>
      <c r="K109" s="92">
        <f t="shared" ref="K109:K117" si="34">G109/J109*100</f>
        <v>100</v>
      </c>
      <c r="L109" s="92">
        <f t="shared" si="32"/>
        <v>0</v>
      </c>
      <c r="M109" s="92">
        <f t="shared" si="33"/>
        <v>0</v>
      </c>
      <c r="N109" s="121">
        <f t="shared" si="26"/>
        <v>100</v>
      </c>
      <c r="O109" s="91">
        <v>46.4</v>
      </c>
      <c r="P109" s="92"/>
      <c r="Q109" s="92"/>
      <c r="R109" s="93">
        <f t="shared" si="27"/>
        <v>46.4</v>
      </c>
      <c r="S109" s="97">
        <v>4</v>
      </c>
      <c r="T109" s="839"/>
      <c r="U109" s="852"/>
      <c r="V109" s="82" t="s">
        <v>101</v>
      </c>
      <c r="W109" s="73" t="s">
        <v>74</v>
      </c>
      <c r="X109" s="73" t="s">
        <v>11</v>
      </c>
      <c r="Y109" s="83">
        <v>46.4</v>
      </c>
      <c r="AD109" s="82"/>
      <c r="AG109" s="83"/>
      <c r="AL109" s="82"/>
      <c r="AO109" s="83"/>
      <c r="AP109" s="82"/>
      <c r="AS109" s="83"/>
      <c r="AW109" s="83"/>
      <c r="BA109" s="84"/>
    </row>
    <row r="110" spans="1:53" s="73" customFormat="1">
      <c r="A110" s="73">
        <v>2010</v>
      </c>
      <c r="B110" s="852"/>
      <c r="C110" s="917" t="s">
        <v>244</v>
      </c>
      <c r="D110" s="917"/>
      <c r="E110" s="73">
        <v>0</v>
      </c>
      <c r="G110" s="119">
        <v>27</v>
      </c>
      <c r="J110" s="126">
        <v>27</v>
      </c>
      <c r="K110" s="92">
        <f t="shared" si="34"/>
        <v>100</v>
      </c>
      <c r="L110" s="92">
        <f t="shared" si="32"/>
        <v>0</v>
      </c>
      <c r="M110" s="92">
        <f t="shared" si="33"/>
        <v>0</v>
      </c>
      <c r="N110" s="121">
        <f t="shared" si="26"/>
        <v>100</v>
      </c>
      <c r="O110" s="91">
        <v>46.4</v>
      </c>
      <c r="P110" s="92"/>
      <c r="Q110" s="92"/>
      <c r="R110" s="93">
        <f t="shared" si="27"/>
        <v>46.4</v>
      </c>
      <c r="S110" s="97">
        <v>4</v>
      </c>
      <c r="T110" s="839"/>
      <c r="U110" s="852"/>
      <c r="V110" s="82" t="s">
        <v>101</v>
      </c>
      <c r="W110" s="73" t="s">
        <v>74</v>
      </c>
      <c r="X110" s="73" t="s">
        <v>11</v>
      </c>
      <c r="Y110" s="83">
        <v>46.4</v>
      </c>
      <c r="AD110" s="82"/>
      <c r="AG110" s="83"/>
      <c r="AL110" s="82"/>
      <c r="AO110" s="83"/>
      <c r="AP110" s="82"/>
      <c r="AS110" s="83"/>
      <c r="AW110" s="83"/>
      <c r="BA110" s="84"/>
    </row>
    <row r="111" spans="1:53" s="73" customFormat="1">
      <c r="A111" s="73">
        <v>2010</v>
      </c>
      <c r="B111" s="852"/>
      <c r="C111" s="917" t="s">
        <v>244</v>
      </c>
      <c r="D111" s="917"/>
      <c r="E111" s="73">
        <v>365</v>
      </c>
      <c r="G111" s="119">
        <v>27</v>
      </c>
      <c r="J111" s="126">
        <v>27</v>
      </c>
      <c r="K111" s="92">
        <f t="shared" si="34"/>
        <v>100</v>
      </c>
      <c r="L111" s="92">
        <f t="shared" si="32"/>
        <v>0</v>
      </c>
      <c r="M111" s="92">
        <f t="shared" si="33"/>
        <v>0</v>
      </c>
      <c r="N111" s="121">
        <f t="shared" si="26"/>
        <v>100</v>
      </c>
      <c r="O111" s="91">
        <v>46.4</v>
      </c>
      <c r="P111" s="92"/>
      <c r="Q111" s="92"/>
      <c r="R111" s="93">
        <f t="shared" si="27"/>
        <v>46.4</v>
      </c>
      <c r="S111" s="97">
        <v>4</v>
      </c>
      <c r="T111" s="839"/>
      <c r="U111" s="852"/>
      <c r="V111" s="82" t="s">
        <v>101</v>
      </c>
      <c r="W111" s="73" t="s">
        <v>74</v>
      </c>
      <c r="X111" s="73" t="s">
        <v>11</v>
      </c>
      <c r="Y111" s="83">
        <v>46.4</v>
      </c>
      <c r="AD111" s="82"/>
      <c r="AG111" s="83"/>
      <c r="AL111" s="82"/>
      <c r="AO111" s="83"/>
      <c r="AP111" s="82"/>
      <c r="AS111" s="83"/>
      <c r="AW111" s="83"/>
      <c r="BA111" s="84"/>
    </row>
    <row r="112" spans="1:53" s="73" customFormat="1">
      <c r="A112" s="73">
        <v>2011</v>
      </c>
      <c r="B112" s="852"/>
      <c r="C112" s="917" t="s">
        <v>244</v>
      </c>
      <c r="D112" s="917"/>
      <c r="E112" s="73">
        <v>137</v>
      </c>
      <c r="G112" s="119">
        <v>27</v>
      </c>
      <c r="J112" s="126">
        <v>27</v>
      </c>
      <c r="K112" s="92">
        <f t="shared" si="34"/>
        <v>100</v>
      </c>
      <c r="L112" s="92">
        <f t="shared" ref="L112:L117" si="35">H112/J112*100</f>
        <v>0</v>
      </c>
      <c r="M112" s="92">
        <f t="shared" ref="M112:M117" si="36">I112/J112*100</f>
        <v>0</v>
      </c>
      <c r="N112" s="121">
        <f t="shared" si="26"/>
        <v>100</v>
      </c>
      <c r="O112" s="91">
        <v>46.4</v>
      </c>
      <c r="P112" s="92"/>
      <c r="Q112" s="92"/>
      <c r="R112" s="93">
        <f t="shared" si="27"/>
        <v>46.4</v>
      </c>
      <c r="S112" s="97">
        <v>4</v>
      </c>
      <c r="T112" s="839"/>
      <c r="U112" s="852"/>
      <c r="V112" s="82" t="s">
        <v>101</v>
      </c>
      <c r="W112" s="73" t="s">
        <v>74</v>
      </c>
      <c r="X112" s="73" t="s">
        <v>11</v>
      </c>
      <c r="Y112" s="83">
        <v>46.4</v>
      </c>
      <c r="AD112" s="82"/>
      <c r="AG112" s="83"/>
      <c r="AL112" s="82"/>
      <c r="AO112" s="83"/>
      <c r="AP112" s="82"/>
      <c r="AS112" s="83"/>
      <c r="AW112" s="83"/>
      <c r="BA112" s="84"/>
    </row>
    <row r="113" spans="1:53" s="292" customFormat="1">
      <c r="A113" s="292">
        <v>2011</v>
      </c>
      <c r="B113" s="836">
        <v>40681</v>
      </c>
      <c r="C113" s="916" t="s">
        <v>245</v>
      </c>
      <c r="D113" s="916"/>
      <c r="E113" s="292">
        <v>228</v>
      </c>
      <c r="F113" s="292">
        <v>1</v>
      </c>
      <c r="G113" s="366">
        <v>27</v>
      </c>
      <c r="J113" s="377">
        <v>27</v>
      </c>
      <c r="K113" s="336">
        <f t="shared" si="34"/>
        <v>100</v>
      </c>
      <c r="L113" s="336">
        <f t="shared" si="35"/>
        <v>0</v>
      </c>
      <c r="M113" s="336">
        <f t="shared" si="36"/>
        <v>0</v>
      </c>
      <c r="N113" s="368">
        <f t="shared" si="26"/>
        <v>100</v>
      </c>
      <c r="O113" s="335">
        <v>53.9</v>
      </c>
      <c r="P113" s="336"/>
      <c r="Q113" s="336"/>
      <c r="R113" s="337">
        <f t="shared" si="27"/>
        <v>53.9</v>
      </c>
      <c r="S113" s="340">
        <v>1</v>
      </c>
      <c r="T113" s="838">
        <v>40665</v>
      </c>
      <c r="U113" s="836">
        <v>40681</v>
      </c>
      <c r="V113" s="299" t="s">
        <v>101</v>
      </c>
      <c r="W113" s="292" t="s">
        <v>74</v>
      </c>
      <c r="X113" s="292" t="s">
        <v>11</v>
      </c>
      <c r="Y113" s="300">
        <v>53.9</v>
      </c>
      <c r="AD113" s="299"/>
      <c r="AG113" s="300"/>
      <c r="AL113" s="299"/>
      <c r="AO113" s="300"/>
      <c r="AP113" s="299"/>
      <c r="AS113" s="300"/>
      <c r="AW113" s="300"/>
      <c r="BA113" s="301"/>
    </row>
    <row r="114" spans="1:53" s="292" customFormat="1">
      <c r="A114" s="292">
        <v>2012</v>
      </c>
      <c r="B114" s="836"/>
      <c r="C114" s="916" t="s">
        <v>245</v>
      </c>
      <c r="D114" s="916"/>
      <c r="E114" s="292">
        <v>0</v>
      </c>
      <c r="G114" s="366">
        <v>27</v>
      </c>
      <c r="J114" s="377">
        <v>27</v>
      </c>
      <c r="K114" s="336">
        <f t="shared" si="34"/>
        <v>100</v>
      </c>
      <c r="L114" s="336">
        <f t="shared" si="35"/>
        <v>0</v>
      </c>
      <c r="M114" s="336">
        <f t="shared" si="36"/>
        <v>0</v>
      </c>
      <c r="N114" s="368">
        <f t="shared" si="26"/>
        <v>100</v>
      </c>
      <c r="O114" s="335">
        <v>53.9</v>
      </c>
      <c r="P114" s="336"/>
      <c r="Q114" s="336"/>
      <c r="R114" s="337">
        <f t="shared" si="27"/>
        <v>53.9</v>
      </c>
      <c r="S114" s="340">
        <v>1</v>
      </c>
      <c r="T114" s="838"/>
      <c r="U114" s="836"/>
      <c r="V114" s="299" t="s">
        <v>101</v>
      </c>
      <c r="W114" s="292" t="s">
        <v>74</v>
      </c>
      <c r="X114" s="292" t="s">
        <v>11</v>
      </c>
      <c r="Y114" s="300">
        <v>53.9</v>
      </c>
      <c r="AD114" s="299"/>
      <c r="AG114" s="300"/>
      <c r="AL114" s="299"/>
      <c r="AO114" s="300"/>
      <c r="AP114" s="299"/>
      <c r="AS114" s="300"/>
      <c r="AW114" s="300"/>
      <c r="BA114" s="301"/>
    </row>
    <row r="115" spans="1:53" s="292" customFormat="1">
      <c r="A115" s="292">
        <v>2012</v>
      </c>
      <c r="B115" s="836"/>
      <c r="C115" s="916" t="s">
        <v>245</v>
      </c>
      <c r="D115" s="916"/>
      <c r="E115" s="292">
        <v>366</v>
      </c>
      <c r="G115" s="366">
        <v>27</v>
      </c>
      <c r="J115" s="377">
        <v>27</v>
      </c>
      <c r="K115" s="336">
        <f t="shared" si="34"/>
        <v>100</v>
      </c>
      <c r="L115" s="336">
        <f t="shared" si="35"/>
        <v>0</v>
      </c>
      <c r="M115" s="336">
        <f t="shared" si="36"/>
        <v>0</v>
      </c>
      <c r="N115" s="368">
        <f t="shared" si="26"/>
        <v>100</v>
      </c>
      <c r="O115" s="335">
        <v>53.9</v>
      </c>
      <c r="P115" s="336"/>
      <c r="Q115" s="336"/>
      <c r="R115" s="337">
        <f t="shared" si="27"/>
        <v>53.9</v>
      </c>
      <c r="S115" s="340">
        <v>1</v>
      </c>
      <c r="T115" s="838"/>
      <c r="U115" s="836"/>
      <c r="V115" s="299" t="s">
        <v>101</v>
      </c>
      <c r="W115" s="292" t="s">
        <v>74</v>
      </c>
      <c r="X115" s="292" t="s">
        <v>11</v>
      </c>
      <c r="Y115" s="300">
        <v>53.9</v>
      </c>
      <c r="AD115" s="299"/>
      <c r="AG115" s="300"/>
      <c r="AL115" s="299"/>
      <c r="AO115" s="300"/>
      <c r="AP115" s="299"/>
      <c r="AS115" s="300"/>
      <c r="AW115" s="300"/>
      <c r="BA115" s="301"/>
    </row>
    <row r="116" spans="1:53" s="292" customFormat="1">
      <c r="A116" s="292">
        <v>2013</v>
      </c>
      <c r="B116" s="865"/>
      <c r="C116" s="916" t="s">
        <v>245</v>
      </c>
      <c r="D116" s="916"/>
      <c r="E116" s="292">
        <v>195</v>
      </c>
      <c r="F116" s="381"/>
      <c r="G116" s="366">
        <v>27</v>
      </c>
      <c r="J116" s="377">
        <v>27</v>
      </c>
      <c r="K116" s="336">
        <f t="shared" si="34"/>
        <v>100</v>
      </c>
      <c r="L116" s="336">
        <f t="shared" si="35"/>
        <v>0</v>
      </c>
      <c r="M116" s="336">
        <f t="shared" si="36"/>
        <v>0</v>
      </c>
      <c r="N116" s="368">
        <f t="shared" si="26"/>
        <v>100</v>
      </c>
      <c r="O116" s="335">
        <v>53.9</v>
      </c>
      <c r="P116" s="336"/>
      <c r="Q116" s="336"/>
      <c r="R116" s="337">
        <f t="shared" si="27"/>
        <v>53.9</v>
      </c>
      <c r="S116" s="340">
        <v>1</v>
      </c>
      <c r="T116" s="838"/>
      <c r="U116" s="836"/>
      <c r="V116" s="299" t="s">
        <v>101</v>
      </c>
      <c r="W116" s="292" t="s">
        <v>74</v>
      </c>
      <c r="X116" s="292" t="s">
        <v>11</v>
      </c>
      <c r="Y116" s="300">
        <v>53.9</v>
      </c>
      <c r="AD116" s="299"/>
      <c r="AG116" s="300"/>
      <c r="AL116" s="299"/>
      <c r="AO116" s="300"/>
      <c r="AP116" s="299"/>
      <c r="AS116" s="300"/>
      <c r="AW116" s="300"/>
      <c r="BA116" s="301"/>
    </row>
    <row r="117" spans="1:53" s="292" customFormat="1">
      <c r="A117" s="292">
        <v>2013</v>
      </c>
      <c r="B117" s="865">
        <v>41470</v>
      </c>
      <c r="C117" s="916" t="s">
        <v>245</v>
      </c>
      <c r="D117" s="916"/>
      <c r="E117" s="292">
        <f>365-E116</f>
        <v>170</v>
      </c>
      <c r="F117" s="381">
        <v>0</v>
      </c>
      <c r="G117" s="366">
        <v>27</v>
      </c>
      <c r="J117" s="377">
        <v>27</v>
      </c>
      <c r="K117" s="336">
        <f t="shared" si="34"/>
        <v>100</v>
      </c>
      <c r="L117" s="336">
        <f t="shared" si="35"/>
        <v>0</v>
      </c>
      <c r="M117" s="336">
        <f t="shared" si="36"/>
        <v>0</v>
      </c>
      <c r="N117" s="368">
        <f t="shared" si="26"/>
        <v>100</v>
      </c>
      <c r="O117" s="335">
        <v>53.9</v>
      </c>
      <c r="P117" s="336"/>
      <c r="Q117" s="336"/>
      <c r="R117" s="337">
        <f t="shared" si="27"/>
        <v>53.9</v>
      </c>
      <c r="S117" s="340">
        <v>1</v>
      </c>
      <c r="T117" s="838"/>
      <c r="U117" s="836"/>
      <c r="V117" s="299" t="s">
        <v>101</v>
      </c>
      <c r="W117" s="292" t="s">
        <v>74</v>
      </c>
      <c r="X117" s="292" t="s">
        <v>11</v>
      </c>
      <c r="Y117" s="300">
        <v>53.9</v>
      </c>
      <c r="AD117" s="299"/>
      <c r="AG117" s="300"/>
      <c r="AL117" s="299"/>
      <c r="AO117" s="300"/>
      <c r="AP117" s="299"/>
      <c r="AS117" s="300"/>
      <c r="AW117" s="300"/>
      <c r="BA117" s="301"/>
    </row>
    <row r="118" spans="1:53" s="440" customFormat="1">
      <c r="A118" s="440">
        <v>2014</v>
      </c>
      <c r="B118" s="865"/>
      <c r="C118" s="916" t="s">
        <v>245</v>
      </c>
      <c r="D118" s="916"/>
      <c r="E118" s="440">
        <v>0</v>
      </c>
      <c r="F118" s="428"/>
      <c r="G118" s="425">
        <v>27</v>
      </c>
      <c r="J118" s="427">
        <v>27</v>
      </c>
      <c r="K118" s="423">
        <f>G118/J118*100</f>
        <v>100</v>
      </c>
      <c r="L118" s="423">
        <f>H118/J118*100</f>
        <v>0</v>
      </c>
      <c r="M118" s="423">
        <f>I118/J118*100</f>
        <v>0</v>
      </c>
      <c r="N118" s="426">
        <f>SUM(K118:M118)</f>
        <v>100</v>
      </c>
      <c r="O118" s="422">
        <v>53.9</v>
      </c>
      <c r="P118" s="423"/>
      <c r="Q118" s="423"/>
      <c r="R118" s="424">
        <f>SUM(O118:Q118)</f>
        <v>53.9</v>
      </c>
      <c r="S118" s="340">
        <v>1</v>
      </c>
      <c r="T118" s="838"/>
      <c r="U118" s="836"/>
      <c r="V118" s="417" t="s">
        <v>101</v>
      </c>
      <c r="W118" s="440" t="s">
        <v>74</v>
      </c>
      <c r="X118" s="440" t="s">
        <v>11</v>
      </c>
      <c r="Y118" s="418">
        <v>53.9</v>
      </c>
      <c r="AD118" s="417"/>
      <c r="AG118" s="418"/>
      <c r="AL118" s="417"/>
      <c r="AO118" s="418"/>
      <c r="AP118" s="417"/>
      <c r="AS118" s="418"/>
      <c r="AW118" s="418"/>
      <c r="BA118" s="419"/>
    </row>
    <row r="119" spans="1:53" s="440" customFormat="1">
      <c r="A119" s="440">
        <v>2014</v>
      </c>
      <c r="B119" s="865"/>
      <c r="C119" s="916" t="s">
        <v>245</v>
      </c>
      <c r="D119" s="916"/>
      <c r="E119" s="440">
        <v>365</v>
      </c>
      <c r="F119" s="428"/>
      <c r="G119" s="425">
        <v>27</v>
      </c>
      <c r="J119" s="427">
        <v>27</v>
      </c>
      <c r="K119" s="423">
        <f>G119/J119*100</f>
        <v>100</v>
      </c>
      <c r="L119" s="423">
        <f>H119/J119*100</f>
        <v>0</v>
      </c>
      <c r="M119" s="423">
        <f>I119/J119*100</f>
        <v>0</v>
      </c>
      <c r="N119" s="426">
        <f>SUM(K119:M119)</f>
        <v>100</v>
      </c>
      <c r="O119" s="422">
        <v>53.9</v>
      </c>
      <c r="P119" s="423"/>
      <c r="Q119" s="423"/>
      <c r="R119" s="424">
        <f>SUM(O119:Q119)</f>
        <v>53.9</v>
      </c>
      <c r="S119" s="340">
        <v>1</v>
      </c>
      <c r="T119" s="838"/>
      <c r="U119" s="836"/>
      <c r="V119" s="417" t="s">
        <v>101</v>
      </c>
      <c r="W119" s="440" t="s">
        <v>74</v>
      </c>
      <c r="X119" s="440" t="s">
        <v>11</v>
      </c>
      <c r="Y119" s="418">
        <v>53.9</v>
      </c>
      <c r="AD119" s="417"/>
      <c r="AG119" s="418"/>
      <c r="AL119" s="417"/>
      <c r="AO119" s="418"/>
      <c r="AP119" s="417"/>
      <c r="AS119" s="418"/>
      <c r="AW119" s="418"/>
      <c r="BA119" s="419"/>
    </row>
    <row r="120" spans="1:53" s="575" customFormat="1">
      <c r="A120" s="575">
        <v>2015</v>
      </c>
      <c r="B120" s="865"/>
      <c r="C120" s="916" t="s">
        <v>245</v>
      </c>
      <c r="D120" s="916"/>
      <c r="E120" s="575">
        <v>307</v>
      </c>
      <c r="F120" s="428"/>
      <c r="G120" s="539">
        <v>27</v>
      </c>
      <c r="J120" s="541">
        <v>27</v>
      </c>
      <c r="K120" s="537">
        <f>G120/J120*100</f>
        <v>100</v>
      </c>
      <c r="L120" s="537">
        <f>H120/J120*100</f>
        <v>0</v>
      </c>
      <c r="M120" s="537">
        <f>I120/J120*100</f>
        <v>0</v>
      </c>
      <c r="N120" s="540">
        <f>SUM(K120:M120)</f>
        <v>100</v>
      </c>
      <c r="O120" s="536">
        <v>53.9</v>
      </c>
      <c r="P120" s="537"/>
      <c r="Q120" s="537"/>
      <c r="R120" s="538">
        <f>SUM(O120:Q120)</f>
        <v>53.9</v>
      </c>
      <c r="S120" s="340">
        <v>1</v>
      </c>
      <c r="T120" s="838"/>
      <c r="U120" s="836"/>
      <c r="V120" s="532" t="s">
        <v>101</v>
      </c>
      <c r="W120" s="575" t="s">
        <v>74</v>
      </c>
      <c r="X120" s="575" t="s">
        <v>11</v>
      </c>
      <c r="Y120" s="533">
        <v>53.9</v>
      </c>
      <c r="AD120" s="532"/>
      <c r="AG120" s="533"/>
      <c r="AL120" s="532"/>
      <c r="AO120" s="533"/>
      <c r="AP120" s="532"/>
      <c r="AS120" s="533"/>
      <c r="AW120" s="533"/>
      <c r="BA120" s="534"/>
    </row>
    <row r="121" spans="1:53" s="574" customFormat="1">
      <c r="A121" s="574">
        <v>2015</v>
      </c>
      <c r="B121" s="852">
        <v>42312</v>
      </c>
      <c r="C121" s="917" t="s">
        <v>1452</v>
      </c>
      <c r="D121" s="917"/>
      <c r="E121" s="574">
        <v>58</v>
      </c>
      <c r="F121" s="574">
        <v>1</v>
      </c>
      <c r="G121" s="498"/>
      <c r="H121" s="574">
        <v>31</v>
      </c>
      <c r="J121" s="500">
        <v>31</v>
      </c>
      <c r="K121" s="496">
        <f>G121/J121*100</f>
        <v>0</v>
      </c>
      <c r="L121" s="496">
        <f>H121/J121*100</f>
        <v>100</v>
      </c>
      <c r="M121" s="496">
        <f>I121/J121*100</f>
        <v>0</v>
      </c>
      <c r="N121" s="499">
        <f>SUM(K121:M121)</f>
        <v>100</v>
      </c>
      <c r="O121" s="495"/>
      <c r="P121" s="496">
        <v>54.4</v>
      </c>
      <c r="Q121" s="496"/>
      <c r="R121" s="497">
        <f>SUM(O121:Q121)</f>
        <v>54.4</v>
      </c>
      <c r="S121" s="97">
        <v>1</v>
      </c>
      <c r="T121" s="839">
        <v>42292</v>
      </c>
      <c r="U121" s="852">
        <v>42312</v>
      </c>
      <c r="V121" s="492" t="s">
        <v>72</v>
      </c>
      <c r="W121" s="787" t="s">
        <v>22</v>
      </c>
      <c r="X121" s="787" t="s">
        <v>18</v>
      </c>
      <c r="Y121" s="493">
        <v>54.4</v>
      </c>
      <c r="AD121" s="492"/>
      <c r="AG121" s="493"/>
      <c r="AL121" s="492"/>
      <c r="AO121" s="493"/>
      <c r="AP121" s="492"/>
      <c r="AS121" s="493"/>
      <c r="AW121" s="493"/>
      <c r="BA121" s="494"/>
    </row>
    <row r="122" spans="1:53" s="644" customFormat="1">
      <c r="A122" s="644">
        <v>2016</v>
      </c>
      <c r="B122" s="852"/>
      <c r="C122" s="917" t="s">
        <v>1452</v>
      </c>
      <c r="D122" s="917"/>
      <c r="E122" s="644">
        <v>0</v>
      </c>
      <c r="G122" s="498"/>
      <c r="H122" s="644">
        <v>31</v>
      </c>
      <c r="J122" s="500">
        <v>31</v>
      </c>
      <c r="K122" s="496">
        <f t="shared" ref="K122:K127" si="37">G122/J122*100</f>
        <v>0</v>
      </c>
      <c r="L122" s="496">
        <f t="shared" ref="L122:L127" si="38">H122/J122*100</f>
        <v>100</v>
      </c>
      <c r="M122" s="496">
        <f t="shared" ref="M122:M127" si="39">I122/J122*100</f>
        <v>0</v>
      </c>
      <c r="N122" s="499">
        <f t="shared" ref="N122:N127" si="40">SUM(K122:M122)</f>
        <v>100</v>
      </c>
      <c r="O122" s="495"/>
      <c r="P122" s="496">
        <v>54.4</v>
      </c>
      <c r="Q122" s="496"/>
      <c r="R122" s="497">
        <f t="shared" ref="R122:R125" si="41">SUM(O122:Q122)</f>
        <v>54.4</v>
      </c>
      <c r="S122" s="97">
        <v>1</v>
      </c>
      <c r="T122" s="839"/>
      <c r="U122" s="852"/>
      <c r="V122" s="492" t="s">
        <v>72</v>
      </c>
      <c r="W122" s="787" t="s">
        <v>22</v>
      </c>
      <c r="X122" s="787" t="s">
        <v>18</v>
      </c>
      <c r="Y122" s="493">
        <v>54.4</v>
      </c>
    </row>
    <row r="123" spans="1:53" s="644" customFormat="1">
      <c r="A123" s="644">
        <v>2016</v>
      </c>
      <c r="B123" s="852"/>
      <c r="C123" s="917" t="s">
        <v>1452</v>
      </c>
      <c r="D123" s="917"/>
      <c r="E123" s="644">
        <v>366</v>
      </c>
      <c r="G123" s="498"/>
      <c r="H123" s="644">
        <v>31</v>
      </c>
      <c r="J123" s="500">
        <v>31</v>
      </c>
      <c r="K123" s="496">
        <f t="shared" si="37"/>
        <v>0</v>
      </c>
      <c r="L123" s="496">
        <f t="shared" si="38"/>
        <v>100</v>
      </c>
      <c r="M123" s="496">
        <f t="shared" si="39"/>
        <v>0</v>
      </c>
      <c r="N123" s="499">
        <f t="shared" si="40"/>
        <v>100</v>
      </c>
      <c r="O123" s="495"/>
      <c r="P123" s="496">
        <v>54.4</v>
      </c>
      <c r="Q123" s="496"/>
      <c r="R123" s="497">
        <f t="shared" si="41"/>
        <v>54.4</v>
      </c>
      <c r="S123" s="97">
        <v>1</v>
      </c>
      <c r="T123" s="839"/>
      <c r="U123" s="852"/>
      <c r="V123" s="492" t="s">
        <v>72</v>
      </c>
      <c r="W123" s="787" t="s">
        <v>22</v>
      </c>
      <c r="X123" s="787" t="s">
        <v>18</v>
      </c>
      <c r="Y123" s="493">
        <v>54.4</v>
      </c>
    </row>
    <row r="124" spans="1:53" s="727" customFormat="1">
      <c r="A124" s="727">
        <v>2017</v>
      </c>
      <c r="B124" s="852"/>
      <c r="C124" s="917" t="s">
        <v>1452</v>
      </c>
      <c r="D124" s="917"/>
      <c r="E124" s="727">
        <v>239</v>
      </c>
      <c r="G124" s="498"/>
      <c r="H124" s="727">
        <v>31</v>
      </c>
      <c r="J124" s="500">
        <v>31</v>
      </c>
      <c r="K124" s="496">
        <f t="shared" si="37"/>
        <v>0</v>
      </c>
      <c r="L124" s="496">
        <f t="shared" si="38"/>
        <v>100</v>
      </c>
      <c r="M124" s="496">
        <f t="shared" si="39"/>
        <v>0</v>
      </c>
      <c r="N124" s="499">
        <f t="shared" si="40"/>
        <v>100</v>
      </c>
      <c r="O124" s="495"/>
      <c r="P124" s="496">
        <v>54.4</v>
      </c>
      <c r="Q124" s="496"/>
      <c r="R124" s="497">
        <f t="shared" si="41"/>
        <v>54.4</v>
      </c>
      <c r="S124" s="97">
        <v>1</v>
      </c>
      <c r="T124" s="839"/>
      <c r="U124" s="852"/>
      <c r="V124" s="492" t="s">
        <v>72</v>
      </c>
      <c r="W124" s="787" t="s">
        <v>22</v>
      </c>
      <c r="X124" s="787" t="s">
        <v>18</v>
      </c>
      <c r="Y124" s="493">
        <v>54.4</v>
      </c>
    </row>
    <row r="125" spans="1:53" s="727" customFormat="1">
      <c r="A125" s="727">
        <v>2017</v>
      </c>
      <c r="B125" s="866">
        <v>42975</v>
      </c>
      <c r="C125" s="917" t="s">
        <v>1452</v>
      </c>
      <c r="D125" s="917"/>
      <c r="E125" s="727">
        <v>126</v>
      </c>
      <c r="F125" s="190">
        <v>0</v>
      </c>
      <c r="G125" s="498"/>
      <c r="H125" s="727">
        <v>30</v>
      </c>
      <c r="J125" s="500">
        <v>30</v>
      </c>
      <c r="K125" s="496">
        <f t="shared" si="37"/>
        <v>0</v>
      </c>
      <c r="L125" s="496">
        <f t="shared" si="38"/>
        <v>100</v>
      </c>
      <c r="M125" s="496">
        <f t="shared" si="39"/>
        <v>0</v>
      </c>
      <c r="N125" s="499">
        <f t="shared" si="40"/>
        <v>100</v>
      </c>
      <c r="O125" s="495"/>
      <c r="P125" s="496">
        <v>54.4</v>
      </c>
      <c r="Q125" s="496"/>
      <c r="R125" s="497">
        <f t="shared" si="41"/>
        <v>54.4</v>
      </c>
      <c r="S125" s="97">
        <v>1</v>
      </c>
      <c r="T125" s="839"/>
      <c r="U125" s="852"/>
      <c r="V125" s="492" t="s">
        <v>72</v>
      </c>
      <c r="W125" s="787" t="s">
        <v>22</v>
      </c>
      <c r="X125" s="787" t="s">
        <v>18</v>
      </c>
      <c r="Y125" s="493">
        <v>54.4</v>
      </c>
    </row>
    <row r="126" spans="1:53" s="760" customFormat="1">
      <c r="A126" s="760">
        <v>2018</v>
      </c>
      <c r="B126" s="866"/>
      <c r="C126" s="917" t="s">
        <v>1452</v>
      </c>
      <c r="D126" s="917"/>
      <c r="E126" s="760">
        <v>198</v>
      </c>
      <c r="F126" s="190"/>
      <c r="G126" s="498"/>
      <c r="H126" s="760">
        <v>31</v>
      </c>
      <c r="J126" s="500">
        <v>31</v>
      </c>
      <c r="K126" s="496">
        <f t="shared" si="37"/>
        <v>0</v>
      </c>
      <c r="L126" s="496">
        <f t="shared" si="38"/>
        <v>100</v>
      </c>
      <c r="M126" s="496">
        <f t="shared" si="39"/>
        <v>0</v>
      </c>
      <c r="N126" s="499">
        <f t="shared" si="40"/>
        <v>100</v>
      </c>
      <c r="O126" s="495"/>
      <c r="P126" s="496">
        <v>54.4</v>
      </c>
      <c r="Q126" s="496"/>
      <c r="R126" s="497">
        <f t="shared" ref="R126:R127" si="42">SUM(O126:Q126)</f>
        <v>54.4</v>
      </c>
      <c r="S126" s="97">
        <v>1</v>
      </c>
      <c r="T126" s="839"/>
      <c r="U126" s="852"/>
      <c r="V126" s="492" t="s">
        <v>72</v>
      </c>
      <c r="W126" s="787" t="s">
        <v>22</v>
      </c>
      <c r="X126" s="787" t="s">
        <v>18</v>
      </c>
      <c r="Y126" s="493">
        <v>54.4</v>
      </c>
    </row>
    <row r="127" spans="1:53" s="760" customFormat="1">
      <c r="A127" s="760">
        <v>2018</v>
      </c>
      <c r="B127" s="866">
        <v>43299</v>
      </c>
      <c r="C127" s="917" t="s">
        <v>1452</v>
      </c>
      <c r="D127" s="917"/>
      <c r="E127" s="760">
        <v>167</v>
      </c>
      <c r="F127" s="190">
        <v>0</v>
      </c>
      <c r="G127" s="498"/>
      <c r="H127" s="760">
        <v>35</v>
      </c>
      <c r="J127" s="500">
        <v>35</v>
      </c>
      <c r="K127" s="496">
        <f t="shared" si="37"/>
        <v>0</v>
      </c>
      <c r="L127" s="496">
        <f t="shared" si="38"/>
        <v>100</v>
      </c>
      <c r="M127" s="496">
        <f t="shared" si="39"/>
        <v>0</v>
      </c>
      <c r="N127" s="499">
        <f t="shared" si="40"/>
        <v>100</v>
      </c>
      <c r="O127" s="495"/>
      <c r="P127" s="496">
        <v>54.4</v>
      </c>
      <c r="Q127" s="496"/>
      <c r="R127" s="497">
        <f t="shared" si="42"/>
        <v>54.4</v>
      </c>
      <c r="S127" s="97">
        <v>1</v>
      </c>
      <c r="T127" s="839"/>
      <c r="U127" s="852"/>
      <c r="V127" s="492" t="s">
        <v>72</v>
      </c>
      <c r="W127" s="787" t="s">
        <v>22</v>
      </c>
      <c r="X127" s="787" t="s">
        <v>18</v>
      </c>
      <c r="Y127" s="493">
        <v>54.4</v>
      </c>
    </row>
    <row r="128" spans="1:53" s="787" customFormat="1">
      <c r="A128" s="787">
        <v>2019</v>
      </c>
      <c r="B128" s="866"/>
      <c r="C128" s="917" t="s">
        <v>1452</v>
      </c>
      <c r="D128" s="917"/>
      <c r="E128" s="787">
        <v>323</v>
      </c>
      <c r="F128" s="190"/>
      <c r="G128" s="498"/>
      <c r="H128" s="787">
        <v>35</v>
      </c>
      <c r="J128" s="500">
        <v>35</v>
      </c>
      <c r="K128" s="496">
        <f t="shared" ref="K128:K129" si="43">G128/J128*100</f>
        <v>0</v>
      </c>
      <c r="L128" s="496">
        <f t="shared" ref="L128:L129" si="44">H128/J128*100</f>
        <v>100</v>
      </c>
      <c r="M128" s="496">
        <f t="shared" ref="M128:M129" si="45">I128/J128*100</f>
        <v>0</v>
      </c>
      <c r="N128" s="499">
        <f t="shared" ref="N128:N129" si="46">SUM(K128:M128)</f>
        <v>100</v>
      </c>
      <c r="O128" s="495"/>
      <c r="P128" s="496">
        <v>54.4</v>
      </c>
      <c r="Q128" s="496"/>
      <c r="R128" s="497">
        <f t="shared" ref="R128:R129" si="47">SUM(O128:Q128)</f>
        <v>54.4</v>
      </c>
      <c r="S128" s="97">
        <v>1</v>
      </c>
      <c r="T128" s="839"/>
      <c r="U128" s="852"/>
      <c r="V128" s="492" t="s">
        <v>72</v>
      </c>
      <c r="W128" s="787" t="s">
        <v>22</v>
      </c>
      <c r="X128" s="787" t="s">
        <v>18</v>
      </c>
      <c r="Y128" s="493">
        <v>54.4</v>
      </c>
    </row>
    <row r="129" spans="1:53" s="786" customFormat="1">
      <c r="A129" s="786">
        <v>2019</v>
      </c>
      <c r="B129" s="867">
        <v>43789</v>
      </c>
      <c r="C129" s="916" t="s">
        <v>1453</v>
      </c>
      <c r="D129" s="916"/>
      <c r="E129" s="786">
        <v>42</v>
      </c>
      <c r="F129" s="462">
        <v>1</v>
      </c>
      <c r="G129" s="539"/>
      <c r="H129" s="786">
        <v>37</v>
      </c>
      <c r="J129" s="541">
        <v>37</v>
      </c>
      <c r="K129" s="537">
        <f t="shared" si="43"/>
        <v>0</v>
      </c>
      <c r="L129" s="537">
        <f t="shared" si="44"/>
        <v>100</v>
      </c>
      <c r="M129" s="537">
        <f t="shared" si="45"/>
        <v>0</v>
      </c>
      <c r="N129" s="540">
        <f t="shared" si="46"/>
        <v>100</v>
      </c>
      <c r="O129" s="536"/>
      <c r="P129" s="537">
        <v>46.4</v>
      </c>
      <c r="Q129" s="537"/>
      <c r="R129" s="538">
        <f t="shared" si="47"/>
        <v>46.4</v>
      </c>
      <c r="S129" s="340">
        <v>4</v>
      </c>
      <c r="T129" s="838">
        <v>43759</v>
      </c>
      <c r="U129" s="836">
        <v>43789</v>
      </c>
      <c r="V129" s="532" t="s">
        <v>72</v>
      </c>
      <c r="W129" s="786" t="s">
        <v>22</v>
      </c>
      <c r="X129" s="786" t="s">
        <v>18</v>
      </c>
      <c r="Y129" s="533">
        <v>46.4</v>
      </c>
      <c r="AD129" s="532"/>
      <c r="AG129" s="533"/>
      <c r="AL129" s="532"/>
      <c r="AO129" s="533"/>
      <c r="AP129" s="532"/>
      <c r="AS129" s="533"/>
      <c r="AW129" s="533"/>
      <c r="BA129" s="534"/>
    </row>
    <row r="130" spans="1:53">
      <c r="R130" s="2"/>
    </row>
    <row r="132" spans="1:53" s="2" customFormat="1" ht="18" customHeight="1">
      <c r="B132" s="22" t="s">
        <v>1269</v>
      </c>
    </row>
    <row r="133" spans="1:53" s="2" customFormat="1" ht="9" customHeight="1"/>
    <row r="134" spans="1:53" s="317" customFormat="1" ht="9" customHeight="1">
      <c r="A134" s="315"/>
      <c r="B134" s="316" t="s">
        <v>1220</v>
      </c>
      <c r="C134" s="316"/>
      <c r="D134" s="316"/>
      <c r="E134" s="316"/>
      <c r="F134" s="316"/>
      <c r="G134" s="316" t="s">
        <v>1221</v>
      </c>
      <c r="H134" s="316"/>
      <c r="I134" s="316"/>
      <c r="J134" s="316"/>
      <c r="K134" s="316"/>
      <c r="L134" s="316"/>
      <c r="M134" s="316"/>
      <c r="N134" s="316"/>
      <c r="R134" s="895" t="s">
        <v>1222</v>
      </c>
      <c r="S134" s="895"/>
      <c r="T134" s="895"/>
      <c r="U134" s="895"/>
      <c r="V134" s="895"/>
      <c r="W134" s="895"/>
      <c r="X134" s="318"/>
      <c r="Y134" s="318"/>
      <c r="AA134" s="318"/>
      <c r="AB134" s="318"/>
      <c r="AC134" s="318"/>
      <c r="AD134" s="318"/>
    </row>
    <row r="135" spans="1:53" s="322" customFormat="1" ht="9" customHeight="1">
      <c r="A135" s="319"/>
      <c r="B135" s="320" t="s">
        <v>1224</v>
      </c>
      <c r="C135" s="321"/>
      <c r="D135" s="321"/>
      <c r="E135" s="321"/>
      <c r="F135" s="321"/>
      <c r="G135" s="320" t="s">
        <v>1223</v>
      </c>
      <c r="H135" s="321"/>
      <c r="I135" s="321"/>
      <c r="J135" s="321"/>
      <c r="K135" s="321"/>
      <c r="L135" s="321"/>
      <c r="M135" s="321"/>
      <c r="N135" s="321"/>
      <c r="R135" s="323" t="s">
        <v>1225</v>
      </c>
      <c r="S135" s="324"/>
      <c r="T135" s="325"/>
      <c r="U135" s="325"/>
      <c r="V135" s="325"/>
      <c r="W135" s="323" t="s">
        <v>1226</v>
      </c>
      <c r="X135" s="325"/>
      <c r="Y135" s="325"/>
      <c r="AA135" s="325"/>
      <c r="AB135" s="325"/>
      <c r="AC135" s="325"/>
      <c r="AD135" s="325"/>
    </row>
    <row r="136" spans="1:53" s="307" customFormat="1" ht="12" customHeight="1">
      <c r="A136" s="326" t="s">
        <v>3</v>
      </c>
      <c r="B136" s="327" t="s">
        <v>8</v>
      </c>
      <c r="C136" s="327" t="s">
        <v>9</v>
      </c>
      <c r="D136" s="327" t="s">
        <v>10</v>
      </c>
      <c r="E136" s="328" t="s">
        <v>1200</v>
      </c>
      <c r="F136" s="327"/>
      <c r="G136" s="307" t="s">
        <v>3</v>
      </c>
      <c r="H136" s="896" t="s">
        <v>0</v>
      </c>
      <c r="I136" s="896"/>
      <c r="J136" s="896" t="s">
        <v>1</v>
      </c>
      <c r="K136" s="896"/>
      <c r="L136" s="896" t="s">
        <v>2</v>
      </c>
      <c r="M136" s="896"/>
      <c r="N136" s="897" t="s">
        <v>1200</v>
      </c>
      <c r="O136" s="897"/>
      <c r="P136" s="329"/>
      <c r="Q136" s="329"/>
      <c r="R136" s="330" t="s">
        <v>3</v>
      </c>
      <c r="S136" s="331" t="s">
        <v>136</v>
      </c>
      <c r="T136" s="329" t="s">
        <v>134</v>
      </c>
      <c r="U136" s="327" t="s">
        <v>135</v>
      </c>
      <c r="V136" s="329"/>
      <c r="W136" s="332" t="s">
        <v>26</v>
      </c>
    </row>
    <row r="137" spans="1:53" s="243" customFormat="1">
      <c r="A137" s="233">
        <v>1959</v>
      </c>
      <c r="B137" s="244">
        <f>(K6*($E6/365))+(K7*($E7/365))</f>
        <v>100</v>
      </c>
      <c r="C137" s="244">
        <f>(L6*($E6/365))+(L7*($E7/365))</f>
        <v>0</v>
      </c>
      <c r="D137" s="244">
        <f>(M6*($E6/365))+(M7*($E7/365))</f>
        <v>0</v>
      </c>
      <c r="E137" s="231">
        <f>B137+C137+D137</f>
        <v>100</v>
      </c>
      <c r="G137" s="233">
        <v>1959</v>
      </c>
      <c r="H137" s="936">
        <f>(O6/$R6*100*($E6/365))+(O7/$R7*100*($E7/365))</f>
        <v>100</v>
      </c>
      <c r="I137" s="936"/>
      <c r="J137" s="936">
        <f>(P6/$R6*100*($E6/365))+(P7/$R7*100*($E7/365))</f>
        <v>0</v>
      </c>
      <c r="K137" s="936"/>
      <c r="L137" s="936">
        <f>(Q6/$R6*100*($E6/365))+(Q7/$R7*100*($E7/365))</f>
        <v>0</v>
      </c>
      <c r="M137" s="936"/>
      <c r="N137" s="937">
        <f>H137+J137+K137</f>
        <v>100</v>
      </c>
      <c r="O137" s="937"/>
      <c r="R137" s="233">
        <v>1959</v>
      </c>
      <c r="S137" s="244">
        <f>(O6*($E6/365))+(O7*($E7/365))</f>
        <v>78.5</v>
      </c>
      <c r="T137" s="244">
        <f>(P6*($E6/365))+(P7*($E7/365))</f>
        <v>0</v>
      </c>
      <c r="U137" s="244">
        <f>(Q6*($E6/365))+(Q7*($E7/365))</f>
        <v>0</v>
      </c>
      <c r="V137" s="245"/>
      <c r="W137" s="244">
        <f>S137+T137+U137</f>
        <v>78.5</v>
      </c>
      <c r="X137" s="232"/>
    </row>
    <row r="138" spans="1:53">
      <c r="A138" s="20">
        <v>1960</v>
      </c>
      <c r="B138" s="7">
        <f>(K8*($E8/366))+(K9*($E9/366))</f>
        <v>100</v>
      </c>
      <c r="C138" s="7">
        <f>(L8*($E8/366))+(L9*($E9/366))</f>
        <v>0</v>
      </c>
      <c r="D138" s="7">
        <f>(M8*($E8/366))+(M9*($E9/366))</f>
        <v>0</v>
      </c>
      <c r="E138" s="209">
        <f t="shared" ref="E138:E168" si="48">SUM(B138:D138)</f>
        <v>100</v>
      </c>
      <c r="G138" s="20">
        <v>1960</v>
      </c>
      <c r="H138" s="886">
        <f>(O8/$R8*100*($E8/366))+(O9/$R9*100*($E9/366))</f>
        <v>100</v>
      </c>
      <c r="I138" s="886"/>
      <c r="J138" s="886">
        <f>(P8/$R8*100*($E8/366))+(P9/$R9*100*($E9/366))</f>
        <v>0</v>
      </c>
      <c r="K138" s="886"/>
      <c r="L138" s="886">
        <f>(Q8/$R8*100*($E8/366))+(Q9/$R9*100*($E9/366))</f>
        <v>0</v>
      </c>
      <c r="M138" s="886"/>
      <c r="N138" s="919">
        <f>SUM(H138:M138)</f>
        <v>100</v>
      </c>
      <c r="O138" s="919"/>
      <c r="R138" s="20">
        <v>1960</v>
      </c>
      <c r="S138" s="7">
        <f>(O8*($E8/366))+(O9*($E9/366))</f>
        <v>78.5</v>
      </c>
      <c r="T138" s="7">
        <f>(P8*($E8/366))+(P9*($E9/366))</f>
        <v>0</v>
      </c>
      <c r="U138" s="7">
        <f>(Q8*($E8/366))+(Q9*($E9/366))</f>
        <v>0</v>
      </c>
      <c r="V138" s="12"/>
      <c r="W138" s="7">
        <f>R8*(E8/366) + R9*(E9/366)</f>
        <v>78.5</v>
      </c>
      <c r="X138" s="5"/>
    </row>
    <row r="139" spans="1:53">
      <c r="A139" s="20">
        <v>1961</v>
      </c>
      <c r="B139" s="7">
        <f>(K10*($E10/365))+(K11*($E11/365))</f>
        <v>100</v>
      </c>
      <c r="C139" s="7">
        <f>(L10*($E10/365))+(L11*($E11/365))</f>
        <v>0</v>
      </c>
      <c r="D139" s="7">
        <f>(M10*($E10/365))+(M11*($E11/365))</f>
        <v>0</v>
      </c>
      <c r="E139" s="33">
        <f t="shared" si="48"/>
        <v>100</v>
      </c>
      <c r="G139" s="20">
        <v>1961</v>
      </c>
      <c r="H139" s="886">
        <f>(O10/$R10*100*($E10/365))+(O11/$R11*100*($E11/365))</f>
        <v>100</v>
      </c>
      <c r="I139" s="886"/>
      <c r="J139" s="886">
        <f>(P10/$R10*100*($E10/365))+(P11/$R11*100*($E11/365))</f>
        <v>0</v>
      </c>
      <c r="K139" s="886"/>
      <c r="L139" s="886">
        <f>(Q10/$R10*100*($E10/365))+(Q11/$R11*100*($E11/365))</f>
        <v>0</v>
      </c>
      <c r="M139" s="886"/>
      <c r="N139" s="919">
        <f>SUM(H139:M139)</f>
        <v>100</v>
      </c>
      <c r="O139" s="919"/>
      <c r="R139" s="20">
        <v>1961</v>
      </c>
      <c r="S139" s="7">
        <f>(O10*($E10/365))+(O11*($E11/365))</f>
        <v>78.5</v>
      </c>
      <c r="T139" s="7">
        <f>(P10*($E10/365))+(P11*($E11/365))</f>
        <v>0</v>
      </c>
      <c r="U139" s="7">
        <f>(Q10*($E10/365))+(Q11*($E11/365))</f>
        <v>0</v>
      </c>
      <c r="V139" s="12"/>
      <c r="W139" s="7">
        <f>R10*(E10/365) + R11*(E11/365)</f>
        <v>78.5</v>
      </c>
      <c r="X139" s="5"/>
    </row>
    <row r="140" spans="1:53">
      <c r="A140" s="20">
        <v>1962</v>
      </c>
      <c r="B140" s="7">
        <f>(K12*($E12/365))+(K13*($E13/365))</f>
        <v>100</v>
      </c>
      <c r="C140" s="7">
        <f>(L12*($E12/365))+(L13*($E13/365))</f>
        <v>0</v>
      </c>
      <c r="D140" s="7">
        <f>(M12*($E12/365))+(M13*($E13/365))</f>
        <v>0</v>
      </c>
      <c r="E140" s="33">
        <f t="shared" si="48"/>
        <v>100</v>
      </c>
      <c r="G140" s="20">
        <v>1962</v>
      </c>
      <c r="H140" s="886">
        <f>(O12/$R12*100*($E12/365))+(O13/$R13*100*($E13/365))</f>
        <v>100</v>
      </c>
      <c r="I140" s="886"/>
      <c r="J140" s="886">
        <f>(P12/$R12*100*($E12/365))+(P13/$R13*100*($E13/365))</f>
        <v>0</v>
      </c>
      <c r="K140" s="886"/>
      <c r="L140" s="886">
        <f>(Q12/$R12*100*($E12/365))+(Q13/$R13*100*($E13/365))</f>
        <v>0</v>
      </c>
      <c r="M140" s="886"/>
      <c r="N140" s="919">
        <f t="shared" ref="N140:N190" si="49">SUM(H140:M140)</f>
        <v>100</v>
      </c>
      <c r="O140" s="919"/>
      <c r="R140" s="20">
        <v>1962</v>
      </c>
      <c r="S140" s="7">
        <f>(O12*($E12/365))+(O13*($E13/365))</f>
        <v>64.715068493150682</v>
      </c>
      <c r="T140" s="7">
        <f>(P12*($E12/365))+(P13*($E13/365))</f>
        <v>0</v>
      </c>
      <c r="U140" s="7">
        <f>(Q12*($E12/365))+(Q13*($E13/365))</f>
        <v>0</v>
      </c>
      <c r="V140" s="12"/>
      <c r="W140" s="7">
        <f>R12*(E12/365) + R13*(E13/365)</f>
        <v>64.715068493150682</v>
      </c>
      <c r="X140" s="5"/>
    </row>
    <row r="141" spans="1:53">
      <c r="A141" s="20">
        <v>1963</v>
      </c>
      <c r="B141" s="7">
        <f>(K14*($E14/365))+(K15*($E15/365))</f>
        <v>30.410958904109592</v>
      </c>
      <c r="C141" s="7">
        <f>(L14*($E14/365))+(L15*($E15/365))</f>
        <v>69.589041095890408</v>
      </c>
      <c r="D141" s="7">
        <f>(M14*($E14/365))+(M15*($E15/365))</f>
        <v>0</v>
      </c>
      <c r="E141" s="33">
        <f t="shared" si="48"/>
        <v>100</v>
      </c>
      <c r="G141" s="20">
        <v>1963</v>
      </c>
      <c r="H141" s="886">
        <f>(O14/$R14*100*($E14/365))+(O15/$R15*100*($E15/365))</f>
        <v>30.410958904109592</v>
      </c>
      <c r="I141" s="886"/>
      <c r="J141" s="886">
        <f>(P14/$R14*100*($E14/365))+(P15/$R15*100*($E15/365))</f>
        <v>69.589041095890408</v>
      </c>
      <c r="K141" s="886"/>
      <c r="L141" s="886">
        <f>(Q14/$R14*100*($E14/365))+(Q15/$R15*100*($E15/365))</f>
        <v>0</v>
      </c>
      <c r="M141" s="886"/>
      <c r="N141" s="919">
        <f t="shared" si="49"/>
        <v>100</v>
      </c>
      <c r="O141" s="919"/>
      <c r="R141" s="20">
        <v>1963</v>
      </c>
      <c r="S141" s="7">
        <f>(O14*($E14/365))+(O15*($E15/365))</f>
        <v>13.32</v>
      </c>
      <c r="T141" s="7">
        <f>(P14*($E14/365))+(P15*($E15/365))</f>
        <v>33.889863013698637</v>
      </c>
      <c r="U141" s="7">
        <f>(Q14*($E14/365))+(Q15*($E15/365))</f>
        <v>0</v>
      </c>
      <c r="V141" s="12"/>
      <c r="W141" s="7">
        <f>R14*(E14/365) + R15*(E15/365)</f>
        <v>47.209863013698637</v>
      </c>
      <c r="X141" s="5"/>
    </row>
    <row r="142" spans="1:53">
      <c r="A142" s="20">
        <v>1964</v>
      </c>
      <c r="B142" s="7">
        <f>(K16*($E16/366))+(K17*($E17/366))</f>
        <v>0</v>
      </c>
      <c r="C142" s="7">
        <f>(L16*($E16/366))+(L17*($E17/366))</f>
        <v>100</v>
      </c>
      <c r="D142" s="7">
        <f>(M16*($E16/366))+(M17*($E17/366))</f>
        <v>0</v>
      </c>
      <c r="E142" s="33">
        <f t="shared" si="48"/>
        <v>100</v>
      </c>
      <c r="G142" s="20">
        <v>1964</v>
      </c>
      <c r="H142" s="886">
        <f>(O16/$R16*100*($E16/366))+(O17/$R17*100*($E17/366))</f>
        <v>0</v>
      </c>
      <c r="I142" s="886"/>
      <c r="J142" s="886">
        <f>(P16/$R16*100*($E16/366))+(P17/$R17*100*($E17/366))</f>
        <v>100</v>
      </c>
      <c r="K142" s="886"/>
      <c r="L142" s="886">
        <f>(Q16/$R16*100*($E16/366))+(Q17/$R17*100*($E17/366))</f>
        <v>0</v>
      </c>
      <c r="M142" s="886"/>
      <c r="N142" s="919">
        <f t="shared" si="49"/>
        <v>100</v>
      </c>
      <c r="O142" s="919"/>
      <c r="R142" s="20">
        <v>1964</v>
      </c>
      <c r="S142" s="7">
        <f>(O16*($E16/366))+(O17*($E17/366))</f>
        <v>0</v>
      </c>
      <c r="T142" s="7">
        <f>(P16*($E16/366))+(P17*($E17/366))</f>
        <v>48.7</v>
      </c>
      <c r="U142" s="7">
        <f>(Q16*($E16/366))+(Q17*($E17/366))</f>
        <v>0</v>
      </c>
      <c r="V142" s="12"/>
      <c r="W142" s="7">
        <f>R16*(E16/366) + R17*(E17/366)</f>
        <v>48.7</v>
      </c>
      <c r="X142" s="5"/>
    </row>
    <row r="143" spans="1:53">
      <c r="A143" s="20">
        <v>1965</v>
      </c>
      <c r="B143" s="7">
        <f>(K18*($E18/365))+(K19*($E19/365))</f>
        <v>0</v>
      </c>
      <c r="C143" s="7">
        <f>(L18*($E18/365))+(L19*($E19/365))</f>
        <v>100.00000000000001</v>
      </c>
      <c r="D143" s="7">
        <f>(M18*($E18/365))+(M19*($E19/365))</f>
        <v>0</v>
      </c>
      <c r="E143" s="33">
        <f t="shared" si="48"/>
        <v>100.00000000000001</v>
      </c>
      <c r="G143" s="20">
        <v>1965</v>
      </c>
      <c r="H143" s="886">
        <f>(O18/$R18*100*($E18/365))+(O19/$R19*100*($E19/365))</f>
        <v>0</v>
      </c>
      <c r="I143" s="886"/>
      <c r="J143" s="886">
        <f>(P18/$R18*100*($E18/365))+(P19/$R19*100*($E19/365))</f>
        <v>100.00000000000001</v>
      </c>
      <c r="K143" s="886"/>
      <c r="L143" s="886">
        <f>(Q18/$R18*100*($E18/365))+(Q19/$R19*100*($E19/365))</f>
        <v>0</v>
      </c>
      <c r="M143" s="886"/>
      <c r="N143" s="919">
        <f t="shared" si="49"/>
        <v>100.00000000000001</v>
      </c>
      <c r="O143" s="919"/>
      <c r="R143" s="20">
        <v>1965</v>
      </c>
      <c r="S143" s="7">
        <f>(O18*($E18/365))+(O19*($E19/365))</f>
        <v>0</v>
      </c>
      <c r="T143" s="7">
        <f>(P18*($E18/365))+(P19*($E19/365))</f>
        <v>48.726849315068499</v>
      </c>
      <c r="U143" s="7">
        <f>(Q18*($E18/365))+(Q19*($E19/365))</f>
        <v>0</v>
      </c>
      <c r="V143" s="12"/>
      <c r="W143" s="7">
        <f>R18*(E18/365) + R19*(E19/365)</f>
        <v>48.726849315068499</v>
      </c>
      <c r="X143" s="5"/>
    </row>
    <row r="144" spans="1:53" ht="9" customHeight="1">
      <c r="A144" s="20">
        <v>1966</v>
      </c>
      <c r="B144" s="7">
        <f>(K20*($E20/365))+(K21*($E21/365))</f>
        <v>0</v>
      </c>
      <c r="C144" s="7">
        <f>(L20*($E20/365))+(L21*($E21/365))</f>
        <v>100</v>
      </c>
      <c r="D144" s="7">
        <f>(M20*($E20/365))+(M21*($E21/365))</f>
        <v>0</v>
      </c>
      <c r="E144" s="33">
        <f t="shared" si="48"/>
        <v>100</v>
      </c>
      <c r="G144" s="20">
        <v>1966</v>
      </c>
      <c r="H144" s="886">
        <f>(O20/$R20*100*($E20/365))+(O21/$R21*100*($E21/365))</f>
        <v>0</v>
      </c>
      <c r="I144" s="886"/>
      <c r="J144" s="886">
        <f>(P20/$R20*100*($E20/365))+(P21/$R21*100*($E21/365))</f>
        <v>100</v>
      </c>
      <c r="K144" s="886"/>
      <c r="L144" s="886">
        <f>(Q20/$R20*100*($E20/365))+(Q21/$R21*100*($E21/365))</f>
        <v>0</v>
      </c>
      <c r="M144" s="886"/>
      <c r="N144" s="919">
        <f t="shared" si="49"/>
        <v>100</v>
      </c>
      <c r="O144" s="919"/>
      <c r="R144" s="20">
        <v>1966</v>
      </c>
      <c r="S144" s="7">
        <f>(O20*($E20/365))+(O21*($E21/365))</f>
        <v>0</v>
      </c>
      <c r="T144" s="7">
        <f>(P20*($E20/365))+(P21*($E21/365))</f>
        <v>49.4</v>
      </c>
      <c r="U144" s="7">
        <f>(Q20*($E20/365))+(Q21*($E21/365))</f>
        <v>0</v>
      </c>
      <c r="V144" s="12"/>
      <c r="W144" s="7">
        <f>R20*(E20/365) + R21*(E21/365)</f>
        <v>49.4</v>
      </c>
      <c r="X144" s="5"/>
    </row>
    <row r="145" spans="1:24" ht="9" customHeight="1">
      <c r="A145" s="20">
        <v>1967</v>
      </c>
      <c r="B145" s="7">
        <f>(K22*($E22/365))+(K23*($E23/365))</f>
        <v>0</v>
      </c>
      <c r="C145" s="7">
        <f>(L22*($E22/365))+(L23*($E23/365))</f>
        <v>100</v>
      </c>
      <c r="D145" s="7">
        <f>(M22*($E22/365))+(M23*($E23/365))</f>
        <v>0</v>
      </c>
      <c r="E145" s="33">
        <f t="shared" si="48"/>
        <v>100</v>
      </c>
      <c r="G145" s="20">
        <v>1967</v>
      </c>
      <c r="H145" s="886">
        <f>(O22/$R22*100*($E22/365))+(O23/$R23*100*($E23/365))</f>
        <v>0</v>
      </c>
      <c r="I145" s="886"/>
      <c r="J145" s="886">
        <f>(P22/$R22*100*($E22/365))+(P23/$R23*100*($E23/365))</f>
        <v>100</v>
      </c>
      <c r="K145" s="886"/>
      <c r="L145" s="886">
        <f>(Q22/$R22*100*($E22/365))+(Q23/$R23*100*($E23/365))</f>
        <v>0</v>
      </c>
      <c r="M145" s="886"/>
      <c r="N145" s="919">
        <f t="shared" si="49"/>
        <v>100</v>
      </c>
      <c r="O145" s="919"/>
      <c r="R145" s="20">
        <v>1967</v>
      </c>
      <c r="S145" s="7">
        <f>(O22*($E22/365))+(O23*($E23/365))</f>
        <v>0</v>
      </c>
      <c r="T145" s="7">
        <f>(P22*($E22/365))+(P23*($E23/365))</f>
        <v>49.4</v>
      </c>
      <c r="U145" s="7">
        <f>(Q22*($E22/365))+(Q23*($E23/365))</f>
        <v>0</v>
      </c>
      <c r="V145" s="12"/>
      <c r="W145" s="7">
        <f>R22*(E22/365) + R23*(E23/365)</f>
        <v>49.4</v>
      </c>
      <c r="X145" s="5"/>
    </row>
    <row r="146" spans="1:24" ht="9" customHeight="1">
      <c r="A146" s="20">
        <v>1968</v>
      </c>
      <c r="B146" s="7">
        <f>(K24*($E24/366))+(K25*($E25/366))+(K26*($E26/366))</f>
        <v>0</v>
      </c>
      <c r="C146" s="7">
        <f>(L24*($E24/366))+(L25*($E25/366))+(L26*($E26/366))</f>
        <v>100</v>
      </c>
      <c r="D146" s="7">
        <f>(M24*($E24/366))+(M25*($E25/366))+(M26*($E26/366))</f>
        <v>0</v>
      </c>
      <c r="E146" s="33">
        <f t="shared" si="48"/>
        <v>100</v>
      </c>
      <c r="G146" s="20">
        <v>1968</v>
      </c>
      <c r="H146" s="886">
        <f>(O24/$R24*100*($E24/366))+(O25/$R25*100*($E25/366))+(O26/$R26*100*($E26/366))</f>
        <v>0</v>
      </c>
      <c r="I146" s="886"/>
      <c r="J146" s="886">
        <f>(P24/$R24*100*($E24/366))+(P25/$R25*100*($E25/366))+(P26/$R26*100*($E26/366))</f>
        <v>100</v>
      </c>
      <c r="K146" s="886"/>
      <c r="L146" s="886">
        <f>(Q24/$R24*100*($E24/366))+(Q25/$R25*100*($E25/366))+(Q26/$R26*100*($E26/366))</f>
        <v>0</v>
      </c>
      <c r="M146" s="886"/>
      <c r="N146" s="919">
        <f t="shared" si="49"/>
        <v>100</v>
      </c>
      <c r="O146" s="919"/>
      <c r="R146" s="20">
        <v>1968</v>
      </c>
      <c r="S146" s="7">
        <f>(O24*($E24/366))+(O25*($E25/366))+(O26*($E26/366))</f>
        <v>0</v>
      </c>
      <c r="T146" s="7">
        <f>(P24*($E24/366))+(P25*($E25/366))+(P26*($E26/366))</f>
        <v>53.922950819672131</v>
      </c>
      <c r="U146" s="7">
        <f>(Q24*($E24/366))+(Q25*($E25/366))+(Q26*($E26/366))</f>
        <v>0</v>
      </c>
      <c r="V146" s="12"/>
      <c r="W146" s="7">
        <f>R24*(E24/366) + R25*(E25/366) + R26*(E26/366)</f>
        <v>53.922950819672131</v>
      </c>
      <c r="X146" s="5"/>
    </row>
    <row r="147" spans="1:24" ht="9" customHeight="1">
      <c r="A147" s="20">
        <v>1969</v>
      </c>
      <c r="B147" s="7">
        <f>(K27*($E27/365))+(K28*($E28/365))</f>
        <v>0</v>
      </c>
      <c r="C147" s="7">
        <f>(L27*($E27/365))+(L28*($E28/365))</f>
        <v>100</v>
      </c>
      <c r="D147" s="7">
        <f>(M27*($E27/365))+(M28*($E28/365))</f>
        <v>0</v>
      </c>
      <c r="E147" s="33">
        <f t="shared" si="48"/>
        <v>100</v>
      </c>
      <c r="G147" s="20">
        <v>1969</v>
      </c>
      <c r="H147" s="886">
        <f>(O27/$R27*100*($E27/365))+(O28/$R28*100*($E28/365))</f>
        <v>0</v>
      </c>
      <c r="I147" s="886"/>
      <c r="J147" s="886">
        <f>(P27/$R27*100*($E27/365))+(P28/$R28*100*($E28/365))</f>
        <v>100</v>
      </c>
      <c r="K147" s="886"/>
      <c r="L147" s="886">
        <f>(Q27/$R27*100*($E27/365))+(Q28/$R28*100*($E28/365))</f>
        <v>0</v>
      </c>
      <c r="M147" s="886"/>
      <c r="N147" s="919">
        <f t="shared" si="49"/>
        <v>100</v>
      </c>
      <c r="O147" s="919"/>
      <c r="R147" s="20">
        <v>1969</v>
      </c>
      <c r="S147" s="7">
        <f>(O27*($E27/365))+(O28*($E28/365))</f>
        <v>0</v>
      </c>
      <c r="T147" s="7">
        <f>(P27*($E27/365))+(P28*($E28/365))</f>
        <v>58.7</v>
      </c>
      <c r="U147" s="7">
        <f>(Q27*($E27/365))+(Q28*($E28/365))</f>
        <v>0</v>
      </c>
      <c r="V147" s="12"/>
      <c r="W147" s="7">
        <f>R27*(E27/365) + R28*(E28/365)</f>
        <v>58.7</v>
      </c>
      <c r="X147" s="5"/>
    </row>
    <row r="148" spans="1:24" ht="9" customHeight="1">
      <c r="A148" s="20">
        <v>1970</v>
      </c>
      <c r="B148" s="7">
        <f>(K29*($E29/365))+(K30*($E30/365))</f>
        <v>0</v>
      </c>
      <c r="C148" s="7">
        <f>(L29*($E29/365))+(L30*($E30/365))</f>
        <v>100</v>
      </c>
      <c r="D148" s="7">
        <f>(M29*($E29/365))+(M30*($E30/365))</f>
        <v>0</v>
      </c>
      <c r="E148" s="33">
        <f t="shared" si="48"/>
        <v>100</v>
      </c>
      <c r="G148" s="20">
        <v>1970</v>
      </c>
      <c r="H148" s="886">
        <f>(O29/$R29*100*($E29/365))+(O30/$R30*100*($E30/365))</f>
        <v>0</v>
      </c>
      <c r="I148" s="886"/>
      <c r="J148" s="886">
        <f>(P29/$R29*100*($E29/365))+(P30/$R30*100*($E30/365))</f>
        <v>100</v>
      </c>
      <c r="K148" s="886"/>
      <c r="L148" s="886">
        <f>(Q29/$R29*100*($E29/365))+(Q30/$R30*100*($E30/365))</f>
        <v>0</v>
      </c>
      <c r="M148" s="886"/>
      <c r="N148" s="919">
        <f t="shared" si="49"/>
        <v>100</v>
      </c>
      <c r="O148" s="919"/>
      <c r="R148" s="20">
        <v>1970</v>
      </c>
      <c r="S148" s="7">
        <f>(O29*($E29/365))+(O30*($E30/365))</f>
        <v>0</v>
      </c>
      <c r="T148" s="7">
        <f>(P29*($E29/365))+(P30*($E30/365))</f>
        <v>58.7</v>
      </c>
      <c r="U148" s="7">
        <f>(Q29*($E29/365))+(Q30*($E30/365))</f>
        <v>0</v>
      </c>
      <c r="V148" s="12"/>
      <c r="W148" s="7">
        <f>R29*(E29/365) + R30*(E30/365)</f>
        <v>58.7</v>
      </c>
      <c r="X148" s="5"/>
    </row>
    <row r="149" spans="1:24" ht="9" customHeight="1">
      <c r="A149" s="20">
        <v>1971</v>
      </c>
      <c r="B149" s="7">
        <f>(K31*($E31/365))+(K32*($E32/365))</f>
        <v>0</v>
      </c>
      <c r="C149" s="7">
        <f>(L31*($E31/365))+(L32*($E32/365))</f>
        <v>100</v>
      </c>
      <c r="D149" s="7">
        <f>(M31*($E31/365))+(M32*($E32/365))</f>
        <v>0</v>
      </c>
      <c r="E149" s="33">
        <f t="shared" si="48"/>
        <v>100</v>
      </c>
      <c r="G149" s="20">
        <v>1971</v>
      </c>
      <c r="H149" s="886">
        <f>(O31/$R31*100*($E31/365))+(O32/$R32*100*($E32/365))</f>
        <v>0</v>
      </c>
      <c r="I149" s="886"/>
      <c r="J149" s="886">
        <f>(P31/$R31*100*($E31/365))+(P32/$R32*100*($E32/365))</f>
        <v>100</v>
      </c>
      <c r="K149" s="886"/>
      <c r="L149" s="886">
        <f>(Q31/$R31*100*($E31/365))+(Q32/$R32*100*($E32/365))</f>
        <v>0</v>
      </c>
      <c r="M149" s="886"/>
      <c r="N149" s="919">
        <f t="shared" si="49"/>
        <v>100</v>
      </c>
      <c r="O149" s="919"/>
      <c r="R149" s="20">
        <v>1971</v>
      </c>
      <c r="S149" s="7">
        <f>(O31*($E31/365))+(O32*($E32/365))</f>
        <v>0</v>
      </c>
      <c r="T149" s="7">
        <f>(P31*($E31/365))+(P32*($E32/365))</f>
        <v>58.7</v>
      </c>
      <c r="U149" s="7">
        <f>(Q31*($E31/365))+(Q32*($E32/365))</f>
        <v>0</v>
      </c>
      <c r="V149" s="12"/>
      <c r="W149" s="7">
        <f>R31*(E31/365) + R32*(E32/365)</f>
        <v>58.7</v>
      </c>
      <c r="X149" s="5"/>
    </row>
    <row r="150" spans="1:24" ht="9" customHeight="1">
      <c r="A150" s="20">
        <v>1972</v>
      </c>
      <c r="B150" s="7">
        <f>(K33*($E33/366))+(K34*($E34/366))</f>
        <v>0</v>
      </c>
      <c r="C150" s="7">
        <f>(L33*($E33/366))+(L34*($E34/366))</f>
        <v>100</v>
      </c>
      <c r="D150" s="7">
        <f>(M33*($E33/366))+(M34*($E34/366))</f>
        <v>0</v>
      </c>
      <c r="E150" s="33">
        <f t="shared" si="48"/>
        <v>100</v>
      </c>
      <c r="G150" s="20">
        <v>1972</v>
      </c>
      <c r="H150" s="886">
        <f>(O33/$R33*100*($E33/366))+(O34/$R34*100*($E34/366))</f>
        <v>0</v>
      </c>
      <c r="I150" s="886"/>
      <c r="J150" s="886">
        <f>(P33/$R33*100*($E33/366))+(P34/$R34*100*($E34/366))</f>
        <v>100</v>
      </c>
      <c r="K150" s="886"/>
      <c r="L150" s="886">
        <f>(Q33/$R33*100*($E33/366))+(Q34/$R34*100*($E34/366))</f>
        <v>0</v>
      </c>
      <c r="M150" s="886"/>
      <c r="N150" s="919">
        <f t="shared" si="49"/>
        <v>100</v>
      </c>
      <c r="O150" s="919"/>
      <c r="R150" s="20">
        <v>1972</v>
      </c>
      <c r="S150" s="7">
        <f>(O33*($E33/366))+(O34*($E34/366))</f>
        <v>0</v>
      </c>
      <c r="T150" s="7">
        <f>(P33*($E33/366))+(P34*($E34/366))</f>
        <v>57.036065573770493</v>
      </c>
      <c r="U150" s="7">
        <f>(Q33*($E33/366))+(Q34*($E34/366))</f>
        <v>0</v>
      </c>
      <c r="V150" s="12"/>
      <c r="W150" s="7">
        <f>R33*(E33/366) + R34*(E34/366)</f>
        <v>57.036065573770493</v>
      </c>
      <c r="X150" s="5"/>
    </row>
    <row r="151" spans="1:24" ht="9" customHeight="1">
      <c r="A151" s="20">
        <v>1973</v>
      </c>
      <c r="B151" s="7">
        <f>(K35*($E35/365))+(K36*($E36/365))</f>
        <v>0</v>
      </c>
      <c r="C151" s="7">
        <f>(L35*($E35/365))+(L36*($E36/365))</f>
        <v>100</v>
      </c>
      <c r="D151" s="7">
        <f>(M35*($E35/365))+(M36*($E36/365))</f>
        <v>0</v>
      </c>
      <c r="E151" s="33">
        <f t="shared" si="48"/>
        <v>100</v>
      </c>
      <c r="G151" s="20">
        <v>1973</v>
      </c>
      <c r="H151" s="886">
        <f>(O35/$R35*100*($E35/365))+(O36/$R36*100*($E36/365))</f>
        <v>0</v>
      </c>
      <c r="I151" s="886"/>
      <c r="J151" s="886">
        <f>(P35/$R35*100*($E35/365))+(P36/$R36*100*($E36/365))</f>
        <v>100</v>
      </c>
      <c r="K151" s="886"/>
      <c r="L151" s="886">
        <f>(Q35/$R35*100*($E35/365))+(Q36/$R36*100*($E36/365))</f>
        <v>0</v>
      </c>
      <c r="M151" s="886"/>
      <c r="N151" s="919">
        <f t="shared" si="49"/>
        <v>100</v>
      </c>
      <c r="O151" s="919"/>
      <c r="R151" s="20">
        <v>1973</v>
      </c>
      <c r="S151" s="7">
        <f>(O35*($E35/365))+(O36*($E36/365))</f>
        <v>0</v>
      </c>
      <c r="T151" s="7">
        <f>(P35*($E35/365))+(P36*($E36/365))</f>
        <v>41.3</v>
      </c>
      <c r="U151" s="7">
        <f>(Q35*($E35/365))+(Q36*($E36/365))</f>
        <v>0</v>
      </c>
      <c r="V151" s="12"/>
      <c r="W151" s="7">
        <f>R35*(E35/365) + R36*(E36/365)</f>
        <v>41.3</v>
      </c>
      <c r="X151" s="5"/>
    </row>
    <row r="152" spans="1:24" ht="9" customHeight="1">
      <c r="A152" s="20">
        <v>1974</v>
      </c>
      <c r="B152" s="7">
        <f>(K37*($E37/365))+(K38*($E38/365))</f>
        <v>0</v>
      </c>
      <c r="C152" s="7">
        <f>(L37*($E37/365))+(L38*($E38/365))</f>
        <v>100</v>
      </c>
      <c r="D152" s="7">
        <f>(M37*($E37/365))+(M38*($E38/365))</f>
        <v>0</v>
      </c>
      <c r="E152" s="33">
        <f t="shared" si="48"/>
        <v>100</v>
      </c>
      <c r="G152" s="20">
        <v>1974</v>
      </c>
      <c r="H152" s="886">
        <f>(O37/$R37*100*($E37/365))+(O38/$R38*100*($E38/365))</f>
        <v>0</v>
      </c>
      <c r="I152" s="886"/>
      <c r="J152" s="886">
        <f>(P37/$R37*100*($E37/365))+(P38/$R38*100*($E38/365))</f>
        <v>100</v>
      </c>
      <c r="K152" s="886"/>
      <c r="L152" s="886">
        <f>(Q37/$R37*100*($E37/365))+(Q38/$R38*100*($E38/365))</f>
        <v>0</v>
      </c>
      <c r="M152" s="886"/>
      <c r="N152" s="919">
        <f t="shared" si="49"/>
        <v>100</v>
      </c>
      <c r="O152" s="919"/>
      <c r="R152" s="20">
        <v>1974</v>
      </c>
      <c r="S152" s="7">
        <f>(O37*($E37/365))+(O38*($E38/365))</f>
        <v>0</v>
      </c>
      <c r="T152" s="7">
        <f>(P37*($E37/365))+(P38*($E38/365))</f>
        <v>46.14</v>
      </c>
      <c r="U152" s="7">
        <f>(Q37*($E37/365))+(Q38*($E38/365))</f>
        <v>0</v>
      </c>
      <c r="V152" s="12"/>
      <c r="W152" s="7">
        <f>R37*(E37/365) + R38*(E38/365)</f>
        <v>46.14</v>
      </c>
      <c r="X152" s="5"/>
    </row>
    <row r="153" spans="1:24" ht="9" customHeight="1">
      <c r="A153" s="20">
        <v>1975</v>
      </c>
      <c r="B153" s="7">
        <f>(K39*($E39/365))+(K40*($E40/365))</f>
        <v>0</v>
      </c>
      <c r="C153" s="7">
        <f>(L39*($E39/365))+(L40*($E40/365))</f>
        <v>100</v>
      </c>
      <c r="D153" s="7">
        <f>(M39*($E39/365))+(M40*($E40/365))</f>
        <v>0</v>
      </c>
      <c r="E153" s="33">
        <f t="shared" si="48"/>
        <v>100</v>
      </c>
      <c r="G153" s="20">
        <v>1975</v>
      </c>
      <c r="H153" s="886">
        <f>(O39/$R39*100*($E39/365))+(O40/$R40*100*($E40/365))</f>
        <v>0</v>
      </c>
      <c r="I153" s="886"/>
      <c r="J153" s="886">
        <f>(P39/$R39*100*($E39/365))+(P40/$R40*100*($E40/365))</f>
        <v>100</v>
      </c>
      <c r="K153" s="886"/>
      <c r="L153" s="886">
        <f>(Q39/$R39*100*($E39/365))+(Q40/$R40*100*($E40/365))</f>
        <v>0</v>
      </c>
      <c r="M153" s="886"/>
      <c r="N153" s="919">
        <f t="shared" si="49"/>
        <v>100</v>
      </c>
      <c r="O153" s="919"/>
      <c r="R153" s="20">
        <v>1975</v>
      </c>
      <c r="S153" s="7">
        <f>(O39*($E39/365))+(O40*($E40/365))</f>
        <v>0</v>
      </c>
      <c r="T153" s="7">
        <f>(P39*($E39/365))+(P40*($E40/365))</f>
        <v>53.4</v>
      </c>
      <c r="U153" s="7">
        <f>(Q39*($E39/365))+(Q40*($E40/365))</f>
        <v>0</v>
      </c>
      <c r="V153" s="12"/>
      <c r="W153" s="7">
        <f>R39*(E39/365) + R40*(E40/365)</f>
        <v>53.4</v>
      </c>
      <c r="X153" s="5"/>
    </row>
    <row r="154" spans="1:24" ht="9" customHeight="1">
      <c r="A154" s="20">
        <v>1976</v>
      </c>
      <c r="B154" s="7">
        <f>(K41*($E41/366))+(K42*($E42/366))</f>
        <v>0</v>
      </c>
      <c r="C154" s="7">
        <f>(L41*($E41/366))+(L42*($E42/366))</f>
        <v>100</v>
      </c>
      <c r="D154" s="7">
        <f>(M41*($E41/366))+(M42*($E42/366))</f>
        <v>0</v>
      </c>
      <c r="E154" s="33">
        <f t="shared" si="48"/>
        <v>100</v>
      </c>
      <c r="G154" s="20">
        <v>1976</v>
      </c>
      <c r="H154" s="886">
        <f>(O41/$R41*100*($E41/366))+(O42/$R42*100*($E42/366))</f>
        <v>0</v>
      </c>
      <c r="I154" s="886"/>
      <c r="J154" s="886">
        <f>(P41/$R41*100*($E41/366))+(P42/$R42*100*($E42/366))</f>
        <v>100</v>
      </c>
      <c r="K154" s="886"/>
      <c r="L154" s="886">
        <f>(Q41/$R41*100*($E41/366))+(Q42/$R42*100*($E42/366))</f>
        <v>0</v>
      </c>
      <c r="M154" s="886"/>
      <c r="N154" s="919">
        <f t="shared" si="49"/>
        <v>100</v>
      </c>
      <c r="O154" s="919"/>
      <c r="R154" s="20">
        <v>1976</v>
      </c>
      <c r="S154" s="7">
        <f>(O41*($E41/366))+(O42*($E42/366))</f>
        <v>0</v>
      </c>
      <c r="T154" s="7">
        <f>(P41*($E41/366))+(P42*($E42/366))</f>
        <v>53.4</v>
      </c>
      <c r="U154" s="7">
        <f>(Q41*($E41/366))+(Q42*($E42/366))</f>
        <v>0</v>
      </c>
      <c r="V154" s="12"/>
      <c r="W154" s="7">
        <f>R41*(E41/366) + R42*(E42/366)</f>
        <v>53.4</v>
      </c>
      <c r="X154" s="5"/>
    </row>
    <row r="155" spans="1:24" ht="9" customHeight="1">
      <c r="A155" s="20">
        <v>1977</v>
      </c>
      <c r="B155" s="7">
        <f>(K43*($E43/365))+(K44*($E44/365))</f>
        <v>0</v>
      </c>
      <c r="C155" s="7">
        <f>(L43*($E43/365))+(L44*($E44/365))</f>
        <v>100</v>
      </c>
      <c r="D155" s="7">
        <f>(M43*($E43/365))+(M44*($E44/365))</f>
        <v>0</v>
      </c>
      <c r="E155" s="33">
        <f t="shared" si="48"/>
        <v>100</v>
      </c>
      <c r="G155" s="20">
        <v>1977</v>
      </c>
      <c r="H155" s="886">
        <f>(O43/$R43*100*($E43/365))+(O44/$R44*100*($E44/365))</f>
        <v>0</v>
      </c>
      <c r="I155" s="886"/>
      <c r="J155" s="886">
        <f>(P43/$R43*100*($E43/365))+(P44/$R44*100*($E44/365))</f>
        <v>100</v>
      </c>
      <c r="K155" s="886"/>
      <c r="L155" s="886">
        <f>(Q43/$R43*100*($E43/365))+(Q44/$R44*100*($E44/365))</f>
        <v>0</v>
      </c>
      <c r="M155" s="886"/>
      <c r="N155" s="919">
        <f t="shared" si="49"/>
        <v>100</v>
      </c>
      <c r="O155" s="919"/>
      <c r="R155" s="20">
        <v>1977</v>
      </c>
      <c r="S155" s="7">
        <f>(O43*($E43/365))+(O44*($E44/365))</f>
        <v>0</v>
      </c>
      <c r="T155" s="7">
        <f>(P43*($E43/365))+(P44*($E44/365))</f>
        <v>53.4</v>
      </c>
      <c r="U155" s="7">
        <f>(Q43*($E43/365))+(Q44*($E44/365))</f>
        <v>0</v>
      </c>
      <c r="V155" s="12"/>
      <c r="W155" s="7">
        <f>R43*(E43/365) + R44*(E44/365)</f>
        <v>53.4</v>
      </c>
      <c r="X155" s="5"/>
    </row>
    <row r="156" spans="1:24" ht="9" customHeight="1">
      <c r="A156" s="20">
        <v>1978</v>
      </c>
      <c r="B156" s="7">
        <f>(K45*($E45/365))+(K46*($E46/365))</f>
        <v>0</v>
      </c>
      <c r="C156" s="7">
        <f>(L45*($E45/365))+(L46*($E46/365))</f>
        <v>100</v>
      </c>
      <c r="D156" s="7">
        <f>(M45*($E45/365))+(M46*($E46/365))</f>
        <v>0</v>
      </c>
      <c r="E156" s="33">
        <f t="shared" si="48"/>
        <v>100</v>
      </c>
      <c r="G156" s="20">
        <v>1978</v>
      </c>
      <c r="H156" s="886">
        <f>(O45/$R45*100*($E45/365))+(O46/$R46*100*($E46/365))</f>
        <v>0</v>
      </c>
      <c r="I156" s="886"/>
      <c r="J156" s="886">
        <f>(P45/$R45*100*($E45/365))+(P46/$R46*100*($E46/365))</f>
        <v>100</v>
      </c>
      <c r="K156" s="886"/>
      <c r="L156" s="886">
        <f>(Q45/$R45*100*($E45/365))+(Q46/$R46*100*($E46/365))</f>
        <v>0</v>
      </c>
      <c r="M156" s="886"/>
      <c r="N156" s="919">
        <f t="shared" si="49"/>
        <v>100</v>
      </c>
      <c r="O156" s="919"/>
      <c r="R156" s="20">
        <v>1978</v>
      </c>
      <c r="S156" s="7">
        <f>(O45*($E45/365))+(O46*($E46/365))</f>
        <v>0</v>
      </c>
      <c r="T156" s="7">
        <f>(P45*($E45/365))+(P46*($E46/365))</f>
        <v>53.4</v>
      </c>
      <c r="U156" s="7">
        <f>(Q45*($E45/365))+(Q46*($E46/365))</f>
        <v>0</v>
      </c>
      <c r="V156" s="12"/>
      <c r="W156" s="7">
        <f>R45*(E45/365) + R46*(E46/365)</f>
        <v>53.4</v>
      </c>
      <c r="X156" s="5"/>
    </row>
    <row r="157" spans="1:24" ht="9" customHeight="1">
      <c r="A157" s="20">
        <v>1979</v>
      </c>
      <c r="B157" s="7">
        <f>(K47*($E47/365))+(K48*($E48/365))</f>
        <v>57.80821917808219</v>
      </c>
      <c r="C157" s="7">
        <f>(L47*($E47/365))+(L48*($E48/365))</f>
        <v>42.19178082191781</v>
      </c>
      <c r="D157" s="7">
        <f>(M47*($E47/365))+(M48*($E48/365))</f>
        <v>0</v>
      </c>
      <c r="E157" s="33">
        <f t="shared" si="48"/>
        <v>100</v>
      </c>
      <c r="G157" s="20">
        <v>1979</v>
      </c>
      <c r="H157" s="886">
        <f>(O47/$R47*100*($E47/365))+(O48/$R48*100*($E48/365))</f>
        <v>57.80821917808219</v>
      </c>
      <c r="I157" s="886"/>
      <c r="J157" s="886">
        <f>(P47/$R47*100*($E47/365))+(P48/$R48*100*($E48/365))</f>
        <v>42.19178082191781</v>
      </c>
      <c r="K157" s="886"/>
      <c r="L157" s="886">
        <f>(Q47/$R47*100*($E47/365))+(Q48/$R48*100*($E48/365))</f>
        <v>0</v>
      </c>
      <c r="M157" s="886"/>
      <c r="N157" s="919">
        <f t="shared" si="49"/>
        <v>100</v>
      </c>
      <c r="O157" s="919"/>
      <c r="R157" s="20">
        <v>1979</v>
      </c>
      <c r="S157" s="7">
        <f>(O47*($E47/365))+(O48*($E48/365))</f>
        <v>27.863561643835617</v>
      </c>
      <c r="T157" s="7">
        <f>(P47*($E47/365))+(P48*($E48/365))</f>
        <v>22.53041095890411</v>
      </c>
      <c r="U157" s="7">
        <f>(Q47*($E47/365))+(Q48*($E48/365))</f>
        <v>0</v>
      </c>
      <c r="V157" s="12"/>
      <c r="W157" s="7">
        <f>R47*(E47/365) + R48*(E48/365)</f>
        <v>50.393972602739723</v>
      </c>
      <c r="X157" s="5"/>
    </row>
    <row r="158" spans="1:24" ht="9" customHeight="1">
      <c r="A158" s="20">
        <v>1980</v>
      </c>
      <c r="B158" s="7">
        <f>(K49*($E49/366))+(K50*($E50/366))</f>
        <v>16.939890710382514</v>
      </c>
      <c r="C158" s="7">
        <f>(L49*($E49/366))+(L50*($E50/366))</f>
        <v>83.060109289617486</v>
      </c>
      <c r="D158" s="7">
        <f>(M49*($E49/366))+(M50*($E50/366))</f>
        <v>0</v>
      </c>
      <c r="E158" s="33">
        <f t="shared" si="48"/>
        <v>100</v>
      </c>
      <c r="G158" s="20">
        <v>1980</v>
      </c>
      <c r="H158" s="886">
        <f>(O49/$R49*100*($E49/366))+(O50/$R50*100*($E50/366))</f>
        <v>16.939890710382514</v>
      </c>
      <c r="I158" s="886"/>
      <c r="J158" s="886">
        <f>(P49/$R49*100*($E49/366))+(P50/$R50*100*($E50/366))</f>
        <v>83.060109289617486</v>
      </c>
      <c r="K158" s="886"/>
      <c r="L158" s="886">
        <f>(Q49/$R49*100*($E49/366))+(Q50/$R50*100*($E50/366))</f>
        <v>0</v>
      </c>
      <c r="M158" s="886"/>
      <c r="N158" s="919">
        <f t="shared" si="49"/>
        <v>100</v>
      </c>
      <c r="O158" s="919"/>
      <c r="R158" s="20">
        <v>1980</v>
      </c>
      <c r="S158" s="7">
        <f>(O49*($E49/366))+(O50*($E50/366))</f>
        <v>8.1650273224043719</v>
      </c>
      <c r="T158" s="7">
        <f>(P49*($E49/366))+(P50*($E50/366))</f>
        <v>43.27431693989071</v>
      </c>
      <c r="U158" s="7">
        <f>(Q49*($E49/366))+(Q50*($E50/366))</f>
        <v>0</v>
      </c>
      <c r="V158" s="12"/>
      <c r="W158" s="7">
        <f>R49*(E49/366) + R50*(E50/366)</f>
        <v>51.43934426229508</v>
      </c>
      <c r="X158" s="5"/>
    </row>
    <row r="159" spans="1:24" ht="9" customHeight="1">
      <c r="A159" s="20">
        <v>1981</v>
      </c>
      <c r="B159" s="7">
        <f>(K51*($E51/365))+(K52*($E52/365))</f>
        <v>0</v>
      </c>
      <c r="C159" s="7">
        <f>(L51*($E51/365))+(L52*($E52/365))</f>
        <v>100</v>
      </c>
      <c r="D159" s="7">
        <f>(M51*($E51/365))+(M52*($E52/365))</f>
        <v>0</v>
      </c>
      <c r="E159" s="33">
        <f t="shared" si="48"/>
        <v>100</v>
      </c>
      <c r="G159" s="20">
        <v>1981</v>
      </c>
      <c r="H159" s="886">
        <f>(O51/$R51*100*($E51/365))+(O52/$R52*100*($E52/365))</f>
        <v>0</v>
      </c>
      <c r="I159" s="886"/>
      <c r="J159" s="886">
        <f>(P51/$R51*100*($E51/365))+(P52/$R52*100*($E52/365))</f>
        <v>100</v>
      </c>
      <c r="K159" s="886"/>
      <c r="L159" s="886">
        <f>(Q51/$R51*100*($E51/365))+(Q52/$R52*100*($E52/365))</f>
        <v>0</v>
      </c>
      <c r="M159" s="886"/>
      <c r="N159" s="919">
        <f t="shared" si="49"/>
        <v>100</v>
      </c>
      <c r="O159" s="919"/>
      <c r="R159" s="20">
        <v>1981</v>
      </c>
      <c r="S159" s="7">
        <f>(O51*($E51/365))+(O52*($E52/365))</f>
        <v>0</v>
      </c>
      <c r="T159" s="7">
        <f>(P51*($E51/365))+(P52*($E52/365))</f>
        <v>52.1</v>
      </c>
      <c r="U159" s="7">
        <f>(Q51*($E51/365))+(Q52*($E52/365))</f>
        <v>0</v>
      </c>
      <c r="V159" s="12"/>
      <c r="W159" s="7">
        <f>R51*(E51/365) + R52*(E52/365)</f>
        <v>52.1</v>
      </c>
      <c r="X159" s="5"/>
    </row>
    <row r="160" spans="1:24" ht="9" customHeight="1">
      <c r="A160" s="20">
        <v>1982</v>
      </c>
      <c r="B160" s="7">
        <f>(K53*($E53/365))+(K54*($E54/365))</f>
        <v>0</v>
      </c>
      <c r="C160" s="7">
        <f>(L53*($E53/365))+(L54*($E54/365))</f>
        <v>100</v>
      </c>
      <c r="D160" s="7">
        <f>(M53*($E53/365))+(M54*($E54/365))</f>
        <v>0</v>
      </c>
      <c r="E160" s="33">
        <f t="shared" si="48"/>
        <v>100</v>
      </c>
      <c r="G160" s="20">
        <v>1982</v>
      </c>
      <c r="H160" s="886">
        <f>(O53/$R53*100*($E53/365))+(O54/$R54*100*($E54/365))</f>
        <v>0</v>
      </c>
      <c r="I160" s="886"/>
      <c r="J160" s="886">
        <f>(P53/$R53*100*($E53/365))+(P54/$R54*100*($E54/365))</f>
        <v>100</v>
      </c>
      <c r="K160" s="886"/>
      <c r="L160" s="886">
        <f>(Q53/$R53*100*($E53/365))+(Q54/$R54*100*($E54/365))</f>
        <v>0</v>
      </c>
      <c r="M160" s="886"/>
      <c r="N160" s="919">
        <f t="shared" si="49"/>
        <v>100</v>
      </c>
      <c r="O160" s="919"/>
      <c r="R160" s="20">
        <v>1982</v>
      </c>
      <c r="S160" s="7">
        <f>(O53*($E53/365))+(O54*($E54/365))</f>
        <v>0</v>
      </c>
      <c r="T160" s="7">
        <f>(P53*($E53/365))+(P54*($E54/365))</f>
        <v>52.1</v>
      </c>
      <c r="U160" s="7">
        <f>(Q53*($E53/365))+(Q54*($E54/365))</f>
        <v>0</v>
      </c>
      <c r="V160" s="12"/>
      <c r="W160" s="7">
        <f>R53*(E53/365) + R54*(E54/365)</f>
        <v>52.1</v>
      </c>
      <c r="X160" s="5"/>
    </row>
    <row r="161" spans="1:24" ht="9" customHeight="1">
      <c r="A161" s="20">
        <v>1983</v>
      </c>
      <c r="B161" s="7">
        <f>(K55*($E55/365))+(K56*($E56/365))</f>
        <v>0</v>
      </c>
      <c r="C161" s="7">
        <f>(L55*($E55/365))+(L56*($E56/365))</f>
        <v>100</v>
      </c>
      <c r="D161" s="7">
        <f>(M55*($E55/365))+(M56*($E56/365))</f>
        <v>0</v>
      </c>
      <c r="E161" s="33">
        <f t="shared" si="48"/>
        <v>100</v>
      </c>
      <c r="G161" s="20">
        <v>1983</v>
      </c>
      <c r="H161" s="886">
        <f>(O55/$R55*100*($E55/365))+(O56/$R56*100*($E56/365))</f>
        <v>0</v>
      </c>
      <c r="I161" s="886"/>
      <c r="J161" s="886">
        <f>(P55/$R55*100*($E55/365))+(P56/$R56*100*($E56/365))</f>
        <v>100</v>
      </c>
      <c r="K161" s="886"/>
      <c r="L161" s="886">
        <f>(Q55/$R55*100*($E55/365))+(Q56/$R56*100*($E56/365))</f>
        <v>0</v>
      </c>
      <c r="M161" s="886"/>
      <c r="N161" s="919">
        <f t="shared" si="49"/>
        <v>100</v>
      </c>
      <c r="O161" s="919"/>
      <c r="R161" s="20">
        <v>1983</v>
      </c>
      <c r="S161" s="7">
        <f>(O55*($E55/365))+(O56*($E56/365))</f>
        <v>0</v>
      </c>
      <c r="T161" s="7">
        <f>(P55*($E55/365))+(P56*($E56/365))</f>
        <v>52.1</v>
      </c>
      <c r="U161" s="7">
        <f>(Q55*($E55/365))+(Q56*($E56/365))</f>
        <v>0</v>
      </c>
      <c r="V161" s="12"/>
      <c r="W161" s="7">
        <f>R55*(E55/365) + R56*(E56/365)</f>
        <v>52.1</v>
      </c>
      <c r="X161" s="5"/>
    </row>
    <row r="162" spans="1:24" ht="9" customHeight="1">
      <c r="A162" s="20">
        <v>1984</v>
      </c>
      <c r="B162" s="7">
        <f>(K57*($E57/366))+(K58*($E58/366))</f>
        <v>28.961748633879779</v>
      </c>
      <c r="C162" s="7">
        <f>(L57*($E57/366))+(L58*($E58/366))</f>
        <v>71.038251366120221</v>
      </c>
      <c r="D162" s="7">
        <f>(M57*($E57/366))+(M58*($E58/366))</f>
        <v>0</v>
      </c>
      <c r="E162" s="33">
        <f t="shared" si="48"/>
        <v>100</v>
      </c>
      <c r="G162" s="20">
        <v>1984</v>
      </c>
      <c r="H162" s="886">
        <f>(O57/$R57*100*($E57/366))+(O58/$R58*100*($E58/366))</f>
        <v>28.961748633879779</v>
      </c>
      <c r="I162" s="886"/>
      <c r="J162" s="886">
        <f>(P57/$R57*100*($E57/366))+(P58/$R58*100*($E58/366))</f>
        <v>71.038251366120221</v>
      </c>
      <c r="K162" s="886"/>
      <c r="L162" s="886">
        <f>(Q57/$R57*100*($E57/366))+(Q58/$R58*100*($E58/366))</f>
        <v>0</v>
      </c>
      <c r="M162" s="886"/>
      <c r="N162" s="919">
        <f t="shared" si="49"/>
        <v>100</v>
      </c>
      <c r="O162" s="919"/>
      <c r="R162" s="20">
        <v>1984</v>
      </c>
      <c r="S162" s="7">
        <f>(O57*($E57/366))+(O58*($E58/366))</f>
        <v>21.663387978142076</v>
      </c>
      <c r="T162" s="7">
        <f>(P57*($E57/366))+(P58*($E58/366))</f>
        <v>37.010928961748633</v>
      </c>
      <c r="U162" s="7">
        <f>(Q57*($E57/366))+(Q58*($E58/366))</f>
        <v>0</v>
      </c>
      <c r="V162" s="12"/>
      <c r="W162" s="7">
        <f>R57*(E57/366) + R58*(E58/366)</f>
        <v>58.674316939890709</v>
      </c>
      <c r="X162" s="5"/>
    </row>
    <row r="163" spans="1:24" ht="9" customHeight="1">
      <c r="A163" s="20">
        <v>1985</v>
      </c>
      <c r="B163" s="7">
        <f>(K59*($E59/365))+(K60*($E60/365))</f>
        <v>100</v>
      </c>
      <c r="C163" s="7">
        <f>(L59*($E59/365))+(L60*($E60/365))</f>
        <v>0</v>
      </c>
      <c r="D163" s="7">
        <f>(M59*($E59/365))+(M60*($E60/365))</f>
        <v>0</v>
      </c>
      <c r="E163" s="33">
        <f t="shared" si="48"/>
        <v>100</v>
      </c>
      <c r="G163" s="20">
        <v>1985</v>
      </c>
      <c r="H163" s="886">
        <f>(O59/$R59*100*($E59/365))+(O60/$R60*100*($E60/365))</f>
        <v>100</v>
      </c>
      <c r="I163" s="886"/>
      <c r="J163" s="886">
        <f>(P59/$R59*100*($E59/365))+(P60/$R60*100*($E60/365))</f>
        <v>0</v>
      </c>
      <c r="K163" s="886"/>
      <c r="L163" s="886">
        <f>(Q59/$R59*100*($E59/365))+(Q60/$R60*100*($E60/365))</f>
        <v>0</v>
      </c>
      <c r="M163" s="886"/>
      <c r="N163" s="919">
        <f t="shared" si="49"/>
        <v>100</v>
      </c>
      <c r="O163" s="919"/>
      <c r="R163" s="20">
        <v>1985</v>
      </c>
      <c r="S163" s="7">
        <f>(O59*($E59/365))+(O60*($E60/365))</f>
        <v>74.8</v>
      </c>
      <c r="T163" s="7">
        <f>(P59*($E59/365))+(P60*($E60/365))</f>
        <v>0</v>
      </c>
      <c r="U163" s="7">
        <f>(Q59*($E59/365))+(Q60*($E60/365))</f>
        <v>0</v>
      </c>
      <c r="V163" s="12"/>
      <c r="W163" s="7">
        <f>R59*(E59/365) + R60*(E60/365)</f>
        <v>74.8</v>
      </c>
      <c r="X163" s="5"/>
    </row>
    <row r="164" spans="1:24" ht="9" customHeight="1">
      <c r="A164" s="20">
        <v>1986</v>
      </c>
      <c r="B164" s="7">
        <f>(K61*($E61/365))+(K62*($E62/365))</f>
        <v>100</v>
      </c>
      <c r="C164" s="7">
        <f>(L61*($E61/365))+(L62*($E62/365))</f>
        <v>0</v>
      </c>
      <c r="D164" s="7">
        <f>(M61*($E61/365))+(M62*($E62/365))</f>
        <v>0</v>
      </c>
      <c r="E164" s="33">
        <f t="shared" si="48"/>
        <v>100</v>
      </c>
      <c r="G164" s="20">
        <v>1986</v>
      </c>
      <c r="H164" s="886">
        <f>(O61/$R61*100*($E61/365))+(O62/$R62*100*($E62/365))</f>
        <v>100</v>
      </c>
      <c r="I164" s="886"/>
      <c r="J164" s="886">
        <f>(P61/$R61*100*($E61/365))+(P62/$R62*100*($E62/365))</f>
        <v>0</v>
      </c>
      <c r="K164" s="886"/>
      <c r="L164" s="886">
        <f>(Q61/$R61*100*($E61/365))+(Q62/$R62*100*($E62/365))</f>
        <v>0</v>
      </c>
      <c r="M164" s="886"/>
      <c r="N164" s="919">
        <f t="shared" si="49"/>
        <v>100</v>
      </c>
      <c r="O164" s="919"/>
      <c r="R164" s="20">
        <v>1986</v>
      </c>
      <c r="S164" s="7">
        <f>(O61*($E61/365))+(O62*($E62/365))</f>
        <v>74.8</v>
      </c>
      <c r="T164" s="7">
        <f>(P61*($E61/365))+(P62*($E62/365))</f>
        <v>0</v>
      </c>
      <c r="U164" s="7">
        <f>(Q61*($E61/365))+(Q62*($E62/365))</f>
        <v>0</v>
      </c>
      <c r="V164" s="12"/>
      <c r="W164" s="7">
        <f>R61*(E61/365) + R62*(E62/365)</f>
        <v>74.8</v>
      </c>
      <c r="X164" s="5"/>
    </row>
    <row r="165" spans="1:24" ht="9" customHeight="1">
      <c r="A165" s="20">
        <v>1987</v>
      </c>
      <c r="B165" s="7">
        <f>(K63*($E63/365))+(K64*($E64/365))</f>
        <v>100</v>
      </c>
      <c r="C165" s="7">
        <f>(L63*($E63/365))+(L64*($E64/365))</f>
        <v>0</v>
      </c>
      <c r="D165" s="7">
        <f>(M63*($E63/365))+(M64*($E64/365))</f>
        <v>0</v>
      </c>
      <c r="E165" s="33">
        <f t="shared" si="48"/>
        <v>100</v>
      </c>
      <c r="G165" s="20">
        <v>1987</v>
      </c>
      <c r="H165" s="886">
        <f>(O63/$R63*100*($E63/365))+(O64/$R64*100*($E64/365))</f>
        <v>100</v>
      </c>
      <c r="I165" s="886"/>
      <c r="J165" s="886">
        <f>(P63/$R63*100*($E63/365))+(P64/$R64*100*($E64/365))</f>
        <v>0</v>
      </c>
      <c r="K165" s="886"/>
      <c r="L165" s="886">
        <f>(Q63/$R63*100*($E63/365))+(Q64/$R64*100*($E64/365))</f>
        <v>0</v>
      </c>
      <c r="M165" s="886"/>
      <c r="N165" s="919">
        <f t="shared" si="49"/>
        <v>100</v>
      </c>
      <c r="O165" s="919"/>
      <c r="R165" s="20">
        <v>1987</v>
      </c>
      <c r="S165" s="7">
        <f>(O63*($E63/365))+(O64*($E64/365))</f>
        <v>74.8</v>
      </c>
      <c r="T165" s="7">
        <f>(P63*($E63/365))+(P64*($E64/365))</f>
        <v>0</v>
      </c>
      <c r="U165" s="7">
        <f>(Q63*($E63/365))+(Q64*($E64/365))</f>
        <v>0</v>
      </c>
      <c r="V165" s="12"/>
      <c r="W165" s="7">
        <f>R63*(E63/365) + R64*(E64/365)</f>
        <v>74.8</v>
      </c>
      <c r="X165" s="5"/>
    </row>
    <row r="166" spans="1:24" ht="9" customHeight="1">
      <c r="A166" s="20">
        <v>1988</v>
      </c>
      <c r="B166" s="7">
        <f>(K65*($E65/366))+(K66*($E66/366))</f>
        <v>100</v>
      </c>
      <c r="C166" s="7">
        <f>(L65*($E65/366))+(L66*($E66/366))</f>
        <v>0</v>
      </c>
      <c r="D166" s="7">
        <f>(M65*($E65/366))+(M66*($E66/366))</f>
        <v>0</v>
      </c>
      <c r="E166" s="33">
        <f t="shared" si="48"/>
        <v>100</v>
      </c>
      <c r="G166" s="20">
        <v>1988</v>
      </c>
      <c r="H166" s="886">
        <f>(O65/$R65*100*($E65/366))+(O66/$R66*100*($E66/366))</f>
        <v>100</v>
      </c>
      <c r="I166" s="886"/>
      <c r="J166" s="886">
        <f>(P65/$R65*100*($E65/366))+(P66/$R66*100*($E66/366))</f>
        <v>0</v>
      </c>
      <c r="K166" s="886"/>
      <c r="L166" s="886">
        <f>(Q65/$R65*100*($E65/366))+(Q66/$R66*100*($E66/366))</f>
        <v>0</v>
      </c>
      <c r="M166" s="886"/>
      <c r="N166" s="919">
        <f t="shared" si="49"/>
        <v>100</v>
      </c>
      <c r="O166" s="919"/>
      <c r="R166" s="20">
        <v>1988</v>
      </c>
      <c r="S166" s="7">
        <f>(O65*($E65/366))+(O66*($E66/366))</f>
        <v>73.60464480874316</v>
      </c>
      <c r="T166" s="7">
        <f>(P65*($E65/366))+(P66*($E66/366))</f>
        <v>0</v>
      </c>
      <c r="U166" s="7">
        <f>(Q65*($E65/366))+(Q66*($E66/366))</f>
        <v>0</v>
      </c>
      <c r="V166" s="12"/>
      <c r="W166" s="7">
        <f>R65*(E65/366) + R66*(E66/366)</f>
        <v>73.60464480874316</v>
      </c>
      <c r="X166" s="5"/>
    </row>
    <row r="167" spans="1:24" s="4" customFormat="1" ht="9" customHeight="1">
      <c r="A167" s="21">
        <v>1989</v>
      </c>
      <c r="B167" s="11">
        <f>(K67*($E67/365))+(K68*($E68/365))</f>
        <v>100</v>
      </c>
      <c r="C167" s="11">
        <f>(L67*($E67/365))+(L68*($E68/365))</f>
        <v>0</v>
      </c>
      <c r="D167" s="11">
        <f>(M67*($E67/365))+(M68*($E68/365))</f>
        <v>0</v>
      </c>
      <c r="E167" s="32">
        <f t="shared" si="48"/>
        <v>100</v>
      </c>
      <c r="G167" s="21">
        <v>1989</v>
      </c>
      <c r="H167" s="892">
        <f>(O67/$R67*100*($E67/365))+(O68/$R68*100*($E68/365))</f>
        <v>100</v>
      </c>
      <c r="I167" s="892"/>
      <c r="J167" s="892">
        <f>(P67/$R67*100*($E67/365))+(P68/$R68*100*($E68/365))</f>
        <v>0</v>
      </c>
      <c r="K167" s="892"/>
      <c r="L167" s="892">
        <f>(Q67/$R67*100*($E67/365))+(Q68/$R68*100*($E68/365))</f>
        <v>0</v>
      </c>
      <c r="M167" s="892"/>
      <c r="N167" s="893">
        <f t="shared" si="49"/>
        <v>100</v>
      </c>
      <c r="O167" s="893"/>
      <c r="R167" s="21">
        <v>1989</v>
      </c>
      <c r="S167" s="11">
        <f>(O67*($E67/365))+(O68*($E68/365))</f>
        <v>57.3</v>
      </c>
      <c r="T167" s="11">
        <f>(P67*($E67/365))+(P68*($E68/365))</f>
        <v>0</v>
      </c>
      <c r="U167" s="11">
        <f>(Q67*($E67/365))+(Q68*($E68/365))</f>
        <v>0</v>
      </c>
      <c r="V167" s="27"/>
      <c r="W167" s="11">
        <f>R67*(E67/365) + R68*(E68/365)</f>
        <v>57.3</v>
      </c>
      <c r="X167" s="19"/>
    </row>
    <row r="168" spans="1:24" ht="9" customHeight="1">
      <c r="A168" s="1">
        <v>1990</v>
      </c>
      <c r="B168" s="7">
        <f>(K69*($E69/365))+(K70*($E70/365))</f>
        <v>100</v>
      </c>
      <c r="C168" s="7">
        <f>(L69*($E69/365))+(L70*($E70/365))</f>
        <v>0</v>
      </c>
      <c r="D168" s="7">
        <f>(M69*($E69/365))+(M70*($E70/365))</f>
        <v>0</v>
      </c>
      <c r="E168" s="33">
        <f t="shared" si="48"/>
        <v>100</v>
      </c>
      <c r="G168" s="1">
        <v>1990</v>
      </c>
      <c r="H168" s="886">
        <f>(O69/$R69*100*($E69/365))+(O70/$R70*100*($E70/365))</f>
        <v>100</v>
      </c>
      <c r="I168" s="886"/>
      <c r="J168" s="886">
        <f>(P69/$R69*100*($E69/365))+(P70/$R70*100*($E70/365))</f>
        <v>0</v>
      </c>
      <c r="K168" s="886"/>
      <c r="L168" s="886">
        <f>(Q69/$R69*100*($E69/365))+(Q70/$R70*100*($E70/365))</f>
        <v>0</v>
      </c>
      <c r="M168" s="886"/>
      <c r="N168" s="919">
        <f t="shared" si="49"/>
        <v>100</v>
      </c>
      <c r="O168" s="919"/>
      <c r="R168" s="1">
        <v>1990</v>
      </c>
      <c r="S168" s="7">
        <f>(O69*($E69/365))+(O70*($E70/365))</f>
        <v>57.3</v>
      </c>
      <c r="T168" s="7">
        <f>(P69*($E69/365))+(P70*($E70/365))</f>
        <v>0</v>
      </c>
      <c r="U168" s="7">
        <f>(Q69*($E69/365))+(Q70*($E70/365))</f>
        <v>0</v>
      </c>
      <c r="V168" s="12"/>
      <c r="W168" s="7">
        <f>R69*(E69/365) + R70*(E70/365)</f>
        <v>57.3</v>
      </c>
      <c r="X168" s="5"/>
    </row>
    <row r="169" spans="1:24" ht="9" customHeight="1">
      <c r="A169" s="1">
        <v>1991</v>
      </c>
      <c r="B169" s="7">
        <f>(K71*($E71/365))+(K72*($E72/365))</f>
        <v>100</v>
      </c>
      <c r="C169" s="7">
        <f>(L71*($E71/365))+(L72*($E72/365))</f>
        <v>0</v>
      </c>
      <c r="D169" s="7">
        <f>(M71*($E71/365))+(M72*($E72/365))</f>
        <v>0</v>
      </c>
      <c r="E169" s="33">
        <f t="shared" ref="E169:E192" si="50">SUM(B169:D169)</f>
        <v>100</v>
      </c>
      <c r="G169" s="1">
        <v>1991</v>
      </c>
      <c r="H169" s="886">
        <f>(O71/$R71*100*($E71/365))+(O72/$R72*100*($E72/365))</f>
        <v>100</v>
      </c>
      <c r="I169" s="886"/>
      <c r="J169" s="886">
        <f>(P71/$R71*100*($E71/365))+(P72/$R72*100*($E72/365))</f>
        <v>0</v>
      </c>
      <c r="K169" s="886"/>
      <c r="L169" s="886">
        <f>(Q71/$R71*100*($E71/365))+(Q72/$R72*100*($E72/365))</f>
        <v>0</v>
      </c>
      <c r="M169" s="886"/>
      <c r="N169" s="919">
        <f t="shared" si="49"/>
        <v>100</v>
      </c>
      <c r="O169" s="919"/>
      <c r="R169" s="1">
        <v>1991</v>
      </c>
      <c r="S169" s="7">
        <f>(O71*($E71/365))+(O72*($E72/365))</f>
        <v>57.3</v>
      </c>
      <c r="T169" s="7">
        <f>(P71*($E71/365))+(P72*($E72/365))</f>
        <v>0</v>
      </c>
      <c r="U169" s="7">
        <f>(Q71*($E71/365))+(Q72*($E72/365))</f>
        <v>0</v>
      </c>
      <c r="V169" s="12"/>
      <c r="W169" s="7">
        <f>R71*(E71/365) + R72*(E72/365)</f>
        <v>57.3</v>
      </c>
      <c r="X169" s="5"/>
    </row>
    <row r="170" spans="1:24" ht="9" customHeight="1">
      <c r="A170" s="1">
        <v>1992</v>
      </c>
      <c r="B170" s="7">
        <f>(K73*($E73/366))+(K74*($E74/366))</f>
        <v>100</v>
      </c>
      <c r="C170" s="7">
        <f>(L73*($E73/366))+(L74*($E74/366))</f>
        <v>0</v>
      </c>
      <c r="D170" s="7">
        <f>(M73*($E73/366))+(M74*($E74/366))</f>
        <v>0</v>
      </c>
      <c r="E170" s="33">
        <f t="shared" si="50"/>
        <v>100</v>
      </c>
      <c r="G170" s="1">
        <v>1992</v>
      </c>
      <c r="H170" s="886">
        <f>(O73/$R73*100*($E73/366))+(O74/$R74*100*($E74/366))</f>
        <v>100</v>
      </c>
      <c r="I170" s="886"/>
      <c r="J170" s="886">
        <f>(P73/$R73*100*($E73/366))+(P74/$R74*100*($E74/366))</f>
        <v>0</v>
      </c>
      <c r="K170" s="886"/>
      <c r="L170" s="886">
        <f>(Q73/$R73*100*($E73/366))+(Q74/$R74*100*($E74/366))</f>
        <v>0</v>
      </c>
      <c r="M170" s="886"/>
      <c r="N170" s="919">
        <f t="shared" si="49"/>
        <v>100</v>
      </c>
      <c r="O170" s="919"/>
      <c r="R170" s="1">
        <v>1992</v>
      </c>
      <c r="S170" s="7">
        <f>(O73*($E73/366))+(O74*($E74/366))</f>
        <v>57.3</v>
      </c>
      <c r="T170" s="7">
        <f>(P73*($E73/366))+(P74*($E74/366))</f>
        <v>0</v>
      </c>
      <c r="U170" s="7">
        <f>(Q73*($E73/366))+(Q74*($E74/366))</f>
        <v>0</v>
      </c>
      <c r="V170" s="12"/>
      <c r="W170" s="7">
        <f>R73*(E73/366) + R74*(E74/366)</f>
        <v>57.3</v>
      </c>
      <c r="X170" s="5"/>
    </row>
    <row r="171" spans="1:24" ht="9" customHeight="1">
      <c r="A171" s="1">
        <v>1993</v>
      </c>
      <c r="B171" s="7">
        <f>(K75*($E75/365))+(K76*($E76/365))+(K77*($E77/365))</f>
        <v>84.109589041095887</v>
      </c>
      <c r="C171" s="7">
        <f>(L75*($E75/365))+(L76*($E76/365))+(L77*($E77/365))</f>
        <v>15.890410958904111</v>
      </c>
      <c r="D171" s="7">
        <f>(M75*($E75/365))+(M76*($E76/365))+(M77*($E77/365))</f>
        <v>0</v>
      </c>
      <c r="E171" s="33">
        <f t="shared" si="50"/>
        <v>100</v>
      </c>
      <c r="G171" s="1">
        <v>1993</v>
      </c>
      <c r="H171" s="886">
        <f>(O75/$R75*100*($E75/365))+(O76/$R76*100*($E76/365))+(O77/$R77*100*($E77/365))</f>
        <v>84.109589041095887</v>
      </c>
      <c r="I171" s="886"/>
      <c r="J171" s="886">
        <f>(P75/$R75*100*($E75/365))+(P76/$R76*100*($E76/365))+(P77/$R77*100*($E77/365))</f>
        <v>15.890410958904111</v>
      </c>
      <c r="K171" s="886"/>
      <c r="L171" s="886">
        <f>(Q75/$R75*100*($E75/365))+(Q76/$R76*100*($E76/365))+(Q77/$R77*100*($E77/365))</f>
        <v>0</v>
      </c>
      <c r="M171" s="886"/>
      <c r="N171" s="919">
        <f t="shared" si="49"/>
        <v>100</v>
      </c>
      <c r="O171" s="919"/>
      <c r="R171" s="1">
        <v>1993</v>
      </c>
      <c r="S171" s="7">
        <f>(O75*($E75/365))+(O75*($E75/365))+(O77*($E77/365))</f>
        <v>54.945205479452049</v>
      </c>
      <c r="T171" s="7">
        <f>(P75*($E75/365))+(P75*($E75/365))+(P77*($E77/365))</f>
        <v>9.5342465753424666</v>
      </c>
      <c r="U171" s="7">
        <f>(Q75*($E75/365))+(Q75*($E75/365))+(Q77*($E77/365))</f>
        <v>0</v>
      </c>
      <c r="V171" s="12"/>
      <c r="W171" s="7">
        <f>R76*(E76/365) + R77*(E77/365)</f>
        <v>30.256438356164381</v>
      </c>
      <c r="X171" s="5"/>
    </row>
    <row r="172" spans="1:24" ht="9" customHeight="1">
      <c r="A172" s="1">
        <v>1994</v>
      </c>
      <c r="B172" s="7">
        <f>(K78*($E78/365))+(K79*($E79/365))</f>
        <v>0</v>
      </c>
      <c r="C172" s="7">
        <f>(L78*($E78/365))+(L79*($E79/365))</f>
        <v>100</v>
      </c>
      <c r="D172" s="7">
        <f>(M78*($E78/365))+(M79*($E79/365))</f>
        <v>0</v>
      </c>
      <c r="E172" s="33">
        <f t="shared" si="50"/>
        <v>100</v>
      </c>
      <c r="G172" s="1">
        <v>1994</v>
      </c>
      <c r="H172" s="886">
        <f>(O78/$R78*100*($E78/365))+(O79/$R79*100*($E79/365))</f>
        <v>0</v>
      </c>
      <c r="I172" s="886"/>
      <c r="J172" s="886">
        <f>(P78/$R78*100*($E78/365))+(P79/$R79*100*($E79/365))</f>
        <v>100</v>
      </c>
      <c r="K172" s="886"/>
      <c r="L172" s="886">
        <f>(Q78/$R78*100*($E78/365))+(Q79/$R79*100*($E79/365))</f>
        <v>0</v>
      </c>
      <c r="M172" s="886"/>
      <c r="N172" s="919">
        <f t="shared" si="49"/>
        <v>100</v>
      </c>
      <c r="O172" s="919"/>
      <c r="R172" s="1">
        <v>1994</v>
      </c>
      <c r="S172" s="7">
        <f>(O78*($E78/365))+(O79*($E79/365))</f>
        <v>0</v>
      </c>
      <c r="T172" s="7">
        <f>(P78*($E78/365))+(P79*($E79/365))</f>
        <v>60</v>
      </c>
      <c r="U172" s="7">
        <f>(Q78*($E78/365))+(Q79*($E79/365))</f>
        <v>0</v>
      </c>
      <c r="V172" s="12"/>
      <c r="W172" s="7">
        <f>R78*(E78/365) + R79*(E79/365)</f>
        <v>60</v>
      </c>
      <c r="X172" s="5"/>
    </row>
    <row r="173" spans="1:24" ht="9" customHeight="1">
      <c r="A173" s="1">
        <v>1995</v>
      </c>
      <c r="B173" s="7">
        <f>(K80*($E80/365))+(K81*($E81/365))</f>
        <v>0</v>
      </c>
      <c r="C173" s="7">
        <f>(L80*($E80/365))+(L81*($E81/365))</f>
        <v>100</v>
      </c>
      <c r="D173" s="7">
        <f>(M80*($E80/365))+(M81*($E81/365))</f>
        <v>0</v>
      </c>
      <c r="E173" s="33">
        <f t="shared" si="50"/>
        <v>100</v>
      </c>
      <c r="G173" s="1">
        <v>1995</v>
      </c>
      <c r="H173" s="886">
        <f>(O80/$R80*100*($E80/365))+(O81/$R81*100*($E81/365))</f>
        <v>0</v>
      </c>
      <c r="I173" s="886"/>
      <c r="J173" s="886">
        <f>(P80/$R80*100*($E80/365))+(P81/$R81*100*($E81/365))</f>
        <v>100</v>
      </c>
      <c r="K173" s="886"/>
      <c r="L173" s="886">
        <f>(Q80/$R80*100*($E80/365))+(Q81/$R81*100*($E81/365))</f>
        <v>0</v>
      </c>
      <c r="M173" s="886"/>
      <c r="N173" s="919">
        <f t="shared" si="49"/>
        <v>100</v>
      </c>
      <c r="O173" s="919"/>
      <c r="R173" s="1">
        <v>1995</v>
      </c>
      <c r="S173" s="7">
        <f>(O80*($E80/365))+(O81*($E81/365))</f>
        <v>0</v>
      </c>
      <c r="T173" s="7">
        <f>(P80*($E80/365))+(P81*($E81/365))</f>
        <v>60</v>
      </c>
      <c r="U173" s="7">
        <f>(Q80*($E80/365))+(Q81*($E81/365))</f>
        <v>0</v>
      </c>
      <c r="V173" s="12"/>
      <c r="W173" s="7">
        <f>R80*(E80/365) + R81*(E81/365)</f>
        <v>60</v>
      </c>
      <c r="X173" s="5"/>
    </row>
    <row r="174" spans="1:24" ht="9" customHeight="1">
      <c r="A174" s="1">
        <v>1996</v>
      </c>
      <c r="B174" s="7">
        <f>(K82*($E82/366))+(K83*($E83/366))</f>
        <v>0</v>
      </c>
      <c r="C174" s="7">
        <f>(L82*($E82/366))+(L83*($E83/366))</f>
        <v>100</v>
      </c>
      <c r="D174" s="7">
        <f>(M82*($E82/366))+(M83*($E83/366))</f>
        <v>0</v>
      </c>
      <c r="E174" s="33">
        <f t="shared" si="50"/>
        <v>100</v>
      </c>
      <c r="G174" s="1">
        <v>1996</v>
      </c>
      <c r="H174" s="886">
        <f>(O82/$R82*100*($E82/366))+(O83/$R83*100*($E83/366))</f>
        <v>0</v>
      </c>
      <c r="I174" s="886"/>
      <c r="J174" s="886">
        <f>(P82/$R82*100*($E82/366))+(P83/$R83*100*($E83/366))</f>
        <v>100</v>
      </c>
      <c r="K174" s="886"/>
      <c r="L174" s="886">
        <f>(Q82/$R82*100*($E82/366))+(Q83/$R83*100*($E83/366))</f>
        <v>0</v>
      </c>
      <c r="M174" s="886"/>
      <c r="N174" s="919">
        <f t="shared" si="49"/>
        <v>100</v>
      </c>
      <c r="O174" s="919"/>
      <c r="R174" s="1">
        <v>1996</v>
      </c>
      <c r="S174" s="7">
        <f>(O82*($E82/366))+(O83*($E83/366))</f>
        <v>0</v>
      </c>
      <c r="T174" s="7">
        <f>(P82*($E82/366))+(P83*($E83/366))</f>
        <v>60</v>
      </c>
      <c r="U174" s="7">
        <f>(Q82*($E82/366))+(Q83*($E83/366))</f>
        <v>0</v>
      </c>
      <c r="V174" s="12"/>
      <c r="W174" s="7">
        <f>R82*(E82/366) + R83*(E83/366)</f>
        <v>60</v>
      </c>
      <c r="X174" s="5"/>
    </row>
    <row r="175" spans="1:24" ht="9" customHeight="1">
      <c r="A175" s="1">
        <v>1997</v>
      </c>
      <c r="B175" s="7">
        <f>(K84*($E84/365))+(K85*($E85/365))</f>
        <v>0</v>
      </c>
      <c r="C175" s="7">
        <f>(L84*($E84/365))+(L85*($E85/365))</f>
        <v>100</v>
      </c>
      <c r="D175" s="7">
        <f>(M84*($E84/365))+(M85*($E85/365))</f>
        <v>0</v>
      </c>
      <c r="E175" s="33">
        <f t="shared" si="50"/>
        <v>100</v>
      </c>
      <c r="G175" s="1">
        <v>1997</v>
      </c>
      <c r="H175" s="886">
        <f>(O84/$R84*100*($E84/365))+(O85/$R85*100*($E85/365))</f>
        <v>0</v>
      </c>
      <c r="I175" s="886"/>
      <c r="J175" s="886">
        <f>(P84/$R84*100*($E84/365))+(P85/$R85*100*($E85/365))</f>
        <v>100</v>
      </c>
      <c r="K175" s="886"/>
      <c r="L175" s="886">
        <f>(Q84/$R84*100*($E84/365))+(Q85/$R85*100*($E85/365))</f>
        <v>0</v>
      </c>
      <c r="M175" s="886"/>
      <c r="N175" s="919">
        <f t="shared" si="49"/>
        <v>100</v>
      </c>
      <c r="O175" s="919"/>
      <c r="R175" s="1">
        <v>1997</v>
      </c>
      <c r="S175" s="7">
        <f>(O84*($E84/365))+(O85*($E85/365))</f>
        <v>0</v>
      </c>
      <c r="T175" s="7">
        <f>(P84*($E84/365))+(P85*($E85/365))</f>
        <v>55.249315068493154</v>
      </c>
      <c r="U175" s="7">
        <f>(Q84*($E84/365))+(Q85*($E85/365))</f>
        <v>0</v>
      </c>
      <c r="V175" s="12"/>
      <c r="W175" s="7">
        <f>R84*(E84/365) + R85*(E85/365)</f>
        <v>55.249315068493154</v>
      </c>
      <c r="X175" s="5"/>
    </row>
    <row r="176" spans="1:24" ht="9" customHeight="1">
      <c r="A176" s="1">
        <v>1998</v>
      </c>
      <c r="B176" s="7">
        <f>(K86*($E86/365))+(K87*($E87/365))</f>
        <v>0</v>
      </c>
      <c r="C176" s="7">
        <f>(L86*($E86/365))+(L87*($E87/365))</f>
        <v>100</v>
      </c>
      <c r="D176" s="7">
        <f>(M86*($E86/365))+(M87*($E87/365))</f>
        <v>0</v>
      </c>
      <c r="E176" s="33">
        <f t="shared" si="50"/>
        <v>100</v>
      </c>
      <c r="G176" s="1">
        <v>1998</v>
      </c>
      <c r="H176" s="886">
        <f>(O86/$R86*100*($E86/365))+(O87/$R87*100*($E87/365))</f>
        <v>0</v>
      </c>
      <c r="I176" s="886"/>
      <c r="J176" s="886">
        <f>(P86/$R86*100*($E86/365))+(P87/$R87*100*($E87/365))</f>
        <v>100</v>
      </c>
      <c r="K176" s="886"/>
      <c r="L176" s="886">
        <f>(Q86/$R86*100*($E86/365))+(Q87/$R87*100*($E87/365))</f>
        <v>0</v>
      </c>
      <c r="M176" s="886"/>
      <c r="N176" s="919">
        <f t="shared" si="49"/>
        <v>100</v>
      </c>
      <c r="O176" s="919"/>
      <c r="R176" s="1">
        <v>1998</v>
      </c>
      <c r="S176" s="7">
        <f>(O86*($E86/365))+(O87*($E87/365))</f>
        <v>0</v>
      </c>
      <c r="T176" s="7">
        <f>(P86*($E86/365))+(P87*($E87/365))</f>
        <v>51.5</v>
      </c>
      <c r="U176" s="7">
        <f>(Q86*($E86/365))+(Q87*($E87/365))</f>
        <v>0</v>
      </c>
      <c r="V176" s="12"/>
      <c r="W176" s="7">
        <f>R86*(E86/365) + R87*(E87/365)</f>
        <v>51.5</v>
      </c>
      <c r="X176" s="5"/>
    </row>
    <row r="177" spans="1:24" ht="9" customHeight="1">
      <c r="A177" s="1">
        <v>1999</v>
      </c>
      <c r="B177" s="7">
        <f>(K88*($E88/365))+(K89*($E89/365))</f>
        <v>0</v>
      </c>
      <c r="C177" s="7">
        <f>(L88*($E88/365))+(L89*($E89/365))</f>
        <v>100</v>
      </c>
      <c r="D177" s="7">
        <f>(M88*($E88/365))+(M89*($E89/365))</f>
        <v>0</v>
      </c>
      <c r="E177" s="33">
        <f t="shared" si="50"/>
        <v>100</v>
      </c>
      <c r="G177" s="1">
        <v>1999</v>
      </c>
      <c r="H177" s="886">
        <f>(O88/$R88*100*($E88/365))+(O89/$R89*100*($E89/365))</f>
        <v>0</v>
      </c>
      <c r="I177" s="886"/>
      <c r="J177" s="886">
        <f>(P88/$R88*100*($E88/365))+(P89/$R89*100*($E89/365))</f>
        <v>100</v>
      </c>
      <c r="K177" s="886"/>
      <c r="L177" s="886">
        <f>(Q88/$R88*100*($E88/365))+(Q89/$R89*100*($E89/365))</f>
        <v>0</v>
      </c>
      <c r="M177" s="886"/>
      <c r="N177" s="919">
        <f t="shared" si="49"/>
        <v>100</v>
      </c>
      <c r="O177" s="919"/>
      <c r="R177" s="1">
        <v>1999</v>
      </c>
      <c r="S177" s="7">
        <f>(O88*($E88/365))+(O89*($E89/365))</f>
        <v>0</v>
      </c>
      <c r="T177" s="7">
        <f>(P88*($E88/365))+(P89*($E89/365))</f>
        <v>51.5</v>
      </c>
      <c r="U177" s="7">
        <f>(Q88*($E88/365))+(Q89*($E89/365))</f>
        <v>0</v>
      </c>
      <c r="V177" s="12"/>
      <c r="W177" s="7">
        <f>R88*(E88/365) + R89*(E89/365)</f>
        <v>51.5</v>
      </c>
      <c r="X177" s="5"/>
    </row>
    <row r="178" spans="1:24" ht="9" customHeight="1">
      <c r="A178" s="1">
        <v>2000</v>
      </c>
      <c r="B178" s="7">
        <f>(K90*($E90/366))+(K91*($E91/366))</f>
        <v>0</v>
      </c>
      <c r="C178" s="7">
        <f>(L90*($E90/366))+(L91*($E91/366))</f>
        <v>100</v>
      </c>
      <c r="D178" s="7">
        <f>(M90*($E90/366))+(M91*($E91/366))</f>
        <v>0</v>
      </c>
      <c r="E178" s="33">
        <f t="shared" si="50"/>
        <v>100</v>
      </c>
      <c r="G178" s="1">
        <v>2000</v>
      </c>
      <c r="H178" s="886">
        <f>(O90/$R90*100*($E90/366))+(O91/$R91*100*($E91/366))</f>
        <v>0</v>
      </c>
      <c r="I178" s="886"/>
      <c r="J178" s="886">
        <f>(P90/$R90*100*($E90/366))+(P91/$R91*100*($E91/366))</f>
        <v>100</v>
      </c>
      <c r="K178" s="886"/>
      <c r="L178" s="886">
        <f>(Q90/$R90*100*($E90/366))+(Q91/$R91*100*($E91/366))</f>
        <v>0</v>
      </c>
      <c r="M178" s="886"/>
      <c r="N178" s="919">
        <f t="shared" si="49"/>
        <v>100</v>
      </c>
      <c r="O178" s="919"/>
      <c r="R178" s="1">
        <v>2000</v>
      </c>
      <c r="S178" s="7">
        <f>(O90*($E90/366))+(O91*($E91/366))</f>
        <v>0</v>
      </c>
      <c r="T178" s="7">
        <f>(P90*($E90/366))+(P91*($E91/366))</f>
        <v>52.035519125683059</v>
      </c>
      <c r="U178" s="7">
        <f>(Q90*($E90/366))+(Q91*($E91/366))</f>
        <v>0</v>
      </c>
      <c r="V178" s="12"/>
      <c r="W178" s="7">
        <f>R90*(E90/366) + R91*(E91/366)</f>
        <v>52.035519125683059</v>
      </c>
      <c r="X178" s="5"/>
    </row>
    <row r="179" spans="1:24" ht="9" customHeight="1">
      <c r="A179" s="1">
        <v>2001</v>
      </c>
      <c r="B179" s="7">
        <f>(K92*($E92/365))+(K93*($E93/365))</f>
        <v>0</v>
      </c>
      <c r="C179" s="7">
        <f>(L92*($E92/365))+(L93*($E93/365))</f>
        <v>100</v>
      </c>
      <c r="D179" s="7">
        <f>(M92*($E92/365))+(M93*($E93/365))</f>
        <v>0</v>
      </c>
      <c r="E179" s="33">
        <f t="shared" si="50"/>
        <v>100</v>
      </c>
      <c r="G179" s="1">
        <v>2001</v>
      </c>
      <c r="H179" s="886">
        <f>(O92/$R92*100*($E92/365))+(O93/$R93*100*($E93/365))</f>
        <v>0</v>
      </c>
      <c r="I179" s="886"/>
      <c r="J179" s="886">
        <f>(P92/$R92*100*($E92/365))+(P93/$R93*100*($E93/365))</f>
        <v>100</v>
      </c>
      <c r="K179" s="886"/>
      <c r="L179" s="886">
        <f>(Q92/$R92*100*($E92/365))+(Q93/$R93*100*($E93/365))</f>
        <v>0</v>
      </c>
      <c r="M179" s="886"/>
      <c r="N179" s="919">
        <f t="shared" si="49"/>
        <v>100</v>
      </c>
      <c r="O179" s="919"/>
      <c r="R179" s="1">
        <v>2001</v>
      </c>
      <c r="S179" s="7">
        <f>(O92*($E92/365))+(O93*($E93/365))</f>
        <v>0</v>
      </c>
      <c r="T179" s="7">
        <f>(P92*($E92/365))+(P93*($E93/365))</f>
        <v>57.1</v>
      </c>
      <c r="U179" s="7">
        <f>(Q92*($E92/365))+(Q93*($E93/365))</f>
        <v>0</v>
      </c>
      <c r="V179" s="12"/>
      <c r="W179" s="7">
        <f>R92*(E92/365) + R93*(E93/365)</f>
        <v>57.1</v>
      </c>
      <c r="X179" s="5"/>
    </row>
    <row r="180" spans="1:24" ht="9" customHeight="1">
      <c r="A180" s="1">
        <v>2002</v>
      </c>
      <c r="B180" s="7">
        <f>(K94*($E94/365))+(K95*($E95/365))</f>
        <v>0</v>
      </c>
      <c r="C180" s="7">
        <f>(L94*($E94/365))+(L95*($E95/365))</f>
        <v>100</v>
      </c>
      <c r="D180" s="7">
        <f>(M94*($E94/365))+(M95*($E95/365))</f>
        <v>0</v>
      </c>
      <c r="E180" s="33">
        <f t="shared" si="50"/>
        <v>100</v>
      </c>
      <c r="G180" s="1">
        <v>2002</v>
      </c>
      <c r="H180" s="886">
        <f>(O94/$R94*100*($E94/365))+(O95/$R95*100*($E95/365))</f>
        <v>0</v>
      </c>
      <c r="I180" s="886"/>
      <c r="J180" s="886">
        <f>(P94/$R94*100*($E94/365))+(P95/$R95*100*($E95/365))</f>
        <v>100</v>
      </c>
      <c r="K180" s="886"/>
      <c r="L180" s="886">
        <f>(Q94/$R94*100*($E94/365))+(Q95/$R95*100*($E95/365))</f>
        <v>0</v>
      </c>
      <c r="M180" s="886"/>
      <c r="N180" s="919">
        <f t="shared" si="49"/>
        <v>100</v>
      </c>
      <c r="O180" s="919"/>
      <c r="R180" s="1">
        <v>2002</v>
      </c>
      <c r="S180" s="7">
        <f>(O94*($E94/365))+(O95*($E95/365))</f>
        <v>0</v>
      </c>
      <c r="T180" s="7">
        <f>(P94*($E94/365))+(P95*($E95/365))</f>
        <v>57.1</v>
      </c>
      <c r="U180" s="7">
        <f>(Q94*($E94/365))+(Q95*($E95/365))</f>
        <v>0</v>
      </c>
      <c r="V180" s="12"/>
      <c r="W180" s="7">
        <f>R94*(E94/365) + R95*(E95/365)</f>
        <v>57.1</v>
      </c>
      <c r="X180" s="5"/>
    </row>
    <row r="181" spans="1:24" ht="9" customHeight="1">
      <c r="A181" s="1">
        <v>2003</v>
      </c>
      <c r="B181" s="7">
        <f>(K96*($E96/365))+(K97*($E97/365))</f>
        <v>0</v>
      </c>
      <c r="C181" s="7">
        <f>(L96*($E96/365))+(L97*($E97/365))</f>
        <v>100</v>
      </c>
      <c r="D181" s="7">
        <f>(M96*($E96/365))+(M97*($E97/365))</f>
        <v>0</v>
      </c>
      <c r="E181" s="33">
        <f t="shared" si="50"/>
        <v>100</v>
      </c>
      <c r="G181" s="1">
        <v>2003</v>
      </c>
      <c r="H181" s="886">
        <f>(O96/$R96*100*($E96/365))+(O97/$R97*100*($E97/365))</f>
        <v>0</v>
      </c>
      <c r="I181" s="886"/>
      <c r="J181" s="886">
        <f>(P96/$R96*100*($E96/365))+(P97/$R97*100*($E97/365))</f>
        <v>100</v>
      </c>
      <c r="K181" s="886"/>
      <c r="L181" s="886">
        <f>(Q96/$R96*100*($E96/365))+(Q97/$R97*100*($E97/365))</f>
        <v>0</v>
      </c>
      <c r="M181" s="886"/>
      <c r="N181" s="919">
        <f t="shared" si="49"/>
        <v>100</v>
      </c>
      <c r="O181" s="919"/>
      <c r="R181" s="1">
        <v>2003</v>
      </c>
      <c r="S181" s="7">
        <f>(O96*($E96/365))+(O97*($E97/365))</f>
        <v>0</v>
      </c>
      <c r="T181" s="7">
        <f>(P96*($E96/365))+(P97*($E97/365))</f>
        <v>57.1</v>
      </c>
      <c r="U181" s="7">
        <f>(Q96*($E96/365))+(Q97*($E97/365))</f>
        <v>0</v>
      </c>
      <c r="V181" s="12"/>
      <c r="W181" s="7">
        <f>R96*(E96/365) + R97*(E97/365)</f>
        <v>57.1</v>
      </c>
      <c r="X181" s="5"/>
    </row>
    <row r="182" spans="1:24" ht="9" customHeight="1">
      <c r="A182" s="1">
        <v>2004</v>
      </c>
      <c r="B182" s="7">
        <f>(K98*($E98/366))+(K99*($E99/366))</f>
        <v>0</v>
      </c>
      <c r="C182" s="7">
        <f>(L98*($E98/366))+(L99*($E99/366))</f>
        <v>100</v>
      </c>
      <c r="D182" s="7">
        <f>(M98*($E98/366))+(M99*($E99/366))</f>
        <v>0</v>
      </c>
      <c r="E182" s="33">
        <f t="shared" si="50"/>
        <v>100</v>
      </c>
      <c r="G182" s="1">
        <v>2004</v>
      </c>
      <c r="H182" s="886">
        <f>(O98/$R98*100*($E98/366))+(O99/$R99*100*($E99/366))</f>
        <v>0</v>
      </c>
      <c r="I182" s="886"/>
      <c r="J182" s="886">
        <f>(P98/$R98*100*($E98/366))+(P99/$R99*100*($E99/366))</f>
        <v>100</v>
      </c>
      <c r="K182" s="886"/>
      <c r="L182" s="886">
        <f>(Q98/$R98*100*($E98/366))+(Q99/$R99*100*($E99/366))</f>
        <v>0</v>
      </c>
      <c r="M182" s="886"/>
      <c r="N182" s="919">
        <f t="shared" si="49"/>
        <v>100</v>
      </c>
      <c r="O182" s="919"/>
      <c r="R182" s="1">
        <v>2004</v>
      </c>
      <c r="S182" s="7">
        <f>(O98*($E98/366))+(O99*($E99/366))</f>
        <v>0</v>
      </c>
      <c r="T182" s="7">
        <f>(P98*($E98/366))+(P99*($E99/366))</f>
        <v>51.10409836065574</v>
      </c>
      <c r="U182" s="7">
        <f>(Q98*($E98/366))+(Q99*($E99/366))</f>
        <v>0</v>
      </c>
      <c r="V182" s="12"/>
      <c r="W182" s="7">
        <f>R98*(E98/366) + R99*(E99/366)</f>
        <v>51.10409836065574</v>
      </c>
      <c r="X182" s="5"/>
    </row>
    <row r="183" spans="1:24" ht="9" customHeight="1">
      <c r="A183" s="1">
        <v>2005</v>
      </c>
      <c r="B183" s="7">
        <f>(K100*($E100/365))+(K101*($E101/365))</f>
        <v>0</v>
      </c>
      <c r="C183" s="7">
        <f>(L100*($E100/365))+(L101*($E101/365))</f>
        <v>100</v>
      </c>
      <c r="D183" s="7">
        <f>(M100*($E100/365))+(M101*($E101/365))</f>
        <v>0</v>
      </c>
      <c r="E183" s="33">
        <f t="shared" si="50"/>
        <v>100</v>
      </c>
      <c r="G183" s="15">
        <v>2005</v>
      </c>
      <c r="H183" s="938">
        <f>(O100/$R100*100*($E100/365))+(O101/$R101*100*($E101/365))</f>
        <v>0</v>
      </c>
      <c r="I183" s="938"/>
      <c r="J183" s="938">
        <f>(P100/$R100*100*($E100/365))+(P101/$R101*100*($E101/365))</f>
        <v>100</v>
      </c>
      <c r="K183" s="938"/>
      <c r="L183" s="938">
        <f>(Q100/$R100*100*($E100/365))+(Q101/$R101*100*($E101/365))</f>
        <v>0</v>
      </c>
      <c r="M183" s="938"/>
      <c r="N183" s="930">
        <f t="shared" si="49"/>
        <v>100</v>
      </c>
      <c r="O183" s="930"/>
      <c r="R183" s="1">
        <v>2005</v>
      </c>
      <c r="S183" s="46">
        <f>(O100*($E100/365))+(O101*($E101/365))</f>
        <v>0</v>
      </c>
      <c r="T183" s="46">
        <f>(P100*($E100/365))+(P101*($E101/365))</f>
        <v>43.8</v>
      </c>
      <c r="U183" s="46">
        <f>(Q100*($E100/365))+(Q101*($E101/365))</f>
        <v>0</v>
      </c>
      <c r="V183" s="200"/>
      <c r="W183" s="46">
        <f>R100*(E100/365) + R101*(E101/365)</f>
        <v>43.8</v>
      </c>
      <c r="X183" s="5"/>
    </row>
    <row r="184" spans="1:24" ht="9" customHeight="1">
      <c r="A184" s="1">
        <v>2006</v>
      </c>
      <c r="B184" s="7">
        <f>(K102*($E102/365))+(K103*($E103/365))</f>
        <v>90.136986301369859</v>
      </c>
      <c r="C184" s="7">
        <f>(L102*($E102/365))+(L103*($E103/365))</f>
        <v>9.8630136986301373</v>
      </c>
      <c r="D184" s="7">
        <f>(M102*($E102/365))+(M103*($E103/365))</f>
        <v>0</v>
      </c>
      <c r="E184" s="33">
        <f t="shared" si="50"/>
        <v>100</v>
      </c>
      <c r="G184" s="15">
        <v>2006</v>
      </c>
      <c r="H184" s="938">
        <f>(O102/$R102*100*($E102/365))+(O103/$R103*100*($E103/365))</f>
        <v>90.136986301369859</v>
      </c>
      <c r="I184" s="938"/>
      <c r="J184" s="938">
        <f>(P102/$R102*100*($E102/365))+(P103/$R103*100*($E103/365))</f>
        <v>9.8630136986301373</v>
      </c>
      <c r="K184" s="938"/>
      <c r="L184" s="938">
        <f>(Q102/$R102*100*($E102/365))+(Q103/$R103*100*($E103/365))</f>
        <v>0</v>
      </c>
      <c r="M184" s="938"/>
      <c r="N184" s="930">
        <f t="shared" si="49"/>
        <v>100</v>
      </c>
      <c r="O184" s="930"/>
      <c r="R184" s="1">
        <v>2006</v>
      </c>
      <c r="S184" s="46">
        <f>(O102*($E102/365))+(O103*($E103/365))</f>
        <v>36.325205479452052</v>
      </c>
      <c r="T184" s="46">
        <f>(P102*($E102/365))+(P103*($E103/365))</f>
        <v>4.3199999999999994</v>
      </c>
      <c r="U184" s="46">
        <f>(Q102*($E102/365))+(Q103*($E103/365))</f>
        <v>0</v>
      </c>
      <c r="V184" s="200"/>
      <c r="W184" s="46">
        <f>R102*(E102/365) + R103*(E103/365)</f>
        <v>40.645205479452052</v>
      </c>
      <c r="X184" s="5"/>
    </row>
    <row r="185" spans="1:24" ht="9" customHeight="1">
      <c r="A185" s="1">
        <v>2007</v>
      </c>
      <c r="B185" s="7">
        <f>(K104*($E104/365))+(K105*($E105/365))</f>
        <v>100</v>
      </c>
      <c r="C185" s="7">
        <f>(L104*($E104/365))+(L105*($E105/365))</f>
        <v>0</v>
      </c>
      <c r="D185" s="7">
        <f>(M104*($E104/365))+(M105*($E105/365))</f>
        <v>0</v>
      </c>
      <c r="E185" s="33">
        <f t="shared" si="50"/>
        <v>100</v>
      </c>
      <c r="G185" s="1">
        <v>2007</v>
      </c>
      <c r="H185" s="886">
        <f>(O104/$R104*100*($E104/365))+(O105/$R105*100*($E105/365))</f>
        <v>100</v>
      </c>
      <c r="I185" s="886"/>
      <c r="J185" s="886">
        <f>(P104/$R104*100*($E104/365))+(P105/$R105*100*($E105/365))</f>
        <v>0</v>
      </c>
      <c r="K185" s="886"/>
      <c r="L185" s="886">
        <f>(Q104/$R104*100*($E104/365))+(Q105/$R105*100*($E105/365))</f>
        <v>0</v>
      </c>
      <c r="M185" s="886"/>
      <c r="N185" s="919">
        <f t="shared" si="49"/>
        <v>100</v>
      </c>
      <c r="O185" s="919"/>
      <c r="R185" s="1">
        <v>2007</v>
      </c>
      <c r="S185" s="7">
        <f>(O104*($E104/365))+(O105*($E105/365))</f>
        <v>40.299999999999997</v>
      </c>
      <c r="T185" s="7">
        <f>(P104*($E104/365))+(P105*($E105/365))</f>
        <v>0</v>
      </c>
      <c r="U185" s="7">
        <f>(Q104*($E104/365))+(Q105*($E105/365))</f>
        <v>0</v>
      </c>
      <c r="V185" s="12"/>
      <c r="W185" s="7">
        <f>R104*(E104/365) + R105*(E105/365)</f>
        <v>40.299999999999997</v>
      </c>
      <c r="X185" s="5"/>
    </row>
    <row r="186" spans="1:24" ht="9" customHeight="1">
      <c r="A186" s="1">
        <v>2008</v>
      </c>
      <c r="B186" s="7">
        <f>(K106*($E106/366))+(K107*($E107/366))</f>
        <v>100</v>
      </c>
      <c r="C186" s="7">
        <f>(L106*($E106/366))+(L107*($E107/366))</f>
        <v>0</v>
      </c>
      <c r="D186" s="7">
        <f>(M106*($E106/366))+(M107*($E107/366))</f>
        <v>0</v>
      </c>
      <c r="E186" s="33">
        <f t="shared" si="50"/>
        <v>100</v>
      </c>
      <c r="G186" s="1">
        <v>2008</v>
      </c>
      <c r="H186" s="886">
        <f>(O106/$R106*100*($E106/366))+(O107/$R107*100*($E107/366))</f>
        <v>100</v>
      </c>
      <c r="I186" s="886"/>
      <c r="J186" s="886">
        <f>(P106/$R106*100*($E106/366))+(P107/$R107*100*($E107/366))</f>
        <v>0</v>
      </c>
      <c r="K186" s="886"/>
      <c r="L186" s="886">
        <f>(Q106/$R106*100*($E106/366))+(Q107/$R107*100*($E107/366))</f>
        <v>0</v>
      </c>
      <c r="M186" s="886"/>
      <c r="N186" s="919">
        <f t="shared" si="49"/>
        <v>100</v>
      </c>
      <c r="O186" s="919"/>
      <c r="R186" s="1">
        <v>2008</v>
      </c>
      <c r="S186" s="7">
        <f>(O106*($E106/366))+(O107*($E107/366))</f>
        <v>41.35</v>
      </c>
      <c r="T186" s="7">
        <f>(P106*($E106/366))+(P107*($E107/366))</f>
        <v>0</v>
      </c>
      <c r="U186" s="7">
        <f>(Q106*($E106/366))+(Q107*($E107/366))</f>
        <v>0</v>
      </c>
      <c r="V186" s="12"/>
      <c r="W186" s="7">
        <f>R106*(E106/366) + R107*(E107/366)</f>
        <v>41.35</v>
      </c>
      <c r="X186" s="5"/>
    </row>
    <row r="187" spans="1:24" ht="9" customHeight="1">
      <c r="A187" s="1">
        <v>2009</v>
      </c>
      <c r="B187" s="7">
        <f>(K108*($E108/365))+(K109*($E109/365))</f>
        <v>100</v>
      </c>
      <c r="C187" s="7">
        <f>(L108*($E108/365))+(L109*($E109/365))</f>
        <v>0</v>
      </c>
      <c r="D187" s="7">
        <f>(M108*($E108/365))+(M109*($E109/365))</f>
        <v>0</v>
      </c>
      <c r="E187" s="33">
        <f t="shared" si="50"/>
        <v>100</v>
      </c>
      <c r="G187" s="1">
        <v>2009</v>
      </c>
      <c r="H187" s="886">
        <f>(O108/$R108*100*($E108/365))+(O109/$R109*100*($E109/365))</f>
        <v>100</v>
      </c>
      <c r="I187" s="886"/>
      <c r="J187" s="886">
        <f>(P108/$R108*100*($E108/365))+(P109/$R109*100*($E109/365))</f>
        <v>0</v>
      </c>
      <c r="K187" s="886"/>
      <c r="L187" s="886">
        <f>(Q108/$R108*100*($E108/365))+(Q109/$R109*100*($E109/365))</f>
        <v>0</v>
      </c>
      <c r="M187" s="886"/>
      <c r="N187" s="919">
        <f t="shared" si="49"/>
        <v>100</v>
      </c>
      <c r="O187" s="919"/>
      <c r="R187" s="1">
        <v>2009</v>
      </c>
      <c r="S187" s="7">
        <f>(O108*($E108/365))+(O109*($E109/365))</f>
        <v>46.4</v>
      </c>
      <c r="T187" s="7">
        <f>(P108*($E108/365))+(P109*($E109/365))</f>
        <v>0</v>
      </c>
      <c r="U187" s="7">
        <f>(Q108*($E108/365))+(Q109*($E109/365))</f>
        <v>0</v>
      </c>
      <c r="V187" s="12"/>
      <c r="W187" s="7">
        <f>R108*(E108/365) + R109*(E109/365)</f>
        <v>46.4</v>
      </c>
      <c r="X187" s="5"/>
    </row>
    <row r="188" spans="1:24" ht="9" customHeight="1">
      <c r="A188" s="1">
        <v>2010</v>
      </c>
      <c r="B188" s="7">
        <f>(K110*($E110/365))+(K111*($E111/365))</f>
        <v>100</v>
      </c>
      <c r="C188" s="7">
        <f>(L110*($E110/365))+(L111*($E111/365))</f>
        <v>0</v>
      </c>
      <c r="D188" s="7">
        <f>(M110*($E110/365))+(M111*($E111/365))</f>
        <v>0</v>
      </c>
      <c r="E188" s="33">
        <f t="shared" si="50"/>
        <v>100</v>
      </c>
      <c r="G188" s="1">
        <v>2010</v>
      </c>
      <c r="H188" s="886">
        <f>(O110/$R110*100*($E110/365))+(O111/$R111*100*($E111/365))</f>
        <v>100</v>
      </c>
      <c r="I188" s="886"/>
      <c r="J188" s="886">
        <f>(P110/$R110*100*($E110/365))+(P111/$R111*100*($E111/365))</f>
        <v>0</v>
      </c>
      <c r="K188" s="886"/>
      <c r="L188" s="886">
        <f>(Q110/$R110*100*($E110/365))+(Q111/$R111*100*($E111/365))</f>
        <v>0</v>
      </c>
      <c r="M188" s="886"/>
      <c r="N188" s="919">
        <f t="shared" si="49"/>
        <v>100</v>
      </c>
      <c r="O188" s="919"/>
      <c r="R188" s="1">
        <v>2010</v>
      </c>
      <c r="S188" s="7">
        <f>(O110*($E110/365))+(O111*($E111/365))</f>
        <v>46.4</v>
      </c>
      <c r="T188" s="7">
        <f>(P110*($E110/365))+(P111*($E111/365))</f>
        <v>0</v>
      </c>
      <c r="U188" s="7">
        <f>(Q110*($E110/365))+(Q111*($E111/365))</f>
        <v>0</v>
      </c>
      <c r="V188" s="12"/>
      <c r="W188" s="7">
        <f>R110*(E110/365) + R111*(E111/365)</f>
        <v>46.4</v>
      </c>
      <c r="X188" s="5"/>
    </row>
    <row r="189" spans="1:24" ht="9" customHeight="1">
      <c r="A189" s="1">
        <v>2011</v>
      </c>
      <c r="B189" s="7">
        <f>(K112*($E112/365))+(K113*($E113/365))</f>
        <v>100</v>
      </c>
      <c r="C189" s="7">
        <f>(L112*($E112/365))+(L113*($E113/365))</f>
        <v>0</v>
      </c>
      <c r="D189" s="7">
        <f>(M112*($E112/365))+(M113*($E113/365))</f>
        <v>0</v>
      </c>
      <c r="E189" s="33">
        <f t="shared" si="50"/>
        <v>100</v>
      </c>
      <c r="G189" s="1">
        <v>2011</v>
      </c>
      <c r="H189" s="886">
        <f>(O112/$R112*100*($E112/365))+(O113/$R113*100*($E113/365))</f>
        <v>100</v>
      </c>
      <c r="I189" s="886"/>
      <c r="J189" s="886">
        <f>(P112/$R112*100*($E112/365))+(P113/$R113*100*($E113/365))</f>
        <v>0</v>
      </c>
      <c r="K189" s="886"/>
      <c r="L189" s="886">
        <f>(Q112/$R112*100*($E112/365))+(Q113/$R113*100*($E113/365))</f>
        <v>0</v>
      </c>
      <c r="M189" s="886"/>
      <c r="N189" s="919">
        <f t="shared" si="49"/>
        <v>100</v>
      </c>
      <c r="O189" s="919"/>
      <c r="R189" s="1">
        <v>2011</v>
      </c>
      <c r="S189" s="7">
        <f>(O112*($E112/365))+(O113*($E113/365))</f>
        <v>51.084931506849315</v>
      </c>
      <c r="T189" s="7">
        <f>(P112*($E112/365))+(P113*($E113/365))</f>
        <v>0</v>
      </c>
      <c r="U189" s="7">
        <f>(Q112*($E112/365))+(Q113*($E113/365))</f>
        <v>0</v>
      </c>
      <c r="V189" s="12"/>
      <c r="W189" s="7">
        <f>R112*(E112/365) + R113*(E113/365)</f>
        <v>51.084931506849315</v>
      </c>
      <c r="X189" s="5"/>
    </row>
    <row r="190" spans="1:24" ht="9" customHeight="1">
      <c r="A190" s="1">
        <v>2012</v>
      </c>
      <c r="B190" s="7">
        <f>(K114*($E114/366))+(K115*($E115/366))</f>
        <v>100</v>
      </c>
      <c r="C190" s="7">
        <f>(L114*($E114/366))+(L115*($E115/366))</f>
        <v>0</v>
      </c>
      <c r="D190" s="7">
        <f>(M114*($E114/366))+(M115*($E115/366))</f>
        <v>0</v>
      </c>
      <c r="E190" s="33">
        <f t="shared" si="50"/>
        <v>100</v>
      </c>
      <c r="G190" s="1">
        <v>2012</v>
      </c>
      <c r="H190" s="886">
        <f>(O114/$R114*100*($E114/366))+(O115/$R115*100*($E115/366))</f>
        <v>100</v>
      </c>
      <c r="I190" s="886"/>
      <c r="J190" s="886">
        <f>(P114/$R114*100*($E114/366))+(P115/$R115*100*($E115/366))</f>
        <v>0</v>
      </c>
      <c r="K190" s="886"/>
      <c r="L190" s="886">
        <f>(Q114/$R114*100*($E114/366))+(Q115/$R115*100*($E115/366))</f>
        <v>0</v>
      </c>
      <c r="M190" s="886"/>
      <c r="N190" s="919">
        <f t="shared" si="49"/>
        <v>100</v>
      </c>
      <c r="O190" s="919"/>
      <c r="R190" s="1">
        <v>2012</v>
      </c>
      <c r="S190" s="7">
        <f>(O114*($E114/366))+(O115*($E115/366))</f>
        <v>53.9</v>
      </c>
      <c r="T190" s="7">
        <f>(P114*($E114/366))+(P115*($E115/366))</f>
        <v>0</v>
      </c>
      <c r="U190" s="7">
        <f>(Q114*($E114/366))+(Q115*($E115/366))</f>
        <v>0</v>
      </c>
      <c r="V190" s="12"/>
      <c r="W190" s="7">
        <f>R114*(E114/366) + R115*(E115/366)</f>
        <v>53.9</v>
      </c>
      <c r="X190" s="5"/>
    </row>
    <row r="191" spans="1:24">
      <c r="A191" s="1">
        <v>2013</v>
      </c>
      <c r="B191" s="7">
        <f>(K116*($E116/365))+(K117*($E117/365))</f>
        <v>100</v>
      </c>
      <c r="C191" s="7">
        <f>(L116*($E116/365))+(L117*($E117/365))</f>
        <v>0</v>
      </c>
      <c r="D191" s="7">
        <f>(M116*($E116/365))+(M117*($E117/365))</f>
        <v>0</v>
      </c>
      <c r="E191" s="263">
        <f t="shared" si="50"/>
        <v>100</v>
      </c>
      <c r="G191" s="1">
        <v>2013</v>
      </c>
      <c r="H191" s="886">
        <f>(O116/$R116*100*($E116/365))+(O117/$R117*100*($E117/365))</f>
        <v>100</v>
      </c>
      <c r="I191" s="886"/>
      <c r="J191" s="886">
        <f>(P116/$R116*100*($E116/365))+(P117/$R117*100*($E117/365))</f>
        <v>0</v>
      </c>
      <c r="K191" s="886"/>
      <c r="L191" s="886">
        <f>(Q116/$R116*100*($E116/365))+(Q117/$R117*100*($E117/365))</f>
        <v>0</v>
      </c>
      <c r="M191" s="886"/>
      <c r="N191" s="919">
        <f t="shared" ref="N191:N196" si="51">SUM(H191:M191)</f>
        <v>100</v>
      </c>
      <c r="O191" s="919"/>
      <c r="R191" s="1">
        <v>2013</v>
      </c>
      <c r="S191" s="7">
        <f>(O116*($E116/365))+(O117*($E117/365))</f>
        <v>53.9</v>
      </c>
      <c r="T191" s="7">
        <f>(P116*($E116/365))+(P117*($E117/365))</f>
        <v>0</v>
      </c>
      <c r="U191" s="7">
        <f>(Q116*($E116/365))+(Q117*($E117/365))</f>
        <v>0</v>
      </c>
      <c r="W191" s="7">
        <f>R116*(E116/365) + R117*(E117/365)</f>
        <v>53.9</v>
      </c>
    </row>
    <row r="192" spans="1:24">
      <c r="A192" s="1">
        <v>2014</v>
      </c>
      <c r="B192" s="7">
        <f>(K118*($E118/365))+(K119*($E119/365))</f>
        <v>100</v>
      </c>
      <c r="C192" s="7">
        <f>(L118*($E118/365))+(L119*($E119/365))</f>
        <v>0</v>
      </c>
      <c r="D192" s="7">
        <f>(M118*($E118/365))+(M119*($E119/365))</f>
        <v>0</v>
      </c>
      <c r="E192" s="438">
        <f t="shared" si="50"/>
        <v>100</v>
      </c>
      <c r="G192" s="1">
        <v>2014</v>
      </c>
      <c r="H192" s="886">
        <f>(O118/$R118*100*($E118/365))+(O119/$R119*100*($E119/365))</f>
        <v>100</v>
      </c>
      <c r="I192" s="886"/>
      <c r="J192" s="886">
        <f>(P118/$R118*100*($E118/365))+(P119/$R119*100*($E119/365))</f>
        <v>0</v>
      </c>
      <c r="K192" s="886"/>
      <c r="L192" s="886">
        <f>(Q118/$R118*100*($E118/365))+(Q119/$R119*100*($E119/365))</f>
        <v>0</v>
      </c>
      <c r="M192" s="886"/>
      <c r="N192" s="919">
        <f t="shared" si="51"/>
        <v>100</v>
      </c>
      <c r="O192" s="919"/>
      <c r="R192" s="1">
        <v>2014</v>
      </c>
      <c r="S192" s="7">
        <f>(O118*($E118/365))+(O119*($E119/365))</f>
        <v>53.9</v>
      </c>
      <c r="T192" s="7">
        <f>(P118*($E118/365))+(P119*($E119/365))</f>
        <v>0</v>
      </c>
      <c r="U192" s="7">
        <f>(Q118*($E118/365))+(Q119*($E119/365))</f>
        <v>0</v>
      </c>
      <c r="W192" s="7">
        <f>R118*(E118/365) + R119*(E119/365)</f>
        <v>53.9</v>
      </c>
    </row>
    <row r="193" spans="1:23" s="577" customFormat="1">
      <c r="A193" s="577">
        <v>2015</v>
      </c>
      <c r="B193" s="576">
        <f>(K120*($E120/365))+(K121*($E121/365))</f>
        <v>84.109589041095887</v>
      </c>
      <c r="C193" s="576">
        <f>(L120*($E120/365))+(L121*($E121/365))</f>
        <v>15.890410958904111</v>
      </c>
      <c r="D193" s="576">
        <f>(M120*($E120/365))+(M121*($E121/365))</f>
        <v>0</v>
      </c>
      <c r="E193" s="573">
        <f>SUM(B193:D193)</f>
        <v>100</v>
      </c>
      <c r="G193" s="577">
        <v>2015</v>
      </c>
      <c r="H193" s="886">
        <f>(O120/$R120*100*($E120/365))+(O121/$R121*100*($E121/365))</f>
        <v>84.109589041095887</v>
      </c>
      <c r="I193" s="886"/>
      <c r="J193" s="886">
        <f>(P120/$R120*100*($E120/365))+(P121/$R121*100*($E121/365))</f>
        <v>15.890410958904111</v>
      </c>
      <c r="K193" s="886"/>
      <c r="L193" s="886">
        <f>(Q120/$R120*100*($E120/365))+(Q121/$R121*100*($E121/365))</f>
        <v>0</v>
      </c>
      <c r="M193" s="886"/>
      <c r="N193" s="919">
        <f t="shared" si="51"/>
        <v>100</v>
      </c>
      <c r="O193" s="919"/>
      <c r="R193" s="577">
        <v>2015</v>
      </c>
      <c r="S193" s="576">
        <f>(O120*($E120/365))+(O121*($E121/365))</f>
        <v>45.335068493150686</v>
      </c>
      <c r="T193" s="576">
        <f>(P120*($E120/365))+(P121*($E121/365))</f>
        <v>8.6443835616438367</v>
      </c>
      <c r="U193" s="576">
        <f>(Q120*($E120/365))+(Q121*($E121/365))</f>
        <v>0</v>
      </c>
      <c r="W193" s="576">
        <f>R120*(E120/365) + R121*(E121/365)</f>
        <v>53.979452054794521</v>
      </c>
    </row>
    <row r="194" spans="1:23" s="577" customFormat="1">
      <c r="A194" s="577">
        <v>2016</v>
      </c>
      <c r="B194" s="649">
        <f>(K122*($E122/366))+(K123*($E123/366))</f>
        <v>0</v>
      </c>
      <c r="C194" s="649">
        <f>(L122*($E122/366))+(L123*($E123/366))</f>
        <v>100</v>
      </c>
      <c r="D194" s="649">
        <f>(M122*($E122/366))+(M123*($E123/366))</f>
        <v>0</v>
      </c>
      <c r="E194" s="646">
        <f>SUM(B194:D194)</f>
        <v>100</v>
      </c>
      <c r="G194" s="577">
        <v>2016</v>
      </c>
      <c r="H194" s="886">
        <f>(O122/$R122*100*($E122/366))+(O123/$R123*100*($E123/366))</f>
        <v>0</v>
      </c>
      <c r="I194" s="886"/>
      <c r="J194" s="886">
        <f>(P122/$R122*100*($E122/366))+(P123/$R123*100*($E123/366))</f>
        <v>100</v>
      </c>
      <c r="K194" s="886"/>
      <c r="L194" s="886">
        <f>(Q122/$R122*100*($E122/366))+(Q123/$R123*100*($E123/366))</f>
        <v>0</v>
      </c>
      <c r="M194" s="886"/>
      <c r="N194" s="919">
        <f t="shared" si="51"/>
        <v>100</v>
      </c>
      <c r="O194" s="919"/>
      <c r="R194" s="577">
        <v>2016</v>
      </c>
      <c r="S194" s="649">
        <f>(O122*($E122/366))+(O123*($E123/366))</f>
        <v>0</v>
      </c>
      <c r="T194" s="649">
        <f>(P122*($E122/366))+(P123*($E123/366))</f>
        <v>54.4</v>
      </c>
      <c r="U194" s="649">
        <f>(Q122*($E122/366))+(Q123*($E123/366))</f>
        <v>0</v>
      </c>
      <c r="V194" s="650"/>
      <c r="W194" s="649">
        <f>R122*(E122/366) + R123*(E123/366)</f>
        <v>54.4</v>
      </c>
    </row>
    <row r="195" spans="1:23" s="577" customFormat="1">
      <c r="A195" s="741">
        <v>2017</v>
      </c>
      <c r="B195" s="739">
        <f>(K124*($E124/365))+(K125*($E125/365))</f>
        <v>0</v>
      </c>
      <c r="C195" s="739">
        <f t="shared" ref="C195:D195" si="52">(L124*($E124/365))+(L125*($E125/365))</f>
        <v>100</v>
      </c>
      <c r="D195" s="739">
        <f t="shared" si="52"/>
        <v>0</v>
      </c>
      <c r="E195" s="737">
        <f>SUM(B195:D195)</f>
        <v>100</v>
      </c>
      <c r="G195" s="741">
        <v>2017</v>
      </c>
      <c r="H195" s="886">
        <f>(O124/$R124*100*($E124/365))+(O125/$R125*100*($E125/365))</f>
        <v>0</v>
      </c>
      <c r="I195" s="886"/>
      <c r="J195" s="886">
        <f>(P124/$R124*100*($E124/365))+(P125/$R125*100*($E125/365))</f>
        <v>100</v>
      </c>
      <c r="K195" s="886"/>
      <c r="L195" s="886">
        <f>(Q124/$R124*100*($E124/365))+(Q125/$R125*100*($E125/365))</f>
        <v>0</v>
      </c>
      <c r="M195" s="886"/>
      <c r="N195" s="919">
        <f t="shared" si="51"/>
        <v>100</v>
      </c>
      <c r="O195" s="919"/>
      <c r="R195" s="741">
        <v>2017</v>
      </c>
      <c r="S195" s="739">
        <f>(O124*($E124/365))+(O125*($E125/365))</f>
        <v>0</v>
      </c>
      <c r="T195" s="739">
        <f t="shared" ref="T195:U195" si="53">(P124*($E124/365))+(P125*($E125/365))</f>
        <v>54.399999999999991</v>
      </c>
      <c r="U195" s="739">
        <f t="shared" si="53"/>
        <v>0</v>
      </c>
      <c r="V195" s="741"/>
      <c r="W195" s="739">
        <f>R124*(E124/365) + R125*(E125/365)</f>
        <v>54.399999999999991</v>
      </c>
    </row>
    <row r="196" spans="1:23" s="577" customFormat="1">
      <c r="A196" s="577">
        <v>2018</v>
      </c>
      <c r="B196" s="762">
        <f>(K126*($E126/365))+(K127*($E127/365))</f>
        <v>0</v>
      </c>
      <c r="C196" s="762">
        <f>(L126*($E126/365))+(L127*($E127/365))</f>
        <v>100</v>
      </c>
      <c r="D196" s="762">
        <f>(M126*($E126/365))+(M127*($E127/365))</f>
        <v>0</v>
      </c>
      <c r="E196" s="758">
        <f>SUM(B196:D196)</f>
        <v>100</v>
      </c>
      <c r="G196" s="577">
        <v>2018</v>
      </c>
      <c r="H196" s="886">
        <f>(O126/$R126*100*($E126/365))+(O127/$R127*100*($E127/365))</f>
        <v>0</v>
      </c>
      <c r="I196" s="886"/>
      <c r="J196" s="886">
        <f>(P126/$R126*100*($E126/365))+(P127/$R127*100*($E127/365))</f>
        <v>100</v>
      </c>
      <c r="K196" s="886"/>
      <c r="L196" s="886">
        <f>(Q126/$R126*100*($E126/365))+(Q127/$R127*100*($E127/365))</f>
        <v>0</v>
      </c>
      <c r="M196" s="886"/>
      <c r="N196" s="919">
        <f t="shared" si="51"/>
        <v>100</v>
      </c>
      <c r="O196" s="919"/>
      <c r="R196" s="577">
        <v>2018</v>
      </c>
      <c r="S196" s="762">
        <f>(O126*($E126/365))+(O127*($E127/365))</f>
        <v>0</v>
      </c>
      <c r="T196" s="762">
        <f>(P126*($E126/365))+(P127*($E127/365))</f>
        <v>54.4</v>
      </c>
      <c r="U196" s="762">
        <f>(Q126*($E126/365))+(Q127*($E127/365))</f>
        <v>0</v>
      </c>
      <c r="V196" s="766"/>
      <c r="W196" s="762">
        <f>R126*(E126/365) + R127*(E127/365)</f>
        <v>54.4</v>
      </c>
    </row>
    <row r="197" spans="1:23">
      <c r="A197" s="1">
        <v>2019</v>
      </c>
      <c r="B197" s="791">
        <f>(K128*($E128/365))+(K129*($E129/365))</f>
        <v>0</v>
      </c>
      <c r="C197" s="791">
        <f>(L128*($E128/365))+(L129*($E129/365))</f>
        <v>100</v>
      </c>
      <c r="D197" s="791">
        <f>(M128*($E128/365))+(M129*($E129/365))</f>
        <v>0</v>
      </c>
      <c r="E197" s="789">
        <f>SUM(B197:D197)</f>
        <v>100</v>
      </c>
      <c r="F197" s="794"/>
      <c r="G197" s="794">
        <v>2019</v>
      </c>
      <c r="H197" s="886">
        <f>(O128/$R128*100*($E128/365))+(O129/$R129*100*($E129/365))</f>
        <v>0</v>
      </c>
      <c r="I197" s="886"/>
      <c r="J197" s="886">
        <f>(P128/$R128*100*($E128/365))+(P129/$R129*100*($E129/365))</f>
        <v>100</v>
      </c>
      <c r="K197" s="886"/>
      <c r="L197" s="886">
        <f>(Q128/$R128*100*($E128/365))+(Q129/$R129*100*($E129/365))</f>
        <v>0</v>
      </c>
      <c r="M197" s="886"/>
      <c r="N197" s="919">
        <f t="shared" ref="N197" si="54">SUM(H197:M197)</f>
        <v>100</v>
      </c>
      <c r="O197" s="919"/>
      <c r="P197" s="794"/>
      <c r="Q197" s="794"/>
      <c r="R197" s="794">
        <v>2019</v>
      </c>
      <c r="S197" s="791">
        <f>(O128*($E128/365))+(O129*($E129/365))</f>
        <v>0</v>
      </c>
      <c r="T197" s="791">
        <f>(P128*($E128/365))+(P129*($E129/365))</f>
        <v>53.479452054794521</v>
      </c>
      <c r="U197" s="791">
        <f>(Q128*($E128/365))+(Q129*($E129/365))</f>
        <v>0</v>
      </c>
      <c r="V197" s="794"/>
      <c r="W197" s="791">
        <f>R128*(E128/365) + R129*(E129/365)</f>
        <v>53.479452054794521</v>
      </c>
    </row>
    <row r="198" spans="1:23" s="577" customFormat="1">
      <c r="B198" s="576"/>
      <c r="C198" s="576"/>
      <c r="D198" s="576"/>
      <c r="E198" s="573"/>
      <c r="H198" s="886"/>
      <c r="I198" s="886"/>
      <c r="J198" s="886"/>
      <c r="K198" s="886"/>
      <c r="L198" s="886"/>
      <c r="M198" s="886"/>
      <c r="N198" s="919"/>
      <c r="O198" s="919"/>
      <c r="S198" s="576"/>
      <c r="T198" s="576"/>
      <c r="U198" s="576"/>
      <c r="W198" s="576"/>
    </row>
    <row r="199" spans="1:23" s="577" customFormat="1">
      <c r="B199" s="1"/>
      <c r="C199" s="1"/>
      <c r="D199" s="1"/>
      <c r="E199" s="1"/>
      <c r="F199" s="1"/>
      <c r="G199" s="1"/>
      <c r="H199" s="1"/>
      <c r="I199" s="1"/>
      <c r="J199" s="1"/>
      <c r="K199" s="1"/>
      <c r="L199" s="1"/>
      <c r="M199" s="1"/>
      <c r="N199" s="1"/>
      <c r="O199" s="1"/>
      <c r="P199" s="1"/>
      <c r="Q199" s="1"/>
      <c r="R199" s="1"/>
      <c r="S199" s="1"/>
      <c r="T199" s="1"/>
      <c r="U199" s="1"/>
      <c r="V199" s="1"/>
      <c r="W199" s="1"/>
    </row>
  </sheetData>
  <mergeCells count="398">
    <mergeCell ref="C126:D126"/>
    <mergeCell ref="C127:D127"/>
    <mergeCell ref="C124:D124"/>
    <mergeCell ref="C125:D125"/>
    <mergeCell ref="C122:D122"/>
    <mergeCell ref="C123:D123"/>
    <mergeCell ref="H194:I194"/>
    <mergeCell ref="J194:K194"/>
    <mergeCell ref="L194:M194"/>
    <mergeCell ref="H182:I182"/>
    <mergeCell ref="H183:I183"/>
    <mergeCell ref="H167:I167"/>
    <mergeCell ref="H168:I168"/>
    <mergeCell ref="H179:I179"/>
    <mergeCell ref="H180:I180"/>
    <mergeCell ref="H169:I169"/>
    <mergeCell ref="H170:I170"/>
    <mergeCell ref="H171:I171"/>
    <mergeCell ref="H172:I172"/>
    <mergeCell ref="H173:I173"/>
    <mergeCell ref="H174:I174"/>
    <mergeCell ref="H158:I158"/>
    <mergeCell ref="H159:I159"/>
    <mergeCell ref="H160:I160"/>
    <mergeCell ref="N194:O194"/>
    <mergeCell ref="H197:I197"/>
    <mergeCell ref="J197:K197"/>
    <mergeCell ref="L197:M197"/>
    <mergeCell ref="N197:O197"/>
    <mergeCell ref="J141:K141"/>
    <mergeCell ref="J142:K142"/>
    <mergeCell ref="J143:K143"/>
    <mergeCell ref="H186:I186"/>
    <mergeCell ref="J152:K152"/>
    <mergeCell ref="J153:K153"/>
    <mergeCell ref="J154:K154"/>
    <mergeCell ref="J155:K155"/>
    <mergeCell ref="J156:K156"/>
    <mergeCell ref="J157:K157"/>
    <mergeCell ref="J158:K158"/>
    <mergeCell ref="J159:K159"/>
    <mergeCell ref="J160:K160"/>
    <mergeCell ref="J161:K161"/>
    <mergeCell ref="J162:K162"/>
    <mergeCell ref="J163:K163"/>
    <mergeCell ref="J164:K164"/>
    <mergeCell ref="J165:K165"/>
    <mergeCell ref="H181:I181"/>
    <mergeCell ref="H198:I198"/>
    <mergeCell ref="J198:K198"/>
    <mergeCell ref="L198:M198"/>
    <mergeCell ref="N198:O198"/>
    <mergeCell ref="H195:I195"/>
    <mergeCell ref="J195:K195"/>
    <mergeCell ref="L195:M195"/>
    <mergeCell ref="N195:O195"/>
    <mergeCell ref="H196:I196"/>
    <mergeCell ref="J196:K196"/>
    <mergeCell ref="L196:M196"/>
    <mergeCell ref="N196:O196"/>
    <mergeCell ref="C120:D120"/>
    <mergeCell ref="C121:D121"/>
    <mergeCell ref="H193:I193"/>
    <mergeCell ref="J193:K193"/>
    <mergeCell ref="L193:M193"/>
    <mergeCell ref="N193:O193"/>
    <mergeCell ref="H192:I192"/>
    <mergeCell ref="J192:K192"/>
    <mergeCell ref="L192:M192"/>
    <mergeCell ref="J181:K181"/>
    <mergeCell ref="J170:K170"/>
    <mergeCell ref="J171:K171"/>
    <mergeCell ref="H187:I187"/>
    <mergeCell ref="H188:I188"/>
    <mergeCell ref="H189:I189"/>
    <mergeCell ref="H184:I184"/>
    <mergeCell ref="H185:I185"/>
    <mergeCell ref="H175:I175"/>
    <mergeCell ref="H176:I176"/>
    <mergeCell ref="H177:I177"/>
    <mergeCell ref="H178:I178"/>
    <mergeCell ref="H190:I190"/>
    <mergeCell ref="J139:K139"/>
    <mergeCell ref="J140:K140"/>
    <mergeCell ref="C118:D118"/>
    <mergeCell ref="C119:D119"/>
    <mergeCell ref="N192:O192"/>
    <mergeCell ref="L191:M191"/>
    <mergeCell ref="N191:O191"/>
    <mergeCell ref="L174:M174"/>
    <mergeCell ref="L166:M166"/>
    <mergeCell ref="J188:K188"/>
    <mergeCell ref="J190:K190"/>
    <mergeCell ref="J166:K166"/>
    <mergeCell ref="J167:K167"/>
    <mergeCell ref="J168:K168"/>
    <mergeCell ref="J169:K169"/>
    <mergeCell ref="J182:K182"/>
    <mergeCell ref="J183:K183"/>
    <mergeCell ref="J172:K172"/>
    <mergeCell ref="J173:K173"/>
    <mergeCell ref="J174:K174"/>
    <mergeCell ref="J175:K175"/>
    <mergeCell ref="J176:K176"/>
    <mergeCell ref="J177:K177"/>
    <mergeCell ref="J178:K178"/>
    <mergeCell ref="J179:K179"/>
    <mergeCell ref="J180:K180"/>
    <mergeCell ref="C114:D114"/>
    <mergeCell ref="C115:D115"/>
    <mergeCell ref="H136:I136"/>
    <mergeCell ref="J136:K136"/>
    <mergeCell ref="C116:D116"/>
    <mergeCell ref="C117:D117"/>
    <mergeCell ref="H191:I191"/>
    <mergeCell ref="J191:K191"/>
    <mergeCell ref="L173:M173"/>
    <mergeCell ref="L176:M176"/>
    <mergeCell ref="L177:M177"/>
    <mergeCell ref="L178:M178"/>
    <mergeCell ref="L179:M179"/>
    <mergeCell ref="L175:M175"/>
    <mergeCell ref="L185:M185"/>
    <mergeCell ref="L181:M181"/>
    <mergeCell ref="L182:M182"/>
    <mergeCell ref="L183:M183"/>
    <mergeCell ref="L184:M184"/>
    <mergeCell ref="J189:K189"/>
    <mergeCell ref="J184:K184"/>
    <mergeCell ref="J185:K185"/>
    <mergeCell ref="J186:K186"/>
    <mergeCell ref="J187:K187"/>
    <mergeCell ref="C113:D113"/>
    <mergeCell ref="C104:D104"/>
    <mergeCell ref="C105:D105"/>
    <mergeCell ref="C106:D106"/>
    <mergeCell ref="C107:D107"/>
    <mergeCell ref="C108:D108"/>
    <mergeCell ref="C109:D109"/>
    <mergeCell ref="C110:D110"/>
    <mergeCell ref="C111:D111"/>
    <mergeCell ref="C96:D96"/>
    <mergeCell ref="C97:D97"/>
    <mergeCell ref="C100:D100"/>
    <mergeCell ref="C101:D101"/>
    <mergeCell ref="C98:D98"/>
    <mergeCell ref="C99:D99"/>
    <mergeCell ref="C102:D102"/>
    <mergeCell ref="C103:D103"/>
    <mergeCell ref="C112:D112"/>
    <mergeCell ref="C89:D89"/>
    <mergeCell ref="C86:D86"/>
    <mergeCell ref="C87:D87"/>
    <mergeCell ref="C90:D90"/>
    <mergeCell ref="C91:D91"/>
    <mergeCell ref="C94:D94"/>
    <mergeCell ref="C95:D95"/>
    <mergeCell ref="C92:D92"/>
    <mergeCell ref="C93:D93"/>
    <mergeCell ref="C78:D78"/>
    <mergeCell ref="C79:D79"/>
    <mergeCell ref="C82:D82"/>
    <mergeCell ref="C83:D83"/>
    <mergeCell ref="C80:D80"/>
    <mergeCell ref="C81:D81"/>
    <mergeCell ref="C84:D84"/>
    <mergeCell ref="C85:D85"/>
    <mergeCell ref="C88:D88"/>
    <mergeCell ref="C70:D70"/>
    <mergeCell ref="C67:D67"/>
    <mergeCell ref="C68:D68"/>
    <mergeCell ref="C71:D71"/>
    <mergeCell ref="C72:D72"/>
    <mergeCell ref="C76:D76"/>
    <mergeCell ref="C77:D77"/>
    <mergeCell ref="C73:D73"/>
    <mergeCell ref="C74:D74"/>
    <mergeCell ref="C75:D75"/>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AL4:AO4"/>
    <mergeCell ref="U4:U5"/>
    <mergeCell ref="V4:Y4"/>
    <mergeCell ref="AP4:AS4"/>
    <mergeCell ref="C8:D8"/>
    <mergeCell ref="K4:N4"/>
    <mergeCell ref="O4:R4"/>
    <mergeCell ref="S4:S5"/>
    <mergeCell ref="C13:D13"/>
    <mergeCell ref="AH4:AK4"/>
    <mergeCell ref="C10:D10"/>
    <mergeCell ref="R134:W134"/>
    <mergeCell ref="L180:M180"/>
    <mergeCell ref="L169:M169"/>
    <mergeCell ref="L172:M172"/>
    <mergeCell ref="T4:T5"/>
    <mergeCell ref="Z4:AC4"/>
    <mergeCell ref="AD4:AG4"/>
    <mergeCell ref="L137:M137"/>
    <mergeCell ref="N137:O137"/>
    <mergeCell ref="L152:M152"/>
    <mergeCell ref="L159:M159"/>
    <mergeCell ref="L160:M160"/>
    <mergeCell ref="L148:M148"/>
    <mergeCell ref="L149:M149"/>
    <mergeCell ref="L150:M150"/>
    <mergeCell ref="N148:O148"/>
    <mergeCell ref="N151:O151"/>
    <mergeCell ref="N152:O152"/>
    <mergeCell ref="N153:O153"/>
    <mergeCell ref="N149:O149"/>
    <mergeCell ref="N150:O150"/>
    <mergeCell ref="N138:O138"/>
    <mergeCell ref="N140:O140"/>
    <mergeCell ref="N141:O141"/>
    <mergeCell ref="A4:A5"/>
    <mergeCell ref="B4:B5"/>
    <mergeCell ref="C4:D5"/>
    <mergeCell ref="E4:E5"/>
    <mergeCell ref="L165:M165"/>
    <mergeCell ref="L164:M164"/>
    <mergeCell ref="L154:M154"/>
    <mergeCell ref="L155:M155"/>
    <mergeCell ref="L156:M156"/>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51:M151"/>
    <mergeCell ref="G3:M3"/>
    <mergeCell ref="O3:Q3"/>
    <mergeCell ref="L170:M170"/>
    <mergeCell ref="L171:M171"/>
    <mergeCell ref="L136:M136"/>
    <mergeCell ref="N136:O136"/>
    <mergeCell ref="L161:M161"/>
    <mergeCell ref="L162:M162"/>
    <mergeCell ref="L163:M163"/>
    <mergeCell ref="L157:M157"/>
    <mergeCell ref="H137:I137"/>
    <mergeCell ref="J137:K137"/>
    <mergeCell ref="L153:M153"/>
    <mergeCell ref="L139:M139"/>
    <mergeCell ref="L140:M140"/>
    <mergeCell ref="L141:M141"/>
    <mergeCell ref="L142:M142"/>
    <mergeCell ref="L143:M143"/>
    <mergeCell ref="L144:M144"/>
    <mergeCell ref="L146:M146"/>
    <mergeCell ref="L147:M147"/>
    <mergeCell ref="L167:M167"/>
    <mergeCell ref="L168:M168"/>
    <mergeCell ref="L158:M158"/>
    <mergeCell ref="J148:K148"/>
    <mergeCell ref="J149:K149"/>
    <mergeCell ref="J150:K150"/>
    <mergeCell ref="J151:K151"/>
    <mergeCell ref="H156:I156"/>
    <mergeCell ref="H157:I157"/>
    <mergeCell ref="N142:O142"/>
    <mergeCell ref="N143:O143"/>
    <mergeCell ref="N146:O146"/>
    <mergeCell ref="N144:O144"/>
    <mergeCell ref="N145:O145"/>
    <mergeCell ref="H153:I153"/>
    <mergeCell ref="H154:I154"/>
    <mergeCell ref="H155:I155"/>
    <mergeCell ref="H151:I151"/>
    <mergeCell ref="H152:I152"/>
    <mergeCell ref="H143:I143"/>
    <mergeCell ref="H144:I144"/>
    <mergeCell ref="H145:I145"/>
    <mergeCell ref="H146:I146"/>
    <mergeCell ref="H148:I148"/>
    <mergeCell ref="H149:I149"/>
    <mergeCell ref="H150:I150"/>
    <mergeCell ref="N139:O139"/>
    <mergeCell ref="N147:O147"/>
    <mergeCell ref="N161:O161"/>
    <mergeCell ref="N162:O162"/>
    <mergeCell ref="N165:O165"/>
    <mergeCell ref="N154:O154"/>
    <mergeCell ref="N157:O157"/>
    <mergeCell ref="N158:O158"/>
    <mergeCell ref="N155:O155"/>
    <mergeCell ref="N156:O156"/>
    <mergeCell ref="N159:O159"/>
    <mergeCell ref="H161:I161"/>
    <mergeCell ref="H162:I162"/>
    <mergeCell ref="H163:I163"/>
    <mergeCell ref="H164:I164"/>
    <mergeCell ref="H165:I165"/>
    <mergeCell ref="H166:I166"/>
    <mergeCell ref="N163:O163"/>
    <mergeCell ref="N164:O164"/>
    <mergeCell ref="L190:M190"/>
    <mergeCell ref="N190:O190"/>
    <mergeCell ref="N181:O181"/>
    <mergeCell ref="N182:O182"/>
    <mergeCell ref="N183:O183"/>
    <mergeCell ref="N184:O184"/>
    <mergeCell ref="N185:O185"/>
    <mergeCell ref="N186:O186"/>
    <mergeCell ref="N187:O187"/>
    <mergeCell ref="N188:O188"/>
    <mergeCell ref="N189:O189"/>
    <mergeCell ref="L138:M138"/>
    <mergeCell ref="H139:I139"/>
    <mergeCell ref="H140:I140"/>
    <mergeCell ref="H141:I141"/>
    <mergeCell ref="H142:I142"/>
    <mergeCell ref="L145:M145"/>
    <mergeCell ref="H138:I138"/>
    <mergeCell ref="J138:K138"/>
    <mergeCell ref="H147:I147"/>
    <mergeCell ref="J144:K144"/>
    <mergeCell ref="J145:K145"/>
    <mergeCell ref="J146:K146"/>
    <mergeCell ref="J147:K147"/>
    <mergeCell ref="C128:D128"/>
    <mergeCell ref="C129:D129"/>
    <mergeCell ref="AT4:AW4"/>
    <mergeCell ref="AX4:BA4"/>
    <mergeCell ref="L186:M186"/>
    <mergeCell ref="L187:M187"/>
    <mergeCell ref="L188:M188"/>
    <mergeCell ref="L189:M189"/>
    <mergeCell ref="N178:O178"/>
    <mergeCell ref="N179:O179"/>
    <mergeCell ref="N180:O180"/>
    <mergeCell ref="N172:O172"/>
    <mergeCell ref="N175:O175"/>
    <mergeCell ref="N176:O176"/>
    <mergeCell ref="N173:O173"/>
    <mergeCell ref="N174:O174"/>
    <mergeCell ref="N177:O177"/>
    <mergeCell ref="N166:O166"/>
    <mergeCell ref="N169:O169"/>
    <mergeCell ref="N170:O170"/>
    <mergeCell ref="N167:O167"/>
    <mergeCell ref="N168:O168"/>
    <mergeCell ref="N171:O171"/>
    <mergeCell ref="N160:O16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87"/>
  <sheetViews>
    <sheetView zoomScale="156" zoomScaleNormal="120" workbookViewId="0">
      <pane xSplit="1" ySplit="5" topLeftCell="B6" activePane="bottomRight" state="frozen"/>
      <selection pane="topRight" activeCell="B1" sqref="B1"/>
      <selection pane="bottomLeft" activeCell="A6" sqref="A6"/>
      <selection pane="bottomRight" activeCell="C12" sqref="C12:D1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139</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73" customFormat="1">
      <c r="A6" s="73">
        <v>2000</v>
      </c>
      <c r="B6" s="852"/>
      <c r="C6" s="935" t="s">
        <v>1268</v>
      </c>
      <c r="D6" s="935"/>
      <c r="E6" s="73">
        <v>26</v>
      </c>
      <c r="G6" s="119"/>
      <c r="J6" s="126"/>
      <c r="K6" s="92"/>
      <c r="L6" s="92"/>
      <c r="M6" s="92"/>
      <c r="N6" s="121"/>
      <c r="O6" s="91"/>
      <c r="P6" s="92"/>
      <c r="Q6" s="92"/>
      <c r="R6" s="93"/>
      <c r="T6" s="839"/>
      <c r="U6" s="852"/>
      <c r="V6" s="82"/>
      <c r="Y6" s="83"/>
      <c r="AD6" s="82"/>
      <c r="AG6" s="83"/>
      <c r="AL6" s="82"/>
      <c r="AO6" s="83"/>
      <c r="AP6" s="82"/>
      <c r="AS6" s="83"/>
      <c r="AW6" s="83"/>
      <c r="BA6" s="84"/>
    </row>
    <row r="7" spans="1:53" s="292" customFormat="1">
      <c r="A7" s="292">
        <v>2000</v>
      </c>
      <c r="B7" s="863">
        <v>36552</v>
      </c>
      <c r="C7" s="916" t="s">
        <v>1183</v>
      </c>
      <c r="D7" s="916"/>
      <c r="E7" s="292">
        <f>366-26</f>
        <v>340</v>
      </c>
      <c r="F7" s="292" t="s">
        <v>338</v>
      </c>
      <c r="G7" s="366">
        <v>9</v>
      </c>
      <c r="H7" s="292">
        <v>3</v>
      </c>
      <c r="I7" s="292">
        <v>11</v>
      </c>
      <c r="J7" s="377">
        <v>24</v>
      </c>
      <c r="K7" s="336">
        <f t="shared" ref="K7:K37" si="0">G7/J7*100</f>
        <v>37.5</v>
      </c>
      <c r="L7" s="336">
        <f t="shared" ref="L7:L37" si="1">H7/J7*100</f>
        <v>12.5</v>
      </c>
      <c r="M7" s="336">
        <f t="shared" ref="M7:M37" si="2">I7/J7*100</f>
        <v>45.833333333333329</v>
      </c>
      <c r="N7" s="368">
        <f t="shared" ref="N7:N37" si="3">SUM(K7:M7)</f>
        <v>95.833333333333329</v>
      </c>
      <c r="O7" s="335">
        <v>18.57</v>
      </c>
      <c r="P7" s="336">
        <v>10.6</v>
      </c>
      <c r="Q7" s="336">
        <v>30.46</v>
      </c>
      <c r="R7" s="337">
        <f t="shared" ref="R7:R39" si="4">SUM(O7:Q7)</f>
        <v>59.63</v>
      </c>
      <c r="S7" s="292">
        <v>2</v>
      </c>
      <c r="T7" s="838">
        <v>36528</v>
      </c>
      <c r="U7" s="863">
        <v>36552</v>
      </c>
      <c r="V7" s="299" t="s">
        <v>112</v>
      </c>
      <c r="W7" s="292" t="s">
        <v>20</v>
      </c>
      <c r="X7" s="292" t="s">
        <v>12</v>
      </c>
      <c r="Y7" s="385">
        <v>30.46</v>
      </c>
      <c r="Z7" s="292" t="s">
        <v>994</v>
      </c>
      <c r="AA7" s="292" t="s">
        <v>330</v>
      </c>
      <c r="AB7" s="292" t="s">
        <v>11</v>
      </c>
      <c r="AC7" s="385">
        <v>14.6</v>
      </c>
      <c r="AD7" s="299" t="s">
        <v>995</v>
      </c>
      <c r="AE7" s="292" t="s">
        <v>872</v>
      </c>
      <c r="AF7" s="292" t="s">
        <v>18</v>
      </c>
      <c r="AG7" s="385">
        <v>10.6</v>
      </c>
      <c r="AH7" s="292" t="s">
        <v>996</v>
      </c>
      <c r="AI7" s="292" t="s">
        <v>330</v>
      </c>
      <c r="AJ7" s="292" t="s">
        <v>11</v>
      </c>
      <c r="AK7" s="385">
        <v>2.65</v>
      </c>
      <c r="AL7" s="299" t="s">
        <v>997</v>
      </c>
      <c r="AM7" s="292" t="s">
        <v>22</v>
      </c>
      <c r="AN7" s="292" t="s">
        <v>11</v>
      </c>
      <c r="AO7" s="385">
        <v>1.32</v>
      </c>
      <c r="AP7" s="299"/>
      <c r="AS7" s="300"/>
      <c r="AW7" s="300"/>
      <c r="BA7" s="301"/>
    </row>
    <row r="8" spans="1:53" s="292" customFormat="1">
      <c r="A8" s="292">
        <v>2001</v>
      </c>
      <c r="B8" s="863"/>
      <c r="C8" s="916" t="s">
        <v>1183</v>
      </c>
      <c r="D8" s="916"/>
      <c r="E8" s="292">
        <v>270</v>
      </c>
      <c r="G8" s="366">
        <v>9</v>
      </c>
      <c r="H8" s="292">
        <v>3</v>
      </c>
      <c r="I8" s="292">
        <v>11</v>
      </c>
      <c r="J8" s="377">
        <v>24</v>
      </c>
      <c r="K8" s="336">
        <f t="shared" si="0"/>
        <v>37.5</v>
      </c>
      <c r="L8" s="336">
        <f t="shared" si="1"/>
        <v>12.5</v>
      </c>
      <c r="M8" s="336">
        <f t="shared" si="2"/>
        <v>45.833333333333329</v>
      </c>
      <c r="N8" s="368">
        <f t="shared" si="3"/>
        <v>95.833333333333329</v>
      </c>
      <c r="O8" s="335">
        <v>18.57</v>
      </c>
      <c r="P8" s="336">
        <v>10.6</v>
      </c>
      <c r="Q8" s="336">
        <v>30.46</v>
      </c>
      <c r="R8" s="337">
        <f t="shared" si="4"/>
        <v>59.63</v>
      </c>
      <c r="S8" s="292">
        <v>2</v>
      </c>
      <c r="T8" s="838"/>
      <c r="U8" s="836"/>
      <c r="V8" s="299" t="s">
        <v>112</v>
      </c>
      <c r="W8" s="292" t="s">
        <v>20</v>
      </c>
      <c r="X8" s="292" t="s">
        <v>12</v>
      </c>
      <c r="Y8" s="385">
        <v>30.46</v>
      </c>
      <c r="Z8" s="292" t="s">
        <v>994</v>
      </c>
      <c r="AA8" s="292" t="s">
        <v>330</v>
      </c>
      <c r="AB8" s="292" t="s">
        <v>11</v>
      </c>
      <c r="AC8" s="336">
        <v>14.6</v>
      </c>
      <c r="AD8" s="299" t="s">
        <v>995</v>
      </c>
      <c r="AE8" s="292" t="s">
        <v>872</v>
      </c>
      <c r="AF8" s="292" t="s">
        <v>18</v>
      </c>
      <c r="AG8" s="385">
        <v>10.6</v>
      </c>
      <c r="AH8" s="292" t="s">
        <v>996</v>
      </c>
      <c r="AI8" s="292" t="s">
        <v>330</v>
      </c>
      <c r="AJ8" s="292" t="s">
        <v>11</v>
      </c>
      <c r="AK8" s="336">
        <v>2.65</v>
      </c>
      <c r="AL8" s="299" t="s">
        <v>997</v>
      </c>
      <c r="AM8" s="292" t="s">
        <v>22</v>
      </c>
      <c r="AN8" s="292" t="s">
        <v>11</v>
      </c>
      <c r="AO8" s="385">
        <v>1.32</v>
      </c>
      <c r="AP8" s="299"/>
      <c r="AS8" s="300"/>
      <c r="AW8" s="300"/>
      <c r="BA8" s="301"/>
    </row>
    <row r="9" spans="1:53" s="73" customFormat="1">
      <c r="A9" s="73">
        <v>2001</v>
      </c>
      <c r="B9" s="851">
        <v>37162</v>
      </c>
      <c r="C9" s="917" t="s">
        <v>1461</v>
      </c>
      <c r="D9" s="917"/>
      <c r="E9" s="73">
        <v>55</v>
      </c>
      <c r="F9" s="73">
        <v>4</v>
      </c>
      <c r="G9" s="119">
        <v>8</v>
      </c>
      <c r="H9" s="73">
        <v>3</v>
      </c>
      <c r="I9" s="73">
        <v>12</v>
      </c>
      <c r="J9" s="126">
        <v>24</v>
      </c>
      <c r="K9" s="92">
        <f t="shared" si="0"/>
        <v>33.333333333333329</v>
      </c>
      <c r="L9" s="92">
        <f t="shared" si="1"/>
        <v>12.5</v>
      </c>
      <c r="M9" s="92">
        <f t="shared" si="2"/>
        <v>50</v>
      </c>
      <c r="N9" s="121">
        <f t="shared" si="3"/>
        <v>95.833333333333329</v>
      </c>
      <c r="O9" s="91">
        <v>15.92</v>
      </c>
      <c r="P9" s="92">
        <v>10.6</v>
      </c>
      <c r="Q9" s="92">
        <v>30.46</v>
      </c>
      <c r="R9" s="93">
        <f t="shared" si="4"/>
        <v>56.980000000000004</v>
      </c>
      <c r="S9" s="73">
        <v>3</v>
      </c>
      <c r="T9" s="839"/>
      <c r="U9" s="851">
        <v>37162</v>
      </c>
      <c r="V9" s="82" t="s">
        <v>112</v>
      </c>
      <c r="W9" s="73" t="s">
        <v>20</v>
      </c>
      <c r="X9" s="73" t="s">
        <v>12</v>
      </c>
      <c r="Y9" s="144">
        <v>30.46</v>
      </c>
      <c r="Z9" s="73" t="s">
        <v>994</v>
      </c>
      <c r="AA9" s="73" t="s">
        <v>330</v>
      </c>
      <c r="AB9" s="73" t="s">
        <v>11</v>
      </c>
      <c r="AC9" s="92">
        <v>14.6</v>
      </c>
      <c r="AD9" s="82" t="s">
        <v>995</v>
      </c>
      <c r="AE9" s="73" t="s">
        <v>872</v>
      </c>
      <c r="AF9" s="73" t="s">
        <v>18</v>
      </c>
      <c r="AG9" s="144">
        <v>10.6</v>
      </c>
      <c r="AH9" s="82" t="s">
        <v>997</v>
      </c>
      <c r="AI9" s="73" t="s">
        <v>22</v>
      </c>
      <c r="AJ9" s="73" t="s">
        <v>11</v>
      </c>
      <c r="AK9" s="92">
        <v>1.32</v>
      </c>
      <c r="AL9" s="82"/>
      <c r="AO9" s="144"/>
      <c r="AP9" s="82"/>
      <c r="AS9" s="83"/>
      <c r="AW9" s="83"/>
      <c r="BA9" s="84"/>
    </row>
    <row r="10" spans="1:53" s="73" customFormat="1">
      <c r="A10" s="73">
        <v>2001</v>
      </c>
      <c r="B10" s="868">
        <v>37217</v>
      </c>
      <c r="C10" s="917" t="s">
        <v>1461</v>
      </c>
      <c r="D10" s="917"/>
      <c r="E10" s="73">
        <f xml:space="preserve"> 365-E9-E8</f>
        <v>40</v>
      </c>
      <c r="F10" s="123">
        <v>0</v>
      </c>
      <c r="G10" s="119">
        <v>9</v>
      </c>
      <c r="H10" s="73">
        <v>3</v>
      </c>
      <c r="I10" s="73">
        <v>12</v>
      </c>
      <c r="J10" s="126">
        <v>24</v>
      </c>
      <c r="K10" s="92">
        <f t="shared" si="0"/>
        <v>37.5</v>
      </c>
      <c r="L10" s="92">
        <f t="shared" si="1"/>
        <v>12.5</v>
      </c>
      <c r="M10" s="92">
        <f t="shared" si="2"/>
        <v>50</v>
      </c>
      <c r="N10" s="121">
        <f t="shared" si="3"/>
        <v>100</v>
      </c>
      <c r="O10" s="91">
        <v>15.92</v>
      </c>
      <c r="P10" s="92">
        <v>10.6</v>
      </c>
      <c r="Q10" s="92">
        <v>30.46</v>
      </c>
      <c r="R10" s="93">
        <f t="shared" si="4"/>
        <v>56.980000000000004</v>
      </c>
      <c r="S10" s="73">
        <v>3</v>
      </c>
      <c r="T10" s="839"/>
      <c r="U10" s="852"/>
      <c r="V10" s="82" t="s">
        <v>112</v>
      </c>
      <c r="W10" s="73" t="s">
        <v>20</v>
      </c>
      <c r="X10" s="73" t="s">
        <v>12</v>
      </c>
      <c r="Y10" s="144">
        <v>30.46</v>
      </c>
      <c r="Z10" s="73" t="s">
        <v>994</v>
      </c>
      <c r="AA10" s="73" t="s">
        <v>330</v>
      </c>
      <c r="AB10" s="73" t="s">
        <v>11</v>
      </c>
      <c r="AC10" s="92">
        <v>14.6</v>
      </c>
      <c r="AD10" s="82" t="s">
        <v>995</v>
      </c>
      <c r="AE10" s="73" t="s">
        <v>872</v>
      </c>
      <c r="AF10" s="73" t="s">
        <v>18</v>
      </c>
      <c r="AG10" s="144">
        <v>10.6</v>
      </c>
      <c r="AH10" s="82" t="s">
        <v>997</v>
      </c>
      <c r="AI10" s="73" t="s">
        <v>22</v>
      </c>
      <c r="AJ10" s="73" t="s">
        <v>11</v>
      </c>
      <c r="AK10" s="92">
        <v>1.32</v>
      </c>
      <c r="AL10" s="82"/>
      <c r="AO10" s="144"/>
      <c r="AP10" s="82"/>
      <c r="AS10" s="83"/>
      <c r="AW10" s="83"/>
      <c r="BA10" s="84"/>
    </row>
    <row r="11" spans="1:53" s="73" customFormat="1">
      <c r="A11" s="73">
        <v>2002</v>
      </c>
      <c r="B11" s="830"/>
      <c r="C11" s="917" t="s">
        <v>1461</v>
      </c>
      <c r="D11" s="917"/>
      <c r="E11" s="73">
        <v>210</v>
      </c>
      <c r="G11" s="119">
        <v>9</v>
      </c>
      <c r="H11" s="73">
        <v>3</v>
      </c>
      <c r="I11" s="73">
        <v>12</v>
      </c>
      <c r="J11" s="126">
        <v>24</v>
      </c>
      <c r="K11" s="92">
        <f t="shared" si="0"/>
        <v>37.5</v>
      </c>
      <c r="L11" s="92">
        <f t="shared" si="1"/>
        <v>12.5</v>
      </c>
      <c r="M11" s="92">
        <f t="shared" si="2"/>
        <v>50</v>
      </c>
      <c r="N11" s="121">
        <f t="shared" si="3"/>
        <v>100</v>
      </c>
      <c r="O11" s="91">
        <v>15.92</v>
      </c>
      <c r="P11" s="92">
        <v>10.6</v>
      </c>
      <c r="Q11" s="92">
        <v>30.46</v>
      </c>
      <c r="R11" s="93">
        <f t="shared" si="4"/>
        <v>56.980000000000004</v>
      </c>
      <c r="S11" s="73">
        <v>3</v>
      </c>
      <c r="T11" s="839"/>
      <c r="U11" s="852"/>
      <c r="V11" s="82" t="s">
        <v>112</v>
      </c>
      <c r="W11" s="73" t="s">
        <v>20</v>
      </c>
      <c r="X11" s="73" t="s">
        <v>12</v>
      </c>
      <c r="Y11" s="144">
        <v>30.46</v>
      </c>
      <c r="Z11" s="73" t="s">
        <v>994</v>
      </c>
      <c r="AA11" s="73" t="s">
        <v>330</v>
      </c>
      <c r="AB11" s="73" t="s">
        <v>11</v>
      </c>
      <c r="AC11" s="92">
        <v>14.6</v>
      </c>
      <c r="AD11" s="82" t="s">
        <v>995</v>
      </c>
      <c r="AE11" s="73" t="s">
        <v>872</v>
      </c>
      <c r="AF11" s="73" t="s">
        <v>18</v>
      </c>
      <c r="AG11" s="144">
        <v>10.6</v>
      </c>
      <c r="AH11" s="82" t="s">
        <v>997</v>
      </c>
      <c r="AI11" s="73" t="s">
        <v>22</v>
      </c>
      <c r="AJ11" s="73" t="s">
        <v>11</v>
      </c>
      <c r="AK11" s="92">
        <v>1.32</v>
      </c>
      <c r="AL11" s="82"/>
      <c r="AO11" s="144"/>
      <c r="AP11" s="82"/>
      <c r="AS11" s="83"/>
      <c r="AW11" s="83"/>
      <c r="BA11" s="84"/>
    </row>
    <row r="12" spans="1:53" s="292" customFormat="1">
      <c r="A12" s="292">
        <v>2002</v>
      </c>
      <c r="B12" s="863">
        <v>37467</v>
      </c>
      <c r="C12" s="916" t="s">
        <v>1184</v>
      </c>
      <c r="D12" s="916"/>
      <c r="E12" s="292">
        <f xml:space="preserve"> 365-E11</f>
        <v>155</v>
      </c>
      <c r="F12" s="292">
        <v>4</v>
      </c>
      <c r="G12" s="366">
        <v>5</v>
      </c>
      <c r="H12" s="292">
        <v>4</v>
      </c>
      <c r="I12" s="292">
        <v>15</v>
      </c>
      <c r="J12" s="377">
        <v>24</v>
      </c>
      <c r="K12" s="336">
        <f t="shared" si="0"/>
        <v>20.833333333333336</v>
      </c>
      <c r="L12" s="336">
        <f t="shared" si="1"/>
        <v>16.666666666666664</v>
      </c>
      <c r="M12" s="336">
        <f t="shared" si="2"/>
        <v>62.5</v>
      </c>
      <c r="N12" s="368">
        <f t="shared" si="3"/>
        <v>100</v>
      </c>
      <c r="O12" s="335">
        <v>7.28</v>
      </c>
      <c r="P12" s="336">
        <v>10.6</v>
      </c>
      <c r="Q12" s="336">
        <v>30.46</v>
      </c>
      <c r="R12" s="337">
        <f t="shared" si="4"/>
        <v>48.34</v>
      </c>
      <c r="S12" s="292">
        <v>5</v>
      </c>
      <c r="T12" s="838"/>
      <c r="U12" s="863">
        <v>37467</v>
      </c>
      <c r="V12" s="299" t="s">
        <v>112</v>
      </c>
      <c r="W12" s="292" t="s">
        <v>20</v>
      </c>
      <c r="X12" s="292" t="s">
        <v>12</v>
      </c>
      <c r="Y12" s="385">
        <v>30.46</v>
      </c>
      <c r="Z12" s="292" t="s">
        <v>998</v>
      </c>
      <c r="AA12" s="292" t="s">
        <v>330</v>
      </c>
      <c r="AB12" s="292" t="s">
        <v>11</v>
      </c>
      <c r="AC12" s="336">
        <v>5.96</v>
      </c>
      <c r="AD12" s="299" t="s">
        <v>995</v>
      </c>
      <c r="AE12" s="292" t="s">
        <v>872</v>
      </c>
      <c r="AF12" s="292" t="s">
        <v>18</v>
      </c>
      <c r="AG12" s="385">
        <v>10.6</v>
      </c>
      <c r="AH12" s="299" t="s">
        <v>997</v>
      </c>
      <c r="AI12" s="292" t="s">
        <v>22</v>
      </c>
      <c r="AJ12" s="292" t="s">
        <v>11</v>
      </c>
      <c r="AK12" s="336">
        <v>1.32</v>
      </c>
      <c r="AL12" s="299"/>
      <c r="AO12" s="385"/>
      <c r="AP12" s="299"/>
      <c r="AS12" s="300"/>
      <c r="AW12" s="300"/>
      <c r="BA12" s="301"/>
    </row>
    <row r="13" spans="1:53" s="292" customFormat="1">
      <c r="A13" s="292">
        <v>2003</v>
      </c>
      <c r="B13" s="863"/>
      <c r="C13" s="916" t="s">
        <v>1184</v>
      </c>
      <c r="D13" s="916"/>
      <c r="E13" s="292">
        <v>198</v>
      </c>
      <c r="G13" s="366">
        <v>5</v>
      </c>
      <c r="H13" s="292">
        <v>4</v>
      </c>
      <c r="I13" s="292">
        <v>15</v>
      </c>
      <c r="J13" s="377">
        <v>24</v>
      </c>
      <c r="K13" s="336">
        <f t="shared" si="0"/>
        <v>20.833333333333336</v>
      </c>
      <c r="L13" s="336">
        <f t="shared" si="1"/>
        <v>16.666666666666664</v>
      </c>
      <c r="M13" s="336">
        <f t="shared" si="2"/>
        <v>62.5</v>
      </c>
      <c r="N13" s="368">
        <f t="shared" si="3"/>
        <v>100</v>
      </c>
      <c r="O13" s="335">
        <v>7.28</v>
      </c>
      <c r="P13" s="336">
        <v>10.6</v>
      </c>
      <c r="Q13" s="336">
        <v>30.46</v>
      </c>
      <c r="R13" s="337">
        <f t="shared" si="4"/>
        <v>48.34</v>
      </c>
      <c r="S13" s="292">
        <v>5</v>
      </c>
      <c r="T13" s="838"/>
      <c r="U13" s="836"/>
      <c r="V13" s="299" t="s">
        <v>112</v>
      </c>
      <c r="W13" s="292" t="s">
        <v>20</v>
      </c>
      <c r="X13" s="292" t="s">
        <v>12</v>
      </c>
      <c r="Y13" s="385">
        <v>30.46</v>
      </c>
      <c r="Z13" s="292" t="s">
        <v>998</v>
      </c>
      <c r="AA13" s="292" t="s">
        <v>330</v>
      </c>
      <c r="AB13" s="292" t="s">
        <v>11</v>
      </c>
      <c r="AC13" s="336">
        <v>5.96</v>
      </c>
      <c r="AD13" s="299" t="s">
        <v>995</v>
      </c>
      <c r="AE13" s="292" t="s">
        <v>872</v>
      </c>
      <c r="AF13" s="292" t="s">
        <v>18</v>
      </c>
      <c r="AG13" s="385">
        <v>10.6</v>
      </c>
      <c r="AH13" s="292" t="s">
        <v>997</v>
      </c>
      <c r="AI13" s="292" t="s">
        <v>22</v>
      </c>
      <c r="AJ13" s="292" t="s">
        <v>11</v>
      </c>
      <c r="AK13" s="336">
        <v>1.32</v>
      </c>
      <c r="AL13" s="299"/>
      <c r="AO13" s="385"/>
      <c r="AP13" s="299"/>
      <c r="AS13" s="300"/>
      <c r="AW13" s="300"/>
      <c r="BA13" s="301"/>
    </row>
    <row r="14" spans="1:53" s="73" customFormat="1">
      <c r="A14" s="73">
        <v>2003</v>
      </c>
      <c r="B14" s="830">
        <v>37820</v>
      </c>
      <c r="C14" s="917" t="s">
        <v>1185</v>
      </c>
      <c r="D14" s="917"/>
      <c r="E14" s="73">
        <v>158</v>
      </c>
      <c r="F14" s="73">
        <v>7</v>
      </c>
      <c r="G14" s="119">
        <v>5</v>
      </c>
      <c r="H14" s="73">
        <v>4</v>
      </c>
      <c r="I14" s="73">
        <v>15</v>
      </c>
      <c r="J14" s="126">
        <v>24</v>
      </c>
      <c r="K14" s="92">
        <f t="shared" si="0"/>
        <v>20.833333333333336</v>
      </c>
      <c r="L14" s="92">
        <f t="shared" si="1"/>
        <v>16.666666666666664</v>
      </c>
      <c r="M14" s="92">
        <f t="shared" si="2"/>
        <v>62.5</v>
      </c>
      <c r="N14" s="121">
        <f t="shared" si="3"/>
        <v>100</v>
      </c>
      <c r="O14" s="91">
        <v>9.93</v>
      </c>
      <c r="P14" s="92">
        <v>10.6</v>
      </c>
      <c r="Q14" s="92">
        <v>30.46</v>
      </c>
      <c r="R14" s="93">
        <f t="shared" si="4"/>
        <v>50.99</v>
      </c>
      <c r="S14" s="73">
        <v>2</v>
      </c>
      <c r="T14" s="839"/>
      <c r="U14" s="830">
        <v>37820</v>
      </c>
      <c r="V14" s="82" t="s">
        <v>112</v>
      </c>
      <c r="W14" s="73" t="s">
        <v>20</v>
      </c>
      <c r="X14" s="73" t="s">
        <v>12</v>
      </c>
      <c r="Y14" s="144">
        <v>30.46</v>
      </c>
      <c r="Z14" s="73" t="s">
        <v>998</v>
      </c>
      <c r="AA14" s="73" t="s">
        <v>330</v>
      </c>
      <c r="AB14" s="73" t="s">
        <v>11</v>
      </c>
      <c r="AC14" s="92">
        <v>5.96</v>
      </c>
      <c r="AD14" s="82" t="s">
        <v>995</v>
      </c>
      <c r="AE14" s="73" t="s">
        <v>872</v>
      </c>
      <c r="AF14" s="73" t="s">
        <v>18</v>
      </c>
      <c r="AG14" s="144">
        <v>10.6</v>
      </c>
      <c r="AH14" s="82" t="s">
        <v>997</v>
      </c>
      <c r="AI14" s="73" t="s">
        <v>22</v>
      </c>
      <c r="AJ14" s="73" t="s">
        <v>11</v>
      </c>
      <c r="AK14" s="92">
        <v>1.32</v>
      </c>
      <c r="AL14" s="82" t="s">
        <v>999</v>
      </c>
      <c r="AM14" s="73" t="s">
        <v>330</v>
      </c>
      <c r="AN14" s="73" t="s">
        <v>11</v>
      </c>
      <c r="AO14" s="144">
        <v>2.65</v>
      </c>
      <c r="AP14" s="82"/>
      <c r="AS14" s="83"/>
      <c r="AW14" s="83"/>
      <c r="BA14" s="84"/>
    </row>
    <row r="15" spans="1:53" s="292" customFormat="1">
      <c r="A15" s="292">
        <v>2003</v>
      </c>
      <c r="B15" s="863">
        <v>37978</v>
      </c>
      <c r="C15" s="916" t="s">
        <v>1000</v>
      </c>
      <c r="D15" s="916"/>
      <c r="E15" s="292">
        <f xml:space="preserve"> 365-E14-E13</f>
        <v>9</v>
      </c>
      <c r="F15" s="292">
        <v>1</v>
      </c>
      <c r="G15" s="366">
        <v>1</v>
      </c>
      <c r="H15" s="292">
        <v>13</v>
      </c>
      <c r="I15" s="292">
        <v>0</v>
      </c>
      <c r="J15" s="377">
        <v>15</v>
      </c>
      <c r="K15" s="336">
        <f t="shared" si="0"/>
        <v>6.666666666666667</v>
      </c>
      <c r="L15" s="336">
        <f t="shared" si="1"/>
        <v>86.666666666666671</v>
      </c>
      <c r="M15" s="336">
        <f t="shared" si="2"/>
        <v>0</v>
      </c>
      <c r="N15" s="368">
        <f t="shared" si="3"/>
        <v>93.333333333333343</v>
      </c>
      <c r="O15" s="335">
        <v>0.66</v>
      </c>
      <c r="P15" s="336">
        <v>43.42</v>
      </c>
      <c r="Q15" s="336">
        <v>0</v>
      </c>
      <c r="R15" s="337">
        <f t="shared" si="4"/>
        <v>44.08</v>
      </c>
      <c r="S15" s="292">
        <v>5</v>
      </c>
      <c r="T15" s="838">
        <v>37948</v>
      </c>
      <c r="U15" s="863">
        <v>37978</v>
      </c>
      <c r="V15" s="299" t="s">
        <v>1001</v>
      </c>
      <c r="W15" s="292" t="s">
        <v>17</v>
      </c>
      <c r="X15" s="292" t="s">
        <v>18</v>
      </c>
      <c r="Y15" s="385">
        <v>43.42</v>
      </c>
      <c r="Z15" s="292" t="s">
        <v>506</v>
      </c>
      <c r="AA15" s="292" t="s">
        <v>330</v>
      </c>
      <c r="AB15" s="292" t="s">
        <v>11</v>
      </c>
      <c r="AC15" s="336">
        <v>0.7</v>
      </c>
      <c r="AD15" s="299"/>
      <c r="AG15" s="385"/>
      <c r="AK15" s="336"/>
      <c r="AL15" s="299"/>
      <c r="AO15" s="300"/>
      <c r="AP15" s="299"/>
      <c r="AS15" s="300"/>
      <c r="AW15" s="300"/>
      <c r="BA15" s="301"/>
    </row>
    <row r="16" spans="1:53" s="292" customFormat="1">
      <c r="A16" s="292">
        <v>2004</v>
      </c>
      <c r="B16" s="863"/>
      <c r="C16" s="916" t="s">
        <v>1000</v>
      </c>
      <c r="D16" s="916"/>
      <c r="E16" s="292">
        <v>0</v>
      </c>
      <c r="G16" s="366">
        <v>1</v>
      </c>
      <c r="H16" s="292">
        <v>13</v>
      </c>
      <c r="I16" s="292">
        <v>0</v>
      </c>
      <c r="J16" s="377">
        <v>15</v>
      </c>
      <c r="K16" s="336">
        <f t="shared" si="0"/>
        <v>6.666666666666667</v>
      </c>
      <c r="L16" s="336">
        <f t="shared" si="1"/>
        <v>86.666666666666671</v>
      </c>
      <c r="M16" s="336">
        <f t="shared" si="2"/>
        <v>0</v>
      </c>
      <c r="N16" s="368">
        <f t="shared" si="3"/>
        <v>93.333333333333343</v>
      </c>
      <c r="O16" s="335">
        <v>0.66</v>
      </c>
      <c r="P16" s="336">
        <v>43.42</v>
      </c>
      <c r="Q16" s="336">
        <v>0</v>
      </c>
      <c r="R16" s="337">
        <f t="shared" si="4"/>
        <v>44.08</v>
      </c>
      <c r="S16" s="292">
        <v>5</v>
      </c>
      <c r="T16" s="838"/>
      <c r="U16" s="836"/>
      <c r="V16" s="299" t="s">
        <v>1001</v>
      </c>
      <c r="W16" s="292" t="s">
        <v>17</v>
      </c>
      <c r="X16" s="292" t="s">
        <v>18</v>
      </c>
      <c r="Y16" s="385">
        <v>43.42</v>
      </c>
      <c r="Z16" s="292" t="s">
        <v>506</v>
      </c>
      <c r="AA16" s="292" t="s">
        <v>330</v>
      </c>
      <c r="AB16" s="292" t="s">
        <v>11</v>
      </c>
      <c r="AC16" s="336">
        <v>0.7</v>
      </c>
      <c r="AD16" s="299"/>
      <c r="AG16" s="385"/>
      <c r="AK16" s="336"/>
      <c r="AL16" s="299"/>
      <c r="AO16" s="300"/>
      <c r="AP16" s="299"/>
      <c r="AS16" s="300"/>
      <c r="AW16" s="300"/>
      <c r="BA16" s="301"/>
    </row>
    <row r="17" spans="1:53" s="292" customFormat="1">
      <c r="A17" s="292">
        <v>2004</v>
      </c>
      <c r="B17" s="863"/>
      <c r="C17" s="916" t="s">
        <v>1000</v>
      </c>
      <c r="D17" s="916"/>
      <c r="E17" s="292">
        <v>366</v>
      </c>
      <c r="G17" s="366">
        <v>1</v>
      </c>
      <c r="H17" s="292">
        <v>13</v>
      </c>
      <c r="I17" s="292">
        <v>0</v>
      </c>
      <c r="J17" s="377">
        <v>15</v>
      </c>
      <c r="K17" s="336">
        <f t="shared" si="0"/>
        <v>6.666666666666667</v>
      </c>
      <c r="L17" s="336">
        <f t="shared" si="1"/>
        <v>86.666666666666671</v>
      </c>
      <c r="M17" s="336">
        <f t="shared" si="2"/>
        <v>0</v>
      </c>
      <c r="N17" s="368">
        <f t="shared" si="3"/>
        <v>93.333333333333343</v>
      </c>
      <c r="O17" s="335">
        <v>0.66</v>
      </c>
      <c r="P17" s="336">
        <v>43.42</v>
      </c>
      <c r="Q17" s="336">
        <v>0</v>
      </c>
      <c r="R17" s="337">
        <f t="shared" si="4"/>
        <v>44.08</v>
      </c>
      <c r="S17" s="292">
        <v>5</v>
      </c>
      <c r="T17" s="838"/>
      <c r="U17" s="836"/>
      <c r="V17" s="299" t="s">
        <v>1001</v>
      </c>
      <c r="W17" s="292" t="s">
        <v>17</v>
      </c>
      <c r="X17" s="292" t="s">
        <v>18</v>
      </c>
      <c r="Y17" s="385">
        <v>43.42</v>
      </c>
      <c r="Z17" s="292" t="s">
        <v>506</v>
      </c>
      <c r="AA17" s="292" t="s">
        <v>330</v>
      </c>
      <c r="AB17" s="292" t="s">
        <v>11</v>
      </c>
      <c r="AC17" s="336">
        <v>0.7</v>
      </c>
      <c r="AD17" s="299"/>
      <c r="AG17" s="385"/>
      <c r="AK17" s="336"/>
      <c r="AL17" s="299"/>
      <c r="AO17" s="300"/>
      <c r="AP17" s="299"/>
      <c r="AS17" s="300"/>
      <c r="AW17" s="300"/>
      <c r="BA17" s="301"/>
    </row>
    <row r="18" spans="1:53" s="292" customFormat="1">
      <c r="A18" s="313">
        <v>2005</v>
      </c>
      <c r="B18" s="869">
        <v>38400</v>
      </c>
      <c r="C18" s="916" t="s">
        <v>1000</v>
      </c>
      <c r="D18" s="916"/>
      <c r="E18" s="292">
        <v>47</v>
      </c>
      <c r="F18" s="314">
        <v>0</v>
      </c>
      <c r="G18" s="366">
        <v>1</v>
      </c>
      <c r="H18" s="292">
        <v>13</v>
      </c>
      <c r="I18" s="292">
        <v>0</v>
      </c>
      <c r="J18" s="377">
        <v>15</v>
      </c>
      <c r="K18" s="336">
        <f t="shared" si="0"/>
        <v>6.666666666666667</v>
      </c>
      <c r="L18" s="336">
        <f t="shared" si="1"/>
        <v>86.666666666666671</v>
      </c>
      <c r="M18" s="336">
        <f t="shared" si="2"/>
        <v>0</v>
      </c>
      <c r="N18" s="368">
        <f t="shared" si="3"/>
        <v>93.333333333333343</v>
      </c>
      <c r="O18" s="335">
        <v>0.66</v>
      </c>
      <c r="P18" s="336">
        <v>43.42</v>
      </c>
      <c r="Q18" s="336">
        <v>0</v>
      </c>
      <c r="R18" s="337">
        <f t="shared" si="4"/>
        <v>44.08</v>
      </c>
      <c r="S18" s="292">
        <v>5</v>
      </c>
      <c r="T18" s="838"/>
      <c r="U18" s="836"/>
      <c r="V18" s="299" t="s">
        <v>1001</v>
      </c>
      <c r="W18" s="292" t="s">
        <v>17</v>
      </c>
      <c r="X18" s="292" t="s">
        <v>18</v>
      </c>
      <c r="Y18" s="385">
        <v>43.42</v>
      </c>
      <c r="Z18" s="292" t="s">
        <v>506</v>
      </c>
      <c r="AA18" s="292" t="s">
        <v>330</v>
      </c>
      <c r="AB18" s="292" t="s">
        <v>11</v>
      </c>
      <c r="AC18" s="336">
        <v>0.7</v>
      </c>
      <c r="AD18" s="299"/>
      <c r="AG18" s="385"/>
      <c r="AK18" s="336"/>
      <c r="AL18" s="299"/>
      <c r="AO18" s="300"/>
      <c r="AP18" s="299"/>
      <c r="AS18" s="300"/>
      <c r="AW18" s="300"/>
      <c r="BA18" s="301"/>
    </row>
    <row r="19" spans="1:53" s="292" customFormat="1">
      <c r="A19" s="292">
        <v>2005</v>
      </c>
      <c r="B19" s="863"/>
      <c r="C19" s="916" t="s">
        <v>1000</v>
      </c>
      <c r="D19" s="916"/>
      <c r="E19" s="292">
        <f xml:space="preserve"> 365-E18</f>
        <v>318</v>
      </c>
      <c r="G19" s="366">
        <v>1</v>
      </c>
      <c r="H19" s="292">
        <v>13</v>
      </c>
      <c r="I19" s="292">
        <v>0</v>
      </c>
      <c r="J19" s="377">
        <v>15</v>
      </c>
      <c r="K19" s="336">
        <f t="shared" si="0"/>
        <v>6.666666666666667</v>
      </c>
      <c r="L19" s="336">
        <f t="shared" si="1"/>
        <v>86.666666666666671</v>
      </c>
      <c r="M19" s="336">
        <f t="shared" si="2"/>
        <v>0</v>
      </c>
      <c r="N19" s="368">
        <f t="shared" si="3"/>
        <v>93.333333333333343</v>
      </c>
      <c r="O19" s="335">
        <v>0.66</v>
      </c>
      <c r="P19" s="336">
        <v>43.42</v>
      </c>
      <c r="Q19" s="336">
        <v>0</v>
      </c>
      <c r="R19" s="337">
        <f t="shared" si="4"/>
        <v>44.08</v>
      </c>
      <c r="S19" s="292">
        <v>5</v>
      </c>
      <c r="T19" s="838"/>
      <c r="U19" s="836"/>
      <c r="V19" s="299" t="s">
        <v>1001</v>
      </c>
      <c r="W19" s="292" t="s">
        <v>17</v>
      </c>
      <c r="X19" s="292" t="s">
        <v>18</v>
      </c>
      <c r="Y19" s="385">
        <v>43.42</v>
      </c>
      <c r="Z19" s="292" t="s">
        <v>506</v>
      </c>
      <c r="AA19" s="292" t="s">
        <v>330</v>
      </c>
      <c r="AB19" s="292" t="s">
        <v>11</v>
      </c>
      <c r="AC19" s="336">
        <v>0.7</v>
      </c>
      <c r="AD19" s="299"/>
      <c r="AG19" s="385"/>
      <c r="AK19" s="336"/>
      <c r="AL19" s="299"/>
      <c r="AO19" s="300"/>
      <c r="AP19" s="299"/>
      <c r="AS19" s="300"/>
      <c r="AW19" s="300"/>
      <c r="BA19" s="301"/>
    </row>
    <row r="20" spans="1:53" s="292" customFormat="1">
      <c r="A20" s="292">
        <v>2006</v>
      </c>
      <c r="B20" s="863"/>
      <c r="C20" s="916" t="s">
        <v>1000</v>
      </c>
      <c r="D20" s="916"/>
      <c r="E20" s="292">
        <v>40</v>
      </c>
      <c r="G20" s="366">
        <v>1</v>
      </c>
      <c r="H20" s="292">
        <v>13</v>
      </c>
      <c r="I20" s="292">
        <v>0</v>
      </c>
      <c r="J20" s="377">
        <v>15</v>
      </c>
      <c r="K20" s="336">
        <f t="shared" si="0"/>
        <v>6.666666666666667</v>
      </c>
      <c r="L20" s="336">
        <f t="shared" si="1"/>
        <v>86.666666666666671</v>
      </c>
      <c r="M20" s="336">
        <f t="shared" si="2"/>
        <v>0</v>
      </c>
      <c r="N20" s="368">
        <f t="shared" si="3"/>
        <v>93.333333333333343</v>
      </c>
      <c r="O20" s="335">
        <v>0.66</v>
      </c>
      <c r="P20" s="336">
        <v>43.42</v>
      </c>
      <c r="Q20" s="336">
        <v>0</v>
      </c>
      <c r="R20" s="337">
        <f t="shared" si="4"/>
        <v>44.08</v>
      </c>
      <c r="S20" s="292">
        <v>5</v>
      </c>
      <c r="T20" s="838"/>
      <c r="U20" s="836"/>
      <c r="V20" s="299" t="s">
        <v>1001</v>
      </c>
      <c r="W20" s="292" t="s">
        <v>17</v>
      </c>
      <c r="X20" s="292" t="s">
        <v>18</v>
      </c>
      <c r="Y20" s="385">
        <v>43.42</v>
      </c>
      <c r="Z20" s="292" t="s">
        <v>506</v>
      </c>
      <c r="AA20" s="292" t="s">
        <v>330</v>
      </c>
      <c r="AB20" s="292" t="s">
        <v>11</v>
      </c>
      <c r="AC20" s="336">
        <v>0.7</v>
      </c>
      <c r="AD20" s="299"/>
      <c r="AG20" s="385"/>
      <c r="AK20" s="336"/>
      <c r="AL20" s="299"/>
      <c r="AO20" s="300"/>
      <c r="AP20" s="299"/>
      <c r="AS20" s="300"/>
      <c r="AW20" s="300"/>
      <c r="BA20" s="301"/>
    </row>
    <row r="21" spans="1:53" s="73" customFormat="1">
      <c r="A21" s="73">
        <v>2006</v>
      </c>
      <c r="B21" s="830">
        <v>38758</v>
      </c>
      <c r="C21" s="917" t="s">
        <v>1002</v>
      </c>
      <c r="D21" s="917"/>
      <c r="E21" s="73">
        <v>325</v>
      </c>
      <c r="F21" s="73">
        <v>4</v>
      </c>
      <c r="G21" s="119">
        <v>0</v>
      </c>
      <c r="H21" s="73">
        <v>14</v>
      </c>
      <c r="I21" s="73">
        <v>0</v>
      </c>
      <c r="J21" s="126">
        <v>15</v>
      </c>
      <c r="K21" s="92">
        <f t="shared" si="0"/>
        <v>0</v>
      </c>
      <c r="L21" s="92">
        <f t="shared" si="1"/>
        <v>93.333333333333329</v>
      </c>
      <c r="M21" s="92">
        <f t="shared" si="2"/>
        <v>0</v>
      </c>
      <c r="N21" s="121">
        <f t="shared" si="3"/>
        <v>93.333333333333329</v>
      </c>
      <c r="O21" s="91">
        <v>0</v>
      </c>
      <c r="P21" s="92">
        <v>43.42</v>
      </c>
      <c r="Q21" s="92">
        <v>0</v>
      </c>
      <c r="R21" s="93">
        <f t="shared" si="4"/>
        <v>43.42</v>
      </c>
      <c r="S21" s="73">
        <v>4</v>
      </c>
      <c r="T21" s="839"/>
      <c r="U21" s="830">
        <v>38758</v>
      </c>
      <c r="V21" s="82" t="s">
        <v>1001</v>
      </c>
      <c r="W21" s="73" t="s">
        <v>17</v>
      </c>
      <c r="X21" s="73" t="s">
        <v>18</v>
      </c>
      <c r="Y21" s="144">
        <v>43.42</v>
      </c>
      <c r="AC21" s="92"/>
      <c r="AD21" s="82"/>
      <c r="AG21" s="144"/>
      <c r="AK21" s="92"/>
      <c r="AL21" s="82"/>
      <c r="AO21" s="83"/>
      <c r="AP21" s="82"/>
      <c r="AS21" s="83"/>
      <c r="AW21" s="83"/>
      <c r="BA21" s="84"/>
    </row>
    <row r="22" spans="1:53" s="73" customFormat="1">
      <c r="A22" s="73">
        <v>2007</v>
      </c>
      <c r="B22" s="830"/>
      <c r="C22" s="917" t="s">
        <v>1002</v>
      </c>
      <c r="D22" s="917"/>
      <c r="E22" s="73">
        <v>0</v>
      </c>
      <c r="G22" s="119">
        <v>0</v>
      </c>
      <c r="H22" s="73">
        <v>14</v>
      </c>
      <c r="I22" s="73">
        <v>0</v>
      </c>
      <c r="J22" s="126">
        <v>15</v>
      </c>
      <c r="K22" s="92">
        <f t="shared" si="0"/>
        <v>0</v>
      </c>
      <c r="L22" s="92">
        <f t="shared" si="1"/>
        <v>93.333333333333329</v>
      </c>
      <c r="M22" s="92">
        <f t="shared" si="2"/>
        <v>0</v>
      </c>
      <c r="N22" s="121">
        <f t="shared" si="3"/>
        <v>93.333333333333329</v>
      </c>
      <c r="O22" s="91">
        <v>0</v>
      </c>
      <c r="P22" s="92">
        <v>43.42</v>
      </c>
      <c r="Q22" s="92">
        <v>0</v>
      </c>
      <c r="R22" s="93">
        <f t="shared" si="4"/>
        <v>43.42</v>
      </c>
      <c r="S22" s="73">
        <v>4</v>
      </c>
      <c r="T22" s="839"/>
      <c r="U22" s="852"/>
      <c r="V22" s="82" t="s">
        <v>1001</v>
      </c>
      <c r="W22" s="73" t="s">
        <v>17</v>
      </c>
      <c r="X22" s="73" t="s">
        <v>18</v>
      </c>
      <c r="Y22" s="144">
        <v>43.42</v>
      </c>
      <c r="AC22" s="92"/>
      <c r="AD22" s="82"/>
      <c r="AG22" s="144"/>
      <c r="AK22" s="92"/>
      <c r="AL22" s="82"/>
      <c r="AO22" s="83"/>
      <c r="AP22" s="82"/>
      <c r="AS22" s="83"/>
      <c r="AW22" s="83"/>
      <c r="BA22" s="84"/>
    </row>
    <row r="23" spans="1:53" s="73" customFormat="1">
      <c r="A23" s="73">
        <v>2007</v>
      </c>
      <c r="B23" s="830"/>
      <c r="C23" s="917" t="s">
        <v>1002</v>
      </c>
      <c r="D23" s="917"/>
      <c r="E23" s="73">
        <v>365</v>
      </c>
      <c r="G23" s="119">
        <v>0</v>
      </c>
      <c r="H23" s="73">
        <v>14</v>
      </c>
      <c r="I23" s="73">
        <v>0</v>
      </c>
      <c r="J23" s="126">
        <v>15</v>
      </c>
      <c r="K23" s="92">
        <f t="shared" si="0"/>
        <v>0</v>
      </c>
      <c r="L23" s="92">
        <f t="shared" si="1"/>
        <v>93.333333333333329</v>
      </c>
      <c r="M23" s="92">
        <f t="shared" si="2"/>
        <v>0</v>
      </c>
      <c r="N23" s="121">
        <f t="shared" si="3"/>
        <v>93.333333333333329</v>
      </c>
      <c r="O23" s="91">
        <v>0</v>
      </c>
      <c r="P23" s="92">
        <v>43.42</v>
      </c>
      <c r="Q23" s="92">
        <v>0</v>
      </c>
      <c r="R23" s="93">
        <f t="shared" si="4"/>
        <v>43.42</v>
      </c>
      <c r="S23" s="73">
        <v>4</v>
      </c>
      <c r="T23" s="839">
        <v>39411</v>
      </c>
      <c r="U23" s="852"/>
      <c r="V23" s="82" t="s">
        <v>1001</v>
      </c>
      <c r="W23" s="73" t="s">
        <v>17</v>
      </c>
      <c r="X23" s="73" t="s">
        <v>18</v>
      </c>
      <c r="Y23" s="144">
        <v>43.42</v>
      </c>
      <c r="AC23" s="92"/>
      <c r="AD23" s="82"/>
      <c r="AG23" s="144"/>
      <c r="AK23" s="92"/>
      <c r="AL23" s="82"/>
      <c r="AO23" s="83"/>
      <c r="AP23" s="82"/>
      <c r="AS23" s="83"/>
      <c r="AW23" s="83"/>
      <c r="BA23" s="84"/>
    </row>
    <row r="24" spans="1:53" s="73" customFormat="1">
      <c r="A24" s="73">
        <v>2008</v>
      </c>
      <c r="B24" s="830"/>
      <c r="C24" s="917" t="s">
        <v>1002</v>
      </c>
      <c r="D24" s="917"/>
      <c r="E24" s="73">
        <v>11</v>
      </c>
      <c r="G24" s="119">
        <v>0</v>
      </c>
      <c r="H24" s="73">
        <v>14</v>
      </c>
      <c r="I24" s="73">
        <v>0</v>
      </c>
      <c r="J24" s="126">
        <v>15</v>
      </c>
      <c r="K24" s="92">
        <f t="shared" si="0"/>
        <v>0</v>
      </c>
      <c r="L24" s="92">
        <f t="shared" si="1"/>
        <v>93.333333333333329</v>
      </c>
      <c r="M24" s="92">
        <f t="shared" si="2"/>
        <v>0</v>
      </c>
      <c r="N24" s="121">
        <f t="shared" si="3"/>
        <v>93.333333333333329</v>
      </c>
      <c r="O24" s="91">
        <v>0</v>
      </c>
      <c r="P24" s="92">
        <v>43.42</v>
      </c>
      <c r="Q24" s="92">
        <v>0</v>
      </c>
      <c r="R24" s="93">
        <f t="shared" si="4"/>
        <v>43.42</v>
      </c>
      <c r="S24" s="73">
        <v>4</v>
      </c>
      <c r="T24" s="839"/>
      <c r="U24" s="852"/>
      <c r="V24" s="82" t="s">
        <v>1001</v>
      </c>
      <c r="W24" s="73" t="s">
        <v>17</v>
      </c>
      <c r="X24" s="73" t="s">
        <v>18</v>
      </c>
      <c r="Y24" s="144">
        <v>43.42</v>
      </c>
      <c r="AC24" s="92"/>
      <c r="AD24" s="82"/>
      <c r="AG24" s="144"/>
      <c r="AK24" s="92"/>
      <c r="AL24" s="82"/>
      <c r="AO24" s="83"/>
      <c r="AP24" s="82"/>
      <c r="AS24" s="83"/>
      <c r="AW24" s="83"/>
      <c r="BA24" s="84"/>
    </row>
    <row r="25" spans="1:53" s="292" customFormat="1">
      <c r="A25" s="292">
        <v>2008</v>
      </c>
      <c r="B25" s="863">
        <v>39459</v>
      </c>
      <c r="C25" s="916" t="s">
        <v>1003</v>
      </c>
      <c r="D25" s="916"/>
      <c r="E25" s="292">
        <v>272</v>
      </c>
      <c r="F25" s="292">
        <v>1</v>
      </c>
      <c r="G25" s="366">
        <v>1</v>
      </c>
      <c r="H25" s="292">
        <v>16</v>
      </c>
      <c r="I25" s="292">
        <v>0</v>
      </c>
      <c r="J25" s="377">
        <v>18</v>
      </c>
      <c r="K25" s="336">
        <f t="shared" si="0"/>
        <v>5.5555555555555554</v>
      </c>
      <c r="L25" s="336">
        <f t="shared" si="1"/>
        <v>88.888888888888886</v>
      </c>
      <c r="M25" s="336">
        <f t="shared" si="2"/>
        <v>0</v>
      </c>
      <c r="N25" s="368">
        <f t="shared" si="3"/>
        <v>94.444444444444443</v>
      </c>
      <c r="O25" s="335">
        <v>3.3</v>
      </c>
      <c r="P25" s="336">
        <v>47</v>
      </c>
      <c r="Q25" s="336">
        <v>0</v>
      </c>
      <c r="R25" s="337">
        <f t="shared" si="4"/>
        <v>50.3</v>
      </c>
      <c r="S25" s="292">
        <v>2</v>
      </c>
      <c r="T25" s="838"/>
      <c r="U25" s="863">
        <v>39459</v>
      </c>
      <c r="V25" s="299" t="s">
        <v>1001</v>
      </c>
      <c r="W25" s="292" t="s">
        <v>17</v>
      </c>
      <c r="X25" s="292" t="s">
        <v>18</v>
      </c>
      <c r="Y25" s="385">
        <v>43.1</v>
      </c>
      <c r="Z25" s="292" t="s">
        <v>995</v>
      </c>
      <c r="AA25" s="292" t="s">
        <v>872</v>
      </c>
      <c r="AB25" s="292" t="s">
        <v>18</v>
      </c>
      <c r="AC25" s="336">
        <v>3.9</v>
      </c>
      <c r="AD25" s="299" t="s">
        <v>994</v>
      </c>
      <c r="AE25" s="292" t="s">
        <v>330</v>
      </c>
      <c r="AF25" s="292" t="s">
        <v>11</v>
      </c>
      <c r="AG25" s="385">
        <v>1.3</v>
      </c>
      <c r="AH25" s="292" t="s">
        <v>1004</v>
      </c>
      <c r="AI25" s="292" t="s">
        <v>330</v>
      </c>
      <c r="AJ25" s="292" t="s">
        <v>11</v>
      </c>
      <c r="AK25" s="336">
        <v>1.97</v>
      </c>
      <c r="AL25" s="299"/>
      <c r="AO25" s="300"/>
      <c r="AP25" s="299"/>
      <c r="AS25" s="300"/>
      <c r="AW25" s="300"/>
      <c r="BA25" s="301"/>
    </row>
    <row r="26" spans="1:53" s="292" customFormat="1">
      <c r="A26" s="292">
        <v>2008</v>
      </c>
      <c r="B26" s="869">
        <v>39731</v>
      </c>
      <c r="C26" s="916" t="s">
        <v>1003</v>
      </c>
      <c r="D26" s="916"/>
      <c r="E26" s="292">
        <f xml:space="preserve"> 366-E25-E24</f>
        <v>83</v>
      </c>
      <c r="F26" s="314">
        <v>0</v>
      </c>
      <c r="G26" s="366">
        <v>1</v>
      </c>
      <c r="H26" s="292">
        <v>14</v>
      </c>
      <c r="I26" s="292">
        <v>0</v>
      </c>
      <c r="J26" s="377">
        <v>18</v>
      </c>
      <c r="K26" s="336">
        <f t="shared" si="0"/>
        <v>5.5555555555555554</v>
      </c>
      <c r="L26" s="336">
        <f t="shared" si="1"/>
        <v>77.777777777777786</v>
      </c>
      <c r="M26" s="336">
        <f t="shared" si="2"/>
        <v>0</v>
      </c>
      <c r="N26" s="368">
        <f t="shared" si="3"/>
        <v>83.333333333333343</v>
      </c>
      <c r="O26" s="335">
        <v>3.3</v>
      </c>
      <c r="P26" s="336">
        <v>47</v>
      </c>
      <c r="Q26" s="336">
        <v>0</v>
      </c>
      <c r="R26" s="337">
        <f t="shared" si="4"/>
        <v>50.3</v>
      </c>
      <c r="S26" s="292">
        <v>2</v>
      </c>
      <c r="T26" s="838"/>
      <c r="U26" s="836"/>
      <c r="V26" s="299" t="s">
        <v>1001</v>
      </c>
      <c r="W26" s="292" t="s">
        <v>17</v>
      </c>
      <c r="X26" s="292" t="s">
        <v>18</v>
      </c>
      <c r="Y26" s="385">
        <v>43.1</v>
      </c>
      <c r="Z26" s="292" t="s">
        <v>995</v>
      </c>
      <c r="AA26" s="292" t="s">
        <v>872</v>
      </c>
      <c r="AB26" s="292" t="s">
        <v>18</v>
      </c>
      <c r="AC26" s="336">
        <v>3.9</v>
      </c>
      <c r="AD26" s="299" t="s">
        <v>994</v>
      </c>
      <c r="AE26" s="292" t="s">
        <v>330</v>
      </c>
      <c r="AF26" s="292" t="s">
        <v>11</v>
      </c>
      <c r="AG26" s="385">
        <v>1.3</v>
      </c>
      <c r="AH26" s="292" t="s">
        <v>1004</v>
      </c>
      <c r="AI26" s="292" t="s">
        <v>330</v>
      </c>
      <c r="AJ26" s="292" t="s">
        <v>11</v>
      </c>
      <c r="AK26" s="336">
        <v>1.97</v>
      </c>
      <c r="AL26" s="299"/>
      <c r="AO26" s="300"/>
      <c r="AP26" s="299"/>
      <c r="AS26" s="300"/>
      <c r="AW26" s="300"/>
      <c r="BA26" s="301"/>
    </row>
    <row r="27" spans="1:53" s="292" customFormat="1">
      <c r="A27" s="292">
        <v>2009</v>
      </c>
      <c r="B27" s="863"/>
      <c r="C27" s="916" t="s">
        <v>1003</v>
      </c>
      <c r="D27" s="916"/>
      <c r="E27" s="292">
        <v>186</v>
      </c>
      <c r="G27" s="366">
        <v>1</v>
      </c>
      <c r="H27" s="292">
        <v>14</v>
      </c>
      <c r="I27" s="292">
        <v>0</v>
      </c>
      <c r="J27" s="377">
        <v>18</v>
      </c>
      <c r="K27" s="336">
        <f t="shared" si="0"/>
        <v>5.5555555555555554</v>
      </c>
      <c r="L27" s="336">
        <f t="shared" si="1"/>
        <v>77.777777777777786</v>
      </c>
      <c r="M27" s="336">
        <f t="shared" si="2"/>
        <v>0</v>
      </c>
      <c r="N27" s="368">
        <f t="shared" si="3"/>
        <v>83.333333333333343</v>
      </c>
      <c r="O27" s="335">
        <v>3.3</v>
      </c>
      <c r="P27" s="336">
        <v>47</v>
      </c>
      <c r="Q27" s="336">
        <v>0</v>
      </c>
      <c r="R27" s="337">
        <f t="shared" si="4"/>
        <v>50.3</v>
      </c>
      <c r="S27" s="292">
        <v>2</v>
      </c>
      <c r="T27" s="838"/>
      <c r="U27" s="836"/>
      <c r="V27" s="299" t="s">
        <v>1001</v>
      </c>
      <c r="W27" s="292" t="s">
        <v>17</v>
      </c>
      <c r="X27" s="292" t="s">
        <v>18</v>
      </c>
      <c r="Y27" s="385">
        <v>43.1</v>
      </c>
      <c r="Z27" s="292" t="s">
        <v>995</v>
      </c>
      <c r="AA27" s="292" t="s">
        <v>872</v>
      </c>
      <c r="AB27" s="292" t="s">
        <v>18</v>
      </c>
      <c r="AC27" s="336">
        <v>3.9</v>
      </c>
      <c r="AD27" s="299" t="s">
        <v>994</v>
      </c>
      <c r="AE27" s="292" t="s">
        <v>330</v>
      </c>
      <c r="AF27" s="292" t="s">
        <v>11</v>
      </c>
      <c r="AG27" s="385">
        <v>1.3</v>
      </c>
      <c r="AH27" s="292" t="s">
        <v>1004</v>
      </c>
      <c r="AI27" s="292" t="s">
        <v>330</v>
      </c>
      <c r="AJ27" s="292" t="s">
        <v>11</v>
      </c>
      <c r="AK27" s="336">
        <v>1.97</v>
      </c>
      <c r="AL27" s="299"/>
      <c r="AO27" s="300"/>
      <c r="AP27" s="299"/>
      <c r="AS27" s="300"/>
      <c r="AW27" s="300"/>
      <c r="BA27" s="301"/>
    </row>
    <row r="28" spans="1:53" s="73" customFormat="1">
      <c r="A28" s="73">
        <v>2009</v>
      </c>
      <c r="B28" s="830">
        <v>40000</v>
      </c>
      <c r="C28" s="917" t="s">
        <v>1005</v>
      </c>
      <c r="D28" s="917"/>
      <c r="E28" s="73">
        <f xml:space="preserve"> 365-E27</f>
        <v>179</v>
      </c>
      <c r="F28" s="73">
        <v>2</v>
      </c>
      <c r="G28" s="119">
        <v>1</v>
      </c>
      <c r="H28" s="73">
        <v>16</v>
      </c>
      <c r="I28" s="73">
        <v>0</v>
      </c>
      <c r="J28" s="126">
        <v>20</v>
      </c>
      <c r="K28" s="92">
        <f t="shared" si="0"/>
        <v>5</v>
      </c>
      <c r="L28" s="92">
        <f t="shared" si="1"/>
        <v>80</v>
      </c>
      <c r="M28" s="92">
        <f t="shared" si="2"/>
        <v>0</v>
      </c>
      <c r="N28" s="121">
        <f t="shared" si="3"/>
        <v>85</v>
      </c>
      <c r="O28" s="91">
        <v>3.27</v>
      </c>
      <c r="P28" s="92">
        <v>47</v>
      </c>
      <c r="Q28" s="92">
        <v>0</v>
      </c>
      <c r="R28" s="93">
        <f t="shared" si="4"/>
        <v>50.27</v>
      </c>
      <c r="S28" s="73">
        <v>2</v>
      </c>
      <c r="T28" s="839"/>
      <c r="U28" s="830">
        <v>40000</v>
      </c>
      <c r="V28" s="82" t="s">
        <v>1001</v>
      </c>
      <c r="W28" s="195" t="s">
        <v>17</v>
      </c>
      <c r="X28" s="73" t="s">
        <v>18</v>
      </c>
      <c r="Y28" s="144">
        <v>43.1</v>
      </c>
      <c r="Z28" s="73" t="s">
        <v>1004</v>
      </c>
      <c r="AA28" s="73" t="s">
        <v>330</v>
      </c>
      <c r="AB28" s="73" t="s">
        <v>11</v>
      </c>
      <c r="AC28" s="92">
        <v>1.97</v>
      </c>
      <c r="AD28" s="82" t="s">
        <v>994</v>
      </c>
      <c r="AE28" s="73" t="s">
        <v>330</v>
      </c>
      <c r="AF28" s="73" t="s">
        <v>11</v>
      </c>
      <c r="AG28" s="144">
        <v>1.3</v>
      </c>
      <c r="AH28" s="73" t="s">
        <v>995</v>
      </c>
      <c r="AI28" s="73" t="s">
        <v>872</v>
      </c>
      <c r="AJ28" s="73" t="s">
        <v>18</v>
      </c>
      <c r="AK28" s="92">
        <v>3.9</v>
      </c>
      <c r="AL28" s="82"/>
      <c r="AO28" s="83"/>
      <c r="AP28" s="82"/>
      <c r="AS28" s="83"/>
      <c r="AW28" s="83"/>
      <c r="BA28" s="84"/>
    </row>
    <row r="29" spans="1:53" s="73" customFormat="1">
      <c r="A29" s="73">
        <v>2010</v>
      </c>
      <c r="B29" s="830"/>
      <c r="C29" s="917" t="s">
        <v>1005</v>
      </c>
      <c r="D29" s="917"/>
      <c r="E29" s="73">
        <v>83</v>
      </c>
      <c r="G29" s="119">
        <v>1</v>
      </c>
      <c r="H29" s="73">
        <v>16</v>
      </c>
      <c r="I29" s="73">
        <v>0</v>
      </c>
      <c r="J29" s="126">
        <v>20</v>
      </c>
      <c r="K29" s="92">
        <f t="shared" si="0"/>
        <v>5</v>
      </c>
      <c r="L29" s="92">
        <f t="shared" si="1"/>
        <v>80</v>
      </c>
      <c r="M29" s="92">
        <f t="shared" si="2"/>
        <v>0</v>
      </c>
      <c r="N29" s="121">
        <f t="shared" si="3"/>
        <v>85</v>
      </c>
      <c r="O29" s="91">
        <v>3.27</v>
      </c>
      <c r="P29" s="92">
        <v>47</v>
      </c>
      <c r="Q29" s="92">
        <v>0</v>
      </c>
      <c r="R29" s="93">
        <f t="shared" si="4"/>
        <v>50.27</v>
      </c>
      <c r="S29" s="73">
        <v>2</v>
      </c>
      <c r="T29" s="839"/>
      <c r="U29" s="852"/>
      <c r="V29" s="82" t="s">
        <v>1001</v>
      </c>
      <c r="W29" s="195" t="s">
        <v>17</v>
      </c>
      <c r="X29" s="73" t="s">
        <v>18</v>
      </c>
      <c r="Y29" s="144">
        <v>43.1</v>
      </c>
      <c r="Z29" s="73" t="s">
        <v>1004</v>
      </c>
      <c r="AA29" s="73" t="s">
        <v>330</v>
      </c>
      <c r="AB29" s="73" t="s">
        <v>11</v>
      </c>
      <c r="AC29" s="92">
        <v>1.97</v>
      </c>
      <c r="AD29" s="82" t="s">
        <v>994</v>
      </c>
      <c r="AE29" s="73" t="s">
        <v>330</v>
      </c>
      <c r="AF29" s="73" t="s">
        <v>11</v>
      </c>
      <c r="AG29" s="144">
        <v>1.3</v>
      </c>
      <c r="AH29" s="73" t="s">
        <v>995</v>
      </c>
      <c r="AI29" s="73" t="s">
        <v>872</v>
      </c>
      <c r="AJ29" s="73" t="s">
        <v>18</v>
      </c>
      <c r="AK29" s="92">
        <v>3.9</v>
      </c>
      <c r="AL29" s="82"/>
      <c r="AO29" s="83"/>
      <c r="AP29" s="82"/>
      <c r="AS29" s="83"/>
      <c r="AW29" s="83"/>
      <c r="BA29" s="84"/>
    </row>
    <row r="30" spans="1:53" s="73" customFormat="1">
      <c r="A30" s="73">
        <v>2010</v>
      </c>
      <c r="B30" s="868">
        <v>40262</v>
      </c>
      <c r="C30" s="917" t="s">
        <v>1005</v>
      </c>
      <c r="D30" s="917"/>
      <c r="E30" s="73">
        <v>104</v>
      </c>
      <c r="F30" s="123">
        <v>0</v>
      </c>
      <c r="G30" s="119">
        <v>1</v>
      </c>
      <c r="H30" s="73">
        <v>15</v>
      </c>
      <c r="I30" s="73">
        <v>0</v>
      </c>
      <c r="J30" s="126">
        <v>19</v>
      </c>
      <c r="K30" s="92">
        <f t="shared" si="0"/>
        <v>5.2631578947368416</v>
      </c>
      <c r="L30" s="92">
        <f t="shared" si="1"/>
        <v>78.94736842105263</v>
      </c>
      <c r="M30" s="92">
        <f t="shared" si="2"/>
        <v>0</v>
      </c>
      <c r="N30" s="121">
        <f t="shared" si="3"/>
        <v>84.210526315789465</v>
      </c>
      <c r="O30" s="91">
        <v>3.27</v>
      </c>
      <c r="P30" s="92">
        <v>47</v>
      </c>
      <c r="Q30" s="92">
        <v>0</v>
      </c>
      <c r="R30" s="93">
        <f t="shared" si="4"/>
        <v>50.27</v>
      </c>
      <c r="S30" s="73">
        <v>2</v>
      </c>
      <c r="T30" s="839"/>
      <c r="U30" s="852"/>
      <c r="V30" s="82" t="s">
        <v>1001</v>
      </c>
      <c r="W30" s="195" t="s">
        <v>17</v>
      </c>
      <c r="X30" s="73" t="s">
        <v>18</v>
      </c>
      <c r="Y30" s="144">
        <v>43.1</v>
      </c>
      <c r="Z30" s="73" t="s">
        <v>1004</v>
      </c>
      <c r="AA30" s="73" t="s">
        <v>330</v>
      </c>
      <c r="AB30" s="73" t="s">
        <v>11</v>
      </c>
      <c r="AC30" s="92">
        <v>1.97</v>
      </c>
      <c r="AD30" s="82" t="s">
        <v>994</v>
      </c>
      <c r="AE30" s="73" t="s">
        <v>330</v>
      </c>
      <c r="AF30" s="73" t="s">
        <v>11</v>
      </c>
      <c r="AG30" s="144">
        <v>1.3</v>
      </c>
      <c r="AH30" s="73" t="s">
        <v>995</v>
      </c>
      <c r="AI30" s="73" t="s">
        <v>872</v>
      </c>
      <c r="AJ30" s="73" t="s">
        <v>18</v>
      </c>
      <c r="AK30" s="92">
        <v>3.9</v>
      </c>
      <c r="AL30" s="82"/>
      <c r="AO30" s="83"/>
      <c r="AP30" s="82"/>
      <c r="AS30" s="83"/>
      <c r="AW30" s="83"/>
      <c r="BA30" s="84"/>
    </row>
    <row r="31" spans="1:53" s="73" customFormat="1">
      <c r="A31" s="73">
        <v>2010</v>
      </c>
      <c r="B31" s="868">
        <v>40366</v>
      </c>
      <c r="C31" s="917" t="s">
        <v>1005</v>
      </c>
      <c r="D31" s="917"/>
      <c r="E31" s="73">
        <v>175</v>
      </c>
      <c r="F31" s="123">
        <v>0</v>
      </c>
      <c r="G31" s="119">
        <v>1</v>
      </c>
      <c r="H31" s="73">
        <v>16</v>
      </c>
      <c r="I31" s="73">
        <v>0</v>
      </c>
      <c r="J31" s="126">
        <v>19</v>
      </c>
      <c r="K31" s="92">
        <f t="shared" si="0"/>
        <v>5.2631578947368416</v>
      </c>
      <c r="L31" s="92">
        <f t="shared" si="1"/>
        <v>84.210526315789465</v>
      </c>
      <c r="M31" s="92">
        <f t="shared" si="2"/>
        <v>0</v>
      </c>
      <c r="N31" s="121">
        <f t="shared" si="3"/>
        <v>89.473684210526301</v>
      </c>
      <c r="O31" s="91">
        <v>3.27</v>
      </c>
      <c r="P31" s="92">
        <v>47</v>
      </c>
      <c r="Q31" s="92">
        <v>0</v>
      </c>
      <c r="R31" s="93">
        <f t="shared" si="4"/>
        <v>50.27</v>
      </c>
      <c r="S31" s="73">
        <v>2</v>
      </c>
      <c r="T31" s="839"/>
      <c r="U31" s="852"/>
      <c r="V31" s="82" t="s">
        <v>1001</v>
      </c>
      <c r="W31" s="195" t="s">
        <v>17</v>
      </c>
      <c r="X31" s="73" t="s">
        <v>18</v>
      </c>
      <c r="Y31" s="144">
        <v>43.1</v>
      </c>
      <c r="Z31" s="73" t="s">
        <v>1004</v>
      </c>
      <c r="AA31" s="73" t="s">
        <v>330</v>
      </c>
      <c r="AB31" s="73" t="s">
        <v>11</v>
      </c>
      <c r="AC31" s="92">
        <v>1.97</v>
      </c>
      <c r="AD31" s="82" t="s">
        <v>994</v>
      </c>
      <c r="AE31" s="73" t="s">
        <v>330</v>
      </c>
      <c r="AF31" s="73" t="s">
        <v>11</v>
      </c>
      <c r="AG31" s="144">
        <v>1.3</v>
      </c>
      <c r="AH31" s="73" t="s">
        <v>995</v>
      </c>
      <c r="AI31" s="73" t="s">
        <v>872</v>
      </c>
      <c r="AJ31" s="73" t="s">
        <v>18</v>
      </c>
      <c r="AK31" s="92">
        <v>3.9</v>
      </c>
      <c r="AL31" s="82"/>
      <c r="AO31" s="83"/>
      <c r="AP31" s="82"/>
      <c r="AS31" s="83"/>
      <c r="AW31" s="83"/>
      <c r="BA31" s="84"/>
    </row>
    <row r="32" spans="1:53" s="292" customFormat="1">
      <c r="A32" s="292">
        <v>2010</v>
      </c>
      <c r="B32" s="863">
        <v>40541</v>
      </c>
      <c r="C32" s="916" t="s">
        <v>1006</v>
      </c>
      <c r="D32" s="916"/>
      <c r="E32" s="292">
        <f xml:space="preserve"> 365-E31-E30-E29</f>
        <v>3</v>
      </c>
      <c r="F32" s="292">
        <v>4</v>
      </c>
      <c r="G32" s="366">
        <v>0</v>
      </c>
      <c r="H32" s="292">
        <v>16</v>
      </c>
      <c r="I32" s="292">
        <v>0</v>
      </c>
      <c r="J32" s="377">
        <v>19</v>
      </c>
      <c r="K32" s="336">
        <f t="shared" si="0"/>
        <v>0</v>
      </c>
      <c r="L32" s="336">
        <f t="shared" si="1"/>
        <v>84.210526315789465</v>
      </c>
      <c r="M32" s="336">
        <f t="shared" si="2"/>
        <v>0</v>
      </c>
      <c r="N32" s="368">
        <f t="shared" si="3"/>
        <v>84.210526315789465</v>
      </c>
      <c r="O32" s="335">
        <v>1.97</v>
      </c>
      <c r="P32" s="336">
        <v>47</v>
      </c>
      <c r="Q32" s="336">
        <v>0</v>
      </c>
      <c r="R32" s="337">
        <f t="shared" si="4"/>
        <v>48.97</v>
      </c>
      <c r="S32" s="292">
        <v>5</v>
      </c>
      <c r="T32" s="838"/>
      <c r="U32" s="863">
        <v>40541</v>
      </c>
      <c r="V32" s="299" t="s">
        <v>1001</v>
      </c>
      <c r="W32" s="292" t="s">
        <v>17</v>
      </c>
      <c r="X32" s="292" t="s">
        <v>18</v>
      </c>
      <c r="Y32" s="385">
        <v>43.1</v>
      </c>
      <c r="Z32" s="292" t="s">
        <v>1004</v>
      </c>
      <c r="AA32" s="292" t="s">
        <v>330</v>
      </c>
      <c r="AB32" s="292" t="s">
        <v>11</v>
      </c>
      <c r="AC32" s="336">
        <v>1.97</v>
      </c>
      <c r="AD32" s="299" t="s">
        <v>995</v>
      </c>
      <c r="AE32" s="292" t="s">
        <v>872</v>
      </c>
      <c r="AF32" s="292" t="s">
        <v>18</v>
      </c>
      <c r="AG32" s="385">
        <v>3.9</v>
      </c>
      <c r="AL32" s="299"/>
      <c r="AO32" s="300"/>
      <c r="AP32" s="299"/>
      <c r="AS32" s="300"/>
      <c r="AW32" s="300"/>
      <c r="BA32" s="301"/>
    </row>
    <row r="33" spans="1:53" s="292" customFormat="1">
      <c r="A33" s="292">
        <v>2011</v>
      </c>
      <c r="B33" s="863"/>
      <c r="C33" s="916" t="s">
        <v>1006</v>
      </c>
      <c r="D33" s="916"/>
      <c r="E33" s="292">
        <v>356</v>
      </c>
      <c r="G33" s="366">
        <v>0</v>
      </c>
      <c r="H33" s="292">
        <v>16</v>
      </c>
      <c r="I33" s="292">
        <v>0</v>
      </c>
      <c r="J33" s="377">
        <v>19</v>
      </c>
      <c r="K33" s="336">
        <f t="shared" si="0"/>
        <v>0</v>
      </c>
      <c r="L33" s="336">
        <f t="shared" si="1"/>
        <v>84.210526315789465</v>
      </c>
      <c r="M33" s="336">
        <f t="shared" si="2"/>
        <v>0</v>
      </c>
      <c r="N33" s="368">
        <f t="shared" si="3"/>
        <v>84.210526315789465</v>
      </c>
      <c r="O33" s="335">
        <v>1.97</v>
      </c>
      <c r="P33" s="336">
        <v>47</v>
      </c>
      <c r="Q33" s="336">
        <v>0</v>
      </c>
      <c r="R33" s="337">
        <f t="shared" si="4"/>
        <v>48.97</v>
      </c>
      <c r="S33" s="292">
        <v>5</v>
      </c>
      <c r="T33" s="838"/>
      <c r="U33" s="836"/>
      <c r="V33" s="299" t="s">
        <v>1001</v>
      </c>
      <c r="W33" s="292" t="s">
        <v>17</v>
      </c>
      <c r="X33" s="292" t="s">
        <v>18</v>
      </c>
      <c r="Y33" s="385">
        <v>43.1</v>
      </c>
      <c r="Z33" s="292" t="s">
        <v>1004</v>
      </c>
      <c r="AA33" s="292" t="s">
        <v>330</v>
      </c>
      <c r="AB33" s="292" t="s">
        <v>11</v>
      </c>
      <c r="AC33" s="336">
        <v>1.97</v>
      </c>
      <c r="AD33" s="299" t="s">
        <v>995</v>
      </c>
      <c r="AE33" s="292" t="s">
        <v>872</v>
      </c>
      <c r="AF33" s="292" t="s">
        <v>18</v>
      </c>
      <c r="AG33" s="385">
        <v>3.9</v>
      </c>
      <c r="AL33" s="299"/>
      <c r="AO33" s="300"/>
      <c r="AP33" s="299"/>
      <c r="AS33" s="300"/>
      <c r="AW33" s="300"/>
      <c r="BA33" s="301"/>
    </row>
    <row r="34" spans="1:53" s="73" customFormat="1">
      <c r="A34" s="73">
        <v>2011</v>
      </c>
      <c r="B34" s="830">
        <v>40900</v>
      </c>
      <c r="C34" s="917" t="s">
        <v>1186</v>
      </c>
      <c r="D34" s="917"/>
      <c r="E34" s="73">
        <f xml:space="preserve"> 365-E33</f>
        <v>9</v>
      </c>
      <c r="F34" s="73">
        <v>1</v>
      </c>
      <c r="G34" s="119">
        <v>5</v>
      </c>
      <c r="H34" s="73">
        <v>0</v>
      </c>
      <c r="I34" s="73">
        <v>15</v>
      </c>
      <c r="J34" s="126">
        <v>22</v>
      </c>
      <c r="K34" s="92">
        <f t="shared" si="0"/>
        <v>22.727272727272727</v>
      </c>
      <c r="L34" s="92">
        <f t="shared" si="1"/>
        <v>0</v>
      </c>
      <c r="M34" s="92">
        <f t="shared" si="2"/>
        <v>68.181818181818173</v>
      </c>
      <c r="N34" s="121">
        <f t="shared" si="3"/>
        <v>90.909090909090907</v>
      </c>
      <c r="O34" s="91">
        <v>11.3</v>
      </c>
      <c r="P34" s="92">
        <v>0</v>
      </c>
      <c r="Q34" s="92">
        <v>39.700000000000003</v>
      </c>
      <c r="R34" s="93">
        <f t="shared" si="4"/>
        <v>51</v>
      </c>
      <c r="S34" s="73">
        <v>2</v>
      </c>
      <c r="T34" s="839">
        <v>40881</v>
      </c>
      <c r="U34" s="830">
        <v>40900</v>
      </c>
      <c r="V34" s="82" t="s">
        <v>112</v>
      </c>
      <c r="W34" s="73" t="s">
        <v>20</v>
      </c>
      <c r="X34" s="73" t="s">
        <v>12</v>
      </c>
      <c r="Y34" s="144">
        <v>39.700000000000003</v>
      </c>
      <c r="Z34" s="73" t="s">
        <v>997</v>
      </c>
      <c r="AA34" s="73" t="s">
        <v>22</v>
      </c>
      <c r="AB34" s="73" t="s">
        <v>11</v>
      </c>
      <c r="AC34" s="92">
        <v>9.3000000000000007</v>
      </c>
      <c r="AD34" s="82" t="s">
        <v>996</v>
      </c>
      <c r="AE34" s="73" t="s">
        <v>330</v>
      </c>
      <c r="AF34" s="73" t="s">
        <v>11</v>
      </c>
      <c r="AG34" s="144">
        <v>2</v>
      </c>
      <c r="AL34" s="82"/>
      <c r="AO34" s="83"/>
      <c r="AP34" s="82"/>
      <c r="AS34" s="83"/>
      <c r="AW34" s="83"/>
      <c r="BA34" s="84"/>
    </row>
    <row r="35" spans="1:53" s="73" customFormat="1">
      <c r="A35" s="73">
        <v>2012</v>
      </c>
      <c r="B35" s="852"/>
      <c r="C35" s="917" t="s">
        <v>1186</v>
      </c>
      <c r="D35" s="917"/>
      <c r="E35" s="73">
        <v>0</v>
      </c>
      <c r="G35" s="119">
        <v>5</v>
      </c>
      <c r="H35" s="73">
        <v>0</v>
      </c>
      <c r="I35" s="73">
        <v>15</v>
      </c>
      <c r="J35" s="126">
        <v>22</v>
      </c>
      <c r="K35" s="92">
        <f t="shared" si="0"/>
        <v>22.727272727272727</v>
      </c>
      <c r="L35" s="92">
        <f t="shared" si="1"/>
        <v>0</v>
      </c>
      <c r="M35" s="92">
        <f t="shared" si="2"/>
        <v>68.181818181818173</v>
      </c>
      <c r="N35" s="121">
        <f t="shared" si="3"/>
        <v>90.909090909090907</v>
      </c>
      <c r="O35" s="91">
        <v>11.3</v>
      </c>
      <c r="P35" s="92">
        <v>0</v>
      </c>
      <c r="Q35" s="92">
        <v>39.700000000000003</v>
      </c>
      <c r="R35" s="93">
        <f t="shared" si="4"/>
        <v>51</v>
      </c>
      <c r="S35" s="73">
        <v>2</v>
      </c>
      <c r="T35" s="839"/>
      <c r="U35" s="852"/>
      <c r="V35" s="82" t="s">
        <v>112</v>
      </c>
      <c r="W35" s="73" t="s">
        <v>20</v>
      </c>
      <c r="X35" s="73" t="s">
        <v>12</v>
      </c>
      <c r="Y35" s="144">
        <v>39.700000000000003</v>
      </c>
      <c r="Z35" s="73" t="s">
        <v>997</v>
      </c>
      <c r="AA35" s="73" t="s">
        <v>22</v>
      </c>
      <c r="AB35" s="73" t="s">
        <v>11</v>
      </c>
      <c r="AC35" s="92">
        <v>9.3000000000000007</v>
      </c>
      <c r="AD35" s="82" t="s">
        <v>996</v>
      </c>
      <c r="AE35" s="73" t="s">
        <v>330</v>
      </c>
      <c r="AF35" s="73" t="s">
        <v>11</v>
      </c>
      <c r="AG35" s="144">
        <v>2</v>
      </c>
      <c r="AL35" s="82"/>
      <c r="AO35" s="83"/>
      <c r="AP35" s="82"/>
      <c r="AS35" s="83"/>
      <c r="AW35" s="83"/>
      <c r="BA35" s="84"/>
    </row>
    <row r="36" spans="1:53" s="73" customFormat="1">
      <c r="A36" s="73">
        <v>2012</v>
      </c>
      <c r="B36" s="852"/>
      <c r="C36" s="917" t="s">
        <v>1186</v>
      </c>
      <c r="D36" s="917"/>
      <c r="E36" s="73">
        <v>366</v>
      </c>
      <c r="G36" s="119">
        <v>5</v>
      </c>
      <c r="H36" s="73">
        <v>0</v>
      </c>
      <c r="I36" s="73">
        <v>15</v>
      </c>
      <c r="J36" s="126">
        <v>22</v>
      </c>
      <c r="K36" s="92">
        <f t="shared" si="0"/>
        <v>22.727272727272727</v>
      </c>
      <c r="L36" s="92">
        <f t="shared" si="1"/>
        <v>0</v>
      </c>
      <c r="M36" s="92">
        <f t="shared" si="2"/>
        <v>68.181818181818173</v>
      </c>
      <c r="N36" s="121">
        <f t="shared" si="3"/>
        <v>90.909090909090907</v>
      </c>
      <c r="O36" s="91">
        <v>11.3</v>
      </c>
      <c r="P36" s="92">
        <v>0</v>
      </c>
      <c r="Q36" s="92">
        <v>39.700000000000003</v>
      </c>
      <c r="R36" s="93">
        <f t="shared" si="4"/>
        <v>51</v>
      </c>
      <c r="S36" s="73">
        <v>2</v>
      </c>
      <c r="T36" s="839"/>
      <c r="U36" s="852"/>
      <c r="V36" s="82" t="s">
        <v>112</v>
      </c>
      <c r="W36" s="73" t="s">
        <v>20</v>
      </c>
      <c r="X36" s="73" t="s">
        <v>12</v>
      </c>
      <c r="Y36" s="144">
        <v>39.700000000000003</v>
      </c>
      <c r="Z36" s="73" t="s">
        <v>997</v>
      </c>
      <c r="AA36" s="73" t="s">
        <v>22</v>
      </c>
      <c r="AB36" s="73" t="s">
        <v>11</v>
      </c>
      <c r="AC36" s="92">
        <v>9.3000000000000007</v>
      </c>
      <c r="AD36" s="82" t="s">
        <v>996</v>
      </c>
      <c r="AE36" s="73" t="s">
        <v>330</v>
      </c>
      <c r="AF36" s="73" t="s">
        <v>11</v>
      </c>
      <c r="AG36" s="144">
        <v>2</v>
      </c>
      <c r="AL36" s="82"/>
      <c r="AO36" s="83"/>
      <c r="AP36" s="82"/>
      <c r="AS36" s="83"/>
      <c r="AW36" s="83"/>
      <c r="BA36" s="84"/>
    </row>
    <row r="37" spans="1:53" s="275" customFormat="1">
      <c r="A37" s="275">
        <v>2013</v>
      </c>
      <c r="B37" s="852"/>
      <c r="C37" s="917" t="s">
        <v>1186</v>
      </c>
      <c r="D37" s="917"/>
      <c r="E37" s="277">
        <v>181</v>
      </c>
      <c r="G37" s="119">
        <v>5</v>
      </c>
      <c r="H37" s="275">
        <v>0</v>
      </c>
      <c r="I37" s="275">
        <v>15</v>
      </c>
      <c r="J37" s="126">
        <v>22</v>
      </c>
      <c r="K37" s="92">
        <f t="shared" si="0"/>
        <v>22.727272727272727</v>
      </c>
      <c r="L37" s="92">
        <f t="shared" si="1"/>
        <v>0</v>
      </c>
      <c r="M37" s="92">
        <f t="shared" si="2"/>
        <v>68.181818181818173</v>
      </c>
      <c r="N37" s="121">
        <f t="shared" si="3"/>
        <v>90.909090909090907</v>
      </c>
      <c r="O37" s="91">
        <v>11.3</v>
      </c>
      <c r="P37" s="92">
        <v>0</v>
      </c>
      <c r="Q37" s="92">
        <v>39.700000000000003</v>
      </c>
      <c r="R37" s="93">
        <f t="shared" si="4"/>
        <v>51</v>
      </c>
      <c r="S37" s="275">
        <v>2</v>
      </c>
      <c r="T37" s="839"/>
      <c r="U37" s="852"/>
      <c r="V37" s="82" t="s">
        <v>112</v>
      </c>
      <c r="W37" s="277" t="s">
        <v>20</v>
      </c>
      <c r="X37" s="277" t="s">
        <v>12</v>
      </c>
      <c r="Y37" s="144">
        <v>39.700000000000003</v>
      </c>
      <c r="Z37" s="277" t="s">
        <v>997</v>
      </c>
      <c r="AA37" s="277" t="s">
        <v>22</v>
      </c>
      <c r="AB37" s="277" t="s">
        <v>11</v>
      </c>
      <c r="AC37" s="92">
        <v>9.3000000000000007</v>
      </c>
      <c r="AD37" s="82" t="s">
        <v>996</v>
      </c>
      <c r="AE37" s="277" t="s">
        <v>330</v>
      </c>
      <c r="AF37" s="277" t="s">
        <v>11</v>
      </c>
      <c r="AG37" s="144">
        <v>2</v>
      </c>
      <c r="AL37" s="82"/>
      <c r="AO37" s="83"/>
      <c r="AP37" s="82"/>
      <c r="AS37" s="83"/>
      <c r="AW37" s="83"/>
      <c r="BA37" s="84"/>
    </row>
    <row r="38" spans="1:53" s="281" customFormat="1">
      <c r="A38" s="281">
        <v>2013</v>
      </c>
      <c r="B38" s="868">
        <v>41456</v>
      </c>
      <c r="C38" s="917" t="s">
        <v>1186</v>
      </c>
      <c r="D38" s="917"/>
      <c r="E38" s="281">
        <f>365-E37</f>
        <v>184</v>
      </c>
      <c r="F38" s="123">
        <v>0</v>
      </c>
      <c r="G38" s="119">
        <v>5</v>
      </c>
      <c r="H38" s="281">
        <v>0</v>
      </c>
      <c r="I38" s="281">
        <v>14</v>
      </c>
      <c r="J38" s="126">
        <v>21</v>
      </c>
      <c r="K38" s="92">
        <f>G38/J38*100</f>
        <v>23.809523809523807</v>
      </c>
      <c r="L38" s="92">
        <f>H38/J38*100</f>
        <v>0</v>
      </c>
      <c r="M38" s="92">
        <f>I38/J38*100</f>
        <v>66.666666666666657</v>
      </c>
      <c r="N38" s="121">
        <f>SUM(K38:M38)</f>
        <v>90.476190476190467</v>
      </c>
      <c r="O38" s="91">
        <v>11.3</v>
      </c>
      <c r="P38" s="92">
        <v>0</v>
      </c>
      <c r="Q38" s="92">
        <v>39.700000000000003</v>
      </c>
      <c r="R38" s="93">
        <f t="shared" si="4"/>
        <v>51</v>
      </c>
      <c r="S38" s="281">
        <v>2</v>
      </c>
      <c r="T38" s="839"/>
      <c r="U38" s="852"/>
      <c r="V38" s="82" t="s">
        <v>112</v>
      </c>
      <c r="W38" s="281" t="s">
        <v>20</v>
      </c>
      <c r="X38" s="281" t="s">
        <v>12</v>
      </c>
      <c r="Y38" s="144">
        <v>39.700000000000003</v>
      </c>
      <c r="Z38" s="281" t="s">
        <v>997</v>
      </c>
      <c r="AA38" s="281" t="s">
        <v>22</v>
      </c>
      <c r="AB38" s="281" t="s">
        <v>11</v>
      </c>
      <c r="AC38" s="92">
        <v>9.3000000000000007</v>
      </c>
      <c r="AD38" s="82" t="s">
        <v>996</v>
      </c>
      <c r="AE38" s="281" t="s">
        <v>330</v>
      </c>
      <c r="AF38" s="281" t="s">
        <v>11</v>
      </c>
      <c r="AG38" s="144">
        <v>2</v>
      </c>
      <c r="AH38" s="82"/>
      <c r="AK38" s="92"/>
      <c r="AL38" s="82"/>
      <c r="AO38" s="144"/>
      <c r="AP38" s="82"/>
      <c r="AS38" s="83"/>
      <c r="AW38" s="83"/>
      <c r="BA38" s="84"/>
    </row>
    <row r="39" spans="1:53" s="439" customFormat="1">
      <c r="A39" s="439">
        <v>2014</v>
      </c>
      <c r="B39" s="868"/>
      <c r="C39" s="917" t="s">
        <v>1186</v>
      </c>
      <c r="D39" s="917"/>
      <c r="E39" s="439">
        <v>168</v>
      </c>
      <c r="F39" s="123"/>
      <c r="G39" s="411">
        <v>5</v>
      </c>
      <c r="H39" s="439">
        <v>0</v>
      </c>
      <c r="I39" s="439">
        <v>14</v>
      </c>
      <c r="J39" s="413">
        <v>21</v>
      </c>
      <c r="K39" s="409">
        <f>G39/J39*100</f>
        <v>23.809523809523807</v>
      </c>
      <c r="L39" s="409">
        <f>H39/J39*100</f>
        <v>0</v>
      </c>
      <c r="M39" s="409">
        <f>I39/J39*100</f>
        <v>66.666666666666657</v>
      </c>
      <c r="N39" s="412">
        <f>SUM(K39:M39)</f>
        <v>90.476190476190467</v>
      </c>
      <c r="O39" s="408">
        <v>11.3</v>
      </c>
      <c r="P39" s="409">
        <v>0</v>
      </c>
      <c r="Q39" s="409">
        <v>39.700000000000003</v>
      </c>
      <c r="R39" s="410">
        <f t="shared" si="4"/>
        <v>51</v>
      </c>
      <c r="S39" s="439">
        <v>2</v>
      </c>
      <c r="T39" s="839"/>
      <c r="U39" s="852"/>
      <c r="V39" s="405" t="s">
        <v>112</v>
      </c>
      <c r="W39" s="439" t="s">
        <v>20</v>
      </c>
      <c r="X39" s="439" t="s">
        <v>12</v>
      </c>
      <c r="Y39" s="415">
        <v>39.700000000000003</v>
      </c>
      <c r="Z39" s="439" t="s">
        <v>997</v>
      </c>
      <c r="AA39" s="439" t="s">
        <v>22</v>
      </c>
      <c r="AB39" s="439" t="s">
        <v>11</v>
      </c>
      <c r="AC39" s="409">
        <v>9.3000000000000007</v>
      </c>
      <c r="AD39" s="405" t="s">
        <v>996</v>
      </c>
      <c r="AE39" s="439" t="s">
        <v>330</v>
      </c>
      <c r="AF39" s="439" t="s">
        <v>11</v>
      </c>
      <c r="AG39" s="415">
        <v>2</v>
      </c>
      <c r="AH39" s="405"/>
      <c r="AK39" s="409"/>
      <c r="AL39" s="405"/>
      <c r="AO39" s="415"/>
      <c r="AP39" s="405"/>
      <c r="AS39" s="406"/>
      <c r="AW39" s="406"/>
      <c r="BA39" s="407"/>
    </row>
    <row r="40" spans="1:53" s="439" customFormat="1">
      <c r="A40" s="439">
        <v>2014</v>
      </c>
      <c r="B40" s="868">
        <v>41808</v>
      </c>
      <c r="C40" s="917" t="s">
        <v>1186</v>
      </c>
      <c r="D40" s="917"/>
      <c r="E40" s="439">
        <v>197</v>
      </c>
      <c r="F40" s="123">
        <v>0</v>
      </c>
      <c r="G40" s="411">
        <v>5</v>
      </c>
      <c r="H40" s="439">
        <v>0</v>
      </c>
      <c r="I40" s="439">
        <v>13</v>
      </c>
      <c r="J40" s="413">
        <v>21</v>
      </c>
      <c r="K40" s="409">
        <f>G40/J40*100</f>
        <v>23.809523809523807</v>
      </c>
      <c r="L40" s="409">
        <f>H40/J40*100</f>
        <v>0</v>
      </c>
      <c r="M40" s="409">
        <f>I40/J40*100</f>
        <v>61.904761904761905</v>
      </c>
      <c r="N40" s="412">
        <f>SUM(K40:M40)</f>
        <v>85.714285714285708</v>
      </c>
      <c r="O40" s="408">
        <v>11.3</v>
      </c>
      <c r="P40" s="409">
        <v>0</v>
      </c>
      <c r="Q40" s="409">
        <v>39.700000000000003</v>
      </c>
      <c r="R40" s="410">
        <f>SUM(O40:Q40)</f>
        <v>51</v>
      </c>
      <c r="S40" s="439">
        <v>2</v>
      </c>
      <c r="T40" s="839"/>
      <c r="U40" s="852"/>
      <c r="V40" s="405" t="s">
        <v>112</v>
      </c>
      <c r="W40" s="439" t="s">
        <v>20</v>
      </c>
      <c r="X40" s="439" t="s">
        <v>12</v>
      </c>
      <c r="Y40" s="415">
        <v>39.700000000000003</v>
      </c>
      <c r="Z40" s="439" t="s">
        <v>997</v>
      </c>
      <c r="AA40" s="439" t="s">
        <v>22</v>
      </c>
      <c r="AB40" s="439" t="s">
        <v>11</v>
      </c>
      <c r="AC40" s="409">
        <v>9.3000000000000007</v>
      </c>
      <c r="AD40" s="405" t="s">
        <v>996</v>
      </c>
      <c r="AE40" s="439" t="s">
        <v>330</v>
      </c>
      <c r="AF40" s="439" t="s">
        <v>11</v>
      </c>
      <c r="AG40" s="415">
        <v>2</v>
      </c>
      <c r="AH40" s="405"/>
      <c r="AK40" s="409"/>
      <c r="AL40" s="405"/>
      <c r="AO40" s="415"/>
      <c r="AP40" s="405"/>
      <c r="AS40" s="406"/>
      <c r="AW40" s="406"/>
      <c r="BA40" s="407"/>
    </row>
    <row r="41" spans="1:53" s="574" customFormat="1">
      <c r="A41" s="574">
        <v>2015</v>
      </c>
      <c r="B41" s="868"/>
      <c r="C41" s="917" t="s">
        <v>1186</v>
      </c>
      <c r="D41" s="917"/>
      <c r="E41" s="574">
        <v>113</v>
      </c>
      <c r="F41" s="123"/>
      <c r="G41" s="498">
        <v>5</v>
      </c>
      <c r="H41" s="574">
        <v>0</v>
      </c>
      <c r="I41" s="574">
        <v>13</v>
      </c>
      <c r="J41" s="500">
        <v>21</v>
      </c>
      <c r="K41" s="496">
        <f t="shared" ref="K41:K43" si="5">G41/J41*100</f>
        <v>23.809523809523807</v>
      </c>
      <c r="L41" s="496">
        <f t="shared" ref="L41:L43" si="6">H41/J41*100</f>
        <v>0</v>
      </c>
      <c r="M41" s="496">
        <f t="shared" ref="M41:M43" si="7">I41/J41*100</f>
        <v>61.904761904761905</v>
      </c>
      <c r="N41" s="499">
        <f t="shared" ref="N41:N43" si="8">SUM(K41:M41)</f>
        <v>85.714285714285708</v>
      </c>
      <c r="O41" s="495">
        <v>11.3</v>
      </c>
      <c r="P41" s="496">
        <v>0</v>
      </c>
      <c r="Q41" s="496">
        <v>39.700000000000003</v>
      </c>
      <c r="R41" s="497">
        <f t="shared" ref="R41:R43" si="9">SUM(O41:Q41)</f>
        <v>51</v>
      </c>
      <c r="S41" s="574">
        <v>2</v>
      </c>
      <c r="T41" s="839"/>
      <c r="U41" s="852"/>
      <c r="V41" s="492" t="s">
        <v>112</v>
      </c>
      <c r="W41" s="578" t="s">
        <v>20</v>
      </c>
      <c r="X41" s="578" t="s">
        <v>12</v>
      </c>
      <c r="Y41" s="415">
        <v>39.700000000000003</v>
      </c>
      <c r="Z41" s="578" t="s">
        <v>997</v>
      </c>
      <c r="AA41" s="578" t="s">
        <v>22</v>
      </c>
      <c r="AB41" s="578" t="s">
        <v>11</v>
      </c>
      <c r="AC41" s="496">
        <v>9.3000000000000007</v>
      </c>
      <c r="AD41" s="492" t="s">
        <v>996</v>
      </c>
      <c r="AE41" s="578" t="s">
        <v>330</v>
      </c>
      <c r="AF41" s="578" t="s">
        <v>11</v>
      </c>
      <c r="AG41" s="415">
        <v>2</v>
      </c>
      <c r="AH41" s="492"/>
      <c r="AK41" s="496"/>
      <c r="AL41" s="492"/>
      <c r="AO41" s="415"/>
      <c r="AP41" s="492"/>
      <c r="AS41" s="493"/>
      <c r="AW41" s="493"/>
      <c r="BA41" s="494"/>
    </row>
    <row r="42" spans="1:53" s="574" customFormat="1">
      <c r="A42" s="574">
        <v>2015</v>
      </c>
      <c r="B42" s="868">
        <v>42118</v>
      </c>
      <c r="C42" s="917" t="s">
        <v>1186</v>
      </c>
      <c r="D42" s="917"/>
      <c r="E42" s="574">
        <v>198</v>
      </c>
      <c r="F42" s="123">
        <v>0</v>
      </c>
      <c r="G42" s="498">
        <v>4</v>
      </c>
      <c r="H42" s="574">
        <v>0</v>
      </c>
      <c r="I42" s="574">
        <v>13</v>
      </c>
      <c r="J42" s="500">
        <v>21</v>
      </c>
      <c r="K42" s="496">
        <f t="shared" si="5"/>
        <v>19.047619047619047</v>
      </c>
      <c r="L42" s="496">
        <f t="shared" si="6"/>
        <v>0</v>
      </c>
      <c r="M42" s="496">
        <f t="shared" si="7"/>
        <v>61.904761904761905</v>
      </c>
      <c r="N42" s="499">
        <f t="shared" si="8"/>
        <v>80.952380952380949</v>
      </c>
      <c r="O42" s="495">
        <v>11.3</v>
      </c>
      <c r="P42" s="496">
        <v>0</v>
      </c>
      <c r="Q42" s="496">
        <v>39.700000000000003</v>
      </c>
      <c r="R42" s="497">
        <f t="shared" si="9"/>
        <v>51</v>
      </c>
      <c r="S42" s="574">
        <v>2</v>
      </c>
      <c r="T42" s="839"/>
      <c r="U42" s="852"/>
      <c r="V42" s="492" t="s">
        <v>112</v>
      </c>
      <c r="W42" s="578" t="s">
        <v>20</v>
      </c>
      <c r="X42" s="578" t="s">
        <v>12</v>
      </c>
      <c r="Y42" s="415">
        <v>39.700000000000003</v>
      </c>
      <c r="Z42" s="578" t="s">
        <v>997</v>
      </c>
      <c r="AA42" s="578" t="s">
        <v>22</v>
      </c>
      <c r="AB42" s="578" t="s">
        <v>11</v>
      </c>
      <c r="AC42" s="496">
        <v>9.3000000000000007</v>
      </c>
      <c r="AD42" s="492" t="s">
        <v>996</v>
      </c>
      <c r="AE42" s="578" t="s">
        <v>330</v>
      </c>
      <c r="AF42" s="578" t="s">
        <v>11</v>
      </c>
      <c r="AG42" s="415">
        <v>2</v>
      </c>
      <c r="AH42" s="492"/>
      <c r="AK42" s="496"/>
      <c r="AL42" s="492"/>
      <c r="AO42" s="415"/>
      <c r="AP42" s="492"/>
      <c r="AS42" s="493"/>
      <c r="AW42" s="493"/>
      <c r="BA42" s="494"/>
    </row>
    <row r="43" spans="1:53" s="634" customFormat="1">
      <c r="A43" s="634">
        <v>2015</v>
      </c>
      <c r="B43" s="863">
        <v>42316</v>
      </c>
      <c r="C43" s="916" t="s">
        <v>1319</v>
      </c>
      <c r="D43" s="916"/>
      <c r="E43" s="634">
        <v>54</v>
      </c>
      <c r="F43" s="634">
        <v>1</v>
      </c>
      <c r="G43" s="539">
        <v>4</v>
      </c>
      <c r="H43" s="634">
        <v>0</v>
      </c>
      <c r="I43" s="634">
        <v>13</v>
      </c>
      <c r="J43" s="541">
        <v>21</v>
      </c>
      <c r="K43" s="537">
        <f t="shared" si="5"/>
        <v>19.047619047619047</v>
      </c>
      <c r="L43" s="537">
        <f t="shared" si="6"/>
        <v>0</v>
      </c>
      <c r="M43" s="537">
        <f t="shared" si="7"/>
        <v>61.904761904761905</v>
      </c>
      <c r="N43" s="540">
        <f t="shared" si="8"/>
        <v>80.952380952380949</v>
      </c>
      <c r="O43" s="536">
        <v>9.1999999999999993</v>
      </c>
      <c r="P43" s="537">
        <v>0</v>
      </c>
      <c r="Q43" s="537">
        <v>37.1</v>
      </c>
      <c r="R43" s="538">
        <f t="shared" si="9"/>
        <v>46.3</v>
      </c>
      <c r="S43" s="634">
        <v>5</v>
      </c>
      <c r="T43" s="838">
        <v>42316</v>
      </c>
      <c r="U43" s="863">
        <v>42316</v>
      </c>
      <c r="V43" s="532" t="s">
        <v>112</v>
      </c>
      <c r="W43" s="634" t="s">
        <v>20</v>
      </c>
      <c r="X43" s="634" t="s">
        <v>12</v>
      </c>
      <c r="Y43" s="341">
        <v>37.1</v>
      </c>
      <c r="Z43" s="634" t="s">
        <v>997</v>
      </c>
      <c r="AA43" s="634" t="s">
        <v>22</v>
      </c>
      <c r="AB43" s="634" t="s">
        <v>11</v>
      </c>
      <c r="AC43" s="537">
        <v>7.9</v>
      </c>
      <c r="AD43" s="532" t="s">
        <v>996</v>
      </c>
      <c r="AE43" s="634" t="s">
        <v>330</v>
      </c>
      <c r="AF43" s="634" t="s">
        <v>11</v>
      </c>
      <c r="AG43" s="429">
        <v>1.3</v>
      </c>
      <c r="AL43" s="532"/>
      <c r="AO43" s="533"/>
      <c r="AP43" s="532"/>
      <c r="AS43" s="533"/>
      <c r="AW43" s="533"/>
      <c r="BA43" s="534"/>
    </row>
    <row r="44" spans="1:53" s="647" customFormat="1">
      <c r="A44" s="647">
        <v>2016</v>
      </c>
      <c r="B44" s="863"/>
      <c r="C44" s="916" t="s">
        <v>1319</v>
      </c>
      <c r="D44" s="916"/>
      <c r="E44" s="647">
        <v>21</v>
      </c>
      <c r="G44" s="539">
        <v>4</v>
      </c>
      <c r="H44" s="647">
        <v>0</v>
      </c>
      <c r="I44" s="647">
        <v>13</v>
      </c>
      <c r="J44" s="541">
        <v>21</v>
      </c>
      <c r="K44" s="537">
        <f t="shared" ref="K44:K45" si="10">G44/J44*100</f>
        <v>19.047619047619047</v>
      </c>
      <c r="L44" s="537">
        <f t="shared" ref="L44:L45" si="11">H44/J44*100</f>
        <v>0</v>
      </c>
      <c r="M44" s="537">
        <f t="shared" ref="M44:M45" si="12">I44/J44*100</f>
        <v>61.904761904761905</v>
      </c>
      <c r="N44" s="540">
        <f t="shared" ref="N44:N45" si="13">SUM(K44:M44)</f>
        <v>80.952380952380949</v>
      </c>
      <c r="O44" s="536">
        <v>9.1999999999999993</v>
      </c>
      <c r="P44" s="537">
        <v>0</v>
      </c>
      <c r="Q44" s="537">
        <v>37.1</v>
      </c>
      <c r="R44" s="538">
        <f t="shared" ref="R44:R45" si="14">SUM(O44:Q44)</f>
        <v>46.3</v>
      </c>
      <c r="S44" s="647">
        <v>5</v>
      </c>
      <c r="T44" s="838"/>
      <c r="U44" s="863"/>
      <c r="V44" s="532" t="s">
        <v>112</v>
      </c>
      <c r="W44" s="647" t="s">
        <v>20</v>
      </c>
      <c r="X44" s="647" t="s">
        <v>12</v>
      </c>
      <c r="Y44" s="429">
        <v>37.1</v>
      </c>
      <c r="Z44" s="647" t="s">
        <v>997</v>
      </c>
      <c r="AA44" s="647" t="s">
        <v>22</v>
      </c>
      <c r="AB44" s="647" t="s">
        <v>11</v>
      </c>
      <c r="AC44" s="537">
        <v>7.9</v>
      </c>
      <c r="AD44" s="532" t="s">
        <v>996</v>
      </c>
      <c r="AE44" s="647" t="s">
        <v>330</v>
      </c>
      <c r="AF44" s="647" t="s">
        <v>11</v>
      </c>
      <c r="AG44" s="429">
        <v>1.3</v>
      </c>
    </row>
    <row r="45" spans="1:53" s="644" customFormat="1">
      <c r="A45" s="644">
        <v>2016</v>
      </c>
      <c r="B45" s="830">
        <v>42391</v>
      </c>
      <c r="C45" s="917" t="s">
        <v>1340</v>
      </c>
      <c r="D45" s="917"/>
      <c r="E45" s="644">
        <v>271</v>
      </c>
      <c r="F45" s="644">
        <v>1</v>
      </c>
      <c r="G45" s="498">
        <v>5</v>
      </c>
      <c r="H45" s="644">
        <v>12</v>
      </c>
      <c r="I45" s="644">
        <v>0</v>
      </c>
      <c r="J45" s="500">
        <v>23</v>
      </c>
      <c r="K45" s="495">
        <f t="shared" si="10"/>
        <v>21.739130434782609</v>
      </c>
      <c r="L45" s="496">
        <f t="shared" si="11"/>
        <v>52.173913043478258</v>
      </c>
      <c r="M45" s="496">
        <f t="shared" si="12"/>
        <v>0</v>
      </c>
      <c r="N45" s="497">
        <f t="shared" si="13"/>
        <v>73.913043478260875</v>
      </c>
      <c r="O45" s="495">
        <v>9.9</v>
      </c>
      <c r="P45" s="496">
        <v>32.5</v>
      </c>
      <c r="Q45" s="496">
        <v>0</v>
      </c>
      <c r="R45" s="497">
        <f t="shared" si="14"/>
        <v>42.4</v>
      </c>
      <c r="S45" s="481">
        <v>5</v>
      </c>
      <c r="T45" s="839"/>
      <c r="U45" s="830">
        <v>42391</v>
      </c>
      <c r="V45" s="492" t="s">
        <v>1001</v>
      </c>
      <c r="W45" s="644" t="s">
        <v>17</v>
      </c>
      <c r="X45" s="644" t="s">
        <v>18</v>
      </c>
      <c r="Y45" s="415">
        <v>32.5</v>
      </c>
      <c r="Z45" s="727" t="s">
        <v>1342</v>
      </c>
      <c r="AA45" s="644" t="s">
        <v>100</v>
      </c>
      <c r="AB45" s="710" t="s">
        <v>11</v>
      </c>
      <c r="AC45" s="415">
        <v>9.9</v>
      </c>
      <c r="AG45" s="496"/>
    </row>
    <row r="46" spans="1:53" s="648" customFormat="1">
      <c r="A46" s="648">
        <v>2016</v>
      </c>
      <c r="B46" s="836">
        <v>42662</v>
      </c>
      <c r="C46" s="916" t="s">
        <v>1341</v>
      </c>
      <c r="D46" s="916"/>
      <c r="E46" s="647">
        <v>74</v>
      </c>
      <c r="F46" s="673">
        <v>5</v>
      </c>
      <c r="G46" s="539">
        <v>4</v>
      </c>
      <c r="H46" s="647">
        <v>14</v>
      </c>
      <c r="I46" s="647">
        <v>0</v>
      </c>
      <c r="J46" s="534">
        <v>21</v>
      </c>
      <c r="K46" s="537">
        <f>G46/J46*100</f>
        <v>19.047619047619047</v>
      </c>
      <c r="L46" s="537">
        <f>H46/J46*100</f>
        <v>66.666666666666657</v>
      </c>
      <c r="M46" s="537">
        <f>I46/J46*100</f>
        <v>0</v>
      </c>
      <c r="N46" s="540">
        <f>SUM(K46:M46)</f>
        <v>85.714285714285708</v>
      </c>
      <c r="O46" s="539">
        <v>9.3000000000000007</v>
      </c>
      <c r="P46" s="647">
        <v>37.1</v>
      </c>
      <c r="Q46" s="647">
        <v>0</v>
      </c>
      <c r="R46" s="534">
        <f>SUM(O46:Q46)</f>
        <v>46.400000000000006</v>
      </c>
      <c r="S46" s="535">
        <v>5</v>
      </c>
      <c r="T46" s="838">
        <v>42624</v>
      </c>
      <c r="U46" s="836">
        <v>42662</v>
      </c>
      <c r="V46" s="532" t="s">
        <v>1001</v>
      </c>
      <c r="W46" s="648" t="s">
        <v>17</v>
      </c>
      <c r="X46" s="648" t="s">
        <v>18</v>
      </c>
      <c r="Y46" s="429">
        <v>37.1</v>
      </c>
      <c r="Z46" s="726" t="s">
        <v>1342</v>
      </c>
      <c r="AA46" s="648" t="s">
        <v>100</v>
      </c>
      <c r="AB46" s="711" t="s">
        <v>11</v>
      </c>
      <c r="AC46" s="648">
        <v>9.3000000000000007</v>
      </c>
      <c r="AD46" s="532"/>
    </row>
    <row r="47" spans="1:53" s="728" customFormat="1">
      <c r="A47" s="728">
        <v>2017</v>
      </c>
      <c r="B47" s="836"/>
      <c r="C47" s="916" t="s">
        <v>1341</v>
      </c>
      <c r="D47" s="916"/>
      <c r="E47" s="726">
        <v>159</v>
      </c>
      <c r="F47" s="726"/>
      <c r="G47" s="539">
        <v>4</v>
      </c>
      <c r="H47" s="726">
        <v>14</v>
      </c>
      <c r="I47" s="726">
        <v>0</v>
      </c>
      <c r="J47" s="534">
        <v>21</v>
      </c>
      <c r="K47" s="536">
        <f t="shared" ref="K47" si="15">G47/J47*100</f>
        <v>19.047619047619047</v>
      </c>
      <c r="L47" s="537">
        <f t="shared" ref="L47" si="16">H47/J47*100</f>
        <v>66.666666666666657</v>
      </c>
      <c r="M47" s="537">
        <f t="shared" ref="M47" si="17">I47/J47*100</f>
        <v>0</v>
      </c>
      <c r="N47" s="538">
        <f t="shared" ref="N47" si="18">SUM(K47:M47)</f>
        <v>85.714285714285708</v>
      </c>
      <c r="O47" s="539">
        <v>9.3000000000000007</v>
      </c>
      <c r="P47" s="726">
        <v>37.1</v>
      </c>
      <c r="Q47" s="726">
        <v>0</v>
      </c>
      <c r="R47" s="534">
        <f t="shared" ref="R47" si="19">SUM(O47:Q47)</f>
        <v>46.400000000000006</v>
      </c>
      <c r="S47" s="535">
        <v>5</v>
      </c>
      <c r="T47" s="838"/>
      <c r="U47" s="836"/>
      <c r="V47" s="532" t="s">
        <v>1001</v>
      </c>
      <c r="W47" s="728" t="s">
        <v>17</v>
      </c>
      <c r="X47" s="728" t="s">
        <v>18</v>
      </c>
      <c r="Y47" s="429">
        <v>37.1</v>
      </c>
      <c r="Z47" s="726" t="s">
        <v>1342</v>
      </c>
      <c r="AA47" s="728" t="s">
        <v>100</v>
      </c>
      <c r="AB47" s="726" t="s">
        <v>11</v>
      </c>
      <c r="AC47" s="728">
        <v>9.3000000000000007</v>
      </c>
      <c r="AD47" s="532"/>
    </row>
    <row r="48" spans="1:53" s="752" customFormat="1">
      <c r="A48" s="752">
        <v>2017</v>
      </c>
      <c r="B48" s="830">
        <v>42895</v>
      </c>
      <c r="C48" s="917" t="s">
        <v>1392</v>
      </c>
      <c r="D48" s="917"/>
      <c r="E48" s="752">
        <v>206</v>
      </c>
      <c r="F48" s="752">
        <v>7</v>
      </c>
      <c r="G48" s="498">
        <v>1</v>
      </c>
      <c r="H48" s="752">
        <v>18</v>
      </c>
      <c r="I48" s="752">
        <v>0</v>
      </c>
      <c r="J48" s="500">
        <v>21</v>
      </c>
      <c r="K48" s="495">
        <f>G48/J48*100</f>
        <v>4.7619047619047619</v>
      </c>
      <c r="L48" s="496">
        <f>H48/J48*100</f>
        <v>85.714285714285708</v>
      </c>
      <c r="M48" s="496">
        <f>I48/J48*100</f>
        <v>0</v>
      </c>
      <c r="N48" s="497">
        <f>SUM(K48:M48)</f>
        <v>90.476190476190467</v>
      </c>
      <c r="O48" s="495">
        <v>3.3</v>
      </c>
      <c r="P48" s="496">
        <v>37.1</v>
      </c>
      <c r="Q48" s="496">
        <v>0</v>
      </c>
      <c r="R48" s="497">
        <f>SUM(O48:Q48)</f>
        <v>40.4</v>
      </c>
      <c r="S48" s="481">
        <v>5</v>
      </c>
      <c r="T48" s="839"/>
      <c r="U48" s="830">
        <v>42895</v>
      </c>
      <c r="V48" s="492" t="s">
        <v>1001</v>
      </c>
      <c r="W48" s="752" t="s">
        <v>17</v>
      </c>
      <c r="X48" s="752" t="s">
        <v>18</v>
      </c>
      <c r="Y48" s="415">
        <v>37.1</v>
      </c>
      <c r="Z48" s="752" t="s">
        <v>997</v>
      </c>
      <c r="AA48" s="752" t="s">
        <v>22</v>
      </c>
      <c r="AB48" s="752" t="s">
        <v>11</v>
      </c>
      <c r="AC48" s="415">
        <v>3.3</v>
      </c>
      <c r="AG48" s="496"/>
    </row>
    <row r="49" spans="1:33" s="760" customFormat="1">
      <c r="A49" s="760">
        <v>2018</v>
      </c>
      <c r="B49" s="830"/>
      <c r="C49" s="917" t="s">
        <v>1392</v>
      </c>
      <c r="D49" s="917"/>
      <c r="E49" s="760">
        <v>0</v>
      </c>
      <c r="G49" s="498">
        <v>1</v>
      </c>
      <c r="H49" s="760">
        <v>18</v>
      </c>
      <c r="I49" s="760">
        <v>0</v>
      </c>
      <c r="J49" s="500">
        <v>21</v>
      </c>
      <c r="K49" s="495">
        <f t="shared" ref="K49:K50" si="20">G49/J49*100</f>
        <v>4.7619047619047619</v>
      </c>
      <c r="L49" s="496">
        <f t="shared" ref="L49:L50" si="21">H49/J49*100</f>
        <v>85.714285714285708</v>
      </c>
      <c r="M49" s="496">
        <f t="shared" ref="M49:M50" si="22">I49/J49*100</f>
        <v>0</v>
      </c>
      <c r="N49" s="497">
        <f t="shared" ref="N49:N50" si="23">SUM(K49:M49)</f>
        <v>90.476190476190467</v>
      </c>
      <c r="O49" s="495">
        <v>3.3</v>
      </c>
      <c r="P49" s="496">
        <v>37.1</v>
      </c>
      <c r="Q49" s="496">
        <v>0</v>
      </c>
      <c r="R49" s="497">
        <f>SUM(O49:Q49)</f>
        <v>40.4</v>
      </c>
      <c r="S49" s="481">
        <v>5</v>
      </c>
      <c r="T49" s="839"/>
      <c r="U49" s="830"/>
      <c r="V49" s="492" t="s">
        <v>1001</v>
      </c>
      <c r="W49" s="760" t="s">
        <v>17</v>
      </c>
      <c r="X49" s="760" t="s">
        <v>18</v>
      </c>
      <c r="Y49" s="415">
        <v>37.1</v>
      </c>
      <c r="Z49" s="760" t="s">
        <v>997</v>
      </c>
      <c r="AA49" s="760" t="s">
        <v>22</v>
      </c>
      <c r="AB49" s="760" t="s">
        <v>11</v>
      </c>
      <c r="AC49" s="415">
        <v>3.3</v>
      </c>
      <c r="AG49" s="496"/>
    </row>
    <row r="50" spans="1:33" s="760" customFormat="1">
      <c r="A50" s="760">
        <v>2018</v>
      </c>
      <c r="B50" s="830"/>
      <c r="C50" s="917" t="s">
        <v>1392</v>
      </c>
      <c r="D50" s="917"/>
      <c r="E50" s="760">
        <v>365</v>
      </c>
      <c r="G50" s="498">
        <v>1</v>
      </c>
      <c r="H50" s="760">
        <v>18</v>
      </c>
      <c r="I50" s="760">
        <v>0</v>
      </c>
      <c r="J50" s="500">
        <v>21</v>
      </c>
      <c r="K50" s="495">
        <f t="shared" si="20"/>
        <v>4.7619047619047619</v>
      </c>
      <c r="L50" s="496">
        <f t="shared" si="21"/>
        <v>85.714285714285708</v>
      </c>
      <c r="M50" s="496">
        <f t="shared" si="22"/>
        <v>0</v>
      </c>
      <c r="N50" s="497">
        <f t="shared" si="23"/>
        <v>90.476190476190467</v>
      </c>
      <c r="O50" s="495">
        <v>3.3</v>
      </c>
      <c r="P50" s="496">
        <v>37.1</v>
      </c>
      <c r="Q50" s="496">
        <v>0</v>
      </c>
      <c r="R50" s="497">
        <f>SUM(O50:Q50)</f>
        <v>40.4</v>
      </c>
      <c r="S50" s="481">
        <v>5</v>
      </c>
      <c r="T50" s="839"/>
      <c r="U50" s="830"/>
      <c r="V50" s="492" t="s">
        <v>1001</v>
      </c>
      <c r="W50" s="760" t="s">
        <v>17</v>
      </c>
      <c r="X50" s="760" t="s">
        <v>18</v>
      </c>
      <c r="Y50" s="415">
        <v>37.1</v>
      </c>
      <c r="Z50" s="760" t="s">
        <v>997</v>
      </c>
      <c r="AA50" s="760" t="s">
        <v>22</v>
      </c>
      <c r="AB50" s="760" t="s">
        <v>11</v>
      </c>
      <c r="AC50" s="415">
        <v>3.3</v>
      </c>
      <c r="AG50" s="496"/>
    </row>
    <row r="51" spans="1:33" s="787" customFormat="1">
      <c r="A51" s="787">
        <v>2019</v>
      </c>
      <c r="B51" s="830"/>
      <c r="C51" s="917" t="s">
        <v>1392</v>
      </c>
      <c r="D51" s="917"/>
      <c r="E51" s="787">
        <v>0</v>
      </c>
      <c r="G51" s="498">
        <v>1</v>
      </c>
      <c r="H51" s="787">
        <v>18</v>
      </c>
      <c r="I51" s="787">
        <v>0</v>
      </c>
      <c r="J51" s="500">
        <v>21</v>
      </c>
      <c r="K51" s="495">
        <f t="shared" ref="K51:K52" si="24">G51/J51*100</f>
        <v>4.7619047619047619</v>
      </c>
      <c r="L51" s="496">
        <f t="shared" ref="L51:L52" si="25">H51/J51*100</f>
        <v>85.714285714285708</v>
      </c>
      <c r="M51" s="496">
        <f t="shared" ref="M51:M52" si="26">I51/J51*100</f>
        <v>0</v>
      </c>
      <c r="N51" s="497">
        <f t="shared" ref="N51:N52" si="27">SUM(K51:M51)</f>
        <v>90.476190476190467</v>
      </c>
      <c r="O51" s="495">
        <v>3.3</v>
      </c>
      <c r="P51" s="496">
        <v>37.1</v>
      </c>
      <c r="Q51" s="496">
        <v>0</v>
      </c>
      <c r="R51" s="497">
        <f>SUM(O51:Q51)</f>
        <v>40.4</v>
      </c>
      <c r="S51" s="481">
        <v>5</v>
      </c>
      <c r="T51" s="839"/>
      <c r="U51" s="830"/>
      <c r="V51" s="492" t="s">
        <v>1001</v>
      </c>
      <c r="W51" s="787" t="s">
        <v>17</v>
      </c>
      <c r="X51" s="787" t="s">
        <v>18</v>
      </c>
      <c r="Y51" s="415">
        <v>37.1</v>
      </c>
      <c r="Z51" s="787" t="s">
        <v>997</v>
      </c>
      <c r="AA51" s="787" t="s">
        <v>22</v>
      </c>
      <c r="AB51" s="787" t="s">
        <v>11</v>
      </c>
      <c r="AC51" s="415">
        <v>3.3</v>
      </c>
      <c r="AG51" s="496"/>
    </row>
    <row r="52" spans="1:33" s="760" customFormat="1">
      <c r="A52" s="760">
        <v>2019</v>
      </c>
      <c r="B52" s="830"/>
      <c r="C52" s="917" t="s">
        <v>1392</v>
      </c>
      <c r="D52" s="917"/>
      <c r="E52" s="787">
        <v>365</v>
      </c>
      <c r="F52" s="787"/>
      <c r="G52" s="498">
        <v>1</v>
      </c>
      <c r="H52" s="787">
        <v>18</v>
      </c>
      <c r="I52" s="787">
        <v>0</v>
      </c>
      <c r="J52" s="500">
        <v>21</v>
      </c>
      <c r="K52" s="495">
        <f t="shared" si="24"/>
        <v>4.7619047619047619</v>
      </c>
      <c r="L52" s="496">
        <f t="shared" si="25"/>
        <v>85.714285714285708</v>
      </c>
      <c r="M52" s="496">
        <f t="shared" si="26"/>
        <v>0</v>
      </c>
      <c r="N52" s="497">
        <f t="shared" si="27"/>
        <v>90.476190476190467</v>
      </c>
      <c r="O52" s="495">
        <v>3.3</v>
      </c>
      <c r="P52" s="496">
        <v>37.1</v>
      </c>
      <c r="Q52" s="496">
        <v>0</v>
      </c>
      <c r="R52" s="497">
        <f>SUM(O52:Q52)</f>
        <v>40.4</v>
      </c>
      <c r="S52" s="481">
        <v>5</v>
      </c>
      <c r="T52" s="839"/>
      <c r="U52" s="830"/>
      <c r="V52" s="492" t="s">
        <v>1001</v>
      </c>
      <c r="W52" s="787" t="s">
        <v>17</v>
      </c>
      <c r="X52" s="787" t="s">
        <v>18</v>
      </c>
      <c r="Y52" s="415">
        <v>37.1</v>
      </c>
      <c r="Z52" s="787" t="s">
        <v>997</v>
      </c>
      <c r="AA52" s="787" t="s">
        <v>22</v>
      </c>
      <c r="AB52" s="787" t="s">
        <v>11</v>
      </c>
      <c r="AC52" s="415">
        <v>3.3</v>
      </c>
      <c r="AG52" s="496"/>
    </row>
    <row r="53" spans="1:33" s="2" customFormat="1" ht="18" customHeight="1">
      <c r="B53" s="22" t="s">
        <v>1269</v>
      </c>
    </row>
    <row r="54" spans="1:33" s="2" customFormat="1" ht="9" customHeight="1"/>
    <row r="55" spans="1:33" s="317" customFormat="1" ht="9" customHeight="1">
      <c r="A55" s="315"/>
      <c r="B55" s="316" t="s">
        <v>1220</v>
      </c>
      <c r="C55" s="316"/>
      <c r="D55" s="316"/>
      <c r="E55" s="316"/>
      <c r="F55" s="316"/>
      <c r="G55" s="316" t="s">
        <v>1221</v>
      </c>
      <c r="H55" s="316"/>
      <c r="I55" s="316"/>
      <c r="J55" s="316"/>
      <c r="K55" s="316"/>
      <c r="L55" s="316"/>
      <c r="M55" s="316"/>
      <c r="N55" s="316"/>
      <c r="R55" s="895" t="s">
        <v>1222</v>
      </c>
      <c r="S55" s="895"/>
      <c r="T55" s="895"/>
      <c r="U55" s="895"/>
      <c r="V55" s="895"/>
      <c r="W55" s="895"/>
      <c r="X55" s="318"/>
      <c r="Y55" s="318"/>
      <c r="AA55" s="318"/>
      <c r="AB55" s="318"/>
      <c r="AC55" s="318"/>
      <c r="AD55" s="318"/>
    </row>
    <row r="56" spans="1:33" s="322" customFormat="1" ht="9" customHeight="1">
      <c r="A56" s="319"/>
      <c r="B56" s="320" t="s">
        <v>1224</v>
      </c>
      <c r="C56" s="321"/>
      <c r="D56" s="321"/>
      <c r="E56" s="321"/>
      <c r="F56" s="321"/>
      <c r="G56" s="320" t="s">
        <v>1223</v>
      </c>
      <c r="H56" s="321"/>
      <c r="I56" s="321"/>
      <c r="J56" s="321"/>
      <c r="K56" s="321"/>
      <c r="L56" s="321"/>
      <c r="M56" s="321"/>
      <c r="N56" s="321"/>
      <c r="R56" s="323" t="s">
        <v>1225</v>
      </c>
      <c r="S56" s="324"/>
      <c r="T56" s="325"/>
      <c r="U56" s="325"/>
      <c r="V56" s="325"/>
      <c r="W56" s="323" t="s">
        <v>1226</v>
      </c>
      <c r="X56" s="325"/>
      <c r="Y56" s="325"/>
      <c r="AA56" s="325"/>
      <c r="AB56" s="325"/>
      <c r="AC56" s="325"/>
      <c r="AD56" s="325"/>
    </row>
    <row r="57" spans="1:33" s="307" customFormat="1" ht="12" customHeight="1">
      <c r="A57" s="326" t="s">
        <v>3</v>
      </c>
      <c r="B57" s="327" t="s">
        <v>8</v>
      </c>
      <c r="C57" s="327" t="s">
        <v>9</v>
      </c>
      <c r="D57" s="327" t="s">
        <v>10</v>
      </c>
      <c r="E57" s="328" t="s">
        <v>1200</v>
      </c>
      <c r="F57" s="327"/>
      <c r="G57" s="307" t="s">
        <v>3</v>
      </c>
      <c r="H57" s="896" t="s">
        <v>0</v>
      </c>
      <c r="I57" s="896"/>
      <c r="J57" s="896" t="s">
        <v>1</v>
      </c>
      <c r="K57" s="896"/>
      <c r="L57" s="896" t="s">
        <v>2</v>
      </c>
      <c r="M57" s="896"/>
      <c r="N57" s="897" t="s">
        <v>1200</v>
      </c>
      <c r="O57" s="897"/>
      <c r="P57" s="329"/>
      <c r="Q57" s="329"/>
      <c r="R57" s="330" t="s">
        <v>3</v>
      </c>
      <c r="S57" s="331" t="s">
        <v>136</v>
      </c>
      <c r="T57" s="329" t="s">
        <v>134</v>
      </c>
      <c r="U57" s="327" t="s">
        <v>135</v>
      </c>
      <c r="V57" s="329"/>
      <c r="W57" s="332" t="s">
        <v>26</v>
      </c>
    </row>
    <row r="58" spans="1:33" s="16" customFormat="1" ht="9" customHeight="1">
      <c r="A58" s="1">
        <v>1990</v>
      </c>
      <c r="B58" s="175"/>
      <c r="C58" s="175"/>
      <c r="D58" s="175"/>
      <c r="E58" s="202"/>
      <c r="F58" s="175"/>
      <c r="G58" s="1">
        <v>1990</v>
      </c>
      <c r="H58" s="175"/>
      <c r="I58" s="175"/>
      <c r="J58" s="175"/>
      <c r="K58" s="175"/>
      <c r="L58" s="175"/>
      <c r="M58" s="175"/>
      <c r="N58" s="202"/>
      <c r="O58" s="202"/>
      <c r="P58" s="176"/>
      <c r="Q58" s="176"/>
      <c r="R58" s="1">
        <v>1990</v>
      </c>
      <c r="S58" s="176"/>
      <c r="T58" s="176"/>
      <c r="U58" s="175"/>
      <c r="V58" s="176"/>
      <c r="W58" s="176"/>
    </row>
    <row r="59" spans="1:33" s="16" customFormat="1" ht="9" customHeight="1">
      <c r="A59" s="44">
        <v>1991</v>
      </c>
      <c r="B59" s="175"/>
      <c r="C59" s="175"/>
      <c r="D59" s="175"/>
      <c r="E59" s="202"/>
      <c r="F59" s="175"/>
      <c r="G59" s="1">
        <v>1991</v>
      </c>
      <c r="H59" s="175"/>
      <c r="I59" s="175"/>
      <c r="J59" s="175"/>
      <c r="K59" s="175"/>
      <c r="L59" s="175"/>
      <c r="M59" s="175"/>
      <c r="N59" s="202"/>
      <c r="O59" s="202"/>
      <c r="P59" s="176"/>
      <c r="Q59" s="176"/>
      <c r="R59" s="1">
        <v>1991</v>
      </c>
      <c r="S59" s="176"/>
      <c r="T59" s="176"/>
      <c r="U59" s="175"/>
      <c r="V59" s="176"/>
      <c r="W59" s="176"/>
    </row>
    <row r="60" spans="1:33" s="16" customFormat="1" ht="9" customHeight="1">
      <c r="A60" s="1">
        <v>1992</v>
      </c>
      <c r="B60" s="175"/>
      <c r="C60" s="175"/>
      <c r="D60" s="175"/>
      <c r="E60" s="202"/>
      <c r="F60" s="175"/>
      <c r="G60" s="1">
        <v>1992</v>
      </c>
      <c r="H60" s="175"/>
      <c r="I60" s="175"/>
      <c r="J60" s="175"/>
      <c r="K60" s="175"/>
      <c r="L60" s="175"/>
      <c r="M60" s="175"/>
      <c r="N60" s="202"/>
      <c r="O60" s="202"/>
      <c r="P60" s="176"/>
      <c r="Q60" s="176"/>
      <c r="R60" s="1">
        <v>1992</v>
      </c>
      <c r="S60" s="176"/>
      <c r="T60" s="176"/>
      <c r="U60" s="175"/>
      <c r="V60" s="176"/>
      <c r="W60" s="176"/>
    </row>
    <row r="61" spans="1:33" s="16" customFormat="1" ht="9" customHeight="1">
      <c r="A61" s="44">
        <v>1993</v>
      </c>
      <c r="B61" s="175"/>
      <c r="C61" s="175"/>
      <c r="D61" s="175"/>
      <c r="E61" s="202"/>
      <c r="F61" s="175"/>
      <c r="G61" s="1">
        <v>1993</v>
      </c>
      <c r="H61" s="175"/>
      <c r="I61" s="175"/>
      <c r="J61" s="175"/>
      <c r="K61" s="175"/>
      <c r="L61" s="175"/>
      <c r="M61" s="175"/>
      <c r="N61" s="202"/>
      <c r="O61" s="202"/>
      <c r="P61" s="176"/>
      <c r="Q61" s="176"/>
      <c r="R61" s="1">
        <v>1993</v>
      </c>
      <c r="S61" s="176"/>
      <c r="T61" s="176"/>
      <c r="U61" s="175"/>
      <c r="V61" s="176"/>
      <c r="W61" s="176"/>
    </row>
    <row r="62" spans="1:33" s="16" customFormat="1" ht="9" customHeight="1">
      <c r="A62" s="1">
        <v>1994</v>
      </c>
      <c r="B62" s="175"/>
      <c r="C62" s="175"/>
      <c r="D62" s="175"/>
      <c r="E62" s="202"/>
      <c r="F62" s="175"/>
      <c r="G62" s="1">
        <v>1994</v>
      </c>
      <c r="H62" s="175"/>
      <c r="I62" s="175"/>
      <c r="J62" s="175"/>
      <c r="K62" s="175"/>
      <c r="L62" s="175"/>
      <c r="M62" s="175"/>
      <c r="N62" s="202"/>
      <c r="O62" s="202"/>
      <c r="P62" s="176"/>
      <c r="Q62" s="176"/>
      <c r="R62" s="1">
        <v>1994</v>
      </c>
      <c r="S62" s="176"/>
      <c r="T62" s="176"/>
      <c r="U62" s="175"/>
      <c r="V62" s="176"/>
      <c r="W62" s="176"/>
    </row>
    <row r="63" spans="1:33" s="16" customFormat="1" ht="9" customHeight="1">
      <c r="A63" s="44">
        <v>1995</v>
      </c>
      <c r="B63" s="175"/>
      <c r="C63" s="175"/>
      <c r="D63" s="175"/>
      <c r="E63" s="202"/>
      <c r="F63" s="175"/>
      <c r="G63" s="1">
        <v>1995</v>
      </c>
      <c r="H63" s="175"/>
      <c r="I63" s="175"/>
      <c r="J63" s="175"/>
      <c r="K63" s="175"/>
      <c r="L63" s="175"/>
      <c r="M63" s="175"/>
      <c r="N63" s="202"/>
      <c r="O63" s="202"/>
      <c r="P63" s="176"/>
      <c r="Q63" s="176"/>
      <c r="R63" s="1">
        <v>1995</v>
      </c>
      <c r="S63" s="176"/>
      <c r="T63" s="176"/>
      <c r="U63" s="175"/>
      <c r="V63" s="176"/>
      <c r="W63" s="176"/>
    </row>
    <row r="64" spans="1:33" s="16" customFormat="1" ht="9" customHeight="1">
      <c r="A64" s="1">
        <v>1996</v>
      </c>
      <c r="B64" s="175"/>
      <c r="C64" s="175"/>
      <c r="D64" s="175"/>
      <c r="E64" s="202"/>
      <c r="F64" s="175"/>
      <c r="G64" s="1">
        <v>1996</v>
      </c>
      <c r="H64" s="175"/>
      <c r="I64" s="175"/>
      <c r="J64" s="175"/>
      <c r="K64" s="175"/>
      <c r="L64" s="175"/>
      <c r="M64" s="175"/>
      <c r="N64" s="202"/>
      <c r="O64" s="202"/>
      <c r="P64" s="176"/>
      <c r="Q64" s="176"/>
      <c r="R64" s="1">
        <v>1996</v>
      </c>
      <c r="S64" s="176"/>
      <c r="T64" s="176"/>
      <c r="U64" s="175"/>
      <c r="V64" s="176"/>
      <c r="W64" s="176"/>
    </row>
    <row r="65" spans="1:25" s="16" customFormat="1" ht="9" customHeight="1">
      <c r="A65" s="44">
        <v>1997</v>
      </c>
      <c r="B65" s="175"/>
      <c r="C65" s="175"/>
      <c r="D65" s="175"/>
      <c r="E65" s="202"/>
      <c r="F65" s="175"/>
      <c r="G65" s="1">
        <v>1997</v>
      </c>
      <c r="H65" s="175"/>
      <c r="I65" s="175"/>
      <c r="J65" s="175"/>
      <c r="K65" s="175"/>
      <c r="L65" s="175"/>
      <c r="M65" s="175"/>
      <c r="N65" s="202"/>
      <c r="O65" s="202"/>
      <c r="P65" s="176"/>
      <c r="Q65" s="176"/>
      <c r="R65" s="1">
        <v>1997</v>
      </c>
      <c r="S65" s="176"/>
      <c r="T65" s="176"/>
      <c r="U65" s="175"/>
      <c r="V65" s="176"/>
      <c r="W65" s="176"/>
    </row>
    <row r="66" spans="1:25" s="16" customFormat="1" ht="9" customHeight="1">
      <c r="A66" s="1">
        <v>1998</v>
      </c>
      <c r="B66" s="175"/>
      <c r="C66" s="175"/>
      <c r="D66" s="175"/>
      <c r="E66" s="202"/>
      <c r="F66" s="175"/>
      <c r="G66" s="1">
        <v>1998</v>
      </c>
      <c r="H66" s="175"/>
      <c r="I66" s="175"/>
      <c r="J66" s="175"/>
      <c r="K66" s="175"/>
      <c r="L66" s="175"/>
      <c r="M66" s="175"/>
      <c r="N66" s="202"/>
      <c r="O66" s="202"/>
      <c r="P66" s="176"/>
      <c r="Q66" s="176"/>
      <c r="R66" s="1">
        <v>1998</v>
      </c>
      <c r="S66" s="176"/>
      <c r="T66" s="176"/>
      <c r="U66" s="175"/>
      <c r="V66" s="176"/>
      <c r="W66" s="176"/>
    </row>
    <row r="67" spans="1:25" s="16" customFormat="1" ht="9" customHeight="1">
      <c r="A67" s="44">
        <v>1999</v>
      </c>
      <c r="B67" s="175"/>
      <c r="C67" s="175"/>
      <c r="D67" s="175"/>
      <c r="E67" s="202"/>
      <c r="F67" s="175"/>
      <c r="G67" s="1">
        <v>1999</v>
      </c>
      <c r="H67" s="175"/>
      <c r="I67" s="175"/>
      <c r="J67" s="175"/>
      <c r="K67" s="175"/>
      <c r="L67" s="175"/>
      <c r="M67" s="175"/>
      <c r="N67" s="202"/>
      <c r="O67" s="202"/>
      <c r="P67" s="176"/>
      <c r="Q67" s="176"/>
      <c r="R67" s="1">
        <v>1999</v>
      </c>
      <c r="S67" s="176"/>
      <c r="T67" s="176"/>
      <c r="U67" s="175"/>
      <c r="V67" s="176"/>
      <c r="W67" s="176"/>
    </row>
    <row r="68" spans="1:25" ht="9" customHeight="1">
      <c r="A68" s="1">
        <v>2000</v>
      </c>
      <c r="B68" s="8">
        <f>(K7*($E7/340))</f>
        <v>37.5</v>
      </c>
      <c r="C68" s="8">
        <f>(L7*($E7/340))</f>
        <v>12.5</v>
      </c>
      <c r="D68" s="8">
        <f>(M7*($E7/340))</f>
        <v>45.833333333333329</v>
      </c>
      <c r="E68" s="52">
        <f t="shared" ref="E68:E80" si="28">SUM(B68:D68)</f>
        <v>95.833333333333329</v>
      </c>
      <c r="G68" s="1">
        <v>2000</v>
      </c>
      <c r="H68" s="918">
        <f>(O7/$R7*100*($E7/340))</f>
        <v>31.142042596008718</v>
      </c>
      <c r="I68" s="918"/>
      <c r="J68" s="918">
        <f>(P7/$R7*100*($E7/340))</f>
        <v>17.776287103806805</v>
      </c>
      <c r="K68" s="918"/>
      <c r="L68" s="918">
        <f>(Q7/$R7*100*($E7/340))</f>
        <v>51.08167030018447</v>
      </c>
      <c r="M68" s="918"/>
      <c r="N68" s="939">
        <f t="shared" ref="N68:N80" si="29">H68+J68+L68</f>
        <v>100</v>
      </c>
      <c r="O68" s="939"/>
      <c r="R68" s="1">
        <v>2000</v>
      </c>
      <c r="S68" s="8">
        <f>(O7*($E7/340))</f>
        <v>18.57</v>
      </c>
      <c r="T68" s="8">
        <f>(P7*($E7/340))</f>
        <v>10.6</v>
      </c>
      <c r="U68" s="8">
        <f>(Q7*($E7/340))</f>
        <v>30.46</v>
      </c>
      <c r="V68" s="12"/>
      <c r="W68" s="7">
        <f>S68+T68+U68</f>
        <v>59.63</v>
      </c>
      <c r="Y68" s="203" t="s">
        <v>1219</v>
      </c>
    </row>
    <row r="69" spans="1:25" ht="9" customHeight="1">
      <c r="A69" s="1">
        <v>2001</v>
      </c>
      <c r="B69" s="8">
        <f>(K8* ($E8/365))+(K9*($E9/365))+(K10*($E10/365))</f>
        <v>36.872146118721453</v>
      </c>
      <c r="C69" s="8">
        <f>(L8* ($E8/365))+(L9*($E9/365))+(L10*($E10/365))</f>
        <v>12.5</v>
      </c>
      <c r="D69" s="8">
        <f>(M8* ($E8/365))+(M9*($E9/365))+(M10*($E10/365))</f>
        <v>46.917808219178077</v>
      </c>
      <c r="E69" s="52">
        <f t="shared" si="28"/>
        <v>96.28995433789953</v>
      </c>
      <c r="G69" s="1">
        <v>2001</v>
      </c>
      <c r="H69" s="928">
        <f>(O8/$R8*100*($E8/365))+(O9/$R9*100*($E9/365))+(O10/$R10*100*($E10/365))</f>
        <v>30.308537411471253</v>
      </c>
      <c r="I69" s="928"/>
      <c r="J69" s="928">
        <f>(P8/$R8*100*($E8/365))+(P9/$R9*100*($E9/365))+(P10/$R10*100*($E10/365))</f>
        <v>17.991463795382476</v>
      </c>
      <c r="K69" s="928"/>
      <c r="L69" s="928">
        <f>(Q8/$R8*100*($E8/365))+(Q9/$R9*100*($E9/365))+(Q10/$R10*100*($E10/365))</f>
        <v>51.699998793146257</v>
      </c>
      <c r="M69" s="928"/>
      <c r="N69" s="939">
        <f t="shared" si="29"/>
        <v>99.999999999999986</v>
      </c>
      <c r="O69" s="939"/>
      <c r="R69" s="1">
        <v>2001</v>
      </c>
      <c r="S69" s="8">
        <f>(O8* ($E8/365))+(O9*($E9/365))+(O10*($E10/365))</f>
        <v>17.880273972602737</v>
      </c>
      <c r="T69" s="8">
        <f>(P8* ($E8/365))+(P9*($E9/365))+(P10*($E10/365))</f>
        <v>10.6</v>
      </c>
      <c r="U69" s="8">
        <f>(Q8* ($E8/365))+(Q9*($E9/365))+(Q10*($E10/365))</f>
        <v>30.459999999999997</v>
      </c>
      <c r="V69" s="12"/>
      <c r="W69" s="7">
        <f t="shared" ref="W69:W80" si="30">S69+T69+U69</f>
        <v>58.940273972602739</v>
      </c>
    </row>
    <row r="70" spans="1:25" ht="9" customHeight="1">
      <c r="A70" s="1">
        <v>2002</v>
      </c>
      <c r="B70" s="8">
        <f>(K11* ($E11/365))+(K12*($E12/365))</f>
        <v>30.422374429223744</v>
      </c>
      <c r="C70" s="8">
        <f>(L11* ($E11/365))+(L12*($E12/365))</f>
        <v>14.269406392694062</v>
      </c>
      <c r="D70" s="8">
        <f>(M11* ($E11/365))+(M12*($E12/365))</f>
        <v>55.30821917808219</v>
      </c>
      <c r="E70" s="52">
        <f t="shared" si="28"/>
        <v>100</v>
      </c>
      <c r="G70" s="1">
        <v>2002</v>
      </c>
      <c r="H70" s="928">
        <f>(O11/$R11*100*($E11/365))+(O12/$R12*100*($E12/365))</f>
        <v>22.470193382849732</v>
      </c>
      <c r="I70" s="928"/>
      <c r="J70" s="928">
        <f>(P11/$R11*100*($E11/365))+(P12/$R12*100*($E12/365))</f>
        <v>20.015001221183454</v>
      </c>
      <c r="K70" s="928"/>
      <c r="L70" s="928">
        <f>(Q11/$R11*100*($E11/365))+(Q12/$R12*100*($E12/365))</f>
        <v>57.514805395966789</v>
      </c>
      <c r="M70" s="928"/>
      <c r="N70" s="939">
        <f t="shared" si="29"/>
        <v>99.999999999999972</v>
      </c>
      <c r="O70" s="939"/>
      <c r="R70" s="1">
        <v>2002</v>
      </c>
      <c r="S70" s="8">
        <f>(O11* ($E11/365))+(O12*($E12/365))</f>
        <v>12.25095890410959</v>
      </c>
      <c r="T70" s="8">
        <f>(P11* ($E11/365))+(P12*($E12/365))</f>
        <v>10.599999999999998</v>
      </c>
      <c r="U70" s="8">
        <f>(Q11* ($E11/365))+(Q12*($E12/365))</f>
        <v>30.459999999999997</v>
      </c>
      <c r="V70" s="12"/>
      <c r="W70" s="7">
        <f t="shared" si="30"/>
        <v>53.310958904109583</v>
      </c>
    </row>
    <row r="71" spans="1:25" ht="9" customHeight="1">
      <c r="A71" s="1">
        <v>2003</v>
      </c>
      <c r="B71" s="8">
        <f>(K13* ($E13/365))+(K14*($E14/365))+(K15*($E15/365))</f>
        <v>20.484018264840184</v>
      </c>
      <c r="C71" s="8">
        <f>(L13* ($E13/365))+(L14*($E14/365))+(L15*($E15/365))</f>
        <v>18.392694063926939</v>
      </c>
      <c r="D71" s="8">
        <f>(M13* ($E13/365))+(M14*($E14/365))+(M15*($E15/365))</f>
        <v>60.958904109589042</v>
      </c>
      <c r="E71" s="52">
        <f t="shared" si="28"/>
        <v>99.835616438356169</v>
      </c>
      <c r="G71" s="1">
        <v>2003</v>
      </c>
      <c r="H71" s="928">
        <f>(O13/$R13*100*($E13/365))+(O14/$R14*100*($E14/365))+(O15/$R15*100*($E15/365))</f>
        <v>16.636466100362604</v>
      </c>
      <c r="I71" s="928"/>
      <c r="J71" s="928">
        <f>(P13/$R13*100*($E13/365))+(P14/$R14*100*($E14/365))+(P15/$R15*100*($E15/365))</f>
        <v>23.322838542683122</v>
      </c>
      <c r="K71" s="928"/>
      <c r="L71" s="928">
        <f>(Q13/$R13*100*($E13/365))+(Q14/$R14*100*($E14/365))+(Q15/$R15*100*($E15/365))</f>
        <v>60.040695356954259</v>
      </c>
      <c r="M71" s="928"/>
      <c r="N71" s="939">
        <f t="shared" si="29"/>
        <v>99.999999999999986</v>
      </c>
      <c r="O71" s="939"/>
      <c r="R71" s="1">
        <v>2003</v>
      </c>
      <c r="S71" s="8">
        <f>(O13* ($E13/365))+(O14*($E14/365))+(O15*($E15/365))</f>
        <v>8.2638904109589042</v>
      </c>
      <c r="T71" s="8">
        <f>(P13* ($E13/365))+(P14*($E14/365))+(P15*($E15/365))</f>
        <v>11.409260273972601</v>
      </c>
      <c r="U71" s="8">
        <f>(Q13* ($E13/365))+(Q14*($E14/365))+(Q15*($E15/365))</f>
        <v>29.708931506849318</v>
      </c>
      <c r="V71" s="12"/>
      <c r="W71" s="7">
        <f t="shared" si="30"/>
        <v>49.382082191780825</v>
      </c>
    </row>
    <row r="72" spans="1:25" ht="9" customHeight="1">
      <c r="A72" s="1">
        <v>2004</v>
      </c>
      <c r="B72" s="8">
        <f>(K16* ($E16/366))+(K17*($E17/366))</f>
        <v>6.666666666666667</v>
      </c>
      <c r="C72" s="8">
        <f>(L16* ($E16/366))+(L17*($E17/366))</f>
        <v>86.666666666666671</v>
      </c>
      <c r="D72" s="8">
        <f>(M16* ($E16/366))+(M17*($E17/366))</f>
        <v>0</v>
      </c>
      <c r="E72" s="52">
        <f t="shared" si="28"/>
        <v>93.333333333333343</v>
      </c>
      <c r="G72" s="1">
        <v>2004</v>
      </c>
      <c r="H72" s="928">
        <f>(O16/$R16*100*($E16/366))+(O17/$R17*100*($E17/366))</f>
        <v>1.4972776769509983</v>
      </c>
      <c r="I72" s="928"/>
      <c r="J72" s="928">
        <f>(P16/$R16*100*($E16/366))+(P17/$R17*100*($E17/366))</f>
        <v>98.502722323049014</v>
      </c>
      <c r="K72" s="928"/>
      <c r="L72" s="928">
        <f>(Q16/$R16*100*($E16/366))+(Q17/$R17*100*($E17/366))</f>
        <v>0</v>
      </c>
      <c r="M72" s="928"/>
      <c r="N72" s="939">
        <f t="shared" si="29"/>
        <v>100.00000000000001</v>
      </c>
      <c r="O72" s="939"/>
      <c r="R72" s="1">
        <v>2004</v>
      </c>
      <c r="S72" s="8">
        <f>(O16* ($E16/366))+(O17*($E17/366))</f>
        <v>0.66</v>
      </c>
      <c r="T72" s="8">
        <f>(P16* ($E16/366))+(P17*($E17/366))</f>
        <v>43.42</v>
      </c>
      <c r="U72" s="8">
        <f>(Q16* ($E16/366))+(Q17*($E17/366))</f>
        <v>0</v>
      </c>
      <c r="V72" s="12"/>
      <c r="W72" s="7">
        <f t="shared" si="30"/>
        <v>44.08</v>
      </c>
    </row>
    <row r="73" spans="1:25" ht="9" customHeight="1">
      <c r="A73" s="1">
        <v>2005</v>
      </c>
      <c r="B73" s="8">
        <f>(K18* ($E18/365))+(K19*($E19/365))</f>
        <v>6.666666666666667</v>
      </c>
      <c r="C73" s="8">
        <f>(L18* ($E18/365))+(L19*($E19/365))</f>
        <v>86.666666666666671</v>
      </c>
      <c r="D73" s="8">
        <f>(M18* ($E18/365))+(M19*($E19/365))</f>
        <v>0</v>
      </c>
      <c r="E73" s="52">
        <f t="shared" si="28"/>
        <v>93.333333333333343</v>
      </c>
      <c r="G73" s="1">
        <v>2005</v>
      </c>
      <c r="H73" s="928">
        <f>(O18/$R18*100*($E18/365))+(O19/$R19*100*($E19/365))</f>
        <v>1.4972776769509983</v>
      </c>
      <c r="I73" s="928"/>
      <c r="J73" s="928">
        <f>(P18/$R18*100*($E18/365))+(P19/$R19*100*($E19/365))</f>
        <v>98.502722323048999</v>
      </c>
      <c r="K73" s="928"/>
      <c r="L73" s="928">
        <f>(Q18/$R18*100*($E18/365))+(Q19/$R19*100*($E19/365))</f>
        <v>0</v>
      </c>
      <c r="M73" s="928"/>
      <c r="N73" s="939">
        <f t="shared" si="29"/>
        <v>100</v>
      </c>
      <c r="O73" s="939"/>
      <c r="R73" s="1">
        <v>2005</v>
      </c>
      <c r="S73" s="8">
        <f>(O18* ($E18/365))+(O19*($E19/365))</f>
        <v>0.65999999999999992</v>
      </c>
      <c r="T73" s="8">
        <f>(P18* ($E18/365))+(P19*($E19/365))</f>
        <v>43.42</v>
      </c>
      <c r="U73" s="8">
        <f>(Q18* ($E18/365))+(Q19*($E19/365))</f>
        <v>0</v>
      </c>
      <c r="V73" s="12"/>
      <c r="W73" s="7">
        <f t="shared" si="30"/>
        <v>44.08</v>
      </c>
    </row>
    <row r="74" spans="1:25" ht="9" customHeight="1">
      <c r="A74" s="1">
        <v>2006</v>
      </c>
      <c r="B74" s="8">
        <f>(K20* ($E20/365))+(K21*($E21/365))</f>
        <v>0.73059360730593603</v>
      </c>
      <c r="C74" s="8">
        <f>(L20* ($E20/365))+(L21*($E21/365))</f>
        <v>92.602739726027394</v>
      </c>
      <c r="D74" s="8">
        <f>(M20* ($E20/365))+(M21*($E21/365))</f>
        <v>0</v>
      </c>
      <c r="E74" s="52">
        <f t="shared" si="28"/>
        <v>93.333333333333329</v>
      </c>
      <c r="G74" s="1">
        <v>2006</v>
      </c>
      <c r="H74" s="928">
        <f>(O20/$R20*100*($E20/365))+(O21/$R21*100*($E21/365))</f>
        <v>0.16408522487134228</v>
      </c>
      <c r="I74" s="928"/>
      <c r="J74" s="928">
        <f>(P20/$R20*100*($E20/365))+(P21/$R21*100*($E21/365))</f>
        <v>99.835914775128657</v>
      </c>
      <c r="K74" s="928"/>
      <c r="L74" s="928">
        <f>(Q20/$R20*100*($E20/365))+(Q21/$R21*100*($E21/365))</f>
        <v>0</v>
      </c>
      <c r="M74" s="928"/>
      <c r="N74" s="939">
        <f t="shared" si="29"/>
        <v>100</v>
      </c>
      <c r="O74" s="939"/>
      <c r="R74" s="1">
        <v>2006</v>
      </c>
      <c r="S74" s="8">
        <f>(O20* ($E20/365))+(O21*($E21/365))</f>
        <v>7.2328767123287674E-2</v>
      </c>
      <c r="T74" s="8">
        <f>(P20* ($E20/365))+(P21*($E21/365))</f>
        <v>43.42</v>
      </c>
      <c r="U74" s="8">
        <f>(Q20* ($E20/365))+(Q21*($E21/365))</f>
        <v>0</v>
      </c>
      <c r="V74" s="12"/>
      <c r="W74" s="7">
        <f t="shared" si="30"/>
        <v>43.49232876712329</v>
      </c>
    </row>
    <row r="75" spans="1:25" ht="9" customHeight="1">
      <c r="A75" s="1">
        <v>2007</v>
      </c>
      <c r="B75" s="8">
        <f>(K22* ($E22/365))+(K23*($E23/365))</f>
        <v>0</v>
      </c>
      <c r="C75" s="8">
        <f>(L22* ($E22/365))+(L23*($E23/365))</f>
        <v>93.333333333333329</v>
      </c>
      <c r="D75" s="8">
        <f>(M22* ($E22/365))+(M23*($E23/365))</f>
        <v>0</v>
      </c>
      <c r="E75" s="52">
        <f t="shared" si="28"/>
        <v>93.333333333333329</v>
      </c>
      <c r="G75" s="1">
        <v>2007</v>
      </c>
      <c r="H75" s="928">
        <f>(O22/$R22*100*($E22/365))+(O23/$R23*100*($E23/365))</f>
        <v>0</v>
      </c>
      <c r="I75" s="928"/>
      <c r="J75" s="928">
        <f>(P22/$R22*100*($E22/365))+(P23/$R23*100*($E23/365))</f>
        <v>100</v>
      </c>
      <c r="K75" s="928"/>
      <c r="L75" s="928">
        <f>(Q22/$R22*100*($E22/365))+(Q23/$R23*100*($E23/365))</f>
        <v>0</v>
      </c>
      <c r="M75" s="928"/>
      <c r="N75" s="939">
        <f t="shared" si="29"/>
        <v>100</v>
      </c>
      <c r="O75" s="939"/>
      <c r="R75" s="1">
        <v>2007</v>
      </c>
      <c r="S75" s="8">
        <f>(O22* ($E22/365))+(O23*($E23/365))</f>
        <v>0</v>
      </c>
      <c r="T75" s="8">
        <f>(P22* ($E22/365))+(P23*($E23/365))</f>
        <v>43.42</v>
      </c>
      <c r="U75" s="8">
        <f>(Q22* ($E22/365))+(Q23*($E23/365))</f>
        <v>0</v>
      </c>
      <c r="V75" s="12"/>
      <c r="W75" s="7">
        <f t="shared" si="30"/>
        <v>43.42</v>
      </c>
    </row>
    <row r="76" spans="1:25" ht="9" customHeight="1">
      <c r="A76" s="1">
        <v>2008</v>
      </c>
      <c r="B76" s="8">
        <f>(K24* ($E24/366))+(K25*($E25/366))+(K26*($E26/366))</f>
        <v>5.3885853066180935</v>
      </c>
      <c r="C76" s="8">
        <f>(L24* ($E24/366))+(L25*($E25/366))+(L26*($E26/366))</f>
        <v>86.502732240437155</v>
      </c>
      <c r="D76" s="8">
        <f>(M24* ($E24/366))+(M25*($E25/366))+(M26*($E26/366))</f>
        <v>0</v>
      </c>
      <c r="E76" s="52">
        <f t="shared" si="28"/>
        <v>91.891317547055252</v>
      </c>
      <c r="G76" s="1">
        <v>2008</v>
      </c>
      <c r="H76" s="928">
        <f>(O24/$R24*100*($E24/366))+(O25/$R25*100*($E25/366))+(O26/$R26*100*($E26/366))</f>
        <v>6.3634585927060598</v>
      </c>
      <c r="I76" s="928"/>
      <c r="J76" s="928">
        <f>(P24/$R24*100*($E24/366))+(P25/$R25*100*($E25/366))+(P26/$R26*100*($E26/366))</f>
        <v>93.636541407293947</v>
      </c>
      <c r="K76" s="928"/>
      <c r="L76" s="928">
        <f>(Q24/$R24*100*($E24/366))+(Q25/$R25*100*($E25/366))+(Q26/$R26*100*($E26/366))</f>
        <v>0</v>
      </c>
      <c r="M76" s="928"/>
      <c r="N76" s="939">
        <f t="shared" si="29"/>
        <v>100</v>
      </c>
      <c r="O76" s="939"/>
      <c r="R76" s="1">
        <v>2008</v>
      </c>
      <c r="S76" s="8">
        <f>(O24* ($E24/366))+(O25*($E25/366))+(O26*($E26/366))</f>
        <v>3.2008196721311477</v>
      </c>
      <c r="T76" s="8">
        <f>(P24* ($E24/366))+(P25*($E25/366))+(P26*($E26/366))</f>
        <v>46.892404371584703</v>
      </c>
      <c r="U76" s="8">
        <f>(Q24* ($E24/366))+(Q25*($E25/366))+(Q26*($E26/366))</f>
        <v>0</v>
      </c>
      <c r="V76" s="12"/>
      <c r="W76" s="7">
        <f t="shared" si="30"/>
        <v>50.09322404371585</v>
      </c>
    </row>
    <row r="77" spans="1:25" ht="9" customHeight="1">
      <c r="A77" s="1">
        <v>2009</v>
      </c>
      <c r="B77" s="8">
        <f>(K27* ($E27/365))+(K28*($E28/365))</f>
        <v>5.2831050228310499</v>
      </c>
      <c r="C77" s="8">
        <f>(L27* ($E27/365))+(L28*($E28/365))</f>
        <v>78.867579908675808</v>
      </c>
      <c r="D77" s="8">
        <f>(M27* ($E27/365))+(M28*($E28/365))</f>
        <v>0</v>
      </c>
      <c r="E77" s="52">
        <f t="shared" si="28"/>
        <v>84.150684931506859</v>
      </c>
      <c r="G77" s="1">
        <v>2009</v>
      </c>
      <c r="H77" s="928">
        <f>(O27/$R27*100*($E27/365))+(O28/$R28*100*($E28/365))</f>
        <v>6.5332896414212245</v>
      </c>
      <c r="I77" s="928"/>
      <c r="J77" s="928">
        <f>(P27/$R27*100*($E27/365))+(P28/$R28*100*($E28/365))</f>
        <v>93.46671035857878</v>
      </c>
      <c r="K77" s="928"/>
      <c r="L77" s="928">
        <f>(Q27/$R27*100*($E27/365))+(Q28/$R28*100*($E28/365))</f>
        <v>0</v>
      </c>
      <c r="M77" s="928"/>
      <c r="N77" s="939">
        <f t="shared" si="29"/>
        <v>100</v>
      </c>
      <c r="O77" s="939"/>
      <c r="R77" s="1">
        <v>2009</v>
      </c>
      <c r="S77" s="8">
        <f>(O27* ($E27/365))+(O28*($E28/365))</f>
        <v>3.2852876712328767</v>
      </c>
      <c r="T77" s="8">
        <f>(P27* ($E27/365))+(P28*($E28/365))</f>
        <v>47</v>
      </c>
      <c r="U77" s="8">
        <f>(Q27* ($E27/365))+(Q28*($E28/365))</f>
        <v>0</v>
      </c>
      <c r="V77" s="12"/>
      <c r="W77" s="7">
        <f t="shared" si="30"/>
        <v>50.285287671232879</v>
      </c>
    </row>
    <row r="78" spans="1:25" ht="9" customHeight="1">
      <c r="A78" s="1">
        <v>2010</v>
      </c>
      <c r="B78" s="8">
        <f>(K29* ($E29/365))+(K30*($E30/365))+(K31* ($E31/365))+(K32*($E32/365))</f>
        <v>5.1600576784426817</v>
      </c>
      <c r="C78" s="8">
        <f>(L29* ($E29/365))+(L30*($E30/365))+(L31* ($E31/365))+(L32*($E32/365))</f>
        <v>81.753424657534239</v>
      </c>
      <c r="D78" s="8">
        <f>(M29* ($E29/365))+(M30*($E30/365))+(M31* ($E31/365))+(M32*($E32/365))</f>
        <v>0</v>
      </c>
      <c r="E78" s="52">
        <f t="shared" si="28"/>
        <v>86.913482335976923</v>
      </c>
      <c r="G78" s="1">
        <v>2010</v>
      </c>
      <c r="H78" s="928">
        <f>(O29/$R29*100*($E29/365))+(O30/$R30*100*($E30/365))+(O31/$R31*100*($E31/365))+(O32/$R32*100*($E32/365))</f>
        <v>6.484473661268483</v>
      </c>
      <c r="I78" s="928"/>
      <c r="J78" s="928">
        <f>(P29/$R29*100*($E29/365))+(P30/$R30*100*($E30/365))+(P31/$R31*100*($E31/365))+(P32/$R32*100*($E32/365))</f>
        <v>93.515526338731505</v>
      </c>
      <c r="K78" s="928"/>
      <c r="L78" s="928">
        <f>(Q29/$R29*100*($E29/365))+(Q30/$R30*100*($E30/365))+(Q31/$R31*100*($E31/365))+(Q32/$R32*100*($E32/365))</f>
        <v>0</v>
      </c>
      <c r="M78" s="928"/>
      <c r="N78" s="939">
        <f t="shared" si="29"/>
        <v>99.999999999999986</v>
      </c>
      <c r="O78" s="939"/>
      <c r="R78" s="1">
        <v>2010</v>
      </c>
      <c r="S78" s="8">
        <f>(O29* ($E29/365))+(O30*($E30/365))+(O31* ($E31/365))+(O32*($E32/365))</f>
        <v>3.2593150684931507</v>
      </c>
      <c r="T78" s="8">
        <f>(P29* ($E29/365))+(P30*($E30/365))+(P31* ($E31/365))+(P32*($E32/365))</f>
        <v>47</v>
      </c>
      <c r="U78" s="8">
        <f>(Q29* ($E29/365))+(Q30*($E30/365))+(Q31* ($E31/365))+(Q32*($E32/365))</f>
        <v>0</v>
      </c>
      <c r="V78" s="12"/>
      <c r="W78" s="7">
        <f t="shared" si="30"/>
        <v>50.259315068493152</v>
      </c>
    </row>
    <row r="79" spans="1:25" ht="9" customHeight="1">
      <c r="A79" s="1">
        <v>2011</v>
      </c>
      <c r="B79" s="8">
        <f>(K33* ($E33/365))+(K34*($E34/365))</f>
        <v>0.56039850560398508</v>
      </c>
      <c r="C79" s="8">
        <f>(L33* ($E33/365))+(L34*($E34/365))</f>
        <v>82.134102379235756</v>
      </c>
      <c r="D79" s="8">
        <f>(M33* ($E33/365))+(M34*($E34/365))</f>
        <v>1.681195516811955</v>
      </c>
      <c r="E79" s="52">
        <f t="shared" si="28"/>
        <v>84.375696401651695</v>
      </c>
      <c r="G79" s="1">
        <v>2011</v>
      </c>
      <c r="H79" s="928">
        <f>(O33/$R33*100*($E33/365))+(O34/$R34*100*($E34/365))</f>
        <v>4.4700106644910953</v>
      </c>
      <c r="I79" s="928"/>
      <c r="J79" s="928">
        <f>(P33/$R33*100*($E33/365))+(P34/$R34*100*($E34/365))</f>
        <v>93.61056951278529</v>
      </c>
      <c r="K79" s="928"/>
      <c r="L79" s="928">
        <f>(Q33/$R33*100*($E33/365))+(Q34/$R34*100*($E34/365))</f>
        <v>1.9194198227236099</v>
      </c>
      <c r="M79" s="928"/>
      <c r="N79" s="939">
        <f t="shared" si="29"/>
        <v>100</v>
      </c>
      <c r="O79" s="939"/>
      <c r="R79" s="1">
        <v>2011</v>
      </c>
      <c r="S79" s="8">
        <f>(O33* ($E33/365))+(O34*($E34/365))</f>
        <v>2.2000547945205482</v>
      </c>
      <c r="T79" s="8">
        <f>(P33* ($E33/365))+(P34*($E34/365))</f>
        <v>45.841095890410955</v>
      </c>
      <c r="U79" s="8">
        <f>(Q33* ($E33/365))+(Q34*($E34/365))</f>
        <v>0.97890410958904117</v>
      </c>
      <c r="V79" s="12"/>
      <c r="W79" s="7">
        <f t="shared" si="30"/>
        <v>49.02005479452054</v>
      </c>
    </row>
    <row r="80" spans="1:25" ht="9" customHeight="1">
      <c r="A80" s="1">
        <v>2012</v>
      </c>
      <c r="B80" s="7">
        <f xml:space="preserve"> (K35* ($E35/366))+(K36*($E36/366))</f>
        <v>22.727272727272727</v>
      </c>
      <c r="C80" s="7">
        <f xml:space="preserve"> (L35* ($E35/366))+(L36*($E36/366))</f>
        <v>0</v>
      </c>
      <c r="D80" s="7">
        <f xml:space="preserve"> (M35* ($E35/366))+(M36*($E36/366))</f>
        <v>68.181818181818173</v>
      </c>
      <c r="E80" s="52">
        <f t="shared" si="28"/>
        <v>90.909090909090907</v>
      </c>
      <c r="G80" s="1">
        <v>2012</v>
      </c>
      <c r="H80" s="928">
        <f xml:space="preserve"> (O35/$R35*100*($E35/366))+(O36/$R36*100*($E36/366))</f>
        <v>22.156862745098042</v>
      </c>
      <c r="I80" s="928"/>
      <c r="J80" s="928">
        <f xml:space="preserve"> (P35/$R35*100*($E35/366))+(P36/$R36*100*($E36/366))</f>
        <v>0</v>
      </c>
      <c r="K80" s="928"/>
      <c r="L80" s="928">
        <f xml:space="preserve"> (Q35/$R35*100*($E35/366))+(Q36/$R36*100*($E36/366))</f>
        <v>77.843137254901961</v>
      </c>
      <c r="M80" s="928"/>
      <c r="N80" s="939">
        <f t="shared" si="29"/>
        <v>100</v>
      </c>
      <c r="O80" s="939"/>
      <c r="R80" s="1">
        <v>2012</v>
      </c>
      <c r="S80" s="7">
        <f xml:space="preserve"> (O35* ($E35/366))+(O36*($E36/366))</f>
        <v>11.3</v>
      </c>
      <c r="T80" s="7">
        <f xml:space="preserve"> (P35* ($E35/366))+(P36*($E36/366))</f>
        <v>0</v>
      </c>
      <c r="U80" s="7">
        <f xml:space="preserve"> (Q35* ($E35/366))+(Q36*($E36/366))</f>
        <v>39.700000000000003</v>
      </c>
      <c r="V80" s="12"/>
      <c r="W80" s="7">
        <f t="shared" si="30"/>
        <v>51</v>
      </c>
    </row>
    <row r="81" spans="1:23" ht="9" customHeight="1">
      <c r="A81" s="1">
        <v>2013</v>
      </c>
      <c r="B81" s="7">
        <f xml:space="preserve"> (K37*($E37/365))+(K38*($E38/365))</f>
        <v>23.272845875585602</v>
      </c>
      <c r="C81" s="7">
        <f xml:space="preserve"> (L37* ($E37/365))+(L38*($E38/365))</f>
        <v>0</v>
      </c>
      <c r="D81" s="7">
        <f xml:space="preserve"> (M37* ($E37/365))+(M38*($E38/365))</f>
        <v>67.418015774180148</v>
      </c>
      <c r="E81" s="52">
        <f t="shared" ref="E81:E86" si="31">SUM(B81:D81)</f>
        <v>90.69086164976575</v>
      </c>
      <c r="G81" s="1">
        <v>2013</v>
      </c>
      <c r="H81" s="928">
        <f xml:space="preserve"> (O37/$R37*100*($E37/365))+(O38/$R38*100*($E38/365))</f>
        <v>22.156862745098046</v>
      </c>
      <c r="I81" s="928"/>
      <c r="J81" s="928">
        <f xml:space="preserve"> (P37/$R37*100*($E37/365))+(P38/$R38*100*($E38/365))</f>
        <v>0</v>
      </c>
      <c r="K81" s="928"/>
      <c r="L81" s="928">
        <f xml:space="preserve"> (Q37/$R37*100*($E37/365))+(Q38/$R38*100*($E38/365))</f>
        <v>77.843137254901961</v>
      </c>
      <c r="M81" s="928"/>
      <c r="N81" s="939">
        <f t="shared" ref="N81:N86" si="32">H81+J81+L81</f>
        <v>100</v>
      </c>
      <c r="O81" s="939"/>
      <c r="R81" s="1">
        <v>2013</v>
      </c>
      <c r="S81" s="7">
        <f xml:space="preserve"> (O37* ($E37/365))+(O38*($E38/365))</f>
        <v>11.3</v>
      </c>
      <c r="T81" s="7">
        <f xml:space="preserve"> (P37* ($E37/365))+(P38*($E38/365))</f>
        <v>0</v>
      </c>
      <c r="U81" s="7">
        <f xml:space="preserve"> (Q37* ($E37/365))+(Q38*($E38/365))</f>
        <v>39.700000000000003</v>
      </c>
      <c r="V81" s="12"/>
      <c r="W81" s="7">
        <f t="shared" ref="W81:W86" si="33">S81+T81+U81</f>
        <v>51</v>
      </c>
    </row>
    <row r="82" spans="1:23" ht="9" customHeight="1">
      <c r="A82" s="1">
        <v>2014</v>
      </c>
      <c r="B82" s="7">
        <f xml:space="preserve"> (K39*($E39/365))+(K40*($E40/365))</f>
        <v>23.809523809523807</v>
      </c>
      <c r="C82" s="7">
        <f xml:space="preserve"> (L39* ($E39/365))+(L40*($E40/365))</f>
        <v>0</v>
      </c>
      <c r="D82" s="7">
        <f xml:space="preserve"> (M39* ($E39/365))+(M40*($E40/365))</f>
        <v>64.096542726679701</v>
      </c>
      <c r="E82" s="52">
        <f t="shared" si="31"/>
        <v>87.906066536203511</v>
      </c>
      <c r="G82" s="1">
        <v>2014</v>
      </c>
      <c r="H82" s="928">
        <f xml:space="preserve"> (O39/$R39*100*($E39/365))+(O40/$R40*100*($E40/365))</f>
        <v>22.156862745098042</v>
      </c>
      <c r="I82" s="928"/>
      <c r="J82" s="928">
        <f xml:space="preserve"> (P39/$R39*100*($E39/365))+(P40/$R40*100*($E40/365))</f>
        <v>0</v>
      </c>
      <c r="K82" s="928"/>
      <c r="L82" s="928">
        <f xml:space="preserve"> (Q39/$R39*100*($E39/365))+(Q40/$R40*100*($E40/365))</f>
        <v>77.843137254901961</v>
      </c>
      <c r="M82" s="928"/>
      <c r="N82" s="939">
        <f t="shared" si="32"/>
        <v>100</v>
      </c>
      <c r="O82" s="939"/>
      <c r="R82" s="1">
        <v>2014</v>
      </c>
      <c r="S82" s="7">
        <f xml:space="preserve"> (O39* ($E39/365))+(O40*($E40/365))</f>
        <v>11.3</v>
      </c>
      <c r="T82" s="7">
        <f xml:space="preserve"> (P39* ($E39/365))+(P40*($E40/365))</f>
        <v>0</v>
      </c>
      <c r="U82" s="7">
        <f xml:space="preserve"> (Q39* ($E39/365))+(Q40*($E40/365))</f>
        <v>39.700000000000003</v>
      </c>
      <c r="V82" s="12"/>
      <c r="W82" s="7">
        <f t="shared" si="33"/>
        <v>51</v>
      </c>
    </row>
    <row r="83" spans="1:23" s="585" customFormat="1" ht="9" customHeight="1">
      <c r="A83" s="585">
        <v>2015</v>
      </c>
      <c r="B83" s="583">
        <f xml:space="preserve"> (K41*($E41/365))+(K42*($E42/365))+(K43*($E43/365))</f>
        <v>20.521852576647092</v>
      </c>
      <c r="C83" s="583">
        <f xml:space="preserve"> (L41* ($E41/365))+(L42*($E42/365))+(L43*($E43/365))</f>
        <v>0</v>
      </c>
      <c r="D83" s="583">
        <f xml:space="preserve"> (M41* ($E41/365))+(M42*($E42/365))+(M43*($E43/365))</f>
        <v>61.904761904761905</v>
      </c>
      <c r="E83" s="52">
        <f t="shared" si="31"/>
        <v>82.42661448140899</v>
      </c>
      <c r="G83" s="585">
        <v>2015</v>
      </c>
      <c r="H83" s="928">
        <f xml:space="preserve"> (O41/$R41*100*($E41/365))+(O42/$R42*100*($E42/365))+(O43/$R43*100*($E43/365))</f>
        <v>21.818593078226588</v>
      </c>
      <c r="I83" s="928"/>
      <c r="J83" s="928">
        <f xml:space="preserve"> (P41/$R41*100*($E41/365))+(P42/$R42*100*($E42/365))+(P43/$R43*100*($E43/365))</f>
        <v>0</v>
      </c>
      <c r="K83" s="928"/>
      <c r="L83" s="928">
        <f xml:space="preserve"> (Q41/$R41*100*($E41/365))+(Q42/$R42*100*($E42/365))+(Q43/$R43*100*($E43/365))</f>
        <v>78.181406921773402</v>
      </c>
      <c r="M83" s="928"/>
      <c r="N83" s="939">
        <f t="shared" si="32"/>
        <v>99.999999999999986</v>
      </c>
      <c r="O83" s="939"/>
      <c r="R83" s="585">
        <v>2015</v>
      </c>
      <c r="S83" s="583">
        <f xml:space="preserve"> (O41* ($E41/365))+(O42*($E42/365))+(O43*($E43/365))</f>
        <v>10.989315068493152</v>
      </c>
      <c r="T83" s="583">
        <f xml:space="preserve"> (P41* ($E41/365))+(P42*($E42/365))+(P43*($E43/365))</f>
        <v>0</v>
      </c>
      <c r="U83" s="583">
        <f xml:space="preserve"> (Q41* ($E41/365))+(Q42*($E42/365))+(Q43*($E43/365))</f>
        <v>39.315342465753432</v>
      </c>
      <c r="V83" s="12"/>
      <c r="W83" s="583">
        <f t="shared" si="33"/>
        <v>50.304657534246587</v>
      </c>
    </row>
    <row r="84" spans="1:23" s="585" customFormat="1" ht="9" customHeight="1">
      <c r="A84" s="713">
        <v>2016</v>
      </c>
      <c r="B84" s="712">
        <f xml:space="preserve"> (K44*($E44/366))+(K45*($E45/366))+(K46*($E46/366))</f>
        <v>21.040514091119935</v>
      </c>
      <c r="C84" s="712">
        <f xml:space="preserve"> (L44*($E44/366))+(L45*($E45/366))+(L46*($E46/366))</f>
        <v>52.110556743486178</v>
      </c>
      <c r="D84" s="712">
        <f xml:space="preserve"> (M44*($E44/366))+(M45*($E45/366))+(M46*($E46/366))</f>
        <v>3.5519125683060109</v>
      </c>
      <c r="E84" s="52">
        <f t="shared" si="31"/>
        <v>76.702983402912125</v>
      </c>
      <c r="F84" s="713"/>
      <c r="G84" s="713">
        <v>2016</v>
      </c>
      <c r="H84" s="928">
        <f xml:space="preserve"> (O44/$R44*100*($E44/366))+(O45/$R45*100*($E45/366))+(O46/$R46*100*($E46/366))</f>
        <v>22.481045389359668</v>
      </c>
      <c r="I84" s="928"/>
      <c r="J84" s="928">
        <f xml:space="preserve"> (P44/$R44*100*($E44/366))+(P45/$R45*100*($E45/366))+(P46/$R46*100*($E46/366))</f>
        <v>72.921355205477994</v>
      </c>
      <c r="K84" s="928"/>
      <c r="L84" s="928">
        <f xml:space="preserve"> (Q44/$R44*100*($E44/366))+(Q45/$R45*100*($E45/366))+(Q46/$R46*100*($E46/366))</f>
        <v>4.5975994051623417</v>
      </c>
      <c r="M84" s="928"/>
      <c r="N84" s="939">
        <f t="shared" si="32"/>
        <v>100</v>
      </c>
      <c r="O84" s="939"/>
      <c r="P84" s="713"/>
      <c r="Q84" s="713"/>
      <c r="R84" s="713">
        <v>2016</v>
      </c>
      <c r="S84" s="712">
        <f xml:space="preserve"> (O44* ($E44/366))+(O45*($E45/366))+(O46*($E46/366))</f>
        <v>9.7385245901639355</v>
      </c>
      <c r="T84" s="712">
        <f xml:space="preserve"> (P44* ($E44/366))+(P45*($E45/366))+(P46*($E46/366))</f>
        <v>31.565300546448089</v>
      </c>
      <c r="U84" s="712">
        <f xml:space="preserve"> (Q44* ($E44/366))+(Q45*($E45/366))+(Q46*($E46/366))</f>
        <v>2.1286885245901641</v>
      </c>
      <c r="V84" s="12"/>
      <c r="W84" s="712">
        <f t="shared" si="33"/>
        <v>43.432513661202194</v>
      </c>
    </row>
    <row r="85" spans="1:23">
      <c r="A85" s="741">
        <v>2017</v>
      </c>
      <c r="B85" s="739">
        <f xml:space="preserve"> (K47*($E47/365))+(K48*($E48/365))</f>
        <v>10.984996738421396</v>
      </c>
      <c r="C85" s="739">
        <f xml:space="preserve"> (L47*($E47/365))+(L48*($E48/365))</f>
        <v>77.416829745596857</v>
      </c>
      <c r="D85" s="739">
        <f xml:space="preserve"> (M47*($E47/365))+(M48*($E48/365))</f>
        <v>0</v>
      </c>
      <c r="E85" s="52">
        <f t="shared" si="31"/>
        <v>88.401826484018258</v>
      </c>
      <c r="F85" s="741"/>
      <c r="G85" s="741">
        <v>2017</v>
      </c>
      <c r="H85" s="928">
        <f xml:space="preserve"> (O47/$R47*100*($E47/365))+(O48/$R48*100*($E48/365))</f>
        <v>13.341169083842725</v>
      </c>
      <c r="I85" s="928"/>
      <c r="J85" s="928">
        <f xml:space="preserve"> (P47/$R47*100*($E47/365))+(P48/$R48*100*($E48/365))</f>
        <v>86.658830916157257</v>
      </c>
      <c r="K85" s="928"/>
      <c r="L85" s="928">
        <f xml:space="preserve"> (Q47/$R47*100*($E47/365))+(Q48/$R48*100*($E48/365))</f>
        <v>0</v>
      </c>
      <c r="M85" s="928"/>
      <c r="N85" s="939">
        <f t="shared" si="32"/>
        <v>99.999999999999986</v>
      </c>
      <c r="O85" s="939"/>
      <c r="P85" s="741"/>
      <c r="Q85" s="741"/>
      <c r="R85" s="741">
        <v>2017</v>
      </c>
      <c r="S85" s="739">
        <f xml:space="preserve"> (O47* ($E47/365))+(O48*($E48/365))</f>
        <v>5.9136986301369863</v>
      </c>
      <c r="T85" s="739">
        <f xml:space="preserve"> (P47* ($E47/365))+(P48*($E48/365))</f>
        <v>37.1</v>
      </c>
      <c r="U85" s="739">
        <f xml:space="preserve"> (Q47* ($E47/365))+(Q48*($E48/365))</f>
        <v>0</v>
      </c>
      <c r="V85" s="12"/>
      <c r="W85" s="739">
        <f t="shared" si="33"/>
        <v>43.013698630136986</v>
      </c>
    </row>
    <row r="86" spans="1:23">
      <c r="A86" s="766">
        <v>2018</v>
      </c>
      <c r="B86" s="762">
        <f xml:space="preserve"> (K49*($E49/365))+(K50*($E50/365))</f>
        <v>4.7619047619047619</v>
      </c>
      <c r="C86" s="762">
        <f xml:space="preserve"> (L49*($E49/365))+(L50*($E50/365))</f>
        <v>85.714285714285708</v>
      </c>
      <c r="D86" s="762">
        <f xml:space="preserve"> (M49*($E49/365))+(M50*($E50/365))</f>
        <v>0</v>
      </c>
      <c r="E86" s="52">
        <f t="shared" si="31"/>
        <v>90.476190476190467</v>
      </c>
      <c r="F86" s="766"/>
      <c r="G86" s="766">
        <v>2018</v>
      </c>
      <c r="H86" s="928">
        <f xml:space="preserve"> (O49/$R49*100*($E49/365))+(O50/$R50*100*($E50/365))</f>
        <v>8.1683168316831694</v>
      </c>
      <c r="I86" s="928"/>
      <c r="J86" s="928">
        <f xml:space="preserve"> (P49/$R49*100*($E49/365))+(P50/$R50*100*($E50/365))</f>
        <v>91.831683168316829</v>
      </c>
      <c r="K86" s="928"/>
      <c r="L86" s="928">
        <f xml:space="preserve"> (Q49/$R49*100*($E49/365))+(Q50/$R50*100*($E50/365))</f>
        <v>0</v>
      </c>
      <c r="M86" s="928"/>
      <c r="N86" s="939">
        <f t="shared" si="32"/>
        <v>100</v>
      </c>
      <c r="O86" s="939"/>
      <c r="P86" s="766"/>
      <c r="Q86" s="766"/>
      <c r="R86" s="766">
        <v>2018</v>
      </c>
      <c r="S86" s="762">
        <f xml:space="preserve"> (O49* ($E49/365))+(O50*($E50/365))</f>
        <v>3.3</v>
      </c>
      <c r="T86" s="762">
        <f xml:space="preserve"> (P49* ($E49/365))+(P50*($E50/365))</f>
        <v>37.1</v>
      </c>
      <c r="U86" s="762">
        <f xml:space="preserve"> (Q49* ($E49/365))+(Q50*($E50/365))</f>
        <v>0</v>
      </c>
      <c r="V86" s="12"/>
      <c r="W86" s="762">
        <f t="shared" si="33"/>
        <v>40.4</v>
      </c>
    </row>
    <row r="87" spans="1:23">
      <c r="A87" s="766">
        <v>2019</v>
      </c>
      <c r="B87" s="791">
        <f xml:space="preserve"> (K51*($E51/365))+(K52*($E52/365))</f>
        <v>4.7619047619047619</v>
      </c>
      <c r="C87" s="791">
        <f xml:space="preserve"> (L51*($E51/365))+(L52*($E52/365))</f>
        <v>85.714285714285708</v>
      </c>
      <c r="D87" s="791">
        <f xml:space="preserve"> (M51*($E51/365))+(M52*($E52/365))</f>
        <v>0</v>
      </c>
      <c r="E87" s="52">
        <f t="shared" ref="E87" si="34">SUM(B87:D87)</f>
        <v>90.476190476190467</v>
      </c>
      <c r="F87" s="794"/>
      <c r="G87" s="794">
        <v>2019</v>
      </c>
      <c r="H87" s="928">
        <f xml:space="preserve"> (O51/$R51*100*($E51/365))+(O52/$R52*100*($E52/365))</f>
        <v>8.1683168316831694</v>
      </c>
      <c r="I87" s="928"/>
      <c r="J87" s="928">
        <f xml:space="preserve"> (P51/$R51*100*($E51/365))+(P52/$R52*100*($E52/365))</f>
        <v>91.831683168316829</v>
      </c>
      <c r="K87" s="928"/>
      <c r="L87" s="928">
        <f xml:space="preserve"> (Q51/$R51*100*($E51/365))+(Q52/$R52*100*($E52/365))</f>
        <v>0</v>
      </c>
      <c r="M87" s="928"/>
      <c r="N87" s="939">
        <f t="shared" ref="N87" si="35">H87+J87+L87</f>
        <v>100</v>
      </c>
      <c r="O87" s="939"/>
      <c r="P87" s="794"/>
      <c r="Q87" s="794"/>
      <c r="R87" s="794">
        <v>2019</v>
      </c>
      <c r="S87" s="791">
        <f xml:space="preserve"> (O51* ($E51/365))+(O52*($E52/365))</f>
        <v>3.3</v>
      </c>
      <c r="T87" s="791">
        <f xml:space="preserve"> (P51* ($E51/365))+(P52*($E52/365))</f>
        <v>37.1</v>
      </c>
      <c r="U87" s="791">
        <f xml:space="preserve"> (Q51* ($E51/365))+(Q52*($E52/365))</f>
        <v>0</v>
      </c>
      <c r="V87" s="12"/>
      <c r="W87" s="791">
        <f t="shared" ref="W87" si="36">S87+T87+U87</f>
        <v>40.4</v>
      </c>
    </row>
  </sheetData>
  <mergeCells count="153">
    <mergeCell ref="H86:I86"/>
    <mergeCell ref="J86:K86"/>
    <mergeCell ref="L86:M86"/>
    <mergeCell ref="N86:O86"/>
    <mergeCell ref="H85:I85"/>
    <mergeCell ref="J85:K85"/>
    <mergeCell ref="L85:M85"/>
    <mergeCell ref="N85:O85"/>
    <mergeCell ref="H84:I84"/>
    <mergeCell ref="J84:K84"/>
    <mergeCell ref="L84:M84"/>
    <mergeCell ref="N84:O84"/>
    <mergeCell ref="N82:O82"/>
    <mergeCell ref="H83:I83"/>
    <mergeCell ref="J83:K83"/>
    <mergeCell ref="L83:M83"/>
    <mergeCell ref="N83:O83"/>
    <mergeCell ref="H82:I82"/>
    <mergeCell ref="J82:K82"/>
    <mergeCell ref="L82:M82"/>
    <mergeCell ref="N77:O77"/>
    <mergeCell ref="N78:O78"/>
    <mergeCell ref="H79:I79"/>
    <mergeCell ref="J79:K79"/>
    <mergeCell ref="L79:M79"/>
    <mergeCell ref="N79:O79"/>
    <mergeCell ref="N81:O81"/>
    <mergeCell ref="H81:I81"/>
    <mergeCell ref="J81:K81"/>
    <mergeCell ref="L81:M81"/>
    <mergeCell ref="H80:I80"/>
    <mergeCell ref="J80:K80"/>
    <mergeCell ref="L80:M80"/>
    <mergeCell ref="N80:O80"/>
    <mergeCell ref="H78:I78"/>
    <mergeCell ref="J78:K78"/>
    <mergeCell ref="J77:K77"/>
    <mergeCell ref="L77:M77"/>
    <mergeCell ref="H74:I74"/>
    <mergeCell ref="J74:K74"/>
    <mergeCell ref="L74:M74"/>
    <mergeCell ref="H75:I75"/>
    <mergeCell ref="J75:K75"/>
    <mergeCell ref="L75:M75"/>
    <mergeCell ref="H76:I76"/>
    <mergeCell ref="J76:K76"/>
    <mergeCell ref="L76:M76"/>
    <mergeCell ref="L78:M78"/>
    <mergeCell ref="C48:D48"/>
    <mergeCell ref="R55:W55"/>
    <mergeCell ref="J70:K70"/>
    <mergeCell ref="L70:M70"/>
    <mergeCell ref="N70:O70"/>
    <mergeCell ref="H71:I71"/>
    <mergeCell ref="J71:K71"/>
    <mergeCell ref="L71:M71"/>
    <mergeCell ref="H72:I72"/>
    <mergeCell ref="N68:O68"/>
    <mergeCell ref="N71:O71"/>
    <mergeCell ref="H70:I70"/>
    <mergeCell ref="C50:D50"/>
    <mergeCell ref="C52:D52"/>
    <mergeCell ref="C49:D49"/>
    <mergeCell ref="L73:M73"/>
    <mergeCell ref="N73:O73"/>
    <mergeCell ref="H73:I73"/>
    <mergeCell ref="J73:K73"/>
    <mergeCell ref="N74:O74"/>
    <mergeCell ref="N75:O75"/>
    <mergeCell ref="N76:O76"/>
    <mergeCell ref="H77:I77"/>
    <mergeCell ref="C47:D47"/>
    <mergeCell ref="C28:D28"/>
    <mergeCell ref="C31:D31"/>
    <mergeCell ref="C32:D32"/>
    <mergeCell ref="C33:D33"/>
    <mergeCell ref="C34:D34"/>
    <mergeCell ref="C35:D35"/>
    <mergeCell ref="C36:D36"/>
    <mergeCell ref="C40:D40"/>
    <mergeCell ref="C37:D37"/>
    <mergeCell ref="C38:D38"/>
    <mergeCell ref="C39:D39"/>
    <mergeCell ref="C29:D29"/>
    <mergeCell ref="C30:D30"/>
    <mergeCell ref="C41:D41"/>
    <mergeCell ref="C43:D43"/>
    <mergeCell ref="C42:D42"/>
    <mergeCell ref="C44:D44"/>
    <mergeCell ref="C16:D16"/>
    <mergeCell ref="C17:D17"/>
    <mergeCell ref="C18:D18"/>
    <mergeCell ref="C19:D19"/>
    <mergeCell ref="C27:D27"/>
    <mergeCell ref="C20:D20"/>
    <mergeCell ref="C24:D24"/>
    <mergeCell ref="C45:D45"/>
    <mergeCell ref="C46:D46"/>
    <mergeCell ref="A4:A5"/>
    <mergeCell ref="B4:B5"/>
    <mergeCell ref="C4:D5"/>
    <mergeCell ref="E4:E5"/>
    <mergeCell ref="F4:F5"/>
    <mergeCell ref="G4:J4"/>
    <mergeCell ref="AH4:AK4"/>
    <mergeCell ref="AL4:AO4"/>
    <mergeCell ref="AP4:AS4"/>
    <mergeCell ref="S4:S5"/>
    <mergeCell ref="T4:T5"/>
    <mergeCell ref="U4:U5"/>
    <mergeCell ref="V4:Y4"/>
    <mergeCell ref="K4:N4"/>
    <mergeCell ref="O4:R4"/>
    <mergeCell ref="G3:M3"/>
    <mergeCell ref="O3:Q3"/>
    <mergeCell ref="J72:K72"/>
    <mergeCell ref="L72:M72"/>
    <mergeCell ref="N72:O72"/>
    <mergeCell ref="H57:I57"/>
    <mergeCell ref="J57:K57"/>
    <mergeCell ref="L57:M57"/>
    <mergeCell ref="N57:O57"/>
    <mergeCell ref="H68:I68"/>
    <mergeCell ref="J68:K68"/>
    <mergeCell ref="L68:M68"/>
    <mergeCell ref="H69:I69"/>
    <mergeCell ref="J69:K69"/>
    <mergeCell ref="L69:M69"/>
    <mergeCell ref="N69:O69"/>
    <mergeCell ref="C51:D51"/>
    <mergeCell ref="H87:I87"/>
    <mergeCell ref="J87:K87"/>
    <mergeCell ref="L87:M87"/>
    <mergeCell ref="N87:O87"/>
    <mergeCell ref="AT4:AW4"/>
    <mergeCell ref="AX4:BA4"/>
    <mergeCell ref="Z4:AC4"/>
    <mergeCell ref="AD4:AG4"/>
    <mergeCell ref="C7:D7"/>
    <mergeCell ref="C9:D9"/>
    <mergeCell ref="C10:D10"/>
    <mergeCell ref="C11:D11"/>
    <mergeCell ref="C12:D12"/>
    <mergeCell ref="C13:D13"/>
    <mergeCell ref="C21:D21"/>
    <mergeCell ref="C22:D22"/>
    <mergeCell ref="C6:D6"/>
    <mergeCell ref="C8:D8"/>
    <mergeCell ref="C14:D14"/>
    <mergeCell ref="C23:D23"/>
    <mergeCell ref="C25:D25"/>
    <mergeCell ref="C26:D26"/>
    <mergeCell ref="C15:D1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A150"/>
  <sheetViews>
    <sheetView zoomScale="188" zoomScaleNormal="120" workbookViewId="0">
      <pane xSplit="1" ySplit="5" topLeftCell="B6" activePane="bottomRight" state="frozen"/>
      <selection pane="topRight" activeCell="B1" sqref="B1"/>
      <selection pane="bottomLeft" activeCell="A6" sqref="A6"/>
      <selection pane="bottomRight" activeCell="S26" sqref="S26"/>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51</v>
      </c>
    </row>
    <row r="3" spans="1:53" s="2" customFormat="1">
      <c r="G3" s="924"/>
      <c r="H3" s="924"/>
      <c r="I3" s="924"/>
      <c r="J3" s="924"/>
      <c r="K3" s="924"/>
      <c r="L3" s="924"/>
      <c r="M3" s="924"/>
      <c r="O3" s="924"/>
      <c r="P3" s="924"/>
      <c r="Q3" s="924"/>
    </row>
    <row r="4" spans="1:53" s="302" customFormat="1" ht="12.75" customHeight="1">
      <c r="A4" s="889" t="s">
        <v>3</v>
      </c>
      <c r="B4" s="903" t="s">
        <v>4</v>
      </c>
      <c r="C4" s="889" t="s">
        <v>1267</v>
      </c>
      <c r="D4" s="889"/>
      <c r="E4" s="903" t="s">
        <v>5</v>
      </c>
      <c r="F4" s="94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4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550" customFormat="1">
      <c r="A6" s="101">
        <v>1976</v>
      </c>
      <c r="B6" s="852"/>
      <c r="C6" s="945" t="s">
        <v>1268</v>
      </c>
      <c r="D6" s="945"/>
      <c r="G6" s="498"/>
      <c r="J6" s="500"/>
      <c r="K6" s="496"/>
      <c r="L6" s="496"/>
      <c r="M6" s="496"/>
      <c r="N6" s="499"/>
      <c r="O6" s="495"/>
      <c r="P6" s="496"/>
      <c r="Q6" s="496"/>
      <c r="R6" s="497"/>
      <c r="S6" s="564"/>
      <c r="T6" s="839"/>
      <c r="U6" s="845"/>
      <c r="V6" s="562"/>
      <c r="Z6" s="492"/>
      <c r="AD6" s="492"/>
      <c r="AG6" s="493"/>
      <c r="AL6" s="492"/>
      <c r="AO6" s="493"/>
      <c r="AP6" s="492"/>
      <c r="AS6" s="493"/>
      <c r="AW6" s="493"/>
      <c r="BA6" s="494"/>
    </row>
    <row r="7" spans="1:53" s="562" customFormat="1">
      <c r="A7" s="101">
        <v>1977</v>
      </c>
      <c r="B7" s="852"/>
      <c r="C7" s="945"/>
      <c r="D7" s="945"/>
      <c r="G7" s="498"/>
      <c r="J7" s="500"/>
      <c r="K7" s="496"/>
      <c r="L7" s="496"/>
      <c r="M7" s="496"/>
      <c r="N7" s="499"/>
      <c r="O7" s="495"/>
      <c r="P7" s="496"/>
      <c r="Q7" s="496"/>
      <c r="R7" s="497"/>
      <c r="S7" s="97"/>
      <c r="T7" s="839"/>
      <c r="U7" s="852"/>
      <c r="V7" s="492"/>
      <c r="Z7" s="492"/>
      <c r="AD7" s="492"/>
      <c r="AG7" s="493"/>
      <c r="AL7" s="492"/>
      <c r="AO7" s="493"/>
      <c r="AP7" s="492"/>
      <c r="AS7" s="493"/>
      <c r="AW7" s="493"/>
      <c r="BA7" s="494"/>
    </row>
    <row r="8" spans="1:53" s="562" customFormat="1">
      <c r="A8" s="101">
        <v>1978</v>
      </c>
      <c r="B8" s="852"/>
      <c r="C8" s="945"/>
      <c r="D8" s="945"/>
      <c r="G8" s="498"/>
      <c r="J8" s="500"/>
      <c r="K8" s="496"/>
      <c r="L8" s="496"/>
      <c r="M8" s="496"/>
      <c r="N8" s="499"/>
      <c r="O8" s="495"/>
      <c r="P8" s="496"/>
      <c r="Q8" s="496"/>
      <c r="R8" s="497"/>
      <c r="S8" s="97"/>
      <c r="T8" s="839"/>
      <c r="U8" s="852"/>
      <c r="V8" s="492"/>
      <c r="Z8" s="492"/>
      <c r="AD8" s="492"/>
      <c r="AG8" s="493"/>
      <c r="AL8" s="492"/>
      <c r="AO8" s="493"/>
      <c r="AP8" s="492"/>
      <c r="AS8" s="493"/>
      <c r="AW8" s="493"/>
      <c r="BA8" s="494"/>
    </row>
    <row r="9" spans="1:53" s="563" customFormat="1">
      <c r="A9" s="563">
        <v>1978</v>
      </c>
      <c r="B9" s="836">
        <v>28557</v>
      </c>
      <c r="C9" s="916" t="s">
        <v>1302</v>
      </c>
      <c r="D9" s="916"/>
      <c r="E9" s="563">
        <v>299</v>
      </c>
      <c r="F9" s="428"/>
      <c r="G9" s="539">
        <v>6</v>
      </c>
      <c r="I9" s="563">
        <v>2</v>
      </c>
      <c r="J9" s="541">
        <v>11</v>
      </c>
      <c r="K9" s="537">
        <f t="shared" ref="K9:K35" si="0">G9/J9*100</f>
        <v>54.54545454545454</v>
      </c>
      <c r="L9" s="537">
        <f t="shared" ref="L9:L35" si="1">H9/J9*100</f>
        <v>0</v>
      </c>
      <c r="M9" s="537">
        <f t="shared" ref="M9:M35" si="2">I9/J9*100</f>
        <v>18.181818181818183</v>
      </c>
      <c r="N9" s="540">
        <f t="shared" ref="N9:N35" si="3">SUM(K9:M9)</f>
        <v>72.72727272727272</v>
      </c>
      <c r="O9" s="536">
        <v>60</v>
      </c>
      <c r="P9" s="537"/>
      <c r="Q9" s="537">
        <v>11.4</v>
      </c>
      <c r="R9" s="538">
        <f t="shared" ref="R9:R35" si="4">SUM(O9:Q9)</f>
        <v>71.400000000000006</v>
      </c>
      <c r="S9" s="563">
        <v>1</v>
      </c>
      <c r="T9" s="838"/>
      <c r="U9" s="836">
        <v>28557</v>
      </c>
      <c r="V9" s="532" t="s">
        <v>1046</v>
      </c>
      <c r="W9" s="563" t="s">
        <v>22</v>
      </c>
      <c r="X9" s="563" t="s">
        <v>11</v>
      </c>
      <c r="Y9" s="533">
        <v>60</v>
      </c>
      <c r="Z9" s="563" t="s">
        <v>1048</v>
      </c>
      <c r="AA9" s="563" t="s">
        <v>20</v>
      </c>
      <c r="AB9" s="563" t="s">
        <v>12</v>
      </c>
      <c r="AC9" s="563">
        <v>11.4</v>
      </c>
      <c r="AD9" s="532"/>
      <c r="AG9" s="533"/>
      <c r="AL9" s="532"/>
      <c r="AO9" s="533"/>
      <c r="AP9" s="532"/>
      <c r="AS9" s="533"/>
      <c r="AW9" s="533"/>
      <c r="BA9" s="534"/>
    </row>
    <row r="10" spans="1:53" s="542" customFormat="1">
      <c r="A10" s="542">
        <v>1979</v>
      </c>
      <c r="B10" s="836"/>
      <c r="C10" s="916" t="s">
        <v>1302</v>
      </c>
      <c r="D10" s="916"/>
      <c r="E10" s="542">
        <v>304</v>
      </c>
      <c r="G10" s="539">
        <v>6</v>
      </c>
      <c r="I10" s="542">
        <v>2</v>
      </c>
      <c r="J10" s="541">
        <v>11</v>
      </c>
      <c r="K10" s="537">
        <f t="shared" si="0"/>
        <v>54.54545454545454</v>
      </c>
      <c r="L10" s="537">
        <f t="shared" si="1"/>
        <v>0</v>
      </c>
      <c r="M10" s="537">
        <f t="shared" si="2"/>
        <v>18.181818181818183</v>
      </c>
      <c r="N10" s="540">
        <f t="shared" si="3"/>
        <v>72.72727272727272</v>
      </c>
      <c r="O10" s="536">
        <v>60</v>
      </c>
      <c r="P10" s="537"/>
      <c r="Q10" s="537">
        <v>11.4</v>
      </c>
      <c r="R10" s="538">
        <f t="shared" si="4"/>
        <v>71.400000000000006</v>
      </c>
      <c r="S10" s="551">
        <v>1</v>
      </c>
      <c r="T10" s="838"/>
      <c r="U10" s="836"/>
      <c r="V10" s="532" t="s">
        <v>1046</v>
      </c>
      <c r="W10" s="542" t="s">
        <v>22</v>
      </c>
      <c r="X10" s="542" t="s">
        <v>11</v>
      </c>
      <c r="Y10" s="533">
        <v>60</v>
      </c>
      <c r="Z10" s="563" t="s">
        <v>1048</v>
      </c>
      <c r="AA10" s="563" t="s">
        <v>20</v>
      </c>
      <c r="AB10" s="563" t="s">
        <v>12</v>
      </c>
      <c r="AC10" s="563">
        <v>11.4</v>
      </c>
      <c r="AD10" s="532"/>
      <c r="AG10" s="533"/>
      <c r="AL10" s="532"/>
      <c r="AO10" s="533"/>
      <c r="AP10" s="532"/>
      <c r="AS10" s="533"/>
      <c r="AW10" s="533"/>
      <c r="BA10" s="534"/>
    </row>
    <row r="11" spans="1:53" s="563" customFormat="1">
      <c r="A11" s="563">
        <v>1979</v>
      </c>
      <c r="B11" s="865">
        <v>29160</v>
      </c>
      <c r="C11" s="916" t="s">
        <v>1302</v>
      </c>
      <c r="D11" s="916"/>
      <c r="E11" s="563">
        <v>61</v>
      </c>
      <c r="F11" s="428">
        <v>0</v>
      </c>
      <c r="G11" s="539">
        <v>7</v>
      </c>
      <c r="I11" s="563">
        <v>2</v>
      </c>
      <c r="J11" s="541">
        <v>11</v>
      </c>
      <c r="K11" s="537">
        <f t="shared" si="0"/>
        <v>63.636363636363633</v>
      </c>
      <c r="L11" s="537">
        <f t="shared" si="1"/>
        <v>0</v>
      </c>
      <c r="M11" s="537">
        <f t="shared" si="2"/>
        <v>18.181818181818183</v>
      </c>
      <c r="N11" s="540">
        <f t="shared" si="3"/>
        <v>81.818181818181813</v>
      </c>
      <c r="O11" s="536">
        <v>60</v>
      </c>
      <c r="P11" s="537"/>
      <c r="Q11" s="537">
        <v>11.4</v>
      </c>
      <c r="R11" s="538">
        <f t="shared" si="4"/>
        <v>71.400000000000006</v>
      </c>
      <c r="S11" s="563">
        <v>1</v>
      </c>
      <c r="T11" s="838"/>
      <c r="U11" s="836"/>
      <c r="V11" s="532" t="s">
        <v>1046</v>
      </c>
      <c r="W11" s="563" t="s">
        <v>22</v>
      </c>
      <c r="X11" s="563" t="s">
        <v>11</v>
      </c>
      <c r="Y11" s="533">
        <v>60</v>
      </c>
      <c r="Z11" s="563" t="s">
        <v>1048</v>
      </c>
      <c r="AA11" s="563" t="s">
        <v>20</v>
      </c>
      <c r="AB11" s="563" t="s">
        <v>12</v>
      </c>
      <c r="AC11" s="563">
        <v>11.4</v>
      </c>
      <c r="AD11" s="532"/>
      <c r="AG11" s="533"/>
      <c r="AL11" s="532"/>
      <c r="AO11" s="533"/>
      <c r="AP11" s="532"/>
      <c r="AS11" s="533"/>
      <c r="AW11" s="533"/>
      <c r="BA11" s="534"/>
    </row>
    <row r="12" spans="1:53" s="542" customFormat="1">
      <c r="A12" s="542">
        <v>1980</v>
      </c>
      <c r="B12" s="836"/>
      <c r="C12" s="916" t="s">
        <v>1302</v>
      </c>
      <c r="D12" s="916"/>
      <c r="E12" s="542">
        <v>253</v>
      </c>
      <c r="G12" s="539">
        <v>7</v>
      </c>
      <c r="I12" s="542">
        <v>2</v>
      </c>
      <c r="J12" s="541">
        <v>11</v>
      </c>
      <c r="K12" s="537">
        <f t="shared" si="0"/>
        <v>63.636363636363633</v>
      </c>
      <c r="L12" s="537">
        <f t="shared" si="1"/>
        <v>0</v>
      </c>
      <c r="M12" s="537">
        <f t="shared" si="2"/>
        <v>18.181818181818183</v>
      </c>
      <c r="N12" s="540">
        <f t="shared" si="3"/>
        <v>81.818181818181813</v>
      </c>
      <c r="O12" s="536">
        <v>60</v>
      </c>
      <c r="P12" s="537"/>
      <c r="Q12" s="537">
        <v>11.4</v>
      </c>
      <c r="R12" s="538">
        <f t="shared" si="4"/>
        <v>71.400000000000006</v>
      </c>
      <c r="S12" s="551">
        <v>1</v>
      </c>
      <c r="T12" s="838"/>
      <c r="U12" s="836"/>
      <c r="V12" s="532" t="s">
        <v>1046</v>
      </c>
      <c r="W12" s="542" t="s">
        <v>22</v>
      </c>
      <c r="X12" s="542" t="s">
        <v>11</v>
      </c>
      <c r="Y12" s="533">
        <v>60</v>
      </c>
      <c r="Z12" s="563" t="s">
        <v>1048</v>
      </c>
      <c r="AA12" s="563" t="s">
        <v>20</v>
      </c>
      <c r="AB12" s="563" t="s">
        <v>12</v>
      </c>
      <c r="AC12" s="563">
        <v>11.4</v>
      </c>
      <c r="AD12" s="532"/>
      <c r="AG12" s="533"/>
      <c r="AL12" s="532"/>
      <c r="AO12" s="533"/>
      <c r="AP12" s="532"/>
      <c r="AS12" s="533"/>
      <c r="AW12" s="533"/>
      <c r="BA12" s="534"/>
    </row>
    <row r="13" spans="1:53" s="563" customFormat="1">
      <c r="A13" s="563">
        <v>1980</v>
      </c>
      <c r="B13" s="865">
        <v>29474</v>
      </c>
      <c r="C13" s="916" t="s">
        <v>1302</v>
      </c>
      <c r="D13" s="916"/>
      <c r="E13" s="563">
        <v>2</v>
      </c>
      <c r="F13" s="428">
        <v>0</v>
      </c>
      <c r="G13" s="539">
        <v>8</v>
      </c>
      <c r="I13" s="563">
        <v>1</v>
      </c>
      <c r="J13" s="541">
        <v>11</v>
      </c>
      <c r="K13" s="537">
        <f t="shared" si="0"/>
        <v>72.727272727272734</v>
      </c>
      <c r="L13" s="537">
        <f t="shared" si="1"/>
        <v>0</v>
      </c>
      <c r="M13" s="537">
        <f t="shared" si="2"/>
        <v>9.0909090909090917</v>
      </c>
      <c r="N13" s="540">
        <f t="shared" si="3"/>
        <v>81.818181818181827</v>
      </c>
      <c r="O13" s="536">
        <v>60</v>
      </c>
      <c r="P13" s="537"/>
      <c r="Q13" s="537">
        <v>11.4</v>
      </c>
      <c r="R13" s="538">
        <f t="shared" si="4"/>
        <v>71.400000000000006</v>
      </c>
      <c r="S13" s="563">
        <v>1</v>
      </c>
      <c r="T13" s="838"/>
      <c r="U13" s="836"/>
      <c r="V13" s="532" t="s">
        <v>1046</v>
      </c>
      <c r="W13" s="563" t="s">
        <v>22</v>
      </c>
      <c r="X13" s="563" t="s">
        <v>11</v>
      </c>
      <c r="Y13" s="533">
        <v>60</v>
      </c>
      <c r="Z13" s="563" t="s">
        <v>1048</v>
      </c>
      <c r="AA13" s="563" t="s">
        <v>20</v>
      </c>
      <c r="AB13" s="563" t="s">
        <v>12</v>
      </c>
      <c r="AC13" s="563">
        <v>11.4</v>
      </c>
      <c r="AD13" s="532"/>
      <c r="AG13" s="533"/>
      <c r="AL13" s="532"/>
      <c r="AO13" s="533"/>
      <c r="AP13" s="532"/>
      <c r="AS13" s="533"/>
      <c r="AW13" s="533"/>
      <c r="BA13" s="534"/>
    </row>
    <row r="14" spans="1:53" s="563" customFormat="1">
      <c r="A14" s="563">
        <v>1980</v>
      </c>
      <c r="B14" s="865">
        <v>29476</v>
      </c>
      <c r="C14" s="916" t="s">
        <v>1302</v>
      </c>
      <c r="D14" s="916"/>
      <c r="E14" s="563">
        <v>111</v>
      </c>
      <c r="F14" s="428">
        <v>0</v>
      </c>
      <c r="G14" s="539">
        <v>9</v>
      </c>
      <c r="J14" s="541">
        <v>11</v>
      </c>
      <c r="K14" s="537">
        <f t="shared" si="0"/>
        <v>81.818181818181827</v>
      </c>
      <c r="L14" s="537">
        <f t="shared" si="1"/>
        <v>0</v>
      </c>
      <c r="M14" s="537">
        <f t="shared" si="2"/>
        <v>0</v>
      </c>
      <c r="N14" s="540">
        <f t="shared" si="3"/>
        <v>81.818181818181827</v>
      </c>
      <c r="O14" s="536">
        <v>60</v>
      </c>
      <c r="P14" s="537"/>
      <c r="Q14" s="537"/>
      <c r="R14" s="538">
        <f t="shared" si="4"/>
        <v>60</v>
      </c>
      <c r="S14" s="563">
        <v>1</v>
      </c>
      <c r="T14" s="838"/>
      <c r="U14" s="836"/>
      <c r="V14" s="532" t="s">
        <v>1046</v>
      </c>
      <c r="W14" s="563" t="s">
        <v>22</v>
      </c>
      <c r="X14" s="563" t="s">
        <v>11</v>
      </c>
      <c r="Y14" s="533">
        <v>60</v>
      </c>
      <c r="AD14" s="532"/>
      <c r="AG14" s="533"/>
      <c r="AL14" s="532"/>
      <c r="AO14" s="533"/>
      <c r="AP14" s="532"/>
      <c r="AS14" s="533"/>
      <c r="AW14" s="533"/>
      <c r="BA14" s="534"/>
    </row>
    <row r="15" spans="1:53" s="551" customFormat="1">
      <c r="A15" s="551">
        <v>1981</v>
      </c>
      <c r="B15" s="836"/>
      <c r="C15" s="916" t="s">
        <v>1302</v>
      </c>
      <c r="D15" s="916"/>
      <c r="E15" s="551">
        <v>143</v>
      </c>
      <c r="G15" s="539">
        <v>1</v>
      </c>
      <c r="J15" s="541">
        <v>11</v>
      </c>
      <c r="K15" s="537">
        <f t="shared" si="0"/>
        <v>9.0909090909090917</v>
      </c>
      <c r="L15" s="537">
        <f t="shared" si="1"/>
        <v>0</v>
      </c>
      <c r="M15" s="537">
        <f t="shared" si="2"/>
        <v>0</v>
      </c>
      <c r="N15" s="540">
        <f t="shared" si="3"/>
        <v>9.0909090909090917</v>
      </c>
      <c r="O15" s="536">
        <v>60</v>
      </c>
      <c r="P15" s="537"/>
      <c r="Q15" s="537"/>
      <c r="R15" s="538">
        <f t="shared" si="4"/>
        <v>60</v>
      </c>
      <c r="S15" s="551">
        <v>1</v>
      </c>
      <c r="T15" s="838"/>
      <c r="U15" s="836"/>
      <c r="V15" s="532" t="s">
        <v>1046</v>
      </c>
      <c r="W15" s="551" t="s">
        <v>22</v>
      </c>
      <c r="X15" s="551" t="s">
        <v>11</v>
      </c>
      <c r="Y15" s="533">
        <v>60</v>
      </c>
      <c r="AD15" s="532"/>
      <c r="AG15" s="533"/>
      <c r="AL15" s="532"/>
      <c r="AO15" s="533"/>
      <c r="AP15" s="532"/>
      <c r="AS15" s="533"/>
      <c r="AW15" s="533"/>
      <c r="BA15" s="534"/>
    </row>
    <row r="16" spans="1:53" s="551" customFormat="1">
      <c r="A16" s="551">
        <v>1981</v>
      </c>
      <c r="B16" s="865"/>
      <c r="C16" s="916" t="s">
        <v>1302</v>
      </c>
      <c r="D16" s="916"/>
      <c r="E16" s="551">
        <v>222</v>
      </c>
      <c r="F16" s="428" t="s">
        <v>330</v>
      </c>
      <c r="G16" s="539">
        <v>1</v>
      </c>
      <c r="J16" s="541">
        <v>11</v>
      </c>
      <c r="K16" s="537">
        <f t="shared" si="0"/>
        <v>9.0909090909090917</v>
      </c>
      <c r="L16" s="537">
        <f t="shared" si="1"/>
        <v>0</v>
      </c>
      <c r="M16" s="537">
        <f t="shared" si="2"/>
        <v>0</v>
      </c>
      <c r="N16" s="540">
        <f t="shared" si="3"/>
        <v>9.0909090909090917</v>
      </c>
      <c r="O16" s="536">
        <v>22.9</v>
      </c>
      <c r="P16" s="537"/>
      <c r="Q16" s="537"/>
      <c r="R16" s="538">
        <f t="shared" si="4"/>
        <v>22.9</v>
      </c>
      <c r="S16" s="551">
        <v>1</v>
      </c>
      <c r="T16" s="838">
        <v>29730</v>
      </c>
      <c r="U16" s="836"/>
      <c r="V16" s="532" t="s">
        <v>1046</v>
      </c>
      <c r="W16" s="551" t="s">
        <v>22</v>
      </c>
      <c r="X16" s="551" t="s">
        <v>11</v>
      </c>
      <c r="Y16" s="533">
        <v>22.9</v>
      </c>
      <c r="AD16" s="532"/>
      <c r="AG16" s="533"/>
      <c r="AL16" s="532"/>
      <c r="AO16" s="533"/>
      <c r="AP16" s="532"/>
      <c r="AS16" s="533"/>
      <c r="AW16" s="533"/>
      <c r="BA16" s="534"/>
    </row>
    <row r="17" spans="1:53" s="551" customFormat="1">
      <c r="A17" s="551">
        <v>1982</v>
      </c>
      <c r="B17" s="836"/>
      <c r="C17" s="916" t="s">
        <v>1302</v>
      </c>
      <c r="D17" s="916"/>
      <c r="E17" s="551">
        <v>109</v>
      </c>
      <c r="G17" s="539">
        <v>1</v>
      </c>
      <c r="J17" s="541">
        <v>11</v>
      </c>
      <c r="K17" s="537">
        <f t="shared" si="0"/>
        <v>9.0909090909090917</v>
      </c>
      <c r="L17" s="537">
        <f t="shared" si="1"/>
        <v>0</v>
      </c>
      <c r="M17" s="537">
        <f t="shared" si="2"/>
        <v>0</v>
      </c>
      <c r="N17" s="540">
        <f t="shared" si="3"/>
        <v>9.0909090909090917</v>
      </c>
      <c r="O17" s="536">
        <v>22.9</v>
      </c>
      <c r="P17" s="537"/>
      <c r="Q17" s="537"/>
      <c r="R17" s="538">
        <f t="shared" si="4"/>
        <v>22.9</v>
      </c>
      <c r="S17" s="551">
        <v>1</v>
      </c>
      <c r="T17" s="838"/>
      <c r="U17" s="836"/>
      <c r="V17" s="532" t="s">
        <v>1046</v>
      </c>
      <c r="W17" s="551" t="s">
        <v>22</v>
      </c>
      <c r="X17" s="551" t="s">
        <v>11</v>
      </c>
      <c r="Y17" s="533">
        <v>22.9</v>
      </c>
      <c r="AD17" s="532"/>
      <c r="AG17" s="533"/>
      <c r="AL17" s="532"/>
      <c r="AO17" s="533"/>
      <c r="AP17" s="532"/>
      <c r="AS17" s="533"/>
      <c r="AW17" s="533"/>
      <c r="BA17" s="534"/>
    </row>
    <row r="18" spans="1:53" s="563" customFormat="1">
      <c r="A18" s="563">
        <v>1982</v>
      </c>
      <c r="B18" s="865">
        <v>30061</v>
      </c>
      <c r="C18" s="916" t="s">
        <v>1302</v>
      </c>
      <c r="D18" s="916"/>
      <c r="E18" s="563">
        <v>256</v>
      </c>
      <c r="F18" s="428">
        <v>0</v>
      </c>
      <c r="G18" s="539">
        <v>7</v>
      </c>
      <c r="J18" s="541">
        <v>11</v>
      </c>
      <c r="K18" s="537">
        <f t="shared" si="0"/>
        <v>63.636363636363633</v>
      </c>
      <c r="L18" s="537">
        <f t="shared" si="1"/>
        <v>0</v>
      </c>
      <c r="M18" s="537">
        <f t="shared" si="2"/>
        <v>0</v>
      </c>
      <c r="N18" s="540">
        <f t="shared" si="3"/>
        <v>63.636363636363633</v>
      </c>
      <c r="O18" s="536">
        <v>22.9</v>
      </c>
      <c r="P18" s="537"/>
      <c r="Q18" s="537"/>
      <c r="R18" s="538">
        <f t="shared" si="4"/>
        <v>22.9</v>
      </c>
      <c r="S18" s="563">
        <v>1</v>
      </c>
      <c r="T18" s="838"/>
      <c r="U18" s="836"/>
      <c r="V18" s="532" t="s">
        <v>1046</v>
      </c>
      <c r="W18" s="563" t="s">
        <v>22</v>
      </c>
      <c r="X18" s="563" t="s">
        <v>11</v>
      </c>
      <c r="Y18" s="533">
        <v>22.9</v>
      </c>
      <c r="AD18" s="532"/>
      <c r="AG18" s="533"/>
      <c r="AL18" s="532"/>
      <c r="AO18" s="533"/>
      <c r="AP18" s="532"/>
      <c r="AS18" s="533"/>
      <c r="AW18" s="533"/>
      <c r="BA18" s="534"/>
    </row>
    <row r="19" spans="1:53" s="551" customFormat="1">
      <c r="A19" s="551">
        <v>1983</v>
      </c>
      <c r="B19" s="836"/>
      <c r="C19" s="916" t="s">
        <v>1302</v>
      </c>
      <c r="D19" s="916"/>
      <c r="E19" s="551">
        <v>43</v>
      </c>
      <c r="G19" s="539">
        <v>7</v>
      </c>
      <c r="J19" s="541">
        <v>11</v>
      </c>
      <c r="K19" s="537">
        <f t="shared" si="0"/>
        <v>63.636363636363633</v>
      </c>
      <c r="L19" s="537">
        <f t="shared" si="1"/>
        <v>0</v>
      </c>
      <c r="M19" s="537">
        <f t="shared" si="2"/>
        <v>0</v>
      </c>
      <c r="N19" s="540">
        <f t="shared" si="3"/>
        <v>63.636363636363633</v>
      </c>
      <c r="O19" s="536">
        <v>22.9</v>
      </c>
      <c r="P19" s="537"/>
      <c r="Q19" s="537"/>
      <c r="R19" s="538">
        <f t="shared" si="4"/>
        <v>22.9</v>
      </c>
      <c r="S19" s="551">
        <v>1</v>
      </c>
      <c r="T19" s="838"/>
      <c r="U19" s="836"/>
      <c r="V19" s="532" t="s">
        <v>1046</v>
      </c>
      <c r="W19" s="551" t="s">
        <v>22</v>
      </c>
      <c r="X19" s="551" t="s">
        <v>11</v>
      </c>
      <c r="Y19" s="533">
        <v>22.9</v>
      </c>
      <c r="AD19" s="532"/>
      <c r="AG19" s="533"/>
      <c r="AL19" s="532"/>
      <c r="AO19" s="533"/>
      <c r="AP19" s="532"/>
      <c r="AS19" s="533"/>
      <c r="AW19" s="533"/>
      <c r="BA19" s="534"/>
    </row>
    <row r="20" spans="1:53" s="556" customFormat="1">
      <c r="A20" s="556">
        <v>1983</v>
      </c>
      <c r="B20" s="852">
        <v>30360</v>
      </c>
      <c r="C20" s="917" t="s">
        <v>1303</v>
      </c>
      <c r="D20" s="917"/>
      <c r="E20" s="556">
        <v>221</v>
      </c>
      <c r="G20" s="498">
        <v>7</v>
      </c>
      <c r="J20" s="500">
        <v>11</v>
      </c>
      <c r="K20" s="496">
        <f t="shared" si="0"/>
        <v>63.636363636363633</v>
      </c>
      <c r="L20" s="496">
        <f t="shared" si="1"/>
        <v>0</v>
      </c>
      <c r="M20" s="496">
        <f t="shared" si="2"/>
        <v>0</v>
      </c>
      <c r="N20" s="499">
        <f t="shared" si="3"/>
        <v>63.636363636363633</v>
      </c>
      <c r="O20" s="495">
        <v>22.9</v>
      </c>
      <c r="P20" s="496"/>
      <c r="Q20" s="496"/>
      <c r="R20" s="497">
        <f t="shared" si="4"/>
        <v>22.9</v>
      </c>
      <c r="S20" s="556">
        <v>1</v>
      </c>
      <c r="T20" s="839"/>
      <c r="U20" s="852">
        <v>30360</v>
      </c>
      <c r="V20" s="492" t="s">
        <v>1046</v>
      </c>
      <c r="W20" s="556" t="s">
        <v>22</v>
      </c>
      <c r="X20" s="556" t="s">
        <v>11</v>
      </c>
      <c r="Y20" s="493">
        <v>22.9</v>
      </c>
      <c r="AD20" s="492"/>
      <c r="AG20" s="493"/>
      <c r="AL20" s="492"/>
      <c r="AO20" s="493"/>
      <c r="AP20" s="492"/>
      <c r="AS20" s="493"/>
      <c r="AW20" s="493"/>
      <c r="BA20" s="494"/>
    </row>
    <row r="21" spans="1:53" s="562" customFormat="1">
      <c r="A21" s="562">
        <v>1983</v>
      </c>
      <c r="B21" s="860">
        <v>30581</v>
      </c>
      <c r="C21" s="917" t="s">
        <v>1303</v>
      </c>
      <c r="D21" s="917"/>
      <c r="E21" s="562">
        <v>101</v>
      </c>
      <c r="F21" s="502">
        <v>0</v>
      </c>
      <c r="G21" s="498">
        <v>6</v>
      </c>
      <c r="J21" s="500">
        <v>11</v>
      </c>
      <c r="K21" s="496">
        <f t="shared" si="0"/>
        <v>54.54545454545454</v>
      </c>
      <c r="L21" s="496">
        <f t="shared" si="1"/>
        <v>0</v>
      </c>
      <c r="M21" s="496">
        <f t="shared" si="2"/>
        <v>0</v>
      </c>
      <c r="N21" s="499">
        <f t="shared" si="3"/>
        <v>54.54545454545454</v>
      </c>
      <c r="O21" s="495">
        <v>22.9</v>
      </c>
      <c r="P21" s="496"/>
      <c r="Q21" s="496"/>
      <c r="R21" s="497">
        <f t="shared" si="4"/>
        <v>22.9</v>
      </c>
      <c r="S21" s="562">
        <v>1</v>
      </c>
      <c r="T21" s="839"/>
      <c r="U21" s="852"/>
      <c r="V21" s="492" t="s">
        <v>1046</v>
      </c>
      <c r="W21" s="562" t="s">
        <v>22</v>
      </c>
      <c r="X21" s="562" t="s">
        <v>11</v>
      </c>
      <c r="Y21" s="493">
        <v>22.9</v>
      </c>
      <c r="AD21" s="492"/>
      <c r="AG21" s="493"/>
      <c r="AL21" s="492"/>
      <c r="AO21" s="493"/>
      <c r="AP21" s="492"/>
      <c r="AS21" s="493"/>
      <c r="AW21" s="493"/>
      <c r="BA21" s="494"/>
    </row>
    <row r="22" spans="1:53" s="562" customFormat="1">
      <c r="A22" s="562">
        <v>1984</v>
      </c>
      <c r="B22" s="860"/>
      <c r="C22" s="917" t="s">
        <v>1303</v>
      </c>
      <c r="D22" s="917"/>
      <c r="E22" s="562">
        <v>0</v>
      </c>
      <c r="F22" s="502"/>
      <c r="G22" s="498">
        <v>6</v>
      </c>
      <c r="J22" s="500">
        <v>11</v>
      </c>
      <c r="K22" s="496">
        <f t="shared" si="0"/>
        <v>54.54545454545454</v>
      </c>
      <c r="L22" s="496">
        <f t="shared" si="1"/>
        <v>0</v>
      </c>
      <c r="M22" s="496">
        <f t="shared" si="2"/>
        <v>0</v>
      </c>
      <c r="N22" s="499">
        <f t="shared" si="3"/>
        <v>54.54545454545454</v>
      </c>
      <c r="O22" s="495">
        <v>22.9</v>
      </c>
      <c r="P22" s="496"/>
      <c r="Q22" s="496"/>
      <c r="R22" s="497">
        <f t="shared" si="4"/>
        <v>22.9</v>
      </c>
      <c r="S22" s="562">
        <v>1</v>
      </c>
      <c r="T22" s="839"/>
      <c r="U22" s="852"/>
      <c r="V22" s="492" t="s">
        <v>1046</v>
      </c>
      <c r="W22" s="562" t="s">
        <v>22</v>
      </c>
      <c r="X22" s="562" t="s">
        <v>11</v>
      </c>
      <c r="Y22" s="493">
        <v>22.9</v>
      </c>
      <c r="AD22" s="492"/>
      <c r="AG22" s="493"/>
      <c r="AL22" s="492"/>
      <c r="AO22" s="493"/>
      <c r="AP22" s="492"/>
      <c r="AS22" s="493"/>
      <c r="AW22" s="493"/>
      <c r="BA22" s="494"/>
    </row>
    <row r="23" spans="1:53" s="562" customFormat="1">
      <c r="A23" s="562">
        <v>1984</v>
      </c>
      <c r="B23" s="860"/>
      <c r="C23" s="917" t="s">
        <v>1303</v>
      </c>
      <c r="D23" s="917"/>
      <c r="E23" s="562">
        <v>366</v>
      </c>
      <c r="F23" s="502"/>
      <c r="G23" s="498">
        <v>6</v>
      </c>
      <c r="J23" s="500">
        <v>11</v>
      </c>
      <c r="K23" s="496">
        <f t="shared" si="0"/>
        <v>54.54545454545454</v>
      </c>
      <c r="L23" s="496">
        <f t="shared" si="1"/>
        <v>0</v>
      </c>
      <c r="M23" s="496">
        <f t="shared" si="2"/>
        <v>0</v>
      </c>
      <c r="N23" s="499">
        <f t="shared" si="3"/>
        <v>54.54545454545454</v>
      </c>
      <c r="O23" s="495">
        <v>22.9</v>
      </c>
      <c r="P23" s="496"/>
      <c r="Q23" s="496"/>
      <c r="R23" s="497">
        <f t="shared" si="4"/>
        <v>22.9</v>
      </c>
      <c r="S23" s="562">
        <v>1</v>
      </c>
      <c r="T23" s="839"/>
      <c r="U23" s="852"/>
      <c r="V23" s="492" t="s">
        <v>1046</v>
      </c>
      <c r="W23" s="562" t="s">
        <v>22</v>
      </c>
      <c r="X23" s="562" t="s">
        <v>11</v>
      </c>
      <c r="Y23" s="493">
        <v>22.9</v>
      </c>
      <c r="AD23" s="492"/>
      <c r="AG23" s="493"/>
      <c r="AL23" s="492"/>
      <c r="AO23" s="493"/>
      <c r="AP23" s="492"/>
      <c r="AS23" s="493"/>
      <c r="AW23" s="493"/>
      <c r="BA23" s="494"/>
    </row>
    <row r="24" spans="1:53" s="562" customFormat="1">
      <c r="A24" s="562">
        <v>1985</v>
      </c>
      <c r="B24" s="852"/>
      <c r="C24" s="917" t="s">
        <v>1303</v>
      </c>
      <c r="D24" s="917"/>
      <c r="E24" s="562">
        <v>6</v>
      </c>
      <c r="F24" s="502"/>
      <c r="G24" s="498">
        <v>6</v>
      </c>
      <c r="J24" s="500">
        <v>11</v>
      </c>
      <c r="K24" s="496">
        <f t="shared" si="0"/>
        <v>54.54545454545454</v>
      </c>
      <c r="L24" s="496">
        <f t="shared" si="1"/>
        <v>0</v>
      </c>
      <c r="M24" s="496">
        <f t="shared" si="2"/>
        <v>0</v>
      </c>
      <c r="N24" s="499">
        <f t="shared" si="3"/>
        <v>54.54545454545454</v>
      </c>
      <c r="O24" s="495">
        <v>22.9</v>
      </c>
      <c r="P24" s="496"/>
      <c r="Q24" s="496"/>
      <c r="R24" s="497">
        <f t="shared" si="4"/>
        <v>22.9</v>
      </c>
      <c r="S24" s="562">
        <v>1</v>
      </c>
      <c r="T24" s="839"/>
      <c r="U24" s="852"/>
      <c r="V24" s="492" t="s">
        <v>1046</v>
      </c>
      <c r="W24" s="562" t="s">
        <v>22</v>
      </c>
      <c r="X24" s="562" t="s">
        <v>11</v>
      </c>
      <c r="Y24" s="493">
        <v>22.9</v>
      </c>
      <c r="AD24" s="492"/>
      <c r="AG24" s="493"/>
      <c r="AL24" s="492"/>
      <c r="AO24" s="493"/>
      <c r="AP24" s="492"/>
      <c r="AS24" s="493"/>
      <c r="AW24" s="493"/>
      <c r="BA24" s="494"/>
    </row>
    <row r="25" spans="1:53" s="562" customFormat="1">
      <c r="A25" s="562">
        <v>1985</v>
      </c>
      <c r="B25" s="860">
        <v>31054</v>
      </c>
      <c r="C25" s="917" t="s">
        <v>1303</v>
      </c>
      <c r="D25" s="917"/>
      <c r="E25" s="562">
        <v>206</v>
      </c>
      <c r="F25" s="502">
        <v>0</v>
      </c>
      <c r="G25" s="498">
        <v>8</v>
      </c>
      <c r="J25" s="500">
        <v>12</v>
      </c>
      <c r="K25" s="496">
        <f t="shared" si="0"/>
        <v>66.666666666666657</v>
      </c>
      <c r="L25" s="496">
        <f t="shared" si="1"/>
        <v>0</v>
      </c>
      <c r="M25" s="496">
        <f t="shared" si="2"/>
        <v>0</v>
      </c>
      <c r="N25" s="499">
        <f t="shared" si="3"/>
        <v>66.666666666666657</v>
      </c>
      <c r="O25" s="495">
        <v>57.2</v>
      </c>
      <c r="P25" s="496"/>
      <c r="Q25" s="496"/>
      <c r="R25" s="497">
        <f t="shared" si="4"/>
        <v>57.2</v>
      </c>
      <c r="S25" s="562">
        <v>1</v>
      </c>
      <c r="T25" s="839"/>
      <c r="U25" s="852"/>
      <c r="V25" s="492" t="s">
        <v>1046</v>
      </c>
      <c r="W25" s="562" t="s">
        <v>22</v>
      </c>
      <c r="X25" s="562" t="s">
        <v>11</v>
      </c>
      <c r="Y25" s="493">
        <v>22.9</v>
      </c>
      <c r="Z25" s="492" t="s">
        <v>1045</v>
      </c>
      <c r="AA25" s="562" t="s">
        <v>74</v>
      </c>
      <c r="AB25" s="562" t="s">
        <v>11</v>
      </c>
      <c r="AC25" s="562">
        <v>34.299999999999997</v>
      </c>
      <c r="AD25" s="492"/>
      <c r="AG25" s="493"/>
      <c r="AL25" s="492"/>
      <c r="AO25" s="493"/>
      <c r="AP25" s="492"/>
      <c r="AS25" s="493"/>
      <c r="AW25" s="493"/>
      <c r="BA25" s="494"/>
    </row>
    <row r="26" spans="1:53" s="562" customFormat="1">
      <c r="A26" s="562">
        <v>1985</v>
      </c>
      <c r="B26" s="860">
        <v>31260</v>
      </c>
      <c r="C26" s="917" t="s">
        <v>1303</v>
      </c>
      <c r="D26" s="917"/>
      <c r="E26" s="562">
        <v>129</v>
      </c>
      <c r="F26" s="502">
        <v>0</v>
      </c>
      <c r="G26" s="498">
        <v>8</v>
      </c>
      <c r="J26" s="500">
        <v>12</v>
      </c>
      <c r="K26" s="496">
        <f t="shared" si="0"/>
        <v>66.666666666666657</v>
      </c>
      <c r="L26" s="496">
        <f t="shared" si="1"/>
        <v>0</v>
      </c>
      <c r="M26" s="496">
        <f t="shared" si="2"/>
        <v>0</v>
      </c>
      <c r="N26" s="499">
        <f t="shared" si="3"/>
        <v>66.666666666666657</v>
      </c>
      <c r="O26" s="495">
        <v>57.2</v>
      </c>
      <c r="P26" s="496"/>
      <c r="Q26" s="496"/>
      <c r="R26" s="497">
        <f t="shared" si="4"/>
        <v>57.2</v>
      </c>
      <c r="S26" s="562">
        <v>1</v>
      </c>
      <c r="T26" s="839"/>
      <c r="U26" s="852"/>
      <c r="V26" s="492" t="s">
        <v>1046</v>
      </c>
      <c r="W26" s="562" t="s">
        <v>22</v>
      </c>
      <c r="X26" s="562" t="s">
        <v>11</v>
      </c>
      <c r="Y26" s="493">
        <v>22.9</v>
      </c>
      <c r="Z26" s="492" t="s">
        <v>1045</v>
      </c>
      <c r="AA26" s="562" t="s">
        <v>74</v>
      </c>
      <c r="AB26" s="562" t="s">
        <v>11</v>
      </c>
      <c r="AC26" s="562">
        <v>34.299999999999997</v>
      </c>
      <c r="AD26" s="492"/>
      <c r="AG26" s="493"/>
      <c r="AL26" s="492"/>
      <c r="AO26" s="493"/>
      <c r="AP26" s="492"/>
      <c r="AS26" s="493"/>
      <c r="AW26" s="493"/>
      <c r="BA26" s="494"/>
    </row>
    <row r="27" spans="1:53" s="556" customFormat="1">
      <c r="A27" s="556">
        <v>1985</v>
      </c>
      <c r="B27" s="860">
        <v>31389</v>
      </c>
      <c r="C27" s="917" t="s">
        <v>1303</v>
      </c>
      <c r="D27" s="917"/>
      <c r="E27" s="556">
        <v>24</v>
      </c>
      <c r="F27" s="502" t="s">
        <v>330</v>
      </c>
      <c r="G27" s="498">
        <v>8</v>
      </c>
      <c r="J27" s="500">
        <v>12</v>
      </c>
      <c r="K27" s="496">
        <f t="shared" si="0"/>
        <v>66.666666666666657</v>
      </c>
      <c r="L27" s="496">
        <f t="shared" si="1"/>
        <v>0</v>
      </c>
      <c r="M27" s="496">
        <f t="shared" si="2"/>
        <v>0</v>
      </c>
      <c r="N27" s="499">
        <f t="shared" si="3"/>
        <v>66.666666666666657</v>
      </c>
      <c r="O27" s="495">
        <v>62.5</v>
      </c>
      <c r="P27" s="496"/>
      <c r="Q27" s="496"/>
      <c r="R27" s="497">
        <f t="shared" si="4"/>
        <v>62.5</v>
      </c>
      <c r="S27" s="556">
        <v>1</v>
      </c>
      <c r="T27" s="839">
        <v>31389</v>
      </c>
      <c r="U27" s="852"/>
      <c r="V27" s="492" t="s">
        <v>1046</v>
      </c>
      <c r="W27" s="556" t="s">
        <v>22</v>
      </c>
      <c r="X27" s="556" t="s">
        <v>11</v>
      </c>
      <c r="Y27" s="493">
        <v>28.6</v>
      </c>
      <c r="Z27" s="492" t="s">
        <v>1045</v>
      </c>
      <c r="AA27" s="562" t="s">
        <v>74</v>
      </c>
      <c r="AB27" s="562" t="s">
        <v>11</v>
      </c>
      <c r="AC27" s="562">
        <v>33.9</v>
      </c>
      <c r="AD27" s="492"/>
      <c r="AG27" s="493"/>
      <c r="AL27" s="492"/>
      <c r="AO27" s="493"/>
      <c r="AP27" s="492"/>
      <c r="AS27" s="493"/>
      <c r="AW27" s="493"/>
      <c r="BA27" s="494"/>
    </row>
    <row r="28" spans="1:53" s="556" customFormat="1">
      <c r="A28" s="101">
        <v>1986</v>
      </c>
      <c r="B28" s="852"/>
      <c r="C28" s="917" t="s">
        <v>1303</v>
      </c>
      <c r="D28" s="917"/>
      <c r="E28" s="556">
        <v>0</v>
      </c>
      <c r="G28" s="498">
        <v>8</v>
      </c>
      <c r="J28" s="500">
        <v>12</v>
      </c>
      <c r="K28" s="496">
        <f t="shared" si="0"/>
        <v>66.666666666666657</v>
      </c>
      <c r="L28" s="496">
        <f t="shared" si="1"/>
        <v>0</v>
      </c>
      <c r="M28" s="496">
        <f t="shared" si="2"/>
        <v>0</v>
      </c>
      <c r="N28" s="499">
        <f t="shared" si="3"/>
        <v>66.666666666666657</v>
      </c>
      <c r="O28" s="495">
        <v>62.5</v>
      </c>
      <c r="P28" s="496"/>
      <c r="Q28" s="496"/>
      <c r="R28" s="497">
        <f t="shared" si="4"/>
        <v>62.5</v>
      </c>
      <c r="S28" s="556">
        <v>1</v>
      </c>
      <c r="T28" s="839"/>
      <c r="U28" s="852"/>
      <c r="V28" s="492" t="s">
        <v>1046</v>
      </c>
      <c r="W28" s="556" t="s">
        <v>22</v>
      </c>
      <c r="X28" s="556" t="s">
        <v>11</v>
      </c>
      <c r="Y28" s="493">
        <v>28.6</v>
      </c>
      <c r="Z28" s="492" t="s">
        <v>1045</v>
      </c>
      <c r="AA28" s="562" t="s">
        <v>74</v>
      </c>
      <c r="AB28" s="562" t="s">
        <v>11</v>
      </c>
      <c r="AC28" s="562">
        <v>33.9</v>
      </c>
      <c r="AD28" s="492"/>
      <c r="AG28" s="493"/>
      <c r="AL28" s="492"/>
      <c r="AO28" s="493"/>
      <c r="AP28" s="492"/>
      <c r="AS28" s="493"/>
      <c r="AW28" s="493"/>
      <c r="BA28" s="494"/>
    </row>
    <row r="29" spans="1:53" s="556" customFormat="1">
      <c r="A29" s="101">
        <v>1986</v>
      </c>
      <c r="B29" s="852"/>
      <c r="C29" s="917" t="s">
        <v>1303</v>
      </c>
      <c r="D29" s="917"/>
      <c r="E29" s="556">
        <v>365</v>
      </c>
      <c r="G29" s="498">
        <v>8</v>
      </c>
      <c r="J29" s="500">
        <v>12</v>
      </c>
      <c r="K29" s="496">
        <f t="shared" si="0"/>
        <v>66.666666666666657</v>
      </c>
      <c r="L29" s="496">
        <f t="shared" si="1"/>
        <v>0</v>
      </c>
      <c r="M29" s="496">
        <f t="shared" si="2"/>
        <v>0</v>
      </c>
      <c r="N29" s="499">
        <f t="shared" si="3"/>
        <v>66.666666666666657</v>
      </c>
      <c r="O29" s="495">
        <v>62.5</v>
      </c>
      <c r="P29" s="496"/>
      <c r="Q29" s="496"/>
      <c r="R29" s="497">
        <f t="shared" si="4"/>
        <v>62.5</v>
      </c>
      <c r="S29" s="556">
        <v>1</v>
      </c>
      <c r="T29" s="839"/>
      <c r="U29" s="852"/>
      <c r="V29" s="492" t="s">
        <v>1046</v>
      </c>
      <c r="W29" s="556" t="s">
        <v>22</v>
      </c>
      <c r="X29" s="556" t="s">
        <v>11</v>
      </c>
      <c r="Y29" s="493">
        <v>28.6</v>
      </c>
      <c r="Z29" s="492" t="s">
        <v>1045</v>
      </c>
      <c r="AA29" s="562" t="s">
        <v>74</v>
      </c>
      <c r="AB29" s="562" t="s">
        <v>11</v>
      </c>
      <c r="AC29" s="562">
        <v>33.9</v>
      </c>
      <c r="AD29" s="492"/>
      <c r="AG29" s="493"/>
      <c r="AL29" s="492"/>
      <c r="AO29" s="493"/>
      <c r="AP29" s="492"/>
      <c r="AS29" s="493"/>
      <c r="AW29" s="493"/>
      <c r="BA29" s="494"/>
    </row>
    <row r="30" spans="1:53" s="556" customFormat="1">
      <c r="A30" s="101">
        <v>1987</v>
      </c>
      <c r="B30" s="852"/>
      <c r="C30" s="917" t="s">
        <v>1303</v>
      </c>
      <c r="D30" s="917"/>
      <c r="E30" s="556">
        <v>0</v>
      </c>
      <c r="G30" s="498">
        <v>8</v>
      </c>
      <c r="J30" s="500">
        <v>12</v>
      </c>
      <c r="K30" s="496">
        <f t="shared" si="0"/>
        <v>66.666666666666657</v>
      </c>
      <c r="L30" s="496">
        <f t="shared" si="1"/>
        <v>0</v>
      </c>
      <c r="M30" s="496">
        <f t="shared" si="2"/>
        <v>0</v>
      </c>
      <c r="N30" s="499">
        <f t="shared" si="3"/>
        <v>66.666666666666657</v>
      </c>
      <c r="O30" s="495">
        <v>62.5</v>
      </c>
      <c r="P30" s="496"/>
      <c r="Q30" s="496"/>
      <c r="R30" s="497">
        <f t="shared" si="4"/>
        <v>62.5</v>
      </c>
      <c r="S30" s="556">
        <v>1</v>
      </c>
      <c r="T30" s="839"/>
      <c r="U30" s="852"/>
      <c r="V30" s="492" t="s">
        <v>1046</v>
      </c>
      <c r="W30" s="556" t="s">
        <v>22</v>
      </c>
      <c r="X30" s="556" t="s">
        <v>11</v>
      </c>
      <c r="Y30" s="493">
        <v>28.6</v>
      </c>
      <c r="Z30" s="492" t="s">
        <v>1045</v>
      </c>
      <c r="AA30" s="562" t="s">
        <v>74</v>
      </c>
      <c r="AB30" s="562" t="s">
        <v>11</v>
      </c>
      <c r="AC30" s="562">
        <v>33.9</v>
      </c>
      <c r="AD30" s="492"/>
      <c r="AG30" s="493"/>
      <c r="AL30" s="492"/>
      <c r="AO30" s="493"/>
      <c r="AP30" s="492"/>
      <c r="AS30" s="493"/>
      <c r="AW30" s="493"/>
      <c r="BA30" s="494"/>
    </row>
    <row r="31" spans="1:53" s="556" customFormat="1">
      <c r="A31" s="101">
        <v>1987</v>
      </c>
      <c r="B31" s="852"/>
      <c r="C31" s="917" t="s">
        <v>1303</v>
      </c>
      <c r="D31" s="917"/>
      <c r="E31" s="556">
        <v>365</v>
      </c>
      <c r="G31" s="498">
        <v>8</v>
      </c>
      <c r="J31" s="500">
        <v>12</v>
      </c>
      <c r="K31" s="496">
        <f t="shared" si="0"/>
        <v>66.666666666666657</v>
      </c>
      <c r="L31" s="496">
        <f t="shared" si="1"/>
        <v>0</v>
      </c>
      <c r="M31" s="496">
        <f t="shared" si="2"/>
        <v>0</v>
      </c>
      <c r="N31" s="499">
        <f t="shared" si="3"/>
        <v>66.666666666666657</v>
      </c>
      <c r="O31" s="495">
        <v>62.5</v>
      </c>
      <c r="P31" s="496"/>
      <c r="Q31" s="496"/>
      <c r="R31" s="497">
        <f t="shared" si="4"/>
        <v>62.5</v>
      </c>
      <c r="S31" s="556">
        <v>1</v>
      </c>
      <c r="T31" s="839"/>
      <c r="U31" s="852"/>
      <c r="V31" s="492" t="s">
        <v>1046</v>
      </c>
      <c r="W31" s="556" t="s">
        <v>22</v>
      </c>
      <c r="X31" s="556" t="s">
        <v>11</v>
      </c>
      <c r="Y31" s="493">
        <v>28.6</v>
      </c>
      <c r="Z31" s="492" t="s">
        <v>1045</v>
      </c>
      <c r="AA31" s="562" t="s">
        <v>74</v>
      </c>
      <c r="AB31" s="562" t="s">
        <v>11</v>
      </c>
      <c r="AC31" s="562">
        <v>33.9</v>
      </c>
      <c r="AD31" s="492"/>
      <c r="AG31" s="493"/>
      <c r="AL31" s="492"/>
      <c r="AO31" s="493"/>
      <c r="AP31" s="492"/>
      <c r="AS31" s="493"/>
      <c r="AW31" s="493"/>
      <c r="BA31" s="494"/>
    </row>
    <row r="32" spans="1:53" s="556" customFormat="1">
      <c r="A32" s="101">
        <v>1988</v>
      </c>
      <c r="B32" s="852"/>
      <c r="C32" s="917" t="s">
        <v>1303</v>
      </c>
      <c r="D32" s="917"/>
      <c r="E32" s="556">
        <v>58</v>
      </c>
      <c r="G32" s="498">
        <v>8</v>
      </c>
      <c r="J32" s="500">
        <v>12</v>
      </c>
      <c r="K32" s="496">
        <f t="shared" si="0"/>
        <v>66.666666666666657</v>
      </c>
      <c r="L32" s="496">
        <f t="shared" si="1"/>
        <v>0</v>
      </c>
      <c r="M32" s="496">
        <f t="shared" si="2"/>
        <v>0</v>
      </c>
      <c r="N32" s="499">
        <f t="shared" si="3"/>
        <v>66.666666666666657</v>
      </c>
      <c r="O32" s="495">
        <v>62.5</v>
      </c>
      <c r="P32" s="496"/>
      <c r="Q32" s="496"/>
      <c r="R32" s="497">
        <f t="shared" si="4"/>
        <v>62.5</v>
      </c>
      <c r="S32" s="556">
        <v>1</v>
      </c>
      <c r="T32" s="839"/>
      <c r="U32" s="852"/>
      <c r="V32" s="492" t="s">
        <v>1046</v>
      </c>
      <c r="W32" s="556" t="s">
        <v>22</v>
      </c>
      <c r="X32" s="556" t="s">
        <v>11</v>
      </c>
      <c r="Y32" s="493">
        <v>28.6</v>
      </c>
      <c r="Z32" s="492" t="s">
        <v>1045</v>
      </c>
      <c r="AA32" s="562" t="s">
        <v>74</v>
      </c>
      <c r="AB32" s="562" t="s">
        <v>11</v>
      </c>
      <c r="AC32" s="562">
        <v>33.9</v>
      </c>
      <c r="AD32" s="492"/>
      <c r="AG32" s="493"/>
      <c r="AL32" s="492"/>
      <c r="AO32" s="493"/>
      <c r="AP32" s="492"/>
      <c r="AS32" s="493"/>
      <c r="AW32" s="493"/>
      <c r="BA32" s="494"/>
    </row>
    <row r="33" spans="1:53" s="542" customFormat="1">
      <c r="A33" s="542">
        <v>1988</v>
      </c>
      <c r="B33" s="836">
        <v>32201</v>
      </c>
      <c r="C33" s="916" t="s">
        <v>1049</v>
      </c>
      <c r="D33" s="916"/>
      <c r="E33" s="542">
        <v>308</v>
      </c>
      <c r="F33" s="542">
        <v>1</v>
      </c>
      <c r="G33" s="539">
        <v>0</v>
      </c>
      <c r="H33" s="542">
        <v>0</v>
      </c>
      <c r="I33" s="542">
        <v>0</v>
      </c>
      <c r="J33" s="541">
        <v>12</v>
      </c>
      <c r="K33" s="537">
        <f t="shared" si="0"/>
        <v>0</v>
      </c>
      <c r="L33" s="537">
        <f t="shared" si="1"/>
        <v>0</v>
      </c>
      <c r="M33" s="537">
        <f t="shared" si="2"/>
        <v>0</v>
      </c>
      <c r="N33" s="540">
        <f t="shared" si="3"/>
        <v>0</v>
      </c>
      <c r="O33" s="536">
        <v>0</v>
      </c>
      <c r="P33" s="537">
        <v>0</v>
      </c>
      <c r="Q33" s="537">
        <v>0</v>
      </c>
      <c r="R33" s="538">
        <f t="shared" si="4"/>
        <v>0</v>
      </c>
      <c r="S33" s="551">
        <v>1</v>
      </c>
      <c r="T33" s="838"/>
      <c r="U33" s="836">
        <v>32201</v>
      </c>
      <c r="V33" s="940" t="s">
        <v>1316</v>
      </c>
      <c r="W33" s="941"/>
      <c r="X33" s="941"/>
      <c r="Y33" s="942"/>
      <c r="Z33" s="557"/>
      <c r="AA33" s="557"/>
      <c r="AB33" s="557"/>
      <c r="AC33" s="557"/>
      <c r="AD33" s="532"/>
      <c r="AG33" s="533"/>
      <c r="AL33" s="532"/>
      <c r="AO33" s="533"/>
      <c r="AP33" s="532"/>
      <c r="AS33" s="533"/>
      <c r="AW33" s="533"/>
      <c r="BA33" s="534"/>
    </row>
    <row r="34" spans="1:53" s="542" customFormat="1">
      <c r="A34" s="542">
        <v>1989</v>
      </c>
      <c r="B34" s="836"/>
      <c r="C34" s="916" t="s">
        <v>1049</v>
      </c>
      <c r="D34" s="916"/>
      <c r="E34" s="542">
        <v>0</v>
      </c>
      <c r="G34" s="539">
        <v>0</v>
      </c>
      <c r="H34" s="563">
        <v>0</v>
      </c>
      <c r="I34" s="563">
        <v>0</v>
      </c>
      <c r="J34" s="541">
        <v>12</v>
      </c>
      <c r="K34" s="537">
        <f t="shared" si="0"/>
        <v>0</v>
      </c>
      <c r="L34" s="537">
        <f t="shared" si="1"/>
        <v>0</v>
      </c>
      <c r="M34" s="537">
        <f t="shared" si="2"/>
        <v>0</v>
      </c>
      <c r="N34" s="540">
        <f t="shared" si="3"/>
        <v>0</v>
      </c>
      <c r="O34" s="536">
        <v>0</v>
      </c>
      <c r="P34" s="537">
        <v>0</v>
      </c>
      <c r="Q34" s="537">
        <v>0</v>
      </c>
      <c r="R34" s="538">
        <f t="shared" si="4"/>
        <v>0</v>
      </c>
      <c r="S34" s="551">
        <v>1</v>
      </c>
      <c r="T34" s="838"/>
      <c r="U34" s="836"/>
      <c r="V34" s="940" t="s">
        <v>1316</v>
      </c>
      <c r="W34" s="941"/>
      <c r="X34" s="941"/>
      <c r="Y34" s="942"/>
      <c r="Z34" s="557"/>
      <c r="AA34" s="557"/>
      <c r="AB34" s="557"/>
      <c r="AC34" s="557"/>
      <c r="AD34" s="532"/>
      <c r="AG34" s="533"/>
      <c r="AL34" s="532"/>
      <c r="AO34" s="533"/>
      <c r="AP34" s="532"/>
      <c r="AS34" s="533"/>
      <c r="AW34" s="533"/>
      <c r="BA34" s="534"/>
    </row>
    <row r="35" spans="1:53" s="542" customFormat="1">
      <c r="A35" s="542">
        <v>1989</v>
      </c>
      <c r="B35" s="836"/>
      <c r="C35" s="916" t="s">
        <v>1049</v>
      </c>
      <c r="D35" s="916"/>
      <c r="E35" s="542">
        <v>365</v>
      </c>
      <c r="G35" s="539">
        <v>0</v>
      </c>
      <c r="H35" s="563">
        <v>0</v>
      </c>
      <c r="I35" s="563">
        <v>0</v>
      </c>
      <c r="J35" s="541">
        <v>12</v>
      </c>
      <c r="K35" s="537">
        <f t="shared" si="0"/>
        <v>0</v>
      </c>
      <c r="L35" s="537">
        <f t="shared" si="1"/>
        <v>0</v>
      </c>
      <c r="M35" s="537">
        <f t="shared" si="2"/>
        <v>0</v>
      </c>
      <c r="N35" s="540">
        <f t="shared" si="3"/>
        <v>0</v>
      </c>
      <c r="O35" s="536">
        <v>0</v>
      </c>
      <c r="P35" s="537">
        <v>0</v>
      </c>
      <c r="Q35" s="537">
        <v>0</v>
      </c>
      <c r="R35" s="538">
        <f t="shared" si="4"/>
        <v>0</v>
      </c>
      <c r="S35" s="551">
        <v>1</v>
      </c>
      <c r="T35" s="838"/>
      <c r="U35" s="836"/>
      <c r="V35" s="940" t="s">
        <v>1316</v>
      </c>
      <c r="W35" s="941"/>
      <c r="X35" s="941"/>
      <c r="Y35" s="942"/>
      <c r="Z35" s="557"/>
      <c r="AA35" s="557"/>
      <c r="AB35" s="557"/>
      <c r="AC35" s="557"/>
      <c r="AD35" s="532"/>
      <c r="AG35" s="533"/>
      <c r="AL35" s="532"/>
      <c r="AO35" s="533"/>
      <c r="AP35" s="532"/>
      <c r="AS35" s="533"/>
      <c r="AW35" s="533"/>
      <c r="BA35" s="534"/>
    </row>
    <row r="36" spans="1:53" s="542" customFormat="1">
      <c r="A36" s="542">
        <v>1990</v>
      </c>
      <c r="B36" s="836"/>
      <c r="C36" s="916" t="s">
        <v>1049</v>
      </c>
      <c r="D36" s="916"/>
      <c r="E36" s="542">
        <v>0</v>
      </c>
      <c r="G36" s="539">
        <v>0</v>
      </c>
      <c r="H36" s="542">
        <v>0</v>
      </c>
      <c r="I36" s="542">
        <v>0</v>
      </c>
      <c r="J36" s="541">
        <v>12</v>
      </c>
      <c r="K36" s="537">
        <f t="shared" ref="K36:K38" si="5">G36/J36*100</f>
        <v>0</v>
      </c>
      <c r="L36" s="537">
        <f t="shared" ref="L36:L38" si="6">H36/J36*100</f>
        <v>0</v>
      </c>
      <c r="M36" s="537">
        <f t="shared" ref="M36:M38" si="7">I36/J36*100</f>
        <v>0</v>
      </c>
      <c r="N36" s="540">
        <f>SUM(K36:M36)</f>
        <v>0</v>
      </c>
      <c r="O36" s="536">
        <v>0</v>
      </c>
      <c r="P36" s="537">
        <v>0</v>
      </c>
      <c r="Q36" s="537">
        <v>0</v>
      </c>
      <c r="R36" s="538">
        <f>SUM(O36:Q36)</f>
        <v>0</v>
      </c>
      <c r="S36" s="542">
        <v>1</v>
      </c>
      <c r="T36" s="838"/>
      <c r="U36" s="836"/>
      <c r="V36" s="940" t="s">
        <v>1316</v>
      </c>
      <c r="W36" s="941"/>
      <c r="X36" s="941"/>
      <c r="Y36" s="942"/>
      <c r="AD36" s="532"/>
      <c r="AG36" s="533"/>
      <c r="AL36" s="532"/>
      <c r="AO36" s="533"/>
      <c r="AP36" s="532"/>
      <c r="AS36" s="533"/>
      <c r="AW36" s="533"/>
      <c r="BA36" s="534"/>
    </row>
    <row r="37" spans="1:53" s="542" customFormat="1">
      <c r="A37" s="542">
        <v>1990</v>
      </c>
      <c r="B37" s="865"/>
      <c r="C37" s="916" t="s">
        <v>1049</v>
      </c>
      <c r="D37" s="916"/>
      <c r="E37" s="542">
        <f>365-E36</f>
        <v>365</v>
      </c>
      <c r="F37" s="428"/>
      <c r="G37" s="539">
        <v>0</v>
      </c>
      <c r="H37" s="563">
        <v>0</v>
      </c>
      <c r="I37" s="563">
        <v>0</v>
      </c>
      <c r="J37" s="541">
        <v>12</v>
      </c>
      <c r="K37" s="537">
        <f t="shared" si="5"/>
        <v>0</v>
      </c>
      <c r="L37" s="537">
        <f t="shared" si="6"/>
        <v>0</v>
      </c>
      <c r="M37" s="537">
        <f t="shared" si="7"/>
        <v>0</v>
      </c>
      <c r="N37" s="540">
        <f>SUM(K37:M37)</f>
        <v>0</v>
      </c>
      <c r="O37" s="536">
        <v>0</v>
      </c>
      <c r="P37" s="537">
        <v>0</v>
      </c>
      <c r="Q37" s="537">
        <v>0</v>
      </c>
      <c r="R37" s="538">
        <f t="shared" ref="R37:R86" si="8">SUM(O37:Q37)</f>
        <v>0</v>
      </c>
      <c r="S37" s="542">
        <v>1</v>
      </c>
      <c r="T37" s="838"/>
      <c r="U37" s="836"/>
      <c r="V37" s="940" t="s">
        <v>1316</v>
      </c>
      <c r="W37" s="941"/>
      <c r="X37" s="941"/>
      <c r="Y37" s="942"/>
      <c r="AD37" s="532"/>
      <c r="AG37" s="533"/>
      <c r="AL37" s="532"/>
      <c r="AO37" s="533"/>
      <c r="AP37" s="532"/>
      <c r="AS37" s="533"/>
      <c r="AW37" s="533"/>
      <c r="BA37" s="534"/>
    </row>
    <row r="38" spans="1:53" s="542" customFormat="1">
      <c r="A38" s="542">
        <v>1991</v>
      </c>
      <c r="B38" s="865"/>
      <c r="C38" s="916" t="s">
        <v>1049</v>
      </c>
      <c r="D38" s="916"/>
      <c r="E38" s="542">
        <v>138</v>
      </c>
      <c r="F38" s="428"/>
      <c r="G38" s="539">
        <v>0</v>
      </c>
      <c r="H38" s="563">
        <v>0</v>
      </c>
      <c r="I38" s="563">
        <v>0</v>
      </c>
      <c r="J38" s="541">
        <v>12</v>
      </c>
      <c r="K38" s="537">
        <f t="shared" si="5"/>
        <v>0</v>
      </c>
      <c r="L38" s="537">
        <f t="shared" si="6"/>
        <v>0</v>
      </c>
      <c r="M38" s="537">
        <f t="shared" si="7"/>
        <v>0</v>
      </c>
      <c r="N38" s="540">
        <f t="shared" ref="N38:N87" si="9">SUM(K38:M38)</f>
        <v>0</v>
      </c>
      <c r="O38" s="536">
        <v>0</v>
      </c>
      <c r="P38" s="537">
        <v>0</v>
      </c>
      <c r="Q38" s="537">
        <v>0</v>
      </c>
      <c r="R38" s="538">
        <f t="shared" si="8"/>
        <v>0</v>
      </c>
      <c r="S38" s="542">
        <v>1</v>
      </c>
      <c r="T38" s="838"/>
      <c r="U38" s="836"/>
      <c r="V38" s="940" t="s">
        <v>1316</v>
      </c>
      <c r="W38" s="941"/>
      <c r="X38" s="941"/>
      <c r="Y38" s="942"/>
      <c r="AD38" s="532"/>
      <c r="AG38" s="533"/>
      <c r="AL38" s="532"/>
      <c r="AO38" s="533"/>
      <c r="AP38" s="532"/>
      <c r="AS38" s="533"/>
      <c r="AW38" s="533"/>
      <c r="BA38" s="534"/>
    </row>
    <row r="39" spans="1:53" s="557" customFormat="1">
      <c r="A39" s="557">
        <v>1991</v>
      </c>
      <c r="B39" s="865">
        <v>33377</v>
      </c>
      <c r="C39" s="916" t="s">
        <v>1049</v>
      </c>
      <c r="D39" s="916"/>
      <c r="E39" s="557">
        <f>365-E38</f>
        <v>227</v>
      </c>
      <c r="F39" s="428" t="s">
        <v>330</v>
      </c>
      <c r="G39" s="539">
        <v>0</v>
      </c>
      <c r="H39" s="563">
        <v>0</v>
      </c>
      <c r="I39" s="563">
        <v>0</v>
      </c>
      <c r="J39" s="541">
        <v>12</v>
      </c>
      <c r="K39" s="537">
        <f t="shared" ref="K39:K42" si="10">G39/J39*100</f>
        <v>0</v>
      </c>
      <c r="L39" s="537">
        <f t="shared" ref="L39:L42" si="11">H39/J39*100</f>
        <v>0</v>
      </c>
      <c r="M39" s="537">
        <f t="shared" ref="M39:M42" si="12">I39/J39*100</f>
        <v>0</v>
      </c>
      <c r="N39" s="540">
        <f t="shared" si="9"/>
        <v>0</v>
      </c>
      <c r="O39" s="536">
        <v>0</v>
      </c>
      <c r="P39" s="537">
        <v>0</v>
      </c>
      <c r="Q39" s="537">
        <v>0</v>
      </c>
      <c r="R39" s="538">
        <f t="shared" si="8"/>
        <v>0</v>
      </c>
      <c r="S39" s="557">
        <v>1</v>
      </c>
      <c r="T39" s="838">
        <v>33377</v>
      </c>
      <c r="U39" s="836"/>
      <c r="V39" s="940" t="s">
        <v>1316</v>
      </c>
      <c r="W39" s="941"/>
      <c r="X39" s="941"/>
      <c r="Y39" s="942"/>
      <c r="AD39" s="532"/>
      <c r="AG39" s="533"/>
      <c r="AL39" s="532"/>
      <c r="AO39" s="533"/>
      <c r="AP39" s="532"/>
      <c r="AS39" s="533"/>
      <c r="AW39" s="533"/>
      <c r="BA39" s="534"/>
    </row>
    <row r="40" spans="1:53" s="557" customFormat="1">
      <c r="A40" s="557">
        <v>1992</v>
      </c>
      <c r="B40" s="836"/>
      <c r="C40" s="916" t="s">
        <v>1049</v>
      </c>
      <c r="D40" s="916"/>
      <c r="E40" s="557">
        <v>0</v>
      </c>
      <c r="G40" s="539">
        <v>0</v>
      </c>
      <c r="H40" s="563">
        <v>0</v>
      </c>
      <c r="I40" s="563">
        <v>0</v>
      </c>
      <c r="J40" s="541">
        <v>12</v>
      </c>
      <c r="K40" s="537">
        <f t="shared" si="10"/>
        <v>0</v>
      </c>
      <c r="L40" s="537">
        <f t="shared" si="11"/>
        <v>0</v>
      </c>
      <c r="M40" s="537">
        <f t="shared" si="12"/>
        <v>0</v>
      </c>
      <c r="N40" s="540">
        <f t="shared" si="9"/>
        <v>0</v>
      </c>
      <c r="O40" s="536">
        <v>0</v>
      </c>
      <c r="P40" s="537">
        <v>0</v>
      </c>
      <c r="Q40" s="537">
        <v>0</v>
      </c>
      <c r="R40" s="538">
        <f t="shared" si="8"/>
        <v>0</v>
      </c>
      <c r="S40" s="557">
        <v>1</v>
      </c>
      <c r="T40" s="838"/>
      <c r="U40" s="836"/>
      <c r="V40" s="940" t="s">
        <v>1316</v>
      </c>
      <c r="W40" s="941"/>
      <c r="X40" s="941"/>
      <c r="Y40" s="942"/>
      <c r="AD40" s="532"/>
      <c r="AG40" s="533"/>
      <c r="AL40" s="532"/>
      <c r="AO40" s="533"/>
      <c r="AP40" s="532"/>
      <c r="AS40" s="533"/>
      <c r="AW40" s="533"/>
      <c r="BA40" s="534"/>
    </row>
    <row r="41" spans="1:53" s="557" customFormat="1">
      <c r="A41" s="557">
        <v>1992</v>
      </c>
      <c r="B41" s="836"/>
      <c r="C41" s="916" t="s">
        <v>1049</v>
      </c>
      <c r="D41" s="916"/>
      <c r="E41" s="557">
        <v>366</v>
      </c>
      <c r="G41" s="539">
        <v>0</v>
      </c>
      <c r="H41" s="563">
        <v>0</v>
      </c>
      <c r="I41" s="563">
        <v>0</v>
      </c>
      <c r="J41" s="541">
        <v>12</v>
      </c>
      <c r="K41" s="537">
        <f t="shared" si="10"/>
        <v>0</v>
      </c>
      <c r="L41" s="537">
        <f t="shared" si="11"/>
        <v>0</v>
      </c>
      <c r="M41" s="537">
        <f t="shared" si="12"/>
        <v>0</v>
      </c>
      <c r="N41" s="540">
        <f t="shared" si="9"/>
        <v>0</v>
      </c>
      <c r="O41" s="536">
        <v>0</v>
      </c>
      <c r="P41" s="537">
        <v>0</v>
      </c>
      <c r="Q41" s="537">
        <v>0</v>
      </c>
      <c r="R41" s="538">
        <f t="shared" si="8"/>
        <v>0</v>
      </c>
      <c r="S41" s="557">
        <v>1</v>
      </c>
      <c r="T41" s="838"/>
      <c r="U41" s="836"/>
      <c r="V41" s="940" t="s">
        <v>1316</v>
      </c>
      <c r="W41" s="941"/>
      <c r="X41" s="941"/>
      <c r="Y41" s="942"/>
      <c r="AD41" s="532"/>
      <c r="AG41" s="533"/>
      <c r="AL41" s="532"/>
      <c r="AO41" s="533"/>
      <c r="AP41" s="532"/>
      <c r="AS41" s="533"/>
      <c r="AW41" s="533"/>
      <c r="BA41" s="534"/>
    </row>
    <row r="42" spans="1:53" s="557" customFormat="1">
      <c r="A42" s="557">
        <v>1993</v>
      </c>
      <c r="B42" s="836"/>
      <c r="C42" s="916" t="s">
        <v>1049</v>
      </c>
      <c r="D42" s="916"/>
      <c r="E42" s="557">
        <v>55</v>
      </c>
      <c r="G42" s="539">
        <v>0</v>
      </c>
      <c r="H42" s="563">
        <v>0</v>
      </c>
      <c r="I42" s="563">
        <v>0</v>
      </c>
      <c r="J42" s="541">
        <v>12</v>
      </c>
      <c r="K42" s="537">
        <f t="shared" si="10"/>
        <v>0</v>
      </c>
      <c r="L42" s="537">
        <f t="shared" si="11"/>
        <v>0</v>
      </c>
      <c r="M42" s="537">
        <f t="shared" si="12"/>
        <v>0</v>
      </c>
      <c r="N42" s="540">
        <f t="shared" si="9"/>
        <v>0</v>
      </c>
      <c r="O42" s="536">
        <v>0</v>
      </c>
      <c r="P42" s="537">
        <v>0</v>
      </c>
      <c r="Q42" s="537">
        <v>0</v>
      </c>
      <c r="R42" s="538">
        <f t="shared" si="8"/>
        <v>0</v>
      </c>
      <c r="S42" s="557">
        <v>1</v>
      </c>
      <c r="T42" s="838"/>
      <c r="U42" s="836"/>
      <c r="V42" s="940" t="s">
        <v>1316</v>
      </c>
      <c r="W42" s="941"/>
      <c r="X42" s="941"/>
      <c r="Y42" s="942"/>
      <c r="AD42" s="532"/>
      <c r="AG42" s="533"/>
      <c r="AL42" s="532"/>
      <c r="AO42" s="533"/>
      <c r="AP42" s="532"/>
      <c r="AS42" s="533"/>
      <c r="AW42" s="533"/>
      <c r="BA42" s="534"/>
    </row>
    <row r="43" spans="1:53" s="556" customFormat="1">
      <c r="A43" s="556">
        <v>1993</v>
      </c>
      <c r="B43" s="852">
        <v>34025</v>
      </c>
      <c r="C43" s="917" t="s">
        <v>1054</v>
      </c>
      <c r="D43" s="917"/>
      <c r="E43" s="556">
        <f>365-E42</f>
        <v>310</v>
      </c>
      <c r="F43" s="556">
        <v>1</v>
      </c>
      <c r="G43" s="498">
        <v>10</v>
      </c>
      <c r="J43" s="500">
        <v>12</v>
      </c>
      <c r="K43" s="496">
        <f t="shared" ref="K43:K65" si="13">G43/J43*100</f>
        <v>83.333333333333343</v>
      </c>
      <c r="L43" s="496">
        <f t="shared" ref="L43:L65" si="14">H43/J43*100</f>
        <v>0</v>
      </c>
      <c r="M43" s="496">
        <f t="shared" ref="M43:M65" si="15">I43/J43*100</f>
        <v>0</v>
      </c>
      <c r="N43" s="499">
        <f t="shared" si="9"/>
        <v>83.333333333333343</v>
      </c>
      <c r="O43" s="495">
        <v>55.3</v>
      </c>
      <c r="P43" s="496"/>
      <c r="Q43" s="496"/>
      <c r="R43" s="497">
        <f t="shared" si="8"/>
        <v>55.3</v>
      </c>
      <c r="S43" s="556">
        <v>1</v>
      </c>
      <c r="T43" s="839"/>
      <c r="U43" s="852">
        <v>34025</v>
      </c>
      <c r="V43" s="492" t="s">
        <v>1045</v>
      </c>
      <c r="W43" s="556" t="s">
        <v>74</v>
      </c>
      <c r="X43" s="556" t="s">
        <v>11</v>
      </c>
      <c r="Y43" s="493">
        <v>35.700000000000003</v>
      </c>
      <c r="Z43" s="556" t="s">
        <v>1046</v>
      </c>
      <c r="AA43" s="556" t="s">
        <v>22</v>
      </c>
      <c r="AB43" s="556" t="s">
        <v>11</v>
      </c>
      <c r="AC43" s="556">
        <v>19.600000000000001</v>
      </c>
      <c r="AD43" s="492"/>
      <c r="AG43" s="493"/>
      <c r="AL43" s="492"/>
      <c r="AO43" s="493"/>
      <c r="AP43" s="492"/>
      <c r="AS43" s="493"/>
      <c r="AW43" s="493"/>
      <c r="BA43" s="494"/>
    </row>
    <row r="44" spans="1:53" s="556" customFormat="1">
      <c r="A44" s="556">
        <v>1994</v>
      </c>
      <c r="B44" s="852"/>
      <c r="C44" s="917" t="s">
        <v>1054</v>
      </c>
      <c r="D44" s="917"/>
      <c r="E44" s="556">
        <v>0</v>
      </c>
      <c r="G44" s="498">
        <v>10</v>
      </c>
      <c r="J44" s="500">
        <v>12</v>
      </c>
      <c r="K44" s="496">
        <f t="shared" si="13"/>
        <v>83.333333333333343</v>
      </c>
      <c r="L44" s="496">
        <f t="shared" si="14"/>
        <v>0</v>
      </c>
      <c r="M44" s="496">
        <f t="shared" si="15"/>
        <v>0</v>
      </c>
      <c r="N44" s="499">
        <f t="shared" si="9"/>
        <v>83.333333333333343</v>
      </c>
      <c r="O44" s="495">
        <v>55.3</v>
      </c>
      <c r="P44" s="496"/>
      <c r="Q44" s="496"/>
      <c r="R44" s="497">
        <f t="shared" si="8"/>
        <v>55.3</v>
      </c>
      <c r="S44" s="556">
        <v>1</v>
      </c>
      <c r="T44" s="839"/>
      <c r="U44" s="852"/>
      <c r="V44" s="492" t="s">
        <v>1045</v>
      </c>
      <c r="W44" s="556" t="s">
        <v>74</v>
      </c>
      <c r="X44" s="556" t="s">
        <v>11</v>
      </c>
      <c r="Y44" s="493">
        <v>35.700000000000003</v>
      </c>
      <c r="Z44" s="556" t="s">
        <v>1046</v>
      </c>
      <c r="AA44" s="556" t="s">
        <v>22</v>
      </c>
      <c r="AB44" s="556" t="s">
        <v>11</v>
      </c>
      <c r="AC44" s="556">
        <v>19.600000000000001</v>
      </c>
      <c r="AD44" s="492"/>
      <c r="AG44" s="493"/>
      <c r="AL44" s="492"/>
      <c r="AO44" s="493"/>
      <c r="AP44" s="492"/>
      <c r="AS44" s="493"/>
      <c r="AW44" s="493"/>
      <c r="BA44" s="494"/>
    </row>
    <row r="45" spans="1:53" s="556" customFormat="1">
      <c r="A45" s="556">
        <v>1994</v>
      </c>
      <c r="B45" s="852"/>
      <c r="C45" s="917" t="s">
        <v>1054</v>
      </c>
      <c r="D45" s="917"/>
      <c r="E45" s="556">
        <f>365-E44</f>
        <v>365</v>
      </c>
      <c r="G45" s="498">
        <v>10</v>
      </c>
      <c r="J45" s="500">
        <v>12</v>
      </c>
      <c r="K45" s="496">
        <f t="shared" si="13"/>
        <v>83.333333333333343</v>
      </c>
      <c r="L45" s="496">
        <f t="shared" si="14"/>
        <v>0</v>
      </c>
      <c r="M45" s="496">
        <f t="shared" si="15"/>
        <v>0</v>
      </c>
      <c r="N45" s="499">
        <f t="shared" si="9"/>
        <v>83.333333333333343</v>
      </c>
      <c r="O45" s="495">
        <v>55.3</v>
      </c>
      <c r="P45" s="496"/>
      <c r="Q45" s="496"/>
      <c r="R45" s="497">
        <f t="shared" si="8"/>
        <v>55.3</v>
      </c>
      <c r="S45" s="556">
        <v>1</v>
      </c>
      <c r="T45" s="839"/>
      <c r="U45" s="852"/>
      <c r="V45" s="492" t="s">
        <v>1045</v>
      </c>
      <c r="W45" s="556" t="s">
        <v>74</v>
      </c>
      <c r="X45" s="556" t="s">
        <v>11</v>
      </c>
      <c r="Y45" s="493">
        <v>35.700000000000003</v>
      </c>
      <c r="Z45" s="556" t="s">
        <v>1046</v>
      </c>
      <c r="AA45" s="556" t="s">
        <v>22</v>
      </c>
      <c r="AB45" s="556" t="s">
        <v>11</v>
      </c>
      <c r="AC45" s="556">
        <v>19.600000000000001</v>
      </c>
      <c r="AD45" s="492"/>
      <c r="AG45" s="493"/>
      <c r="AL45" s="492"/>
      <c r="AO45" s="493"/>
      <c r="AP45" s="492"/>
      <c r="AS45" s="493"/>
      <c r="AW45" s="493"/>
      <c r="BA45" s="494"/>
    </row>
    <row r="46" spans="1:53" s="556" customFormat="1">
      <c r="A46" s="556">
        <v>1995</v>
      </c>
      <c r="B46" s="852"/>
      <c r="C46" s="917" t="s">
        <v>1054</v>
      </c>
      <c r="D46" s="917"/>
      <c r="E46" s="556">
        <v>117</v>
      </c>
      <c r="G46" s="498">
        <v>10</v>
      </c>
      <c r="J46" s="500">
        <v>12</v>
      </c>
      <c r="K46" s="496">
        <f t="shared" si="13"/>
        <v>83.333333333333343</v>
      </c>
      <c r="L46" s="496">
        <f t="shared" si="14"/>
        <v>0</v>
      </c>
      <c r="M46" s="496">
        <f t="shared" si="15"/>
        <v>0</v>
      </c>
      <c r="N46" s="499">
        <f t="shared" si="9"/>
        <v>83.333333333333343</v>
      </c>
      <c r="O46" s="495">
        <v>55.3</v>
      </c>
      <c r="P46" s="496"/>
      <c r="Q46" s="496"/>
      <c r="R46" s="497">
        <f t="shared" si="8"/>
        <v>55.3</v>
      </c>
      <c r="S46" s="556">
        <v>1</v>
      </c>
      <c r="T46" s="839"/>
      <c r="U46" s="852"/>
      <c r="V46" s="492" t="s">
        <v>1045</v>
      </c>
      <c r="W46" s="556" t="s">
        <v>74</v>
      </c>
      <c r="X46" s="556" t="s">
        <v>11</v>
      </c>
      <c r="Y46" s="493">
        <v>35.700000000000003</v>
      </c>
      <c r="Z46" s="556" t="s">
        <v>1046</v>
      </c>
      <c r="AA46" s="556" t="s">
        <v>22</v>
      </c>
      <c r="AB46" s="556" t="s">
        <v>11</v>
      </c>
      <c r="AC46" s="556">
        <v>19.600000000000001</v>
      </c>
      <c r="AD46" s="492"/>
      <c r="AG46" s="493"/>
      <c r="AL46" s="492"/>
      <c r="AO46" s="493"/>
      <c r="AP46" s="492"/>
      <c r="AS46" s="493"/>
      <c r="AW46" s="493"/>
      <c r="BA46" s="494"/>
    </row>
    <row r="47" spans="1:53" s="556" customFormat="1">
      <c r="A47" s="556">
        <v>1995</v>
      </c>
      <c r="B47" s="860">
        <v>34817</v>
      </c>
      <c r="C47" s="917" t="s">
        <v>1054</v>
      </c>
      <c r="D47" s="917"/>
      <c r="E47" s="556">
        <f>365-E46</f>
        <v>248</v>
      </c>
      <c r="F47" s="502">
        <v>0</v>
      </c>
      <c r="G47" s="498">
        <v>11</v>
      </c>
      <c r="J47" s="500">
        <v>12</v>
      </c>
      <c r="K47" s="496">
        <f t="shared" si="13"/>
        <v>91.666666666666657</v>
      </c>
      <c r="L47" s="496">
        <f t="shared" si="14"/>
        <v>0</v>
      </c>
      <c r="M47" s="496">
        <f t="shared" si="15"/>
        <v>0</v>
      </c>
      <c r="N47" s="499">
        <f t="shared" si="9"/>
        <v>91.666666666666657</v>
      </c>
      <c r="O47" s="495">
        <v>55.3</v>
      </c>
      <c r="P47" s="496"/>
      <c r="Q47" s="496"/>
      <c r="R47" s="497">
        <f t="shared" si="8"/>
        <v>55.3</v>
      </c>
      <c r="S47" s="556">
        <v>1</v>
      </c>
      <c r="T47" s="839"/>
      <c r="U47" s="852"/>
      <c r="V47" s="492" t="s">
        <v>1045</v>
      </c>
      <c r="W47" s="556" t="s">
        <v>74</v>
      </c>
      <c r="X47" s="556" t="s">
        <v>11</v>
      </c>
      <c r="Y47" s="493">
        <v>35.700000000000003</v>
      </c>
      <c r="Z47" s="556" t="s">
        <v>1046</v>
      </c>
      <c r="AA47" s="556" t="s">
        <v>22</v>
      </c>
      <c r="AB47" s="556" t="s">
        <v>11</v>
      </c>
      <c r="AC47" s="556">
        <v>19.600000000000001</v>
      </c>
      <c r="AD47" s="492"/>
      <c r="AG47" s="493"/>
      <c r="AL47" s="492"/>
      <c r="AO47" s="493"/>
      <c r="AP47" s="492"/>
      <c r="AS47" s="493"/>
      <c r="AW47" s="493"/>
      <c r="BA47" s="494"/>
    </row>
    <row r="48" spans="1:53" s="556" customFormat="1">
      <c r="A48" s="556">
        <v>1996</v>
      </c>
      <c r="B48" s="852"/>
      <c r="C48" s="917" t="s">
        <v>1054</v>
      </c>
      <c r="D48" s="917"/>
      <c r="E48" s="556">
        <v>146</v>
      </c>
      <c r="G48" s="498">
        <v>11</v>
      </c>
      <c r="J48" s="500">
        <v>12</v>
      </c>
      <c r="K48" s="496">
        <f t="shared" si="13"/>
        <v>91.666666666666657</v>
      </c>
      <c r="L48" s="496">
        <f t="shared" si="14"/>
        <v>0</v>
      </c>
      <c r="M48" s="496">
        <f t="shared" si="15"/>
        <v>0</v>
      </c>
      <c r="N48" s="499">
        <f t="shared" si="9"/>
        <v>91.666666666666657</v>
      </c>
      <c r="O48" s="495">
        <v>55.3</v>
      </c>
      <c r="P48" s="496"/>
      <c r="Q48" s="496"/>
      <c r="R48" s="497">
        <f t="shared" si="8"/>
        <v>55.3</v>
      </c>
      <c r="S48" s="556">
        <v>1</v>
      </c>
      <c r="T48" s="839"/>
      <c r="U48" s="852"/>
      <c r="V48" s="492" t="s">
        <v>1045</v>
      </c>
      <c r="W48" s="556" t="s">
        <v>74</v>
      </c>
      <c r="X48" s="556" t="s">
        <v>11</v>
      </c>
      <c r="Y48" s="493">
        <v>35.700000000000003</v>
      </c>
      <c r="Z48" s="556" t="s">
        <v>1046</v>
      </c>
      <c r="AA48" s="556" t="s">
        <v>22</v>
      </c>
      <c r="AB48" s="556" t="s">
        <v>11</v>
      </c>
      <c r="AC48" s="556">
        <v>19.600000000000001</v>
      </c>
      <c r="AD48" s="492"/>
      <c r="AG48" s="493"/>
      <c r="AL48" s="492"/>
      <c r="AO48" s="493"/>
      <c r="AP48" s="492"/>
      <c r="AS48" s="493"/>
      <c r="AW48" s="493"/>
      <c r="BA48" s="494"/>
    </row>
    <row r="49" spans="1:53" s="556" customFormat="1">
      <c r="A49" s="556">
        <v>1996</v>
      </c>
      <c r="B49" s="860">
        <v>35211</v>
      </c>
      <c r="C49" s="917" t="s">
        <v>1054</v>
      </c>
      <c r="D49" s="917"/>
      <c r="E49" s="556">
        <v>220</v>
      </c>
      <c r="F49" s="502" t="s">
        <v>330</v>
      </c>
      <c r="G49" s="498">
        <v>11</v>
      </c>
      <c r="J49" s="500">
        <v>12</v>
      </c>
      <c r="K49" s="496">
        <f t="shared" si="13"/>
        <v>91.666666666666657</v>
      </c>
      <c r="L49" s="496">
        <f t="shared" si="14"/>
        <v>0</v>
      </c>
      <c r="M49" s="496">
        <f t="shared" si="15"/>
        <v>0</v>
      </c>
      <c r="N49" s="499">
        <f t="shared" si="9"/>
        <v>91.666666666666657</v>
      </c>
      <c r="O49" s="495">
        <v>53.6</v>
      </c>
      <c r="P49" s="496"/>
      <c r="Q49" s="496"/>
      <c r="R49" s="497">
        <f t="shared" si="8"/>
        <v>53.6</v>
      </c>
      <c r="S49" s="556">
        <v>1</v>
      </c>
      <c r="T49" s="839">
        <v>35211</v>
      </c>
      <c r="U49" s="852"/>
      <c r="V49" s="492" t="s">
        <v>1045</v>
      </c>
      <c r="W49" s="556" t="s">
        <v>74</v>
      </c>
      <c r="X49" s="556" t="s">
        <v>11</v>
      </c>
      <c r="Y49" s="493">
        <v>35.700000000000003</v>
      </c>
      <c r="Z49" s="556" t="s">
        <v>1046</v>
      </c>
      <c r="AA49" s="556" t="s">
        <v>22</v>
      </c>
      <c r="AB49" s="556" t="s">
        <v>11</v>
      </c>
      <c r="AC49" s="556">
        <v>17.899999999999999</v>
      </c>
      <c r="AD49" s="492"/>
      <c r="AG49" s="493"/>
      <c r="AL49" s="492"/>
      <c r="AO49" s="493"/>
      <c r="AP49" s="492"/>
      <c r="AS49" s="493"/>
      <c r="AW49" s="493"/>
      <c r="BA49" s="494"/>
    </row>
    <row r="50" spans="1:53" s="556" customFormat="1">
      <c r="A50" s="556">
        <v>1997</v>
      </c>
      <c r="B50" s="852"/>
      <c r="C50" s="917" t="s">
        <v>1054</v>
      </c>
      <c r="D50" s="917"/>
      <c r="E50" s="556">
        <v>315</v>
      </c>
      <c r="G50" s="498">
        <v>11</v>
      </c>
      <c r="J50" s="500">
        <v>12</v>
      </c>
      <c r="K50" s="496">
        <f t="shared" si="13"/>
        <v>91.666666666666657</v>
      </c>
      <c r="L50" s="496">
        <f t="shared" si="14"/>
        <v>0</v>
      </c>
      <c r="M50" s="496">
        <f t="shared" si="15"/>
        <v>0</v>
      </c>
      <c r="N50" s="499">
        <f t="shared" si="9"/>
        <v>91.666666666666657</v>
      </c>
      <c r="O50" s="495">
        <v>53.6</v>
      </c>
      <c r="P50" s="496"/>
      <c r="Q50" s="496"/>
      <c r="R50" s="497">
        <f t="shared" si="8"/>
        <v>53.6</v>
      </c>
      <c r="S50" s="556">
        <v>1</v>
      </c>
      <c r="T50" s="839"/>
      <c r="U50" s="852"/>
      <c r="V50" s="492" t="s">
        <v>1045</v>
      </c>
      <c r="W50" s="556" t="s">
        <v>74</v>
      </c>
      <c r="X50" s="556" t="s">
        <v>11</v>
      </c>
      <c r="Y50" s="493">
        <v>35.700000000000003</v>
      </c>
      <c r="Z50" s="556" t="s">
        <v>1046</v>
      </c>
      <c r="AA50" s="556" t="s">
        <v>22</v>
      </c>
      <c r="AB50" s="556" t="s">
        <v>11</v>
      </c>
      <c r="AC50" s="556">
        <v>17.899999999999999</v>
      </c>
      <c r="AD50" s="492"/>
      <c r="AG50" s="493"/>
      <c r="AL50" s="492"/>
      <c r="AO50" s="493"/>
      <c r="AP50" s="492"/>
      <c r="AS50" s="493"/>
      <c r="AW50" s="493"/>
      <c r="BA50" s="494"/>
    </row>
    <row r="51" spans="1:53" s="556" customFormat="1">
      <c r="A51" s="556">
        <v>1997</v>
      </c>
      <c r="B51" s="860">
        <v>35746</v>
      </c>
      <c r="C51" s="917" t="s">
        <v>1054</v>
      </c>
      <c r="D51" s="917"/>
      <c r="E51" s="556">
        <f>365-E50</f>
        <v>50</v>
      </c>
      <c r="F51" s="502">
        <v>0</v>
      </c>
      <c r="G51" s="498">
        <v>11</v>
      </c>
      <c r="J51" s="500">
        <v>12</v>
      </c>
      <c r="K51" s="496">
        <f t="shared" si="13"/>
        <v>91.666666666666657</v>
      </c>
      <c r="L51" s="496">
        <f t="shared" si="14"/>
        <v>0</v>
      </c>
      <c r="M51" s="496">
        <f t="shared" si="15"/>
        <v>0</v>
      </c>
      <c r="N51" s="499">
        <f t="shared" si="9"/>
        <v>91.666666666666657</v>
      </c>
      <c r="O51" s="495">
        <v>35.700000000000003</v>
      </c>
      <c r="P51" s="496"/>
      <c r="Q51" s="496"/>
      <c r="R51" s="497">
        <f t="shared" si="8"/>
        <v>35.700000000000003</v>
      </c>
      <c r="S51" s="556">
        <v>1</v>
      </c>
      <c r="T51" s="839"/>
      <c r="U51" s="852"/>
      <c r="V51" s="492" t="s">
        <v>1045</v>
      </c>
      <c r="W51" s="556" t="s">
        <v>74</v>
      </c>
      <c r="X51" s="556" t="s">
        <v>11</v>
      </c>
      <c r="Y51" s="493">
        <v>35.700000000000003</v>
      </c>
      <c r="AD51" s="492"/>
      <c r="AG51" s="493"/>
      <c r="AL51" s="492"/>
      <c r="AO51" s="493"/>
      <c r="AP51" s="492"/>
      <c r="AS51" s="493"/>
      <c r="AW51" s="493"/>
      <c r="BA51" s="494"/>
    </row>
    <row r="52" spans="1:53" s="556" customFormat="1">
      <c r="A52" s="556">
        <v>1998</v>
      </c>
      <c r="B52" s="852"/>
      <c r="C52" s="917" t="s">
        <v>1054</v>
      </c>
      <c r="D52" s="917"/>
      <c r="E52" s="556">
        <v>58</v>
      </c>
      <c r="G52" s="498">
        <v>11</v>
      </c>
      <c r="J52" s="500">
        <v>12</v>
      </c>
      <c r="K52" s="496">
        <f t="shared" si="13"/>
        <v>91.666666666666657</v>
      </c>
      <c r="L52" s="496">
        <f t="shared" si="14"/>
        <v>0</v>
      </c>
      <c r="M52" s="496">
        <f t="shared" si="15"/>
        <v>0</v>
      </c>
      <c r="N52" s="499">
        <f t="shared" si="9"/>
        <v>91.666666666666657</v>
      </c>
      <c r="O52" s="495">
        <v>35.700000000000003</v>
      </c>
      <c r="P52" s="496"/>
      <c r="Q52" s="496"/>
      <c r="R52" s="497">
        <f t="shared" si="8"/>
        <v>35.700000000000003</v>
      </c>
      <c r="S52" s="556">
        <v>1</v>
      </c>
      <c r="T52" s="839"/>
      <c r="U52" s="852"/>
      <c r="V52" s="492" t="s">
        <v>1045</v>
      </c>
      <c r="W52" s="556" t="s">
        <v>74</v>
      </c>
      <c r="X52" s="556" t="s">
        <v>11</v>
      </c>
      <c r="Y52" s="493">
        <v>35.700000000000003</v>
      </c>
      <c r="AD52" s="492"/>
      <c r="AG52" s="493"/>
      <c r="AL52" s="492"/>
      <c r="AO52" s="493"/>
      <c r="AP52" s="492"/>
      <c r="AS52" s="493"/>
      <c r="AW52" s="493"/>
      <c r="BA52" s="494"/>
    </row>
    <row r="53" spans="1:53" s="557" customFormat="1">
      <c r="A53" s="557">
        <v>1998</v>
      </c>
      <c r="B53" s="836">
        <v>35854</v>
      </c>
      <c r="C53" s="916" t="s">
        <v>1051</v>
      </c>
      <c r="D53" s="916"/>
      <c r="E53" s="557">
        <f>365-E52</f>
        <v>307</v>
      </c>
      <c r="F53" s="557">
        <v>1</v>
      </c>
      <c r="G53" s="539">
        <v>10</v>
      </c>
      <c r="I53" s="557">
        <v>2</v>
      </c>
      <c r="J53" s="541">
        <v>12</v>
      </c>
      <c r="K53" s="537">
        <f t="shared" si="13"/>
        <v>83.333333333333343</v>
      </c>
      <c r="L53" s="537">
        <f t="shared" si="14"/>
        <v>0</v>
      </c>
      <c r="M53" s="537">
        <f t="shared" si="15"/>
        <v>16.666666666666664</v>
      </c>
      <c r="N53" s="540">
        <f t="shared" si="9"/>
        <v>100</v>
      </c>
      <c r="O53" s="536">
        <v>57.2</v>
      </c>
      <c r="P53" s="537"/>
      <c r="Q53" s="537">
        <v>8.9</v>
      </c>
      <c r="R53" s="538">
        <f t="shared" si="8"/>
        <v>66.100000000000009</v>
      </c>
      <c r="S53" s="557">
        <v>1</v>
      </c>
      <c r="T53" s="838"/>
      <c r="U53" s="836">
        <v>35854</v>
      </c>
      <c r="V53" s="532" t="s">
        <v>1045</v>
      </c>
      <c r="W53" s="557" t="s">
        <v>74</v>
      </c>
      <c r="X53" s="557" t="s">
        <v>11</v>
      </c>
      <c r="Y53" s="533">
        <v>35.700000000000003</v>
      </c>
      <c r="Z53" s="557" t="s">
        <v>1046</v>
      </c>
      <c r="AA53" s="557" t="s">
        <v>22</v>
      </c>
      <c r="AB53" s="557" t="s">
        <v>11</v>
      </c>
      <c r="AC53" s="557">
        <v>17.899999999999999</v>
      </c>
      <c r="AD53" s="532" t="s">
        <v>1047</v>
      </c>
      <c r="AE53" s="557" t="s">
        <v>88</v>
      </c>
      <c r="AF53" s="557" t="s">
        <v>11</v>
      </c>
      <c r="AG53" s="533">
        <v>3.6</v>
      </c>
      <c r="AH53" s="557" t="s">
        <v>1048</v>
      </c>
      <c r="AI53" s="557" t="s">
        <v>20</v>
      </c>
      <c r="AJ53" s="557" t="s">
        <v>12</v>
      </c>
      <c r="AK53" s="557">
        <v>8.9</v>
      </c>
      <c r="AL53" s="532"/>
      <c r="AO53" s="533"/>
      <c r="AP53" s="532"/>
      <c r="AS53" s="533"/>
      <c r="AW53" s="533"/>
      <c r="BA53" s="534"/>
    </row>
    <row r="54" spans="1:53" s="557" customFormat="1">
      <c r="A54" s="557">
        <v>1999</v>
      </c>
      <c r="B54" s="836"/>
      <c r="C54" s="916" t="s">
        <v>1051</v>
      </c>
      <c r="D54" s="916"/>
      <c r="E54" s="557">
        <v>4</v>
      </c>
      <c r="G54" s="539">
        <v>10</v>
      </c>
      <c r="I54" s="557">
        <v>2</v>
      </c>
      <c r="J54" s="541">
        <v>12</v>
      </c>
      <c r="K54" s="537">
        <f t="shared" si="13"/>
        <v>83.333333333333343</v>
      </c>
      <c r="L54" s="537">
        <f t="shared" si="14"/>
        <v>0</v>
      </c>
      <c r="M54" s="537">
        <f t="shared" si="15"/>
        <v>16.666666666666664</v>
      </c>
      <c r="N54" s="540">
        <f t="shared" si="9"/>
        <v>100</v>
      </c>
      <c r="O54" s="536">
        <v>57.2</v>
      </c>
      <c r="P54" s="537"/>
      <c r="Q54" s="537">
        <v>8.9</v>
      </c>
      <c r="R54" s="538">
        <f t="shared" si="8"/>
        <v>66.100000000000009</v>
      </c>
      <c r="S54" s="557">
        <v>1</v>
      </c>
      <c r="T54" s="838"/>
      <c r="U54" s="836"/>
      <c r="V54" s="532" t="s">
        <v>1045</v>
      </c>
      <c r="W54" s="557" t="s">
        <v>74</v>
      </c>
      <c r="X54" s="557" t="s">
        <v>11</v>
      </c>
      <c r="Y54" s="533">
        <v>35.700000000000003</v>
      </c>
      <c r="Z54" s="557" t="s">
        <v>1046</v>
      </c>
      <c r="AA54" s="557" t="s">
        <v>22</v>
      </c>
      <c r="AB54" s="557" t="s">
        <v>11</v>
      </c>
      <c r="AC54" s="557">
        <v>17.899999999999999</v>
      </c>
      <c r="AD54" s="532" t="s">
        <v>1047</v>
      </c>
      <c r="AE54" s="557" t="s">
        <v>88</v>
      </c>
      <c r="AF54" s="557" t="s">
        <v>11</v>
      </c>
      <c r="AG54" s="533">
        <v>3.6</v>
      </c>
      <c r="AH54" s="557" t="s">
        <v>1048</v>
      </c>
      <c r="AI54" s="557" t="s">
        <v>20</v>
      </c>
      <c r="AJ54" s="557" t="s">
        <v>12</v>
      </c>
      <c r="AK54" s="557">
        <v>8.9</v>
      </c>
      <c r="AL54" s="532"/>
      <c r="AO54" s="533"/>
      <c r="AP54" s="532"/>
      <c r="AS54" s="533"/>
      <c r="AW54" s="533"/>
      <c r="BA54" s="534"/>
    </row>
    <row r="55" spans="1:53" s="557" customFormat="1">
      <c r="A55" s="557">
        <v>1999</v>
      </c>
      <c r="B55" s="865">
        <v>36165</v>
      </c>
      <c r="C55" s="916" t="s">
        <v>1051</v>
      </c>
      <c r="D55" s="916"/>
      <c r="E55" s="557">
        <f>365-E54</f>
        <v>361</v>
      </c>
      <c r="F55" s="428">
        <v>0</v>
      </c>
      <c r="G55" s="539">
        <v>12</v>
      </c>
      <c r="J55" s="541">
        <v>12</v>
      </c>
      <c r="K55" s="537">
        <f t="shared" si="13"/>
        <v>100</v>
      </c>
      <c r="L55" s="537">
        <f t="shared" si="14"/>
        <v>0</v>
      </c>
      <c r="M55" s="537">
        <f t="shared" si="15"/>
        <v>0</v>
      </c>
      <c r="N55" s="540">
        <f t="shared" si="9"/>
        <v>100</v>
      </c>
      <c r="O55" s="536">
        <v>57.2</v>
      </c>
      <c r="P55" s="537"/>
      <c r="Q55" s="537"/>
      <c r="R55" s="538">
        <f t="shared" si="8"/>
        <v>57.2</v>
      </c>
      <c r="S55" s="557">
        <v>1</v>
      </c>
      <c r="T55" s="838"/>
      <c r="U55" s="836"/>
      <c r="V55" s="532" t="s">
        <v>1045</v>
      </c>
      <c r="W55" s="557" t="s">
        <v>74</v>
      </c>
      <c r="X55" s="557" t="s">
        <v>11</v>
      </c>
      <c r="Y55" s="533">
        <v>35.700000000000003</v>
      </c>
      <c r="Z55" s="557" t="s">
        <v>1046</v>
      </c>
      <c r="AA55" s="557" t="s">
        <v>22</v>
      </c>
      <c r="AB55" s="557" t="s">
        <v>11</v>
      </c>
      <c r="AC55" s="557">
        <v>17.899999999999999</v>
      </c>
      <c r="AD55" s="532" t="s">
        <v>1047</v>
      </c>
      <c r="AE55" s="557" t="s">
        <v>88</v>
      </c>
      <c r="AF55" s="557" t="s">
        <v>11</v>
      </c>
      <c r="AG55" s="533">
        <v>3.6</v>
      </c>
      <c r="AL55" s="532"/>
      <c r="AO55" s="533"/>
      <c r="AP55" s="532"/>
      <c r="AS55" s="533"/>
      <c r="AW55" s="533"/>
      <c r="BA55" s="534"/>
    </row>
    <row r="56" spans="1:53" s="557" customFormat="1">
      <c r="A56" s="557">
        <v>2000</v>
      </c>
      <c r="B56" s="836"/>
      <c r="C56" s="916" t="s">
        <v>1051</v>
      </c>
      <c r="D56" s="916"/>
      <c r="E56" s="557">
        <v>0</v>
      </c>
      <c r="G56" s="539">
        <v>12</v>
      </c>
      <c r="J56" s="541">
        <v>12</v>
      </c>
      <c r="K56" s="537">
        <f t="shared" si="13"/>
        <v>100</v>
      </c>
      <c r="L56" s="537">
        <f t="shared" si="14"/>
        <v>0</v>
      </c>
      <c r="M56" s="537">
        <f t="shared" si="15"/>
        <v>0</v>
      </c>
      <c r="N56" s="540">
        <f t="shared" si="9"/>
        <v>100</v>
      </c>
      <c r="O56" s="536">
        <v>57.2</v>
      </c>
      <c r="P56" s="537"/>
      <c r="Q56" s="537"/>
      <c r="R56" s="538">
        <f t="shared" si="8"/>
        <v>57.2</v>
      </c>
      <c r="S56" s="557">
        <v>1</v>
      </c>
      <c r="T56" s="838"/>
      <c r="U56" s="836"/>
      <c r="V56" s="532" t="s">
        <v>1045</v>
      </c>
      <c r="W56" s="557" t="s">
        <v>74</v>
      </c>
      <c r="X56" s="557" t="s">
        <v>11</v>
      </c>
      <c r="Y56" s="533">
        <v>35.700000000000003</v>
      </c>
      <c r="Z56" s="557" t="s">
        <v>1046</v>
      </c>
      <c r="AA56" s="557" t="s">
        <v>22</v>
      </c>
      <c r="AB56" s="557" t="s">
        <v>11</v>
      </c>
      <c r="AC56" s="557">
        <v>17.899999999999999</v>
      </c>
      <c r="AD56" s="532" t="s">
        <v>1047</v>
      </c>
      <c r="AE56" s="557" t="s">
        <v>88</v>
      </c>
      <c r="AF56" s="557" t="s">
        <v>11</v>
      </c>
      <c r="AG56" s="533">
        <v>3.6</v>
      </c>
      <c r="AL56" s="532"/>
      <c r="AO56" s="533"/>
      <c r="AP56" s="532"/>
      <c r="AS56" s="533"/>
      <c r="AW56" s="533"/>
      <c r="BA56" s="534"/>
    </row>
    <row r="57" spans="1:53" s="557" customFormat="1">
      <c r="A57" s="557">
        <v>2000</v>
      </c>
      <c r="B57" s="836"/>
      <c r="C57" s="916" t="s">
        <v>1051</v>
      </c>
      <c r="D57" s="916"/>
      <c r="E57" s="557">
        <v>366</v>
      </c>
      <c r="G57" s="539">
        <v>12</v>
      </c>
      <c r="J57" s="541">
        <v>12</v>
      </c>
      <c r="K57" s="537">
        <f t="shared" si="13"/>
        <v>100</v>
      </c>
      <c r="L57" s="537">
        <f t="shared" si="14"/>
        <v>0</v>
      </c>
      <c r="M57" s="537">
        <f t="shared" si="15"/>
        <v>0</v>
      </c>
      <c r="N57" s="540">
        <f t="shared" si="9"/>
        <v>100</v>
      </c>
      <c r="O57" s="536">
        <v>57.2</v>
      </c>
      <c r="P57" s="537"/>
      <c r="Q57" s="537"/>
      <c r="R57" s="538">
        <f t="shared" si="8"/>
        <v>57.2</v>
      </c>
      <c r="S57" s="557">
        <v>1</v>
      </c>
      <c r="T57" s="838"/>
      <c r="U57" s="836"/>
      <c r="V57" s="532" t="s">
        <v>1045</v>
      </c>
      <c r="W57" s="557" t="s">
        <v>74</v>
      </c>
      <c r="X57" s="557" t="s">
        <v>11</v>
      </c>
      <c r="Y57" s="533">
        <v>35.700000000000003</v>
      </c>
      <c r="Z57" s="557" t="s">
        <v>1046</v>
      </c>
      <c r="AA57" s="557" t="s">
        <v>22</v>
      </c>
      <c r="AB57" s="557" t="s">
        <v>11</v>
      </c>
      <c r="AC57" s="557">
        <v>17.899999999999999</v>
      </c>
      <c r="AD57" s="532" t="s">
        <v>1047</v>
      </c>
      <c r="AE57" s="557" t="s">
        <v>88</v>
      </c>
      <c r="AF57" s="557" t="s">
        <v>11</v>
      </c>
      <c r="AG57" s="533">
        <v>3.6</v>
      </c>
      <c r="AL57" s="532"/>
      <c r="AO57" s="533"/>
      <c r="AP57" s="532"/>
      <c r="AS57" s="533"/>
      <c r="AW57" s="533"/>
      <c r="BA57" s="534"/>
    </row>
    <row r="58" spans="1:53" s="557" customFormat="1">
      <c r="A58" s="557">
        <v>2001</v>
      </c>
      <c r="B58" s="836"/>
      <c r="C58" s="916" t="s">
        <v>1051</v>
      </c>
      <c r="D58" s="916"/>
      <c r="E58" s="557">
        <v>146</v>
      </c>
      <c r="G58" s="539">
        <v>12</v>
      </c>
      <c r="J58" s="541">
        <v>12</v>
      </c>
      <c r="K58" s="537">
        <f t="shared" si="13"/>
        <v>100</v>
      </c>
      <c r="L58" s="537">
        <f t="shared" si="14"/>
        <v>0</v>
      </c>
      <c r="M58" s="537">
        <f t="shared" si="15"/>
        <v>0</v>
      </c>
      <c r="N58" s="540">
        <f t="shared" si="9"/>
        <v>100</v>
      </c>
      <c r="O58" s="536">
        <v>57.2</v>
      </c>
      <c r="P58" s="537"/>
      <c r="Q58" s="537"/>
      <c r="R58" s="538">
        <f t="shared" si="8"/>
        <v>57.2</v>
      </c>
      <c r="S58" s="557">
        <v>1</v>
      </c>
      <c r="T58" s="838"/>
      <c r="U58" s="836"/>
      <c r="V58" s="532" t="s">
        <v>1045</v>
      </c>
      <c r="W58" s="557" t="s">
        <v>74</v>
      </c>
      <c r="X58" s="557" t="s">
        <v>11</v>
      </c>
      <c r="Y58" s="533">
        <v>35.700000000000003</v>
      </c>
      <c r="Z58" s="557" t="s">
        <v>1046</v>
      </c>
      <c r="AA58" s="557" t="s">
        <v>22</v>
      </c>
      <c r="AB58" s="557" t="s">
        <v>11</v>
      </c>
      <c r="AC58" s="557">
        <v>17.899999999999999</v>
      </c>
      <c r="AD58" s="532" t="s">
        <v>1047</v>
      </c>
      <c r="AE58" s="557" t="s">
        <v>88</v>
      </c>
      <c r="AF58" s="557" t="s">
        <v>11</v>
      </c>
      <c r="AG58" s="533">
        <v>3.6</v>
      </c>
      <c r="AL58" s="532"/>
      <c r="AO58" s="533"/>
      <c r="AP58" s="532"/>
      <c r="AS58" s="533"/>
      <c r="AW58" s="533"/>
      <c r="BA58" s="534"/>
    </row>
    <row r="59" spans="1:53" s="557" customFormat="1">
      <c r="A59" s="557">
        <v>2001</v>
      </c>
      <c r="B59" s="865">
        <v>37038</v>
      </c>
      <c r="C59" s="916" t="s">
        <v>1051</v>
      </c>
      <c r="D59" s="916"/>
      <c r="E59" s="557">
        <f>365-E58</f>
        <v>219</v>
      </c>
      <c r="F59" s="428" t="s">
        <v>330</v>
      </c>
      <c r="G59" s="539">
        <v>12</v>
      </c>
      <c r="J59" s="541">
        <v>12</v>
      </c>
      <c r="K59" s="537">
        <f t="shared" si="13"/>
        <v>100</v>
      </c>
      <c r="L59" s="537">
        <f t="shared" si="14"/>
        <v>0</v>
      </c>
      <c r="M59" s="537">
        <f t="shared" si="15"/>
        <v>0</v>
      </c>
      <c r="N59" s="540">
        <f t="shared" si="9"/>
        <v>100</v>
      </c>
      <c r="O59" s="536">
        <v>51.8</v>
      </c>
      <c r="P59" s="537"/>
      <c r="Q59" s="537"/>
      <c r="R59" s="538">
        <f t="shared" si="8"/>
        <v>51.8</v>
      </c>
      <c r="S59" s="557">
        <v>1</v>
      </c>
      <c r="T59" s="838">
        <v>37038</v>
      </c>
      <c r="U59" s="836"/>
      <c r="V59" s="532" t="s">
        <v>1045</v>
      </c>
      <c r="W59" s="557" t="s">
        <v>74</v>
      </c>
      <c r="X59" s="557" t="s">
        <v>11</v>
      </c>
      <c r="Y59" s="533">
        <v>33.9</v>
      </c>
      <c r="Z59" s="557" t="s">
        <v>1046</v>
      </c>
      <c r="AA59" s="557" t="s">
        <v>22</v>
      </c>
      <c r="AB59" s="557" t="s">
        <v>11</v>
      </c>
      <c r="AC59" s="557">
        <v>16.100000000000001</v>
      </c>
      <c r="AD59" s="532" t="s">
        <v>1047</v>
      </c>
      <c r="AE59" s="557" t="s">
        <v>88</v>
      </c>
      <c r="AF59" s="557" t="s">
        <v>11</v>
      </c>
      <c r="AG59" s="533">
        <v>1.8</v>
      </c>
      <c r="AL59" s="532"/>
      <c r="AO59" s="533"/>
      <c r="AP59" s="532"/>
      <c r="AS59" s="533"/>
      <c r="AW59" s="533"/>
      <c r="BA59" s="534"/>
    </row>
    <row r="60" spans="1:53" s="557" customFormat="1">
      <c r="A60" s="557">
        <v>2002</v>
      </c>
      <c r="B60" s="836"/>
      <c r="C60" s="916" t="s">
        <v>1051</v>
      </c>
      <c r="D60" s="916"/>
      <c r="E60" s="557">
        <v>0</v>
      </c>
      <c r="G60" s="539">
        <v>12</v>
      </c>
      <c r="J60" s="541">
        <v>12</v>
      </c>
      <c r="K60" s="537">
        <f t="shared" si="13"/>
        <v>100</v>
      </c>
      <c r="L60" s="537">
        <f t="shared" si="14"/>
        <v>0</v>
      </c>
      <c r="M60" s="537">
        <f t="shared" si="15"/>
        <v>0</v>
      </c>
      <c r="N60" s="540">
        <f t="shared" si="9"/>
        <v>100</v>
      </c>
      <c r="O60" s="536">
        <v>51.8</v>
      </c>
      <c r="P60" s="537"/>
      <c r="Q60" s="537"/>
      <c r="R60" s="538">
        <f t="shared" si="8"/>
        <v>51.8</v>
      </c>
      <c r="S60" s="557">
        <v>1</v>
      </c>
      <c r="T60" s="838"/>
      <c r="U60" s="836"/>
      <c r="V60" s="532" t="s">
        <v>1045</v>
      </c>
      <c r="W60" s="557" t="s">
        <v>74</v>
      </c>
      <c r="X60" s="557" t="s">
        <v>11</v>
      </c>
      <c r="Y60" s="533">
        <v>33.9</v>
      </c>
      <c r="Z60" s="557" t="s">
        <v>1046</v>
      </c>
      <c r="AA60" s="557" t="s">
        <v>22</v>
      </c>
      <c r="AB60" s="557" t="s">
        <v>11</v>
      </c>
      <c r="AC60" s="557">
        <v>16.100000000000001</v>
      </c>
      <c r="AD60" s="532" t="s">
        <v>1047</v>
      </c>
      <c r="AE60" s="557" t="s">
        <v>88</v>
      </c>
      <c r="AF60" s="557" t="s">
        <v>11</v>
      </c>
      <c r="AG60" s="533">
        <v>1.8</v>
      </c>
      <c r="AL60" s="532"/>
      <c r="AO60" s="533"/>
      <c r="AP60" s="532"/>
      <c r="AS60" s="533"/>
      <c r="AW60" s="533"/>
      <c r="BA60" s="534"/>
    </row>
    <row r="61" spans="1:53" s="557" customFormat="1">
      <c r="A61" s="557">
        <v>2002</v>
      </c>
      <c r="B61" s="836"/>
      <c r="C61" s="916" t="s">
        <v>1051</v>
      </c>
      <c r="D61" s="916"/>
      <c r="E61" s="557">
        <f>365-E60</f>
        <v>365</v>
      </c>
      <c r="G61" s="539">
        <v>12</v>
      </c>
      <c r="J61" s="541">
        <v>12</v>
      </c>
      <c r="K61" s="537">
        <f t="shared" si="13"/>
        <v>100</v>
      </c>
      <c r="L61" s="537">
        <f t="shared" si="14"/>
        <v>0</v>
      </c>
      <c r="M61" s="537">
        <f t="shared" si="15"/>
        <v>0</v>
      </c>
      <c r="N61" s="540">
        <f t="shared" si="9"/>
        <v>100</v>
      </c>
      <c r="O61" s="536">
        <v>51.8</v>
      </c>
      <c r="P61" s="537"/>
      <c r="Q61" s="537"/>
      <c r="R61" s="538">
        <f t="shared" si="8"/>
        <v>51.8</v>
      </c>
      <c r="S61" s="557">
        <v>1</v>
      </c>
      <c r="T61" s="838"/>
      <c r="U61" s="836"/>
      <c r="V61" s="532" t="s">
        <v>1045</v>
      </c>
      <c r="W61" s="557" t="s">
        <v>74</v>
      </c>
      <c r="X61" s="557" t="s">
        <v>11</v>
      </c>
      <c r="Y61" s="533">
        <v>33.9</v>
      </c>
      <c r="Z61" s="557" t="s">
        <v>1046</v>
      </c>
      <c r="AA61" s="557" t="s">
        <v>22</v>
      </c>
      <c r="AB61" s="557" t="s">
        <v>11</v>
      </c>
      <c r="AC61" s="557">
        <v>16.100000000000001</v>
      </c>
      <c r="AD61" s="532" t="s">
        <v>1047</v>
      </c>
      <c r="AE61" s="557" t="s">
        <v>88</v>
      </c>
      <c r="AF61" s="557" t="s">
        <v>11</v>
      </c>
      <c r="AG61" s="533">
        <v>1.8</v>
      </c>
      <c r="AL61" s="532"/>
      <c r="AO61" s="533"/>
      <c r="AP61" s="532"/>
      <c r="AS61" s="533"/>
      <c r="AW61" s="533"/>
      <c r="BA61" s="534"/>
    </row>
    <row r="62" spans="1:53" s="557" customFormat="1">
      <c r="A62" s="557">
        <v>2003</v>
      </c>
      <c r="B62" s="836"/>
      <c r="C62" s="916" t="s">
        <v>1051</v>
      </c>
      <c r="D62" s="916"/>
      <c r="E62" s="557">
        <v>58</v>
      </c>
      <c r="G62" s="539">
        <v>12</v>
      </c>
      <c r="J62" s="541">
        <v>12</v>
      </c>
      <c r="K62" s="537">
        <f t="shared" si="13"/>
        <v>100</v>
      </c>
      <c r="L62" s="537">
        <f t="shared" si="14"/>
        <v>0</v>
      </c>
      <c r="M62" s="537">
        <f t="shared" si="15"/>
        <v>0</v>
      </c>
      <c r="N62" s="540">
        <f t="shared" si="9"/>
        <v>100</v>
      </c>
      <c r="O62" s="536">
        <v>51.8</v>
      </c>
      <c r="P62" s="537"/>
      <c r="Q62" s="537"/>
      <c r="R62" s="538">
        <f t="shared" si="8"/>
        <v>51.8</v>
      </c>
      <c r="S62" s="557">
        <v>1</v>
      </c>
      <c r="T62" s="838"/>
      <c r="U62" s="836"/>
      <c r="V62" s="532" t="s">
        <v>1045</v>
      </c>
      <c r="W62" s="557" t="s">
        <v>74</v>
      </c>
      <c r="X62" s="557" t="s">
        <v>11</v>
      </c>
      <c r="Y62" s="533">
        <v>33.9</v>
      </c>
      <c r="Z62" s="557" t="s">
        <v>1046</v>
      </c>
      <c r="AA62" s="557" t="s">
        <v>22</v>
      </c>
      <c r="AB62" s="557" t="s">
        <v>11</v>
      </c>
      <c r="AC62" s="557">
        <v>16.100000000000001</v>
      </c>
      <c r="AD62" s="532" t="s">
        <v>1047</v>
      </c>
      <c r="AE62" s="557" t="s">
        <v>88</v>
      </c>
      <c r="AF62" s="557" t="s">
        <v>11</v>
      </c>
      <c r="AG62" s="533">
        <v>1.8</v>
      </c>
      <c r="AL62" s="532"/>
      <c r="AO62" s="533"/>
      <c r="AP62" s="532"/>
      <c r="AS62" s="533"/>
      <c r="AW62" s="533"/>
      <c r="BA62" s="534"/>
    </row>
    <row r="63" spans="1:53" s="556" customFormat="1">
      <c r="A63" s="556">
        <v>2003</v>
      </c>
      <c r="B63" s="852">
        <v>37680</v>
      </c>
      <c r="C63" s="917" t="s">
        <v>1050</v>
      </c>
      <c r="D63" s="917"/>
      <c r="E63" s="556">
        <f>365-E62</f>
        <v>307</v>
      </c>
      <c r="F63" s="556">
        <v>1</v>
      </c>
      <c r="G63" s="498">
        <v>4</v>
      </c>
      <c r="I63" s="556">
        <v>6</v>
      </c>
      <c r="J63" s="500">
        <v>12</v>
      </c>
      <c r="K63" s="496">
        <f t="shared" si="13"/>
        <v>33.333333333333329</v>
      </c>
      <c r="L63" s="496">
        <f t="shared" si="14"/>
        <v>0</v>
      </c>
      <c r="M63" s="496">
        <f t="shared" si="15"/>
        <v>50</v>
      </c>
      <c r="N63" s="499">
        <f t="shared" si="9"/>
        <v>83.333333333333329</v>
      </c>
      <c r="O63" s="495">
        <v>16.100000000000001</v>
      </c>
      <c r="P63" s="496"/>
      <c r="Q63" s="496">
        <v>42.8</v>
      </c>
      <c r="R63" s="497">
        <f t="shared" si="8"/>
        <v>58.9</v>
      </c>
      <c r="S63" s="556">
        <v>1</v>
      </c>
      <c r="T63" s="839"/>
      <c r="U63" s="852">
        <v>37680</v>
      </c>
      <c r="V63" s="492" t="s">
        <v>1052</v>
      </c>
      <c r="W63" s="556" t="s">
        <v>114</v>
      </c>
      <c r="X63" s="556" t="s">
        <v>12</v>
      </c>
      <c r="Y63" s="493">
        <v>35.700000000000003</v>
      </c>
      <c r="Z63" s="556" t="s">
        <v>1046</v>
      </c>
      <c r="AA63" s="556" t="s">
        <v>22</v>
      </c>
      <c r="AB63" s="556" t="s">
        <v>11</v>
      </c>
      <c r="AC63" s="556">
        <v>16.100000000000001</v>
      </c>
      <c r="AD63" s="492" t="s">
        <v>1048</v>
      </c>
      <c r="AE63" s="556" t="s">
        <v>20</v>
      </c>
      <c r="AF63" s="556" t="s">
        <v>12</v>
      </c>
      <c r="AG63" s="493">
        <v>7.1</v>
      </c>
      <c r="AL63" s="492"/>
      <c r="AO63" s="493"/>
      <c r="AP63" s="492"/>
      <c r="AS63" s="493"/>
      <c r="AW63" s="493"/>
      <c r="BA63" s="494"/>
    </row>
    <row r="64" spans="1:53" s="556" customFormat="1">
      <c r="A64" s="556">
        <v>2004</v>
      </c>
      <c r="B64" s="852"/>
      <c r="C64" s="917" t="s">
        <v>1050</v>
      </c>
      <c r="D64" s="917"/>
      <c r="E64" s="556">
        <v>137</v>
      </c>
      <c r="G64" s="498">
        <v>4</v>
      </c>
      <c r="I64" s="556">
        <v>6</v>
      </c>
      <c r="J64" s="500">
        <v>12</v>
      </c>
      <c r="K64" s="496">
        <f t="shared" si="13"/>
        <v>33.333333333333329</v>
      </c>
      <c r="L64" s="496">
        <f t="shared" si="14"/>
        <v>0</v>
      </c>
      <c r="M64" s="496">
        <f t="shared" si="15"/>
        <v>50</v>
      </c>
      <c r="N64" s="499">
        <f t="shared" si="9"/>
        <v>83.333333333333329</v>
      </c>
      <c r="O64" s="495">
        <v>16.100000000000001</v>
      </c>
      <c r="P64" s="496"/>
      <c r="Q64" s="496">
        <v>42.8</v>
      </c>
      <c r="R64" s="497">
        <f t="shared" si="8"/>
        <v>58.9</v>
      </c>
      <c r="S64" s="556">
        <v>1</v>
      </c>
      <c r="T64" s="839"/>
      <c r="U64" s="852"/>
      <c r="V64" s="492" t="s">
        <v>1052</v>
      </c>
      <c r="W64" s="556" t="s">
        <v>114</v>
      </c>
      <c r="X64" s="556" t="s">
        <v>12</v>
      </c>
      <c r="Y64" s="493">
        <v>35.700000000000003</v>
      </c>
      <c r="Z64" s="556" t="s">
        <v>1046</v>
      </c>
      <c r="AA64" s="556" t="s">
        <v>22</v>
      </c>
      <c r="AB64" s="556" t="s">
        <v>11</v>
      </c>
      <c r="AC64" s="556">
        <v>16.100000000000001</v>
      </c>
      <c r="AD64" s="492" t="s">
        <v>1048</v>
      </c>
      <c r="AE64" s="556" t="s">
        <v>20</v>
      </c>
      <c r="AF64" s="556" t="s">
        <v>12</v>
      </c>
      <c r="AG64" s="493">
        <v>7.1</v>
      </c>
      <c r="AL64" s="492"/>
      <c r="AO64" s="493"/>
      <c r="AP64" s="492"/>
      <c r="AS64" s="493"/>
      <c r="AW64" s="493"/>
      <c r="BA64" s="494"/>
    </row>
    <row r="65" spans="1:53" s="556" customFormat="1">
      <c r="A65" s="556">
        <v>2004</v>
      </c>
      <c r="B65" s="860">
        <v>38124</v>
      </c>
      <c r="C65" s="917" t="s">
        <v>1050</v>
      </c>
      <c r="D65" s="917"/>
      <c r="E65" s="556">
        <v>229</v>
      </c>
      <c r="F65" s="502">
        <v>0</v>
      </c>
      <c r="G65" s="498">
        <v>3</v>
      </c>
      <c r="I65" s="556">
        <v>6</v>
      </c>
      <c r="J65" s="500">
        <v>12</v>
      </c>
      <c r="K65" s="496">
        <f t="shared" si="13"/>
        <v>25</v>
      </c>
      <c r="L65" s="496">
        <f t="shared" si="14"/>
        <v>0</v>
      </c>
      <c r="M65" s="496">
        <f t="shared" si="15"/>
        <v>50</v>
      </c>
      <c r="N65" s="499">
        <f t="shared" si="9"/>
        <v>75</v>
      </c>
      <c r="O65" s="495">
        <v>16.100000000000001</v>
      </c>
      <c r="P65" s="496"/>
      <c r="Q65" s="496">
        <v>42.8</v>
      </c>
      <c r="R65" s="497">
        <f t="shared" si="8"/>
        <v>58.9</v>
      </c>
      <c r="S65" s="556">
        <v>1</v>
      </c>
      <c r="T65" s="839"/>
      <c r="U65" s="852"/>
      <c r="V65" s="492" t="s">
        <v>1052</v>
      </c>
      <c r="W65" s="556" t="s">
        <v>114</v>
      </c>
      <c r="X65" s="556" t="s">
        <v>12</v>
      </c>
      <c r="Y65" s="493">
        <v>35.700000000000003</v>
      </c>
      <c r="Z65" s="556" t="s">
        <v>1046</v>
      </c>
      <c r="AA65" s="556" t="s">
        <v>22</v>
      </c>
      <c r="AB65" s="556" t="s">
        <v>11</v>
      </c>
      <c r="AC65" s="556">
        <v>16.100000000000001</v>
      </c>
      <c r="AD65" s="492" t="s">
        <v>1048</v>
      </c>
      <c r="AE65" s="556" t="s">
        <v>20</v>
      </c>
      <c r="AF65" s="556" t="s">
        <v>12</v>
      </c>
      <c r="AG65" s="493">
        <v>7.1</v>
      </c>
      <c r="AL65" s="492"/>
      <c r="AO65" s="493"/>
      <c r="AP65" s="492"/>
      <c r="AS65" s="493"/>
      <c r="AW65" s="493"/>
      <c r="BA65" s="494"/>
    </row>
    <row r="66" spans="1:53" s="556" customFormat="1">
      <c r="A66" s="556">
        <v>2005</v>
      </c>
      <c r="B66" s="852"/>
      <c r="C66" s="917" t="s">
        <v>1050</v>
      </c>
      <c r="D66" s="917"/>
      <c r="E66" s="556">
        <v>31</v>
      </c>
      <c r="G66" s="498">
        <v>3</v>
      </c>
      <c r="I66" s="556">
        <v>6</v>
      </c>
      <c r="J66" s="500">
        <v>12</v>
      </c>
      <c r="K66" s="496">
        <f t="shared" ref="K66:K78" si="16">G66/J66*100</f>
        <v>25</v>
      </c>
      <c r="L66" s="496">
        <f t="shared" ref="L66:L78" si="17">H66/J66*100</f>
        <v>0</v>
      </c>
      <c r="M66" s="496">
        <f t="shared" ref="M66:M78" si="18">I66/J66*100</f>
        <v>50</v>
      </c>
      <c r="N66" s="499">
        <f t="shared" si="9"/>
        <v>75</v>
      </c>
      <c r="O66" s="495">
        <v>16.100000000000001</v>
      </c>
      <c r="P66" s="496"/>
      <c r="Q66" s="496">
        <v>42.8</v>
      </c>
      <c r="R66" s="497">
        <f t="shared" si="8"/>
        <v>58.9</v>
      </c>
      <c r="S66" s="556">
        <v>1</v>
      </c>
      <c r="T66" s="839"/>
      <c r="U66" s="852"/>
      <c r="V66" s="492" t="s">
        <v>1052</v>
      </c>
      <c r="W66" s="556" t="s">
        <v>114</v>
      </c>
      <c r="X66" s="556" t="s">
        <v>12</v>
      </c>
      <c r="Y66" s="493">
        <v>35.700000000000003</v>
      </c>
      <c r="Z66" s="556" t="s">
        <v>1046</v>
      </c>
      <c r="AA66" s="556" t="s">
        <v>22</v>
      </c>
      <c r="AB66" s="556" t="s">
        <v>11</v>
      </c>
      <c r="AC66" s="556">
        <v>16.100000000000001</v>
      </c>
      <c r="AD66" s="492" t="s">
        <v>1048</v>
      </c>
      <c r="AE66" s="556" t="s">
        <v>20</v>
      </c>
      <c r="AF66" s="556" t="s">
        <v>12</v>
      </c>
      <c r="AG66" s="493">
        <v>7.1</v>
      </c>
      <c r="AL66" s="492"/>
      <c r="AO66" s="493"/>
      <c r="AP66" s="492"/>
      <c r="AS66" s="493"/>
      <c r="AW66" s="493"/>
      <c r="BA66" s="494"/>
    </row>
    <row r="67" spans="1:53" s="556" customFormat="1">
      <c r="A67" s="556">
        <v>2005</v>
      </c>
      <c r="B67" s="860">
        <v>38384</v>
      </c>
      <c r="C67" s="917" t="s">
        <v>1050</v>
      </c>
      <c r="D67" s="917"/>
      <c r="E67" s="556">
        <v>334</v>
      </c>
      <c r="F67" s="502">
        <v>0</v>
      </c>
      <c r="G67" s="498">
        <v>3</v>
      </c>
      <c r="I67" s="556">
        <v>5</v>
      </c>
      <c r="J67" s="500">
        <v>12</v>
      </c>
      <c r="K67" s="496">
        <f>G67/J67*100</f>
        <v>25</v>
      </c>
      <c r="L67" s="496">
        <f>H67/J67*100</f>
        <v>0</v>
      </c>
      <c r="M67" s="496">
        <f>I67/J67*100</f>
        <v>41.666666666666671</v>
      </c>
      <c r="N67" s="499">
        <f t="shared" si="9"/>
        <v>66.666666666666671</v>
      </c>
      <c r="O67" s="495">
        <v>16.100000000000001</v>
      </c>
      <c r="P67" s="496"/>
      <c r="Q67" s="496">
        <v>42.8</v>
      </c>
      <c r="R67" s="497">
        <f t="shared" si="8"/>
        <v>58.9</v>
      </c>
      <c r="S67" s="556">
        <v>1</v>
      </c>
      <c r="T67" s="839"/>
      <c r="U67" s="852"/>
      <c r="V67" s="492" t="s">
        <v>1052</v>
      </c>
      <c r="W67" s="556" t="s">
        <v>114</v>
      </c>
      <c r="X67" s="556" t="s">
        <v>12</v>
      </c>
      <c r="Y67" s="493">
        <v>35.700000000000003</v>
      </c>
      <c r="Z67" s="556" t="s">
        <v>1046</v>
      </c>
      <c r="AA67" s="556" t="s">
        <v>22</v>
      </c>
      <c r="AB67" s="556" t="s">
        <v>11</v>
      </c>
      <c r="AC67" s="556">
        <v>16.100000000000001</v>
      </c>
      <c r="AD67" s="492" t="s">
        <v>1048</v>
      </c>
      <c r="AE67" s="556" t="s">
        <v>20</v>
      </c>
      <c r="AF67" s="556" t="s">
        <v>12</v>
      </c>
      <c r="AG67" s="493">
        <v>7.1</v>
      </c>
      <c r="AL67" s="492"/>
      <c r="AO67" s="493"/>
      <c r="AP67" s="492"/>
      <c r="AS67" s="493"/>
      <c r="AW67" s="493"/>
      <c r="BA67" s="494"/>
    </row>
    <row r="68" spans="1:53" s="556" customFormat="1">
      <c r="A68" s="556">
        <v>2006</v>
      </c>
      <c r="B68" s="852"/>
      <c r="C68" s="917" t="s">
        <v>1050</v>
      </c>
      <c r="D68" s="917"/>
      <c r="E68" s="556">
        <v>140</v>
      </c>
      <c r="G68" s="498">
        <v>3</v>
      </c>
      <c r="I68" s="556">
        <v>5</v>
      </c>
      <c r="J68" s="500">
        <v>12</v>
      </c>
      <c r="K68" s="496">
        <f t="shared" si="16"/>
        <v>25</v>
      </c>
      <c r="L68" s="496">
        <f t="shared" si="17"/>
        <v>0</v>
      </c>
      <c r="M68" s="496">
        <f t="shared" si="18"/>
        <v>41.666666666666671</v>
      </c>
      <c r="N68" s="499">
        <f t="shared" si="9"/>
        <v>66.666666666666671</v>
      </c>
      <c r="O68" s="495">
        <v>16.100000000000001</v>
      </c>
      <c r="P68" s="496"/>
      <c r="Q68" s="496">
        <v>42.8</v>
      </c>
      <c r="R68" s="497">
        <f t="shared" si="8"/>
        <v>58.9</v>
      </c>
      <c r="S68" s="556">
        <v>1</v>
      </c>
      <c r="T68" s="839"/>
      <c r="U68" s="852"/>
      <c r="V68" s="492" t="s">
        <v>1052</v>
      </c>
      <c r="W68" s="556" t="s">
        <v>114</v>
      </c>
      <c r="X68" s="556" t="s">
        <v>12</v>
      </c>
      <c r="Y68" s="493">
        <v>35.700000000000003</v>
      </c>
      <c r="Z68" s="556" t="s">
        <v>1046</v>
      </c>
      <c r="AA68" s="556" t="s">
        <v>22</v>
      </c>
      <c r="AB68" s="556" t="s">
        <v>11</v>
      </c>
      <c r="AC68" s="556">
        <v>16.100000000000001</v>
      </c>
      <c r="AD68" s="492" t="s">
        <v>1048</v>
      </c>
      <c r="AE68" s="556" t="s">
        <v>20</v>
      </c>
      <c r="AF68" s="556" t="s">
        <v>12</v>
      </c>
      <c r="AG68" s="493">
        <v>7.1</v>
      </c>
      <c r="AL68" s="492"/>
      <c r="AO68" s="493"/>
      <c r="AP68" s="492"/>
      <c r="AS68" s="493"/>
      <c r="AW68" s="493"/>
      <c r="BA68" s="494"/>
    </row>
    <row r="69" spans="1:53" s="556" customFormat="1">
      <c r="A69" s="556">
        <v>2006</v>
      </c>
      <c r="B69" s="860">
        <v>38858</v>
      </c>
      <c r="C69" s="917" t="s">
        <v>1050</v>
      </c>
      <c r="D69" s="917"/>
      <c r="E69" s="556">
        <v>23</v>
      </c>
      <c r="F69" s="502" t="s">
        <v>330</v>
      </c>
      <c r="G69" s="498">
        <v>3</v>
      </c>
      <c r="I69" s="556">
        <v>5</v>
      </c>
      <c r="J69" s="500">
        <v>12</v>
      </c>
      <c r="K69" s="496">
        <f>G69/J69*100</f>
        <v>25</v>
      </c>
      <c r="L69" s="496">
        <f>H69/J69*100</f>
        <v>0</v>
      </c>
      <c r="M69" s="496">
        <f>I69/J69*100</f>
        <v>41.666666666666671</v>
      </c>
      <c r="N69" s="499">
        <f t="shared" si="9"/>
        <v>66.666666666666671</v>
      </c>
      <c r="O69" s="495">
        <v>19.600000000000001</v>
      </c>
      <c r="P69" s="496"/>
      <c r="Q69" s="496">
        <v>41</v>
      </c>
      <c r="R69" s="497">
        <f t="shared" si="8"/>
        <v>60.6</v>
      </c>
      <c r="S69" s="556">
        <v>1</v>
      </c>
      <c r="T69" s="839">
        <v>38858</v>
      </c>
      <c r="U69" s="852"/>
      <c r="V69" s="492" t="s">
        <v>1052</v>
      </c>
      <c r="W69" s="556" t="s">
        <v>114</v>
      </c>
      <c r="X69" s="556" t="s">
        <v>12</v>
      </c>
      <c r="Y69" s="493">
        <v>32.1</v>
      </c>
      <c r="Z69" s="556" t="s">
        <v>1046</v>
      </c>
      <c r="AA69" s="556" t="s">
        <v>22</v>
      </c>
      <c r="AB69" s="556" t="s">
        <v>11</v>
      </c>
      <c r="AC69" s="556">
        <v>19.600000000000001</v>
      </c>
      <c r="AD69" s="492" t="s">
        <v>1048</v>
      </c>
      <c r="AE69" s="556" t="s">
        <v>20</v>
      </c>
      <c r="AF69" s="556" t="s">
        <v>12</v>
      </c>
      <c r="AG69" s="493">
        <v>8.9</v>
      </c>
      <c r="AL69" s="492"/>
      <c r="AO69" s="493"/>
      <c r="AP69" s="492"/>
      <c r="AS69" s="493"/>
      <c r="AW69" s="493"/>
      <c r="BA69" s="494"/>
    </row>
    <row r="70" spans="1:53" s="556" customFormat="1">
      <c r="A70" s="556">
        <v>2006</v>
      </c>
      <c r="B70" s="860">
        <v>38881</v>
      </c>
      <c r="C70" s="917" t="s">
        <v>1050</v>
      </c>
      <c r="D70" s="917"/>
      <c r="E70" s="556">
        <v>202</v>
      </c>
      <c r="F70" s="502">
        <v>0</v>
      </c>
      <c r="G70" s="498">
        <v>6</v>
      </c>
      <c r="I70" s="556">
        <v>5</v>
      </c>
      <c r="J70" s="500">
        <v>12</v>
      </c>
      <c r="K70" s="496">
        <f t="shared" si="16"/>
        <v>50</v>
      </c>
      <c r="L70" s="496">
        <f t="shared" si="17"/>
        <v>0</v>
      </c>
      <c r="M70" s="496">
        <f t="shared" si="18"/>
        <v>41.666666666666671</v>
      </c>
      <c r="N70" s="499">
        <f t="shared" si="9"/>
        <v>91.666666666666671</v>
      </c>
      <c r="O70" s="495">
        <v>19.600000000000001</v>
      </c>
      <c r="P70" s="496"/>
      <c r="Q70" s="496">
        <v>41</v>
      </c>
      <c r="R70" s="497">
        <f t="shared" si="8"/>
        <v>60.6</v>
      </c>
      <c r="S70" s="556">
        <v>1</v>
      </c>
      <c r="T70" s="839"/>
      <c r="U70" s="852"/>
      <c r="V70" s="492" t="s">
        <v>1052</v>
      </c>
      <c r="W70" s="556" t="s">
        <v>114</v>
      </c>
      <c r="X70" s="556" t="s">
        <v>12</v>
      </c>
      <c r="Y70" s="493">
        <v>32.1</v>
      </c>
      <c r="Z70" s="556" t="s">
        <v>1046</v>
      </c>
      <c r="AA70" s="556" t="s">
        <v>22</v>
      </c>
      <c r="AB70" s="556" t="s">
        <v>11</v>
      </c>
      <c r="AC70" s="556">
        <v>19.600000000000001</v>
      </c>
      <c r="AD70" s="492" t="s">
        <v>1048</v>
      </c>
      <c r="AE70" s="556" t="s">
        <v>20</v>
      </c>
      <c r="AF70" s="556" t="s">
        <v>12</v>
      </c>
      <c r="AG70" s="493">
        <v>8.9</v>
      </c>
      <c r="AL70" s="492"/>
      <c r="AO70" s="493"/>
      <c r="AP70" s="492"/>
      <c r="AS70" s="493"/>
      <c r="AW70" s="493"/>
      <c r="BA70" s="494"/>
    </row>
    <row r="71" spans="1:53" s="556" customFormat="1">
      <c r="A71" s="556">
        <v>2007</v>
      </c>
      <c r="B71" s="852"/>
      <c r="C71" s="917" t="s">
        <v>1050</v>
      </c>
      <c r="D71" s="917"/>
      <c r="E71" s="556">
        <v>196</v>
      </c>
      <c r="G71" s="498">
        <v>3</v>
      </c>
      <c r="I71" s="556">
        <v>5</v>
      </c>
      <c r="J71" s="500">
        <v>12</v>
      </c>
      <c r="K71" s="496">
        <f t="shared" si="16"/>
        <v>25</v>
      </c>
      <c r="L71" s="496">
        <f t="shared" si="17"/>
        <v>0</v>
      </c>
      <c r="M71" s="496">
        <f t="shared" si="18"/>
        <v>41.666666666666671</v>
      </c>
      <c r="N71" s="499">
        <f t="shared" si="9"/>
        <v>66.666666666666671</v>
      </c>
      <c r="O71" s="495">
        <v>19.600000000000001</v>
      </c>
      <c r="P71" s="496"/>
      <c r="Q71" s="496">
        <v>41</v>
      </c>
      <c r="R71" s="497">
        <f t="shared" si="8"/>
        <v>60.6</v>
      </c>
      <c r="S71" s="556">
        <v>1</v>
      </c>
      <c r="T71" s="839"/>
      <c r="U71" s="852"/>
      <c r="V71" s="492" t="s">
        <v>1052</v>
      </c>
      <c r="W71" s="556" t="s">
        <v>114</v>
      </c>
      <c r="X71" s="556" t="s">
        <v>12</v>
      </c>
      <c r="Y71" s="493">
        <v>32.1</v>
      </c>
      <c r="Z71" s="556" t="s">
        <v>1046</v>
      </c>
      <c r="AA71" s="556" t="s">
        <v>22</v>
      </c>
      <c r="AB71" s="556" t="s">
        <v>11</v>
      </c>
      <c r="AC71" s="556">
        <v>19.600000000000001</v>
      </c>
      <c r="AD71" s="492" t="s">
        <v>1048</v>
      </c>
      <c r="AE71" s="556" t="s">
        <v>20</v>
      </c>
      <c r="AF71" s="556" t="s">
        <v>12</v>
      </c>
      <c r="AG71" s="493">
        <v>8.9</v>
      </c>
      <c r="AL71" s="492"/>
      <c r="AO71" s="493"/>
      <c r="AP71" s="492"/>
      <c r="AS71" s="493"/>
      <c r="AW71" s="493"/>
      <c r="BA71" s="494"/>
    </row>
    <row r="72" spans="1:53" s="556" customFormat="1">
      <c r="A72" s="556">
        <v>2007</v>
      </c>
      <c r="B72" s="860">
        <v>39279</v>
      </c>
      <c r="C72" s="917" t="s">
        <v>1050</v>
      </c>
      <c r="D72" s="917"/>
      <c r="E72" s="556">
        <v>169</v>
      </c>
      <c r="F72" s="502">
        <v>0</v>
      </c>
      <c r="G72" s="498">
        <v>6</v>
      </c>
      <c r="I72" s="556">
        <v>2</v>
      </c>
      <c r="J72" s="500">
        <v>12</v>
      </c>
      <c r="K72" s="496">
        <f t="shared" si="16"/>
        <v>50</v>
      </c>
      <c r="L72" s="496">
        <f t="shared" si="17"/>
        <v>0</v>
      </c>
      <c r="M72" s="496">
        <f t="shared" si="18"/>
        <v>16.666666666666664</v>
      </c>
      <c r="N72" s="499">
        <f t="shared" si="9"/>
        <v>66.666666666666657</v>
      </c>
      <c r="O72" s="495">
        <v>19.600000000000001</v>
      </c>
      <c r="P72" s="496"/>
      <c r="Q72" s="496">
        <v>8.9</v>
      </c>
      <c r="R72" s="497">
        <f t="shared" si="8"/>
        <v>28.5</v>
      </c>
      <c r="S72" s="556">
        <v>1</v>
      </c>
      <c r="T72" s="839"/>
      <c r="U72" s="852"/>
      <c r="V72" s="492" t="s">
        <v>1046</v>
      </c>
      <c r="W72" s="556" t="s">
        <v>22</v>
      </c>
      <c r="X72" s="556" t="s">
        <v>11</v>
      </c>
      <c r="Y72" s="493">
        <v>19.600000000000001</v>
      </c>
      <c r="Z72" s="556" t="s">
        <v>1048</v>
      </c>
      <c r="AA72" s="556" t="s">
        <v>20</v>
      </c>
      <c r="AB72" s="556" t="s">
        <v>12</v>
      </c>
      <c r="AC72" s="556">
        <v>8.9</v>
      </c>
      <c r="AD72" s="492"/>
      <c r="AG72" s="493"/>
      <c r="AL72" s="492"/>
      <c r="AO72" s="493"/>
      <c r="AP72" s="492"/>
      <c r="AS72" s="493"/>
      <c r="AW72" s="493"/>
      <c r="BA72" s="494"/>
    </row>
    <row r="73" spans="1:53" s="556" customFormat="1">
      <c r="A73" s="556">
        <v>2008</v>
      </c>
      <c r="B73" s="852"/>
      <c r="C73" s="917" t="s">
        <v>1050</v>
      </c>
      <c r="D73" s="917"/>
      <c r="E73" s="556">
        <v>59</v>
      </c>
      <c r="G73" s="498">
        <v>6</v>
      </c>
      <c r="I73" s="556">
        <v>2</v>
      </c>
      <c r="J73" s="500">
        <v>12</v>
      </c>
      <c r="K73" s="496">
        <f t="shared" si="16"/>
        <v>50</v>
      </c>
      <c r="L73" s="496">
        <f t="shared" si="17"/>
        <v>0</v>
      </c>
      <c r="M73" s="496">
        <f t="shared" si="18"/>
        <v>16.666666666666664</v>
      </c>
      <c r="N73" s="499">
        <f t="shared" si="9"/>
        <v>66.666666666666657</v>
      </c>
      <c r="O73" s="495">
        <v>19.600000000000001</v>
      </c>
      <c r="P73" s="496"/>
      <c r="Q73" s="496">
        <v>8.9</v>
      </c>
      <c r="R73" s="497">
        <f t="shared" si="8"/>
        <v>28.5</v>
      </c>
      <c r="S73" s="556">
        <v>1</v>
      </c>
      <c r="T73" s="839"/>
      <c r="U73" s="852"/>
      <c r="V73" s="492" t="s">
        <v>1046</v>
      </c>
      <c r="W73" s="556" t="s">
        <v>22</v>
      </c>
      <c r="X73" s="556" t="s">
        <v>11</v>
      </c>
      <c r="Y73" s="493">
        <v>19.600000000000001</v>
      </c>
      <c r="Z73" s="556" t="s">
        <v>1048</v>
      </c>
      <c r="AA73" s="556" t="s">
        <v>20</v>
      </c>
      <c r="AB73" s="556" t="s">
        <v>12</v>
      </c>
      <c r="AC73" s="556">
        <v>8.9</v>
      </c>
      <c r="AD73" s="492"/>
      <c r="AG73" s="493"/>
      <c r="AL73" s="492"/>
      <c r="AO73" s="493"/>
      <c r="AP73" s="492"/>
      <c r="AS73" s="493"/>
      <c r="AW73" s="493"/>
      <c r="BA73" s="494"/>
    </row>
    <row r="74" spans="1:53" s="557" customFormat="1">
      <c r="A74" s="557">
        <v>2008</v>
      </c>
      <c r="B74" s="836">
        <v>39507</v>
      </c>
      <c r="C74" s="916" t="s">
        <v>1053</v>
      </c>
      <c r="D74" s="916"/>
      <c r="E74" s="557">
        <v>307</v>
      </c>
      <c r="F74" s="557">
        <v>1</v>
      </c>
      <c r="G74" s="539">
        <v>3</v>
      </c>
      <c r="I74" s="557">
        <v>7</v>
      </c>
      <c r="J74" s="541">
        <v>12</v>
      </c>
      <c r="K74" s="537">
        <f t="shared" si="16"/>
        <v>25</v>
      </c>
      <c r="L74" s="537">
        <f t="shared" si="17"/>
        <v>0</v>
      </c>
      <c r="M74" s="537">
        <f t="shared" si="18"/>
        <v>58.333333333333336</v>
      </c>
      <c r="N74" s="540">
        <f t="shared" si="9"/>
        <v>83.333333333333343</v>
      </c>
      <c r="O74" s="536">
        <v>19.600000000000001</v>
      </c>
      <c r="P74" s="537"/>
      <c r="Q74" s="537">
        <v>41</v>
      </c>
      <c r="R74" s="538">
        <f t="shared" si="8"/>
        <v>60.6</v>
      </c>
      <c r="S74" s="557">
        <v>1</v>
      </c>
      <c r="T74" s="838"/>
      <c r="U74" s="836">
        <v>39507</v>
      </c>
      <c r="V74" s="532" t="s">
        <v>1052</v>
      </c>
      <c r="W74" s="557" t="s">
        <v>114</v>
      </c>
      <c r="X74" s="557" t="s">
        <v>12</v>
      </c>
      <c r="Y74" s="533">
        <v>32.1</v>
      </c>
      <c r="Z74" s="557" t="s">
        <v>1046</v>
      </c>
      <c r="AA74" s="557" t="s">
        <v>22</v>
      </c>
      <c r="AB74" s="557" t="s">
        <v>11</v>
      </c>
      <c r="AC74" s="557">
        <v>19.600000000000001</v>
      </c>
      <c r="AD74" s="532" t="s">
        <v>1048</v>
      </c>
      <c r="AE74" s="557" t="s">
        <v>20</v>
      </c>
      <c r="AF74" s="557" t="s">
        <v>12</v>
      </c>
      <c r="AG74" s="533">
        <v>8.9</v>
      </c>
      <c r="AL74" s="532"/>
      <c r="AO74" s="533"/>
      <c r="AP74" s="532"/>
      <c r="AS74" s="533"/>
      <c r="AW74" s="533"/>
      <c r="BA74" s="534"/>
    </row>
    <row r="75" spans="1:53" s="557" customFormat="1">
      <c r="A75" s="557">
        <v>2009</v>
      </c>
      <c r="B75" s="836"/>
      <c r="C75" s="916" t="s">
        <v>1053</v>
      </c>
      <c r="D75" s="916"/>
      <c r="E75" s="557">
        <v>0</v>
      </c>
      <c r="G75" s="539">
        <v>3</v>
      </c>
      <c r="I75" s="557">
        <v>7</v>
      </c>
      <c r="J75" s="541">
        <v>12</v>
      </c>
      <c r="K75" s="537">
        <f t="shared" si="16"/>
        <v>25</v>
      </c>
      <c r="L75" s="537">
        <f t="shared" si="17"/>
        <v>0</v>
      </c>
      <c r="M75" s="537">
        <f t="shared" si="18"/>
        <v>58.333333333333336</v>
      </c>
      <c r="N75" s="540">
        <f t="shared" si="9"/>
        <v>83.333333333333343</v>
      </c>
      <c r="O75" s="536">
        <v>19.600000000000001</v>
      </c>
      <c r="P75" s="537"/>
      <c r="Q75" s="537">
        <v>41</v>
      </c>
      <c r="R75" s="538">
        <f t="shared" si="8"/>
        <v>60.6</v>
      </c>
      <c r="S75" s="557">
        <v>1</v>
      </c>
      <c r="T75" s="838"/>
      <c r="U75" s="836"/>
      <c r="V75" s="532" t="s">
        <v>1052</v>
      </c>
      <c r="W75" s="557" t="s">
        <v>114</v>
      </c>
      <c r="X75" s="557" t="s">
        <v>12</v>
      </c>
      <c r="Y75" s="533">
        <v>32.1</v>
      </c>
      <c r="Z75" s="557" t="s">
        <v>1046</v>
      </c>
      <c r="AA75" s="557" t="s">
        <v>22</v>
      </c>
      <c r="AB75" s="557" t="s">
        <v>11</v>
      </c>
      <c r="AC75" s="557">
        <v>19.600000000000001</v>
      </c>
      <c r="AD75" s="532" t="s">
        <v>1048</v>
      </c>
      <c r="AE75" s="557" t="s">
        <v>20</v>
      </c>
      <c r="AF75" s="557" t="s">
        <v>12</v>
      </c>
      <c r="AG75" s="533">
        <v>8.9</v>
      </c>
      <c r="AL75" s="532"/>
      <c r="AO75" s="533"/>
      <c r="AP75" s="532"/>
      <c r="AS75" s="533"/>
      <c r="AW75" s="533"/>
      <c r="BA75" s="534"/>
    </row>
    <row r="76" spans="1:53" s="557" customFormat="1">
      <c r="A76" s="557">
        <v>2009</v>
      </c>
      <c r="B76" s="836"/>
      <c r="C76" s="916" t="s">
        <v>1053</v>
      </c>
      <c r="D76" s="916"/>
      <c r="E76" s="557">
        <v>365</v>
      </c>
      <c r="G76" s="539">
        <v>3</v>
      </c>
      <c r="I76" s="557">
        <v>7</v>
      </c>
      <c r="J76" s="541">
        <v>12</v>
      </c>
      <c r="K76" s="537">
        <f t="shared" si="16"/>
        <v>25</v>
      </c>
      <c r="L76" s="537">
        <f t="shared" si="17"/>
        <v>0</v>
      </c>
      <c r="M76" s="537">
        <f t="shared" si="18"/>
        <v>58.333333333333336</v>
      </c>
      <c r="N76" s="540">
        <f t="shared" si="9"/>
        <v>83.333333333333343</v>
      </c>
      <c r="O76" s="536">
        <v>19.600000000000001</v>
      </c>
      <c r="P76" s="537"/>
      <c r="Q76" s="537">
        <v>41</v>
      </c>
      <c r="R76" s="538">
        <f t="shared" si="8"/>
        <v>60.6</v>
      </c>
      <c r="S76" s="557">
        <v>1</v>
      </c>
      <c r="T76" s="838"/>
      <c r="U76" s="836"/>
      <c r="V76" s="532" t="s">
        <v>1052</v>
      </c>
      <c r="W76" s="557" t="s">
        <v>114</v>
      </c>
      <c r="X76" s="557" t="s">
        <v>12</v>
      </c>
      <c r="Y76" s="533">
        <v>32.1</v>
      </c>
      <c r="Z76" s="557" t="s">
        <v>1046</v>
      </c>
      <c r="AA76" s="557" t="s">
        <v>22</v>
      </c>
      <c r="AB76" s="557" t="s">
        <v>11</v>
      </c>
      <c r="AC76" s="557">
        <v>19.600000000000001</v>
      </c>
      <c r="AD76" s="532" t="s">
        <v>1048</v>
      </c>
      <c r="AE76" s="557" t="s">
        <v>20</v>
      </c>
      <c r="AF76" s="557" t="s">
        <v>12</v>
      </c>
      <c r="AG76" s="533">
        <v>8.9</v>
      </c>
      <c r="AL76" s="532"/>
      <c r="AO76" s="533"/>
      <c r="AP76" s="532"/>
      <c r="AS76" s="533"/>
      <c r="AW76" s="533"/>
      <c r="BA76" s="534"/>
    </row>
    <row r="77" spans="1:53" s="557" customFormat="1">
      <c r="A77" s="557">
        <v>2010</v>
      </c>
      <c r="B77" s="836"/>
      <c r="C77" s="916" t="s">
        <v>1053</v>
      </c>
      <c r="D77" s="916"/>
      <c r="E77" s="557">
        <v>60</v>
      </c>
      <c r="G77" s="539">
        <v>3</v>
      </c>
      <c r="I77" s="557">
        <v>8</v>
      </c>
      <c r="J77" s="541">
        <v>12</v>
      </c>
      <c r="K77" s="537">
        <f t="shared" si="16"/>
        <v>25</v>
      </c>
      <c r="L77" s="537">
        <f t="shared" si="17"/>
        <v>0</v>
      </c>
      <c r="M77" s="537">
        <f t="shared" si="18"/>
        <v>66.666666666666657</v>
      </c>
      <c r="N77" s="540">
        <f t="shared" si="9"/>
        <v>91.666666666666657</v>
      </c>
      <c r="O77" s="536">
        <v>19.600000000000001</v>
      </c>
      <c r="P77" s="537"/>
      <c r="Q77" s="537">
        <v>41</v>
      </c>
      <c r="R77" s="538">
        <f t="shared" si="8"/>
        <v>60.6</v>
      </c>
      <c r="S77" s="557">
        <v>1</v>
      </c>
      <c r="T77" s="838"/>
      <c r="U77" s="836"/>
      <c r="V77" s="532" t="s">
        <v>1052</v>
      </c>
      <c r="W77" s="557" t="s">
        <v>114</v>
      </c>
      <c r="X77" s="557" t="s">
        <v>12</v>
      </c>
      <c r="Y77" s="533">
        <v>32.1</v>
      </c>
      <c r="Z77" s="557" t="s">
        <v>1046</v>
      </c>
      <c r="AA77" s="557" t="s">
        <v>22</v>
      </c>
      <c r="AB77" s="557" t="s">
        <v>11</v>
      </c>
      <c r="AC77" s="557">
        <v>19.600000000000001</v>
      </c>
      <c r="AD77" s="532" t="s">
        <v>1048</v>
      </c>
      <c r="AE77" s="557" t="s">
        <v>20</v>
      </c>
      <c r="AF77" s="557" t="s">
        <v>12</v>
      </c>
      <c r="AG77" s="533">
        <v>8.9</v>
      </c>
      <c r="AL77" s="532"/>
      <c r="AO77" s="533"/>
      <c r="AP77" s="532"/>
      <c r="AS77" s="533"/>
      <c r="AW77" s="533"/>
      <c r="BA77" s="534"/>
    </row>
    <row r="78" spans="1:53" s="557" customFormat="1">
      <c r="A78" s="557">
        <v>2010</v>
      </c>
      <c r="B78" s="865">
        <v>40239</v>
      </c>
      <c r="C78" s="916" t="s">
        <v>1053</v>
      </c>
      <c r="D78" s="916"/>
      <c r="E78" s="557">
        <f>365-E77</f>
        <v>305</v>
      </c>
      <c r="F78" s="428">
        <v>0</v>
      </c>
      <c r="G78" s="539">
        <v>3</v>
      </c>
      <c r="I78" s="557">
        <v>5</v>
      </c>
      <c r="J78" s="541">
        <v>12</v>
      </c>
      <c r="K78" s="537">
        <f t="shared" si="16"/>
        <v>25</v>
      </c>
      <c r="L78" s="537">
        <f t="shared" si="17"/>
        <v>0</v>
      </c>
      <c r="M78" s="537">
        <f t="shared" si="18"/>
        <v>41.666666666666671</v>
      </c>
      <c r="N78" s="540">
        <f t="shared" si="9"/>
        <v>66.666666666666671</v>
      </c>
      <c r="O78" s="536">
        <v>19.600000000000001</v>
      </c>
      <c r="P78" s="537"/>
      <c r="Q78" s="537">
        <v>32.1</v>
      </c>
      <c r="R78" s="538">
        <f t="shared" si="8"/>
        <v>51.7</v>
      </c>
      <c r="S78" s="557">
        <v>1</v>
      </c>
      <c r="T78" s="838"/>
      <c r="U78" s="836"/>
      <c r="V78" s="532" t="s">
        <v>1052</v>
      </c>
      <c r="W78" s="557" t="s">
        <v>114</v>
      </c>
      <c r="X78" s="557" t="s">
        <v>12</v>
      </c>
      <c r="Y78" s="533">
        <v>32.1</v>
      </c>
      <c r="Z78" s="557" t="s">
        <v>1046</v>
      </c>
      <c r="AA78" s="557" t="s">
        <v>22</v>
      </c>
      <c r="AB78" s="557" t="s">
        <v>11</v>
      </c>
      <c r="AC78" s="557">
        <v>19.600000000000001</v>
      </c>
      <c r="AD78" s="532"/>
      <c r="AG78" s="533"/>
      <c r="AL78" s="532"/>
      <c r="AO78" s="533"/>
      <c r="AP78" s="532"/>
      <c r="AS78" s="533"/>
      <c r="AW78" s="533"/>
      <c r="BA78" s="534"/>
    </row>
    <row r="79" spans="1:53" s="557" customFormat="1">
      <c r="A79" s="557">
        <v>2011</v>
      </c>
      <c r="B79" s="836"/>
      <c r="C79" s="916" t="s">
        <v>1053</v>
      </c>
      <c r="D79" s="916"/>
      <c r="E79" s="557">
        <v>141</v>
      </c>
      <c r="G79" s="539">
        <v>3</v>
      </c>
      <c r="I79" s="557">
        <v>5</v>
      </c>
      <c r="J79" s="541">
        <v>12</v>
      </c>
      <c r="K79" s="537">
        <f t="shared" ref="K79:K85" si="19">G79/J79*100</f>
        <v>25</v>
      </c>
      <c r="L79" s="537">
        <f t="shared" ref="L79:L85" si="20">H79/J79*100</f>
        <v>0</v>
      </c>
      <c r="M79" s="537">
        <f t="shared" ref="M79:M85" si="21">I79/J79*100</f>
        <v>41.666666666666671</v>
      </c>
      <c r="N79" s="540">
        <f t="shared" si="9"/>
        <v>66.666666666666671</v>
      </c>
      <c r="O79" s="536">
        <v>19.600000000000001</v>
      </c>
      <c r="P79" s="537"/>
      <c r="Q79" s="537">
        <v>32.1</v>
      </c>
      <c r="R79" s="538">
        <f t="shared" si="8"/>
        <v>51.7</v>
      </c>
      <c r="S79" s="557">
        <v>1</v>
      </c>
      <c r="T79" s="838"/>
      <c r="U79" s="836"/>
      <c r="V79" s="532" t="s">
        <v>1052</v>
      </c>
      <c r="W79" s="557" t="s">
        <v>114</v>
      </c>
      <c r="X79" s="557" t="s">
        <v>12</v>
      </c>
      <c r="Y79" s="533">
        <v>32.1</v>
      </c>
      <c r="Z79" s="557" t="s">
        <v>1046</v>
      </c>
      <c r="AA79" s="557" t="s">
        <v>22</v>
      </c>
      <c r="AB79" s="557" t="s">
        <v>11</v>
      </c>
      <c r="AC79" s="557">
        <v>19.600000000000001</v>
      </c>
      <c r="AD79" s="532"/>
      <c r="AG79" s="533"/>
      <c r="AL79" s="532"/>
      <c r="AO79" s="533"/>
      <c r="AP79" s="532"/>
      <c r="AS79" s="533"/>
      <c r="AW79" s="533"/>
      <c r="BA79" s="534"/>
    </row>
    <row r="80" spans="1:53" s="557" customFormat="1">
      <c r="A80" s="557">
        <v>2011</v>
      </c>
      <c r="B80" s="865">
        <v>40685</v>
      </c>
      <c r="C80" s="916" t="s">
        <v>1053</v>
      </c>
      <c r="D80" s="916"/>
      <c r="E80" s="557">
        <v>75</v>
      </c>
      <c r="F80" s="428" t="s">
        <v>330</v>
      </c>
      <c r="G80" s="539">
        <v>3</v>
      </c>
      <c r="I80" s="557">
        <v>6</v>
      </c>
      <c r="J80" s="541">
        <v>12</v>
      </c>
      <c r="K80" s="537">
        <f t="shared" si="19"/>
        <v>25</v>
      </c>
      <c r="L80" s="537">
        <f t="shared" si="20"/>
        <v>0</v>
      </c>
      <c r="M80" s="537">
        <f t="shared" si="21"/>
        <v>50</v>
      </c>
      <c r="N80" s="540">
        <f>SUM(K80:M80)</f>
        <v>75</v>
      </c>
      <c r="O80" s="536">
        <v>16.100000000000001</v>
      </c>
      <c r="P80" s="537"/>
      <c r="Q80" s="537">
        <v>33.9</v>
      </c>
      <c r="R80" s="538">
        <f>SUM(O80:Q80)</f>
        <v>50</v>
      </c>
      <c r="S80" s="557">
        <v>1</v>
      </c>
      <c r="T80" s="838">
        <v>40685</v>
      </c>
      <c r="U80" s="836"/>
      <c r="V80" s="532" t="s">
        <v>1052</v>
      </c>
      <c r="W80" s="557" t="s">
        <v>114</v>
      </c>
      <c r="X80" s="557" t="s">
        <v>12</v>
      </c>
      <c r="Y80" s="533">
        <v>33.9</v>
      </c>
      <c r="Z80" s="557" t="s">
        <v>1046</v>
      </c>
      <c r="AA80" s="557" t="s">
        <v>22</v>
      </c>
      <c r="AB80" s="557" t="s">
        <v>11</v>
      </c>
      <c r="AC80" s="557">
        <v>16.100000000000001</v>
      </c>
      <c r="AD80" s="532"/>
      <c r="AG80" s="533"/>
      <c r="AL80" s="532"/>
      <c r="AO80" s="533"/>
      <c r="AP80" s="532"/>
      <c r="AS80" s="533"/>
      <c r="AW80" s="533"/>
      <c r="BA80" s="534"/>
    </row>
    <row r="81" spans="1:53" s="557" customFormat="1">
      <c r="A81" s="557">
        <v>2011</v>
      </c>
      <c r="B81" s="865">
        <v>40760</v>
      </c>
      <c r="C81" s="916" t="s">
        <v>1053</v>
      </c>
      <c r="D81" s="916"/>
      <c r="E81" s="557">
        <v>149</v>
      </c>
      <c r="F81" s="428">
        <v>0</v>
      </c>
      <c r="G81" s="539"/>
      <c r="I81" s="557">
        <v>5</v>
      </c>
      <c r="J81" s="541">
        <v>12</v>
      </c>
      <c r="K81" s="537">
        <f t="shared" si="19"/>
        <v>0</v>
      </c>
      <c r="L81" s="537">
        <f t="shared" si="20"/>
        <v>0</v>
      </c>
      <c r="M81" s="537">
        <f t="shared" si="21"/>
        <v>41.666666666666671</v>
      </c>
      <c r="N81" s="540">
        <f t="shared" si="9"/>
        <v>41.666666666666671</v>
      </c>
      <c r="O81" s="536"/>
      <c r="P81" s="537"/>
      <c r="Q81" s="537">
        <v>33.9</v>
      </c>
      <c r="R81" s="538">
        <f t="shared" si="8"/>
        <v>33.9</v>
      </c>
      <c r="S81" s="557">
        <v>1</v>
      </c>
      <c r="T81" s="838"/>
      <c r="U81" s="836"/>
      <c r="V81" s="532" t="s">
        <v>1052</v>
      </c>
      <c r="W81" s="557" t="s">
        <v>114</v>
      </c>
      <c r="X81" s="557" t="s">
        <v>12</v>
      </c>
      <c r="Y81" s="533">
        <v>33.9</v>
      </c>
      <c r="AD81" s="532"/>
      <c r="AG81" s="533"/>
      <c r="AL81" s="532"/>
      <c r="AO81" s="533"/>
      <c r="AP81" s="532"/>
      <c r="AS81" s="533"/>
      <c r="AW81" s="533"/>
      <c r="BA81" s="534"/>
    </row>
    <row r="82" spans="1:53" s="557" customFormat="1">
      <c r="A82" s="557">
        <v>2012</v>
      </c>
      <c r="B82" s="865"/>
      <c r="C82" s="916" t="s">
        <v>1053</v>
      </c>
      <c r="D82" s="916"/>
      <c r="E82" s="557">
        <v>82</v>
      </c>
      <c r="F82" s="428"/>
      <c r="G82" s="539"/>
      <c r="I82" s="557">
        <v>5</v>
      </c>
      <c r="J82" s="541">
        <v>12</v>
      </c>
      <c r="K82" s="537">
        <f t="shared" si="19"/>
        <v>0</v>
      </c>
      <c r="L82" s="537">
        <f t="shared" si="20"/>
        <v>0</v>
      </c>
      <c r="M82" s="537">
        <f t="shared" si="21"/>
        <v>41.666666666666671</v>
      </c>
      <c r="N82" s="540">
        <f t="shared" si="9"/>
        <v>41.666666666666671</v>
      </c>
      <c r="O82" s="536"/>
      <c r="P82" s="537"/>
      <c r="Q82" s="537">
        <v>33.9</v>
      </c>
      <c r="R82" s="538">
        <f t="shared" si="8"/>
        <v>33.9</v>
      </c>
      <c r="S82" s="557">
        <v>1</v>
      </c>
      <c r="T82" s="838"/>
      <c r="U82" s="836"/>
      <c r="V82" s="532" t="s">
        <v>1052</v>
      </c>
      <c r="W82" s="557" t="s">
        <v>114</v>
      </c>
      <c r="X82" s="557" t="s">
        <v>12</v>
      </c>
      <c r="Y82" s="533">
        <v>33.9</v>
      </c>
      <c r="AD82" s="532"/>
      <c r="AG82" s="533"/>
      <c r="AL82" s="532"/>
      <c r="AO82" s="533"/>
      <c r="AP82" s="532"/>
      <c r="AS82" s="533"/>
      <c r="AW82" s="533"/>
      <c r="BA82" s="534"/>
    </row>
    <row r="83" spans="1:53" s="557" customFormat="1">
      <c r="A83" s="557">
        <v>2012</v>
      </c>
      <c r="B83" s="865">
        <v>40991</v>
      </c>
      <c r="C83" s="916" t="s">
        <v>1053</v>
      </c>
      <c r="D83" s="916"/>
      <c r="E83" s="557">
        <v>206</v>
      </c>
      <c r="F83" s="428">
        <v>0</v>
      </c>
      <c r="G83" s="539"/>
      <c r="I83" s="557">
        <v>4</v>
      </c>
      <c r="J83" s="541">
        <v>12</v>
      </c>
      <c r="K83" s="537">
        <f t="shared" si="19"/>
        <v>0</v>
      </c>
      <c r="L83" s="537">
        <f t="shared" si="20"/>
        <v>0</v>
      </c>
      <c r="M83" s="537">
        <f t="shared" si="21"/>
        <v>33.333333333333329</v>
      </c>
      <c r="N83" s="540">
        <f t="shared" si="9"/>
        <v>33.333333333333329</v>
      </c>
      <c r="O83" s="536"/>
      <c r="P83" s="537"/>
      <c r="Q83" s="537">
        <v>33.9</v>
      </c>
      <c r="R83" s="538">
        <f t="shared" si="8"/>
        <v>33.9</v>
      </c>
      <c r="S83" s="557">
        <v>1</v>
      </c>
      <c r="T83" s="838"/>
      <c r="U83" s="836"/>
      <c r="V83" s="532" t="s">
        <v>1052</v>
      </c>
      <c r="W83" s="557" t="s">
        <v>114</v>
      </c>
      <c r="X83" s="557" t="s">
        <v>12</v>
      </c>
      <c r="Y83" s="533">
        <v>33.9</v>
      </c>
      <c r="AD83" s="532"/>
      <c r="AG83" s="533"/>
      <c r="AL83" s="532"/>
      <c r="AO83" s="533"/>
      <c r="AP83" s="532"/>
      <c r="AS83" s="533"/>
      <c r="AW83" s="533"/>
      <c r="BA83" s="534"/>
    </row>
    <row r="84" spans="1:53" s="557" customFormat="1">
      <c r="A84" s="557">
        <v>2012</v>
      </c>
      <c r="B84" s="865">
        <v>41197</v>
      </c>
      <c r="C84" s="916" t="s">
        <v>1053</v>
      </c>
      <c r="D84" s="916"/>
      <c r="E84" s="557">
        <v>78</v>
      </c>
      <c r="F84" s="428">
        <v>0</v>
      </c>
      <c r="G84" s="539"/>
      <c r="I84" s="557">
        <v>3</v>
      </c>
      <c r="J84" s="541">
        <v>12</v>
      </c>
      <c r="K84" s="537">
        <f t="shared" si="19"/>
        <v>0</v>
      </c>
      <c r="L84" s="537">
        <f t="shared" si="20"/>
        <v>0</v>
      </c>
      <c r="M84" s="537">
        <f t="shared" si="21"/>
        <v>25</v>
      </c>
      <c r="N84" s="540">
        <f t="shared" si="9"/>
        <v>25</v>
      </c>
      <c r="O84" s="536"/>
      <c r="P84" s="537"/>
      <c r="Q84" s="537">
        <v>33.9</v>
      </c>
      <c r="R84" s="538">
        <f t="shared" si="8"/>
        <v>33.9</v>
      </c>
      <c r="S84" s="557">
        <v>1</v>
      </c>
      <c r="T84" s="838"/>
      <c r="U84" s="836"/>
      <c r="V84" s="532" t="s">
        <v>1052</v>
      </c>
      <c r="W84" s="557" t="s">
        <v>114</v>
      </c>
      <c r="X84" s="557" t="s">
        <v>12</v>
      </c>
      <c r="Y84" s="533">
        <v>33.9</v>
      </c>
      <c r="AD84" s="532"/>
      <c r="AG84" s="533"/>
      <c r="AL84" s="532"/>
      <c r="AO84" s="533"/>
      <c r="AP84" s="532"/>
      <c r="AS84" s="533"/>
      <c r="AW84" s="533"/>
      <c r="BA84" s="534"/>
    </row>
    <row r="85" spans="1:53" s="557" customFormat="1">
      <c r="A85" s="557">
        <v>2013</v>
      </c>
      <c r="B85" s="865"/>
      <c r="C85" s="916" t="s">
        <v>1053</v>
      </c>
      <c r="D85" s="916"/>
      <c r="E85" s="557">
        <v>58</v>
      </c>
      <c r="F85" s="428"/>
      <c r="G85" s="539"/>
      <c r="I85" s="557">
        <v>3</v>
      </c>
      <c r="J85" s="541">
        <v>12</v>
      </c>
      <c r="K85" s="537">
        <f t="shared" si="19"/>
        <v>0</v>
      </c>
      <c r="L85" s="537">
        <f t="shared" si="20"/>
        <v>0</v>
      </c>
      <c r="M85" s="537">
        <f t="shared" si="21"/>
        <v>25</v>
      </c>
      <c r="N85" s="540">
        <f t="shared" si="9"/>
        <v>25</v>
      </c>
      <c r="O85" s="536"/>
      <c r="P85" s="537"/>
      <c r="Q85" s="537">
        <v>33.9</v>
      </c>
      <c r="R85" s="538">
        <f t="shared" si="8"/>
        <v>33.9</v>
      </c>
      <c r="S85" s="557">
        <v>1</v>
      </c>
      <c r="T85" s="838"/>
      <c r="U85" s="836"/>
      <c r="V85" s="532" t="s">
        <v>1052</v>
      </c>
      <c r="W85" s="557" t="s">
        <v>114</v>
      </c>
      <c r="X85" s="557" t="s">
        <v>12</v>
      </c>
      <c r="Y85" s="533">
        <v>33.9</v>
      </c>
      <c r="AD85" s="532"/>
      <c r="AG85" s="533"/>
      <c r="AL85" s="532"/>
      <c r="AO85" s="533"/>
      <c r="AP85" s="532"/>
      <c r="AS85" s="533"/>
      <c r="AW85" s="533"/>
      <c r="BA85" s="534"/>
    </row>
    <row r="86" spans="1:53" s="556" customFormat="1" ht="11" customHeight="1">
      <c r="A86" s="556">
        <v>2013</v>
      </c>
      <c r="B86" s="852">
        <v>41333</v>
      </c>
      <c r="C86" s="917" t="s">
        <v>1256</v>
      </c>
      <c r="D86" s="917"/>
      <c r="E86" s="556">
        <v>34</v>
      </c>
      <c r="F86" s="556">
        <v>1</v>
      </c>
      <c r="G86" s="498">
        <v>11</v>
      </c>
      <c r="J86" s="500">
        <v>12</v>
      </c>
      <c r="K86" s="496">
        <f>G86/J86*100</f>
        <v>91.666666666666657</v>
      </c>
      <c r="L86" s="496">
        <f>H86/J86*100</f>
        <v>0</v>
      </c>
      <c r="M86" s="496">
        <f>I86/J86*100</f>
        <v>0</v>
      </c>
      <c r="N86" s="499">
        <f t="shared" si="9"/>
        <v>91.666666666666657</v>
      </c>
      <c r="O86" s="495">
        <v>53.6</v>
      </c>
      <c r="P86" s="496"/>
      <c r="Q86" s="496"/>
      <c r="R86" s="497">
        <f t="shared" si="8"/>
        <v>53.6</v>
      </c>
      <c r="S86" s="556">
        <v>1</v>
      </c>
      <c r="T86" s="839"/>
      <c r="U86" s="852">
        <v>41333</v>
      </c>
      <c r="V86" s="492" t="s">
        <v>1045</v>
      </c>
      <c r="W86" s="556" t="s">
        <v>74</v>
      </c>
      <c r="X86" s="556" t="s">
        <v>11</v>
      </c>
      <c r="Y86" s="493">
        <v>35.700000000000003</v>
      </c>
      <c r="Z86" s="556" t="s">
        <v>1046</v>
      </c>
      <c r="AA86" s="556" t="s">
        <v>22</v>
      </c>
      <c r="AB86" s="556" t="s">
        <v>11</v>
      </c>
      <c r="AC86" s="556">
        <v>14.3</v>
      </c>
      <c r="AD86" s="492" t="s">
        <v>1257</v>
      </c>
      <c r="AE86" s="556" t="s">
        <v>107</v>
      </c>
      <c r="AF86" s="556" t="s">
        <v>11</v>
      </c>
      <c r="AG86" s="493">
        <v>3.6</v>
      </c>
      <c r="AL86" s="492"/>
      <c r="AO86" s="493"/>
      <c r="AP86" s="492"/>
      <c r="AS86" s="493"/>
      <c r="AW86" s="493"/>
      <c r="BA86" s="494"/>
    </row>
    <row r="87" spans="1:53" s="556" customFormat="1" ht="11" customHeight="1">
      <c r="A87" s="556">
        <v>2013</v>
      </c>
      <c r="B87" s="860">
        <v>41367</v>
      </c>
      <c r="C87" s="917" t="s">
        <v>1256</v>
      </c>
      <c r="D87" s="917"/>
      <c r="E87" s="556">
        <f>365-E86-E85</f>
        <v>273</v>
      </c>
      <c r="F87" s="502">
        <v>0</v>
      </c>
      <c r="G87" s="498">
        <v>12</v>
      </c>
      <c r="J87" s="500">
        <v>12</v>
      </c>
      <c r="K87" s="496">
        <f>G87/J87*100</f>
        <v>100</v>
      </c>
      <c r="L87" s="496">
        <f>H87/J87*100</f>
        <v>0</v>
      </c>
      <c r="M87" s="496">
        <f>I87/J87*100</f>
        <v>0</v>
      </c>
      <c r="N87" s="499">
        <f t="shared" si="9"/>
        <v>100</v>
      </c>
      <c r="O87" s="495">
        <v>53.6</v>
      </c>
      <c r="P87" s="496"/>
      <c r="Q87" s="496"/>
      <c r="R87" s="497">
        <f>SUM(O87:Q87)</f>
        <v>53.6</v>
      </c>
      <c r="S87" s="556">
        <v>1</v>
      </c>
      <c r="T87" s="839"/>
      <c r="U87" s="852"/>
      <c r="V87" s="492" t="s">
        <v>1045</v>
      </c>
      <c r="W87" s="556" t="s">
        <v>74</v>
      </c>
      <c r="X87" s="556" t="s">
        <v>11</v>
      </c>
      <c r="Y87" s="493">
        <v>35.700000000000003</v>
      </c>
      <c r="Z87" s="556" t="s">
        <v>1046</v>
      </c>
      <c r="AA87" s="556" t="s">
        <v>22</v>
      </c>
      <c r="AB87" s="556" t="s">
        <v>11</v>
      </c>
      <c r="AC87" s="556">
        <v>14.3</v>
      </c>
      <c r="AD87" s="492" t="s">
        <v>1257</v>
      </c>
      <c r="AE87" s="556" t="s">
        <v>107</v>
      </c>
      <c r="AF87" s="556" t="s">
        <v>11</v>
      </c>
      <c r="AG87" s="493">
        <v>3.6</v>
      </c>
      <c r="AL87" s="492"/>
      <c r="AO87" s="493"/>
      <c r="AP87" s="492"/>
      <c r="AS87" s="493"/>
      <c r="AW87" s="493"/>
      <c r="BA87" s="494"/>
    </row>
    <row r="88" spans="1:53" s="556" customFormat="1" ht="11" customHeight="1">
      <c r="A88" s="556">
        <v>2014</v>
      </c>
      <c r="B88" s="860"/>
      <c r="C88" s="917" t="s">
        <v>1256</v>
      </c>
      <c r="D88" s="917"/>
      <c r="E88" s="556">
        <v>61</v>
      </c>
      <c r="F88" s="502"/>
      <c r="G88" s="498">
        <v>12</v>
      </c>
      <c r="J88" s="500">
        <v>12</v>
      </c>
      <c r="K88" s="496">
        <f>G88/J88*100</f>
        <v>100</v>
      </c>
      <c r="L88" s="496">
        <f>H88/J88*100</f>
        <v>0</v>
      </c>
      <c r="M88" s="496">
        <f>I88/J88*100</f>
        <v>0</v>
      </c>
      <c r="N88" s="499">
        <f>SUM(K88:M88)</f>
        <v>100</v>
      </c>
      <c r="O88" s="495">
        <v>53.6</v>
      </c>
      <c r="P88" s="496"/>
      <c r="Q88" s="496"/>
      <c r="R88" s="497">
        <f>SUM(O88:Q88)</f>
        <v>53.6</v>
      </c>
      <c r="S88" s="556">
        <v>1</v>
      </c>
      <c r="T88" s="839"/>
      <c r="U88" s="852"/>
      <c r="V88" s="492" t="s">
        <v>1045</v>
      </c>
      <c r="W88" s="556" t="s">
        <v>74</v>
      </c>
      <c r="X88" s="556" t="s">
        <v>11</v>
      </c>
      <c r="Y88" s="493">
        <v>35.700000000000003</v>
      </c>
      <c r="Z88" s="556" t="s">
        <v>1046</v>
      </c>
      <c r="AA88" s="556" t="s">
        <v>22</v>
      </c>
      <c r="AB88" s="556" t="s">
        <v>11</v>
      </c>
      <c r="AC88" s="556">
        <v>14.3</v>
      </c>
      <c r="AD88" s="492" t="s">
        <v>1257</v>
      </c>
      <c r="AE88" s="556" t="s">
        <v>107</v>
      </c>
      <c r="AF88" s="556" t="s">
        <v>11</v>
      </c>
      <c r="AG88" s="493">
        <v>3.6</v>
      </c>
      <c r="AL88" s="492"/>
      <c r="AO88" s="493"/>
      <c r="AP88" s="492"/>
      <c r="AS88" s="493"/>
      <c r="AW88" s="493"/>
      <c r="BA88" s="494"/>
    </row>
    <row r="89" spans="1:53" s="556" customFormat="1" ht="11" customHeight="1">
      <c r="A89" s="556">
        <v>2014</v>
      </c>
      <c r="B89" s="860">
        <v>41701</v>
      </c>
      <c r="C89" s="917" t="s">
        <v>1256</v>
      </c>
      <c r="D89" s="917"/>
      <c r="E89" s="556">
        <v>11</v>
      </c>
      <c r="F89" s="502">
        <v>0</v>
      </c>
      <c r="G89" s="498">
        <v>11</v>
      </c>
      <c r="J89" s="500">
        <v>12</v>
      </c>
      <c r="K89" s="496">
        <f>G89/J89*100</f>
        <v>91.666666666666657</v>
      </c>
      <c r="L89" s="496">
        <f>H89/J89*100</f>
        <v>0</v>
      </c>
      <c r="M89" s="496">
        <f>I89/J89*100</f>
        <v>0</v>
      </c>
      <c r="N89" s="499">
        <f>SUM(K89:M89)</f>
        <v>91.666666666666657</v>
      </c>
      <c r="O89" s="495">
        <v>53.6</v>
      </c>
      <c r="P89" s="496"/>
      <c r="Q89" s="496"/>
      <c r="R89" s="497">
        <f>SUM(O89:Q89)</f>
        <v>53.6</v>
      </c>
      <c r="S89" s="556">
        <v>1</v>
      </c>
      <c r="T89" s="839"/>
      <c r="U89" s="852"/>
      <c r="V89" s="492" t="s">
        <v>1045</v>
      </c>
      <c r="W89" s="556" t="s">
        <v>74</v>
      </c>
      <c r="X89" s="556" t="s">
        <v>11</v>
      </c>
      <c r="Y89" s="493">
        <v>35.700000000000003</v>
      </c>
      <c r="Z89" s="556" t="s">
        <v>1046</v>
      </c>
      <c r="AA89" s="556" t="s">
        <v>22</v>
      </c>
      <c r="AB89" s="556" t="s">
        <v>11</v>
      </c>
      <c r="AC89" s="556">
        <v>14.3</v>
      </c>
      <c r="AD89" s="492" t="s">
        <v>1257</v>
      </c>
      <c r="AE89" s="556" t="s">
        <v>107</v>
      </c>
      <c r="AF89" s="556" t="s">
        <v>11</v>
      </c>
      <c r="AG89" s="493">
        <v>3.6</v>
      </c>
      <c r="AL89" s="492"/>
      <c r="AO89" s="493"/>
      <c r="AP89" s="492"/>
      <c r="AS89" s="493"/>
      <c r="AW89" s="493"/>
      <c r="BA89" s="494"/>
    </row>
    <row r="90" spans="1:53" s="556" customFormat="1" ht="11" customHeight="1">
      <c r="A90" s="556">
        <v>2014</v>
      </c>
      <c r="B90" s="860">
        <v>41712</v>
      </c>
      <c r="C90" s="917" t="s">
        <v>1256</v>
      </c>
      <c r="D90" s="917"/>
      <c r="E90" s="556">
        <v>293</v>
      </c>
      <c r="F90" s="502">
        <v>0</v>
      </c>
      <c r="G90" s="498">
        <v>8</v>
      </c>
      <c r="J90" s="500">
        <v>12</v>
      </c>
      <c r="K90" s="496">
        <f>G90/J90*100</f>
        <v>66.666666666666657</v>
      </c>
      <c r="L90" s="496">
        <f>H90/J90*100</f>
        <v>0</v>
      </c>
      <c r="M90" s="496">
        <f>I90/J90*100</f>
        <v>0</v>
      </c>
      <c r="N90" s="499">
        <f>SUM(K90:M90)</f>
        <v>66.666666666666657</v>
      </c>
      <c r="O90" s="495">
        <v>37.5</v>
      </c>
      <c r="P90" s="496"/>
      <c r="Q90" s="496"/>
      <c r="R90" s="497">
        <f>SUM(O90:Q90)</f>
        <v>37.5</v>
      </c>
      <c r="S90" s="556">
        <v>1</v>
      </c>
      <c r="T90" s="839"/>
      <c r="U90" s="852">
        <v>41712</v>
      </c>
      <c r="V90" s="492" t="s">
        <v>1045</v>
      </c>
      <c r="W90" s="556" t="s">
        <v>74</v>
      </c>
      <c r="X90" s="556" t="s">
        <v>11</v>
      </c>
      <c r="Y90" s="493">
        <v>35.700000000000003</v>
      </c>
      <c r="Z90" s="556" t="s">
        <v>1257</v>
      </c>
      <c r="AA90" s="556" t="s">
        <v>107</v>
      </c>
      <c r="AB90" s="556" t="s">
        <v>11</v>
      </c>
      <c r="AC90" s="556">
        <v>1.8</v>
      </c>
      <c r="AD90" s="492"/>
      <c r="AG90" s="493"/>
      <c r="AL90" s="492"/>
      <c r="AO90" s="493"/>
      <c r="AP90" s="492"/>
      <c r="AS90" s="493"/>
      <c r="AW90" s="493"/>
      <c r="BA90" s="494"/>
    </row>
    <row r="91" spans="1:53" s="581" customFormat="1" ht="11" customHeight="1">
      <c r="A91" s="581">
        <v>2015</v>
      </c>
      <c r="B91" s="860"/>
      <c r="C91" s="917" t="s">
        <v>1256</v>
      </c>
      <c r="D91" s="917"/>
      <c r="E91" s="581">
        <v>0</v>
      </c>
      <c r="F91" s="502"/>
      <c r="G91" s="498">
        <v>9</v>
      </c>
      <c r="J91" s="500">
        <v>12</v>
      </c>
      <c r="K91" s="496">
        <f t="shared" ref="K91" si="22">G91/J91*100</f>
        <v>75</v>
      </c>
      <c r="L91" s="496">
        <f t="shared" ref="L91:L96" si="23">H91/J91*100</f>
        <v>0</v>
      </c>
      <c r="M91" s="496">
        <f t="shared" ref="M91:M96" si="24">I91/J91*100</f>
        <v>0</v>
      </c>
      <c r="N91" s="499">
        <f t="shared" ref="N91:N96" si="25">SUM(K91:M91)</f>
        <v>75</v>
      </c>
      <c r="O91" s="495">
        <v>37.5</v>
      </c>
      <c r="P91" s="496"/>
      <c r="Q91" s="496"/>
      <c r="R91" s="497">
        <f t="shared" ref="R91:R96" si="26">SUM(O91:Q91)</f>
        <v>37.5</v>
      </c>
      <c r="S91" s="581">
        <v>1</v>
      </c>
      <c r="T91" s="839"/>
      <c r="U91" s="852"/>
      <c r="V91" s="492" t="s">
        <v>1045</v>
      </c>
      <c r="W91" s="581" t="s">
        <v>74</v>
      </c>
      <c r="X91" s="581" t="s">
        <v>11</v>
      </c>
      <c r="Y91" s="493">
        <v>35.700000000000003</v>
      </c>
      <c r="Z91" s="581" t="s">
        <v>1257</v>
      </c>
      <c r="AA91" s="581" t="s">
        <v>107</v>
      </c>
      <c r="AB91" s="581" t="s">
        <v>11</v>
      </c>
      <c r="AC91" s="581">
        <v>1.8</v>
      </c>
      <c r="AD91" s="492"/>
      <c r="AG91" s="493"/>
      <c r="AL91" s="492"/>
      <c r="AO91" s="493"/>
      <c r="AP91" s="492"/>
      <c r="AS91" s="493"/>
      <c r="AW91" s="493"/>
      <c r="BA91" s="494"/>
    </row>
    <row r="92" spans="1:53" s="581" customFormat="1" ht="11" customHeight="1">
      <c r="A92" s="581">
        <v>2015</v>
      </c>
      <c r="B92" s="860"/>
      <c r="C92" s="917" t="s">
        <v>1256</v>
      </c>
      <c r="D92" s="917"/>
      <c r="E92" s="581">
        <v>365</v>
      </c>
      <c r="F92" s="502"/>
      <c r="G92" s="498">
        <v>9</v>
      </c>
      <c r="J92" s="500">
        <v>12</v>
      </c>
      <c r="K92" s="496">
        <f t="shared" ref="K92:K97" si="27">G92/J92*100</f>
        <v>75</v>
      </c>
      <c r="L92" s="496">
        <f t="shared" si="23"/>
        <v>0</v>
      </c>
      <c r="M92" s="496">
        <f t="shared" si="24"/>
        <v>0</v>
      </c>
      <c r="N92" s="499">
        <f t="shared" si="25"/>
        <v>75</v>
      </c>
      <c r="O92" s="495">
        <v>37.5</v>
      </c>
      <c r="P92" s="496"/>
      <c r="Q92" s="496"/>
      <c r="R92" s="497">
        <f t="shared" si="26"/>
        <v>37.5</v>
      </c>
      <c r="S92" s="581">
        <v>1</v>
      </c>
      <c r="T92" s="839"/>
      <c r="U92" s="852"/>
      <c r="V92" s="492" t="s">
        <v>1045</v>
      </c>
      <c r="W92" s="581" t="s">
        <v>74</v>
      </c>
      <c r="X92" s="581" t="s">
        <v>11</v>
      </c>
      <c r="Y92" s="493">
        <v>35.700000000000003</v>
      </c>
      <c r="Z92" s="581" t="s">
        <v>1257</v>
      </c>
      <c r="AA92" s="581" t="s">
        <v>107</v>
      </c>
      <c r="AB92" s="581" t="s">
        <v>11</v>
      </c>
      <c r="AC92" s="581">
        <v>1.8</v>
      </c>
      <c r="AD92" s="492"/>
      <c r="AG92" s="493"/>
      <c r="AL92" s="492"/>
      <c r="AO92" s="493"/>
      <c r="AP92" s="492"/>
      <c r="AS92" s="493"/>
      <c r="AW92" s="493"/>
      <c r="BA92" s="494"/>
    </row>
    <row r="93" spans="1:53" s="652" customFormat="1" ht="11" customHeight="1">
      <c r="A93" s="652">
        <v>2016</v>
      </c>
      <c r="B93" s="860"/>
      <c r="C93" s="917" t="s">
        <v>1256</v>
      </c>
      <c r="D93" s="917"/>
      <c r="E93" s="652">
        <v>88</v>
      </c>
      <c r="F93" s="502"/>
      <c r="G93" s="498">
        <v>9</v>
      </c>
      <c r="J93" s="500">
        <v>12</v>
      </c>
      <c r="K93" s="496">
        <f t="shared" si="27"/>
        <v>75</v>
      </c>
      <c r="L93" s="496">
        <f t="shared" si="23"/>
        <v>0</v>
      </c>
      <c r="M93" s="496">
        <f t="shared" si="24"/>
        <v>0</v>
      </c>
      <c r="N93" s="499">
        <f t="shared" si="25"/>
        <v>75</v>
      </c>
      <c r="O93" s="495">
        <v>37.5</v>
      </c>
      <c r="P93" s="496"/>
      <c r="Q93" s="496"/>
      <c r="R93" s="497">
        <f t="shared" si="26"/>
        <v>37.5</v>
      </c>
      <c r="S93" s="652">
        <v>1</v>
      </c>
      <c r="T93" s="839"/>
      <c r="U93" s="852"/>
      <c r="V93" s="492" t="s">
        <v>1045</v>
      </c>
      <c r="W93" s="652" t="s">
        <v>74</v>
      </c>
      <c r="X93" s="652" t="s">
        <v>11</v>
      </c>
      <c r="Y93" s="493">
        <v>35.700000000000003</v>
      </c>
      <c r="Z93" s="652" t="s">
        <v>1257</v>
      </c>
      <c r="AA93" s="652" t="s">
        <v>107</v>
      </c>
      <c r="AB93" s="652" t="s">
        <v>11</v>
      </c>
      <c r="AC93" s="652">
        <v>1.8</v>
      </c>
      <c r="AD93" s="492"/>
      <c r="AG93" s="493"/>
      <c r="AL93" s="492"/>
      <c r="AO93" s="493"/>
      <c r="AP93" s="492"/>
      <c r="AS93" s="493"/>
      <c r="AW93" s="493"/>
      <c r="BA93" s="494"/>
    </row>
    <row r="94" spans="1:53" s="825" customFormat="1" ht="11" customHeight="1">
      <c r="A94" s="825">
        <v>2016</v>
      </c>
      <c r="B94" s="860">
        <v>42458</v>
      </c>
      <c r="C94" s="917" t="s">
        <v>1256</v>
      </c>
      <c r="D94" s="917"/>
      <c r="E94" s="825">
        <v>54</v>
      </c>
      <c r="F94" s="502">
        <v>0</v>
      </c>
      <c r="G94" s="498">
        <v>8</v>
      </c>
      <c r="J94" s="500">
        <v>12</v>
      </c>
      <c r="K94" s="496">
        <f t="shared" si="27"/>
        <v>66.666666666666657</v>
      </c>
      <c r="L94" s="496">
        <f t="shared" ref="L94" si="28">H94/J94*100</f>
        <v>0</v>
      </c>
      <c r="M94" s="496">
        <f t="shared" ref="M94" si="29">I94/J94*100</f>
        <v>0</v>
      </c>
      <c r="N94" s="499">
        <f t="shared" ref="N94" si="30">SUM(K94:M94)</f>
        <v>66.666666666666657</v>
      </c>
      <c r="O94" s="495">
        <v>35.700000000000003</v>
      </c>
      <c r="P94" s="496"/>
      <c r="Q94" s="496"/>
      <c r="R94" s="497">
        <f t="shared" ref="R94" si="31">SUM(O94:Q94)</f>
        <v>35.700000000000003</v>
      </c>
      <c r="S94" s="825">
        <v>1</v>
      </c>
      <c r="T94" s="839"/>
      <c r="U94" s="852"/>
      <c r="V94" s="492" t="s">
        <v>1045</v>
      </c>
      <c r="W94" s="825" t="s">
        <v>74</v>
      </c>
      <c r="X94" s="825" t="s">
        <v>11</v>
      </c>
      <c r="Y94" s="493">
        <v>35.700000000000003</v>
      </c>
      <c r="AD94" s="492"/>
      <c r="AG94" s="493"/>
      <c r="AL94" s="492"/>
      <c r="AO94" s="493"/>
      <c r="AP94" s="492"/>
      <c r="AS94" s="493"/>
      <c r="AW94" s="493"/>
      <c r="BA94" s="494"/>
    </row>
    <row r="95" spans="1:53" s="727" customFormat="1" ht="11" customHeight="1">
      <c r="A95" s="727">
        <v>2016</v>
      </c>
      <c r="B95" s="860"/>
      <c r="C95" s="917" t="s">
        <v>1256</v>
      </c>
      <c r="D95" s="917"/>
      <c r="E95" s="727">
        <v>224</v>
      </c>
      <c r="F95" s="502"/>
      <c r="G95" s="498">
        <v>8</v>
      </c>
      <c r="J95" s="500">
        <v>12</v>
      </c>
      <c r="K95" s="496">
        <f t="shared" si="27"/>
        <v>66.666666666666657</v>
      </c>
      <c r="L95" s="496">
        <f t="shared" si="23"/>
        <v>0</v>
      </c>
      <c r="M95" s="496">
        <f t="shared" si="24"/>
        <v>0</v>
      </c>
      <c r="N95" s="499">
        <f t="shared" si="25"/>
        <v>66.666666666666657</v>
      </c>
      <c r="O95" s="495">
        <v>32.1</v>
      </c>
      <c r="P95" s="496"/>
      <c r="Q95" s="496"/>
      <c r="R95" s="497">
        <f t="shared" ref="R95" si="32">SUM(O95:Q95)</f>
        <v>32.1</v>
      </c>
      <c r="S95" s="727">
        <v>1</v>
      </c>
      <c r="T95" s="839">
        <v>42512</v>
      </c>
      <c r="U95" s="852"/>
      <c r="V95" s="492" t="s">
        <v>1045</v>
      </c>
      <c r="W95" s="727" t="s">
        <v>74</v>
      </c>
      <c r="X95" s="727" t="s">
        <v>11</v>
      </c>
      <c r="Y95" s="493">
        <v>32.1</v>
      </c>
      <c r="AD95" s="492"/>
      <c r="AG95" s="493"/>
      <c r="AL95" s="492"/>
      <c r="AO95" s="493"/>
      <c r="AP95" s="492"/>
      <c r="AS95" s="493"/>
      <c r="AW95" s="493"/>
      <c r="BA95" s="494"/>
    </row>
    <row r="96" spans="1:53" s="727" customFormat="1" ht="11" customHeight="1">
      <c r="A96" s="727">
        <v>2017</v>
      </c>
      <c r="B96" s="860"/>
      <c r="C96" s="917" t="s">
        <v>1256</v>
      </c>
      <c r="D96" s="917"/>
      <c r="E96" s="727">
        <v>0</v>
      </c>
      <c r="F96" s="502"/>
      <c r="G96" s="498">
        <v>8</v>
      </c>
      <c r="J96" s="500">
        <v>12</v>
      </c>
      <c r="K96" s="496">
        <f t="shared" si="27"/>
        <v>66.666666666666657</v>
      </c>
      <c r="L96" s="496">
        <f t="shared" si="23"/>
        <v>0</v>
      </c>
      <c r="M96" s="496">
        <f t="shared" si="24"/>
        <v>0</v>
      </c>
      <c r="N96" s="499">
        <f t="shared" si="25"/>
        <v>66.666666666666657</v>
      </c>
      <c r="O96" s="495">
        <v>32.1</v>
      </c>
      <c r="P96" s="496"/>
      <c r="Q96" s="496"/>
      <c r="R96" s="497">
        <f t="shared" si="26"/>
        <v>32.1</v>
      </c>
      <c r="S96" s="727">
        <v>1</v>
      </c>
      <c r="T96" s="839"/>
      <c r="U96" s="852"/>
      <c r="V96" s="492" t="s">
        <v>1045</v>
      </c>
      <c r="W96" s="727" t="s">
        <v>74</v>
      </c>
      <c r="X96" s="727" t="s">
        <v>11</v>
      </c>
      <c r="Y96" s="493">
        <v>32.1</v>
      </c>
      <c r="AD96" s="492"/>
      <c r="AG96" s="493"/>
      <c r="AL96" s="492"/>
      <c r="AO96" s="493"/>
      <c r="AP96" s="492"/>
      <c r="AS96" s="493"/>
      <c r="AW96" s="493"/>
      <c r="BA96" s="494"/>
    </row>
    <row r="97" spans="1:53" s="727" customFormat="1" ht="11" customHeight="1">
      <c r="A97" s="727">
        <v>2017</v>
      </c>
      <c r="B97" s="860"/>
      <c r="C97" s="917" t="s">
        <v>1256</v>
      </c>
      <c r="D97" s="917"/>
      <c r="E97" s="727">
        <v>365</v>
      </c>
      <c r="F97" s="502"/>
      <c r="G97" s="498">
        <v>8</v>
      </c>
      <c r="J97" s="500">
        <v>12</v>
      </c>
      <c r="K97" s="496">
        <f t="shared" si="27"/>
        <v>66.666666666666657</v>
      </c>
      <c r="L97" s="496">
        <f>H97/J97*100</f>
        <v>0</v>
      </c>
      <c r="M97" s="496">
        <f>I97/J97*100</f>
        <v>0</v>
      </c>
      <c r="N97" s="499">
        <f>SUM(K97:M97)</f>
        <v>66.666666666666657</v>
      </c>
      <c r="O97" s="495">
        <v>32.1</v>
      </c>
      <c r="P97" s="496"/>
      <c r="Q97" s="496"/>
      <c r="R97" s="497">
        <f t="shared" ref="R97:R102" si="33">SUM(O97:Q97)</f>
        <v>32.1</v>
      </c>
      <c r="S97" s="727">
        <v>1</v>
      </c>
      <c r="T97" s="839"/>
      <c r="U97" s="852"/>
      <c r="V97" s="492" t="s">
        <v>1045</v>
      </c>
      <c r="W97" s="727" t="s">
        <v>74</v>
      </c>
      <c r="X97" s="727" t="s">
        <v>11</v>
      </c>
      <c r="Y97" s="493">
        <v>32.1</v>
      </c>
      <c r="AD97" s="492"/>
      <c r="AG97" s="493"/>
      <c r="AL97" s="492"/>
      <c r="AO97" s="493"/>
      <c r="AP97" s="492"/>
      <c r="AS97" s="493"/>
      <c r="AW97" s="493"/>
      <c r="BA97" s="494"/>
    </row>
    <row r="98" spans="1:53" s="760" customFormat="1" ht="11" customHeight="1">
      <c r="A98" s="760">
        <v>2018</v>
      </c>
      <c r="B98" s="860"/>
      <c r="C98" s="917" t="s">
        <v>1256</v>
      </c>
      <c r="D98" s="917"/>
      <c r="E98" s="760">
        <v>59</v>
      </c>
      <c r="F98" s="502"/>
      <c r="G98" s="498">
        <v>8</v>
      </c>
      <c r="J98" s="500">
        <v>12</v>
      </c>
      <c r="K98" s="496">
        <f t="shared" ref="K98:K99" si="34">G98/J98*100</f>
        <v>66.666666666666657</v>
      </c>
      <c r="L98" s="496">
        <f t="shared" ref="L98:L99" si="35">H98/J98*100</f>
        <v>0</v>
      </c>
      <c r="M98" s="496">
        <f t="shared" ref="M98:M99" si="36">I98/J98*100</f>
        <v>0</v>
      </c>
      <c r="N98" s="499">
        <f t="shared" ref="N98:N99" si="37">SUM(K98:M98)</f>
        <v>66.666666666666657</v>
      </c>
      <c r="O98" s="495">
        <v>32.1</v>
      </c>
      <c r="P98" s="496"/>
      <c r="Q98" s="496"/>
      <c r="R98" s="497">
        <f t="shared" si="33"/>
        <v>32.1</v>
      </c>
      <c r="S98" s="760">
        <v>1</v>
      </c>
      <c r="T98" s="839"/>
      <c r="U98" s="852"/>
      <c r="V98" s="492" t="s">
        <v>1045</v>
      </c>
      <c r="W98" s="760" t="s">
        <v>74</v>
      </c>
      <c r="X98" s="760" t="s">
        <v>11</v>
      </c>
      <c r="Y98" s="493">
        <v>32.1</v>
      </c>
      <c r="AD98" s="492"/>
      <c r="AG98" s="493"/>
      <c r="AL98" s="492"/>
      <c r="AO98" s="493"/>
      <c r="AP98" s="492"/>
      <c r="AS98" s="493"/>
      <c r="AW98" s="493"/>
      <c r="BA98" s="494"/>
    </row>
    <row r="99" spans="1:53" s="759" customFormat="1">
      <c r="A99" s="759">
        <v>2018</v>
      </c>
      <c r="B99" s="836">
        <v>43160</v>
      </c>
      <c r="C99" s="916" t="s">
        <v>1395</v>
      </c>
      <c r="D99" s="916"/>
      <c r="E99" s="759">
        <v>306</v>
      </c>
      <c r="F99" s="759">
        <v>1</v>
      </c>
      <c r="G99" s="539">
        <v>6</v>
      </c>
      <c r="J99" s="541">
        <v>12</v>
      </c>
      <c r="K99" s="537">
        <f t="shared" si="34"/>
        <v>50</v>
      </c>
      <c r="L99" s="537">
        <f t="shared" si="35"/>
        <v>0</v>
      </c>
      <c r="M99" s="537">
        <f t="shared" si="36"/>
        <v>0</v>
      </c>
      <c r="N99" s="540">
        <f t="shared" si="37"/>
        <v>50</v>
      </c>
      <c r="O99" s="536">
        <v>32.1</v>
      </c>
      <c r="P99" s="537"/>
      <c r="Q99" s="537"/>
      <c r="R99" s="538">
        <f t="shared" si="33"/>
        <v>32.1</v>
      </c>
      <c r="S99" s="759">
        <v>1</v>
      </c>
      <c r="T99" s="838"/>
      <c r="U99" s="836">
        <v>43160</v>
      </c>
      <c r="V99" s="532" t="s">
        <v>1045</v>
      </c>
      <c r="W99" s="759" t="s">
        <v>74</v>
      </c>
      <c r="X99" s="759" t="s">
        <v>11</v>
      </c>
      <c r="Y99" s="533">
        <v>32.1</v>
      </c>
      <c r="AD99" s="532"/>
      <c r="AG99" s="533"/>
      <c r="AL99" s="532"/>
      <c r="AO99" s="533"/>
      <c r="AP99" s="532"/>
      <c r="AS99" s="533"/>
      <c r="AW99" s="533"/>
      <c r="BA99" s="534"/>
    </row>
    <row r="100" spans="1:53" s="821" customFormat="1">
      <c r="A100" s="821">
        <v>2019</v>
      </c>
      <c r="B100" s="836"/>
      <c r="C100" s="916" t="s">
        <v>1395</v>
      </c>
      <c r="D100" s="916"/>
      <c r="E100" s="821">
        <v>121</v>
      </c>
      <c r="G100" s="539">
        <v>6</v>
      </c>
      <c r="J100" s="541">
        <v>12</v>
      </c>
      <c r="K100" s="537">
        <f t="shared" ref="K100:K101" si="38">G100/J100*100</f>
        <v>50</v>
      </c>
      <c r="L100" s="537">
        <f t="shared" ref="L100:L101" si="39">H100/J100*100</f>
        <v>0</v>
      </c>
      <c r="M100" s="537">
        <f t="shared" ref="M100:M101" si="40">I100/J100*100</f>
        <v>0</v>
      </c>
      <c r="N100" s="540">
        <f t="shared" ref="N100:N101" si="41">SUM(K100:M100)</f>
        <v>50</v>
      </c>
      <c r="O100" s="536">
        <v>32.1</v>
      </c>
      <c r="P100" s="537"/>
      <c r="Q100" s="537"/>
      <c r="R100" s="538">
        <f t="shared" si="33"/>
        <v>32.1</v>
      </c>
      <c r="S100" s="821">
        <v>1</v>
      </c>
      <c r="T100" s="838"/>
      <c r="U100" s="836"/>
      <c r="V100" s="532" t="s">
        <v>1045</v>
      </c>
      <c r="W100" s="821" t="s">
        <v>74</v>
      </c>
      <c r="X100" s="821" t="s">
        <v>11</v>
      </c>
      <c r="Y100" s="533">
        <v>32.1</v>
      </c>
      <c r="AD100" s="532"/>
      <c r="AG100" s="533"/>
      <c r="AL100" s="532"/>
      <c r="AO100" s="533"/>
      <c r="AP100" s="532"/>
      <c r="AS100" s="533"/>
      <c r="AW100" s="533"/>
      <c r="BA100" s="534"/>
    </row>
    <row r="101" spans="1:53" s="786" customFormat="1">
      <c r="A101" s="786">
        <v>2019</v>
      </c>
      <c r="B101" s="865">
        <v>43587</v>
      </c>
      <c r="C101" s="916" t="s">
        <v>1395</v>
      </c>
      <c r="D101" s="916"/>
      <c r="E101" s="786">
        <v>214</v>
      </c>
      <c r="F101" s="428">
        <v>0</v>
      </c>
      <c r="G101" s="539">
        <v>5</v>
      </c>
      <c r="J101" s="541">
        <v>12</v>
      </c>
      <c r="K101" s="537">
        <f t="shared" si="38"/>
        <v>41.666666666666671</v>
      </c>
      <c r="L101" s="537">
        <f t="shared" si="39"/>
        <v>0</v>
      </c>
      <c r="M101" s="537">
        <f t="shared" si="40"/>
        <v>0</v>
      </c>
      <c r="N101" s="540">
        <f t="shared" si="41"/>
        <v>41.666666666666671</v>
      </c>
      <c r="O101" s="536">
        <v>32.1</v>
      </c>
      <c r="P101" s="537"/>
      <c r="Q101" s="537"/>
      <c r="R101" s="538">
        <f t="shared" si="33"/>
        <v>32.1</v>
      </c>
      <c r="S101" s="786">
        <v>1</v>
      </c>
      <c r="T101" s="838"/>
      <c r="U101" s="836"/>
      <c r="V101" s="532" t="s">
        <v>1045</v>
      </c>
      <c r="W101" s="786" t="s">
        <v>74</v>
      </c>
      <c r="X101" s="786" t="s">
        <v>11</v>
      </c>
      <c r="Y101" s="533">
        <v>32.1</v>
      </c>
      <c r="AD101" s="532"/>
      <c r="AG101" s="533"/>
      <c r="AL101" s="532"/>
      <c r="AO101" s="533"/>
      <c r="AP101" s="532"/>
      <c r="AS101" s="533"/>
      <c r="AW101" s="533"/>
      <c r="BA101" s="534"/>
    </row>
    <row r="102" spans="1:53" s="821" customFormat="1">
      <c r="A102" s="821">
        <v>2019</v>
      </c>
      <c r="B102" s="865">
        <v>43801</v>
      </c>
      <c r="C102" s="916" t="s">
        <v>1395</v>
      </c>
      <c r="D102" s="916"/>
      <c r="E102" s="821">
        <v>30</v>
      </c>
      <c r="F102" s="428">
        <v>0</v>
      </c>
      <c r="G102" s="539">
        <v>7</v>
      </c>
      <c r="J102" s="541">
        <v>12</v>
      </c>
      <c r="K102" s="537">
        <f t="shared" ref="K102" si="42">G102/J102*100</f>
        <v>58.333333333333336</v>
      </c>
      <c r="L102" s="537">
        <f t="shared" ref="L102" si="43">H102/J102*100</f>
        <v>0</v>
      </c>
      <c r="M102" s="537">
        <f t="shared" ref="M102" si="44">I102/J102*100</f>
        <v>0</v>
      </c>
      <c r="N102" s="540">
        <f t="shared" ref="N102" si="45">SUM(K102:M102)</f>
        <v>58.333333333333336</v>
      </c>
      <c r="O102" s="536">
        <v>32.1</v>
      </c>
      <c r="P102" s="537"/>
      <c r="Q102" s="537"/>
      <c r="R102" s="538">
        <f t="shared" si="33"/>
        <v>32.1</v>
      </c>
      <c r="S102" s="821">
        <v>1</v>
      </c>
      <c r="T102" s="838"/>
      <c r="U102" s="836"/>
      <c r="V102" s="532" t="s">
        <v>1045</v>
      </c>
      <c r="W102" s="821" t="s">
        <v>74</v>
      </c>
      <c r="X102" s="821" t="s">
        <v>11</v>
      </c>
      <c r="Y102" s="533">
        <v>32.1</v>
      </c>
      <c r="AD102" s="532"/>
      <c r="AG102" s="533"/>
      <c r="AL102" s="532"/>
      <c r="AO102" s="533"/>
      <c r="AP102" s="532"/>
      <c r="AS102" s="533"/>
      <c r="AW102" s="533"/>
      <c r="BA102" s="534"/>
    </row>
    <row r="103" spans="1:53" ht="11" customHeight="1"/>
    <row r="104" spans="1:53" s="2" customFormat="1" ht="18" customHeight="1">
      <c r="B104" s="22" t="s">
        <v>1269</v>
      </c>
    </row>
    <row r="105" spans="1:53" s="2" customFormat="1" ht="9" customHeight="1"/>
    <row r="106" spans="1:53" s="317" customFormat="1" ht="9" customHeight="1">
      <c r="A106" s="315"/>
      <c r="B106" s="316" t="s">
        <v>1220</v>
      </c>
      <c r="C106" s="316"/>
      <c r="D106" s="316"/>
      <c r="E106" s="316"/>
      <c r="F106" s="316"/>
      <c r="G106" s="316" t="s">
        <v>1221</v>
      </c>
      <c r="H106" s="316"/>
      <c r="I106" s="316"/>
      <c r="J106" s="316"/>
      <c r="K106" s="316"/>
      <c r="L106" s="316"/>
      <c r="M106" s="316"/>
      <c r="N106" s="316"/>
      <c r="R106" s="895" t="s">
        <v>1222</v>
      </c>
      <c r="S106" s="895"/>
      <c r="T106" s="895"/>
      <c r="U106" s="895"/>
      <c r="V106" s="895"/>
      <c r="W106" s="895"/>
      <c r="X106" s="318"/>
      <c r="Y106" s="318"/>
      <c r="AA106" s="318"/>
      <c r="AB106" s="318"/>
      <c r="AC106" s="318"/>
      <c r="AD106" s="318"/>
    </row>
    <row r="107" spans="1:53" s="322" customFormat="1" ht="9" customHeight="1">
      <c r="A107" s="319"/>
      <c r="B107" s="320" t="s">
        <v>1224</v>
      </c>
      <c r="C107" s="321"/>
      <c r="D107" s="321"/>
      <c r="E107" s="321"/>
      <c r="F107" s="321"/>
      <c r="G107" s="320" t="s">
        <v>1223</v>
      </c>
      <c r="H107" s="321"/>
      <c r="I107" s="321"/>
      <c r="J107" s="321"/>
      <c r="K107" s="321"/>
      <c r="L107" s="321"/>
      <c r="M107" s="321"/>
      <c r="N107" s="321"/>
      <c r="R107" s="323" t="s">
        <v>1225</v>
      </c>
      <c r="S107" s="324"/>
      <c r="T107" s="325"/>
      <c r="U107" s="325"/>
      <c r="V107" s="325"/>
      <c r="W107" s="323" t="s">
        <v>1226</v>
      </c>
      <c r="X107" s="325"/>
      <c r="Y107" s="325"/>
      <c r="AA107" s="325"/>
      <c r="AB107" s="325"/>
      <c r="AC107" s="325"/>
      <c r="AD107" s="325"/>
    </row>
    <row r="108" spans="1:53" s="307" customFormat="1" ht="12" customHeight="1">
      <c r="A108" s="326" t="s">
        <v>3</v>
      </c>
      <c r="B108" s="327" t="s">
        <v>8</v>
      </c>
      <c r="C108" s="327" t="s">
        <v>9</v>
      </c>
      <c r="D108" s="327" t="s">
        <v>10</v>
      </c>
      <c r="E108" s="328" t="s">
        <v>1200</v>
      </c>
      <c r="F108" s="327"/>
      <c r="G108" s="307" t="s">
        <v>3</v>
      </c>
      <c r="H108" s="896" t="s">
        <v>0</v>
      </c>
      <c r="I108" s="896"/>
      <c r="J108" s="896" t="s">
        <v>1</v>
      </c>
      <c r="K108" s="896"/>
      <c r="L108" s="896" t="s">
        <v>2</v>
      </c>
      <c r="M108" s="896"/>
      <c r="N108" s="897" t="s">
        <v>1200</v>
      </c>
      <c r="O108" s="897"/>
      <c r="P108" s="329"/>
      <c r="Q108" s="329"/>
      <c r="R108" s="330" t="s">
        <v>3</v>
      </c>
      <c r="S108" s="331" t="s">
        <v>136</v>
      </c>
      <c r="T108" s="329" t="s">
        <v>134</v>
      </c>
      <c r="U108" s="327" t="s">
        <v>135</v>
      </c>
      <c r="V108" s="329"/>
      <c r="W108" s="332" t="s">
        <v>26</v>
      </c>
    </row>
    <row r="109" spans="1:53" s="561" customFormat="1" ht="9" customHeight="1">
      <c r="A109" s="561">
        <v>1978</v>
      </c>
      <c r="B109" s="554">
        <f>(K9*($E9/365))</f>
        <v>44.682440846824399</v>
      </c>
      <c r="C109" s="554">
        <f>(L9*($E9/365))</f>
        <v>0</v>
      </c>
      <c r="D109" s="554">
        <f>(M9*($E9/365))</f>
        <v>14.89414694894147</v>
      </c>
      <c r="E109" s="555">
        <f t="shared" ref="E109:E120" si="46">SUM(B109:D109)</f>
        <v>59.576587795765867</v>
      </c>
      <c r="G109" s="561">
        <v>1978</v>
      </c>
      <c r="H109" s="918">
        <f>(O9/$R9*100*($E9/365))</f>
        <v>68.838494301830309</v>
      </c>
      <c r="I109" s="918"/>
      <c r="J109" s="918">
        <f>(P9/$R9*100*($E9/365))</f>
        <v>0</v>
      </c>
      <c r="K109" s="918"/>
      <c r="L109" s="918">
        <f>(Q9/$R9*100*($E9/365))</f>
        <v>13.079313917347759</v>
      </c>
      <c r="M109" s="918"/>
      <c r="N109" s="887">
        <f>H109+J109+L109</f>
        <v>81.91780821917807</v>
      </c>
      <c r="O109" s="887"/>
      <c r="R109" s="561">
        <v>1978</v>
      </c>
      <c r="S109" s="554">
        <f>(O9*($E9/365))</f>
        <v>49.150684931506845</v>
      </c>
      <c r="T109" s="554">
        <f>(P9*($E9/365))</f>
        <v>0</v>
      </c>
      <c r="U109" s="554">
        <f>(Q9*($E9/365))</f>
        <v>9.3386301369863016</v>
      </c>
      <c r="W109" s="559">
        <f t="shared" ref="W109:W120" si="47">SUM(S109:U109)</f>
        <v>58.489315068493148</v>
      </c>
      <c r="Y109" s="71" t="s">
        <v>1317</v>
      </c>
    </row>
    <row r="110" spans="1:53" s="561" customFormat="1" ht="9" customHeight="1">
      <c r="A110" s="561">
        <v>1979</v>
      </c>
      <c r="B110" s="554">
        <f>(K10*($E10/365))+(K11*($E11/365))</f>
        <v>56.064757160647567</v>
      </c>
      <c r="C110" s="554">
        <f>(L10*($E10/365))+(L11*($E11/365))</f>
        <v>0</v>
      </c>
      <c r="D110" s="554">
        <f>(M10*($E10/365))+(M11*($E11/365))</f>
        <v>18.181818181818183</v>
      </c>
      <c r="E110" s="555">
        <f t="shared" si="46"/>
        <v>74.246575342465746</v>
      </c>
      <c r="G110" s="561">
        <v>1979</v>
      </c>
      <c r="H110" s="918">
        <f>(O10/$R10*100*($E10/365))+(O11/$R11*100*($E11/365))</f>
        <v>84.033613445378137</v>
      </c>
      <c r="I110" s="918"/>
      <c r="J110" s="918">
        <f>(P10/$R10*100*($E10/365))+(P11/$R11*100*($E11/365))</f>
        <v>0</v>
      </c>
      <c r="K110" s="918"/>
      <c r="L110" s="918">
        <f>(Q10/$R10*100*($E10/365))+(Q11/$R11*100*($E11/365))</f>
        <v>15.966386554621847</v>
      </c>
      <c r="M110" s="918"/>
      <c r="N110" s="887">
        <f t="shared" ref="N110:N145" si="48">H110+J110+L110</f>
        <v>99.999999999999986</v>
      </c>
      <c r="O110" s="887"/>
      <c r="R110" s="561">
        <v>1979</v>
      </c>
      <c r="S110" s="554">
        <f>(O10*($E10/365))+(O11*($E11/365))</f>
        <v>60</v>
      </c>
      <c r="T110" s="554">
        <f>(P10*($E10/365))+(P11*($E11/365))</f>
        <v>0</v>
      </c>
      <c r="U110" s="554">
        <f>(Q10*($E10/365))+(Q11*($E11/365))</f>
        <v>11.4</v>
      </c>
      <c r="W110" s="559">
        <f t="shared" si="47"/>
        <v>71.400000000000006</v>
      </c>
    </row>
    <row r="111" spans="1:53" s="561" customFormat="1" ht="9" customHeight="1">
      <c r="A111" s="561">
        <v>1980</v>
      </c>
      <c r="B111" s="554">
        <f>(K12*($E12/366))+(K13*($E13/366))+(K14*($E14/366))</f>
        <v>69.200198708395433</v>
      </c>
      <c r="C111" s="554">
        <f>(L12*($E12/366))+(L13*($E13/366))+(L14*($E14/366))</f>
        <v>0</v>
      </c>
      <c r="D111" s="554">
        <f>(M12*($E12/366))+(M13*($E13/366))+(M14*($E14/366))</f>
        <v>12.617983109786389</v>
      </c>
      <c r="E111" s="555">
        <f t="shared" si="46"/>
        <v>81.818181818181827</v>
      </c>
      <c r="G111" s="561">
        <v>1980</v>
      </c>
      <c r="H111" s="918">
        <f>(O12/$R12*100*($E12/366))+(O13/$R13*100*($E13/366))+(O14/$R14*100*($E14/366))</f>
        <v>88.875878220140507</v>
      </c>
      <c r="I111" s="918"/>
      <c r="J111" s="918">
        <f>(P12/$R12*100*($E12/366))+(P13/$R13*100*($E13/366))+(P14/$R14*100*($E14/366))</f>
        <v>0</v>
      </c>
      <c r="K111" s="918"/>
      <c r="L111" s="918">
        <f>(Q12/$R12*100*($E12/366))+(Q13/$R13*100*($E13/366))+(Q14/$R14*100*($E14/366))</f>
        <v>11.124121779859482</v>
      </c>
      <c r="M111" s="918"/>
      <c r="N111" s="887">
        <f t="shared" si="48"/>
        <v>99.999999999999986</v>
      </c>
      <c r="O111" s="887"/>
      <c r="R111" s="561">
        <v>1980</v>
      </c>
      <c r="S111" s="554">
        <f>(O12*($E12/366))+(O13*($E13/366))+(O14*($E14/366))</f>
        <v>60</v>
      </c>
      <c r="T111" s="554">
        <f>(P12*($E12/366))+(P13*($E13/366))+(P14*($E14/366))</f>
        <v>0</v>
      </c>
      <c r="U111" s="554">
        <f>(Q12*($E12/366))+(Q13*($E13/366))+(Q14*($E14/366))</f>
        <v>7.942622950819672</v>
      </c>
      <c r="W111" s="559">
        <f t="shared" si="47"/>
        <v>67.942622950819668</v>
      </c>
    </row>
    <row r="112" spans="1:53" s="561" customFormat="1" ht="9" customHeight="1">
      <c r="A112" s="561">
        <v>1981</v>
      </c>
      <c r="B112" s="554">
        <f>(K15*($E15/365))+(K16*($E16/365))</f>
        <v>9.0909090909090917</v>
      </c>
      <c r="C112" s="554">
        <f>(L15*($E15/365))+(L16*($E16/365))</f>
        <v>0</v>
      </c>
      <c r="D112" s="554">
        <f>(M15*($E15/365))+(M16*($E16/365))</f>
        <v>0</v>
      </c>
      <c r="E112" s="555">
        <f t="shared" si="46"/>
        <v>9.0909090909090917</v>
      </c>
      <c r="G112" s="561">
        <v>1981</v>
      </c>
      <c r="H112" s="918">
        <f>(O15/$R15*100*($E15/365))+(O16/$R16*100*($E16/365))</f>
        <v>100</v>
      </c>
      <c r="I112" s="918"/>
      <c r="J112" s="918">
        <f>(P15/$R15*100*($E15/365))+(P16/$R16*100*($E16/365))</f>
        <v>0</v>
      </c>
      <c r="K112" s="918"/>
      <c r="L112" s="918">
        <f>(Q15/$R15*100*($E15/365))+(Q16/$R16*100*($E16/365))</f>
        <v>0</v>
      </c>
      <c r="M112" s="918"/>
      <c r="N112" s="887">
        <f t="shared" si="48"/>
        <v>100</v>
      </c>
      <c r="O112" s="887"/>
      <c r="R112" s="561">
        <v>1981</v>
      </c>
      <c r="S112" s="554">
        <f>(O15*($E15/365))+(O16*($E16/365))</f>
        <v>37.435068493150688</v>
      </c>
      <c r="T112" s="554">
        <f>(P15*($E15/365))+(P16*($E16/365))</f>
        <v>0</v>
      </c>
      <c r="U112" s="554">
        <f>(Q15*($E15/365))+(Q16*($E16/365))</f>
        <v>0</v>
      </c>
      <c r="W112" s="559">
        <f t="shared" si="47"/>
        <v>37.435068493150688</v>
      </c>
      <c r="Y112" s="71"/>
    </row>
    <row r="113" spans="1:25" s="561" customFormat="1" ht="9" customHeight="1">
      <c r="A113" s="561">
        <v>1982</v>
      </c>
      <c r="B113" s="554">
        <f>(K17*($E17/365))+(K18*($E18/365))</f>
        <v>47.34744707347447</v>
      </c>
      <c r="C113" s="554">
        <f>(L17*($E17/365))+(L18*($E18/365))</f>
        <v>0</v>
      </c>
      <c r="D113" s="554">
        <f>(M17*($E17/365))+(M18*($E18/365))</f>
        <v>0</v>
      </c>
      <c r="E113" s="555">
        <f t="shared" si="46"/>
        <v>47.34744707347447</v>
      </c>
      <c r="G113" s="561">
        <v>1982</v>
      </c>
      <c r="H113" s="918">
        <f>(O17/$R17*100*($E17/365))+(O18/$R18*100*($E18/365))</f>
        <v>100</v>
      </c>
      <c r="I113" s="918"/>
      <c r="J113" s="918">
        <f>(P17/$R17*100*($E17/365))+(P18/$R18*100*($E18/365))</f>
        <v>0</v>
      </c>
      <c r="K113" s="918"/>
      <c r="L113" s="918">
        <f>(Q17/$R17*100*($E17/365))+(Q18/$R18*100*($E18/365))</f>
        <v>0</v>
      </c>
      <c r="M113" s="918"/>
      <c r="N113" s="887">
        <f t="shared" si="48"/>
        <v>100</v>
      </c>
      <c r="O113" s="887"/>
      <c r="R113" s="561">
        <v>1982</v>
      </c>
      <c r="S113" s="554">
        <f>(O17*($E17/365))+(O18*($E18/365))</f>
        <v>22.9</v>
      </c>
      <c r="T113" s="554">
        <f>(P17*($E17/365))+(P18*($E18/365))</f>
        <v>0</v>
      </c>
      <c r="U113" s="554">
        <f>(Q17*($E17/365))+(Q18*($E18/365))</f>
        <v>0</v>
      </c>
      <c r="W113" s="559">
        <f t="shared" si="47"/>
        <v>22.9</v>
      </c>
    </row>
    <row r="114" spans="1:25" s="561" customFormat="1" ht="9" customHeight="1">
      <c r="A114" s="561">
        <v>1983</v>
      </c>
      <c r="B114" s="554">
        <f>(K19*($E19/365))+(K20*($E20/365))+(K21*($E21/365))</f>
        <v>61.120797011207969</v>
      </c>
      <c r="C114" s="554">
        <f>(L19*($E19/365))+(L20*($E20/365))+(L21*($E21/365))</f>
        <v>0</v>
      </c>
      <c r="D114" s="554">
        <f>(M19*($E19/365))+(M20*($E20/365))+(M21*($E21/365))</f>
        <v>0</v>
      </c>
      <c r="E114" s="555">
        <f t="shared" si="46"/>
        <v>61.120797011207969</v>
      </c>
      <c r="G114" s="561">
        <v>1983</v>
      </c>
      <c r="H114" s="918">
        <f>(O19/$R19*100*($E19/365))+(O20/$R20*100*($E20/365))+(O21/$R21*100*($E21/365))</f>
        <v>100</v>
      </c>
      <c r="I114" s="918"/>
      <c r="J114" s="918">
        <f>(P19/$R19*100*($E19/365))+(P20/$R20*100*($E20/365))+(P21/$R21*100*($E21/365))</f>
        <v>0</v>
      </c>
      <c r="K114" s="918"/>
      <c r="L114" s="918">
        <f>(Q19/$R19*100*($E19/365))+(Q20/$R20*100*($E20/365))+(Q21/$R21*100*($E21/365))</f>
        <v>0</v>
      </c>
      <c r="M114" s="918"/>
      <c r="N114" s="887">
        <f t="shared" si="48"/>
        <v>100</v>
      </c>
      <c r="O114" s="887"/>
      <c r="R114" s="561">
        <v>1983</v>
      </c>
      <c r="S114" s="554">
        <f>(O19*($E19/365))+(O20*($E20/365))+(O21*($E21/365))</f>
        <v>22.9</v>
      </c>
      <c r="T114" s="554">
        <f>(P19*($E19/365))+(P20*($E20/365))+(P21*($E21/365))</f>
        <v>0</v>
      </c>
      <c r="U114" s="554">
        <f>(Q19*($E19/365))+(Q20*($E20/365))+(Q21*($E21/365))</f>
        <v>0</v>
      </c>
      <c r="W114" s="559">
        <f t="shared" si="47"/>
        <v>22.9</v>
      </c>
    </row>
    <row r="115" spans="1:25" s="561" customFormat="1" ht="9" customHeight="1">
      <c r="A115" s="561">
        <v>1984</v>
      </c>
      <c r="B115" s="554">
        <f>(K22*($E22/366))+(K23*($E23/366))</f>
        <v>54.54545454545454</v>
      </c>
      <c r="C115" s="554">
        <f>(L22*($E22/366))+(L23*($E23/366))</f>
        <v>0</v>
      </c>
      <c r="D115" s="554">
        <f>(M22*($E22/366))+(M23*($E23/366))</f>
        <v>0</v>
      </c>
      <c r="E115" s="555">
        <f t="shared" si="46"/>
        <v>54.54545454545454</v>
      </c>
      <c r="G115" s="561">
        <v>1984</v>
      </c>
      <c r="H115" s="918">
        <f>(O22/$R22*100*($E22/366))+(O23/$R23*100*($E23/366))</f>
        <v>100</v>
      </c>
      <c r="I115" s="918"/>
      <c r="J115" s="918">
        <f>(P22/$R22*100*($E22/366))+(P23/$R23*100*($E23/366))</f>
        <v>0</v>
      </c>
      <c r="K115" s="918"/>
      <c r="L115" s="918">
        <f>(Q22/$R22*100*($E22/366))+(Q23/$R23*100*($E23/366))</f>
        <v>0</v>
      </c>
      <c r="M115" s="918"/>
      <c r="N115" s="887">
        <f t="shared" si="48"/>
        <v>100</v>
      </c>
      <c r="O115" s="887"/>
      <c r="R115" s="561">
        <v>1984</v>
      </c>
      <c r="S115" s="554">
        <f>(O22*($E22/366))+(O23*($E23/366))</f>
        <v>22.9</v>
      </c>
      <c r="T115" s="554">
        <f>(P22*($E22/366))+(P23*($E23/366))</f>
        <v>0</v>
      </c>
      <c r="U115" s="554">
        <f>(Q22*($E22/366))+(Q23*($E23/366))</f>
        <v>0</v>
      </c>
      <c r="W115" s="559">
        <f t="shared" si="47"/>
        <v>22.9</v>
      </c>
    </row>
    <row r="116" spans="1:25" s="561" customFormat="1" ht="9" customHeight="1">
      <c r="A116" s="561">
        <v>1985</v>
      </c>
      <c r="B116" s="554">
        <f>(K24*($E24/365))+(K25*($E25/365))+(K26*($E26/365))+(K27*($E27/365))</f>
        <v>66.467413864674128</v>
      </c>
      <c r="C116" s="554">
        <f>(L24*($E24/365))+(L25*($E25/365))+(L26*($E26/365))+(L27*($E27/365))</f>
        <v>0</v>
      </c>
      <c r="D116" s="554">
        <f>(M24*($E24/365))+(M25*($E25/365))+(M26*($E26/365))+(M27*($E27/365))</f>
        <v>0</v>
      </c>
      <c r="E116" s="555">
        <f t="shared" si="46"/>
        <v>66.467413864674128</v>
      </c>
      <c r="G116" s="561">
        <v>1985</v>
      </c>
      <c r="H116" s="918">
        <f>(O24/$R24*100*($E24/365))+(O25/$R25*100*($E25/365))+(O26/$R26*100*($E26/365))+(O27/$R27*100*($E27/365))</f>
        <v>100</v>
      </c>
      <c r="I116" s="918"/>
      <c r="J116" s="918">
        <f>(P24/$R24*100*($E24/365))+(P25/$R25*100*($E25/365))+(P26/$R26*100*($E26/365))+(P27/$R27*100*($E27/365))</f>
        <v>0</v>
      </c>
      <c r="K116" s="918"/>
      <c r="L116" s="918">
        <f>(Q24/$R24*100*($E24/365))+(Q25/$R25*100*($E25/365))+(Q26/$R26*100*($E26/365))+(Q27/$R27*100*($E27/365))</f>
        <v>0</v>
      </c>
      <c r="M116" s="918"/>
      <c r="N116" s="887">
        <f t="shared" si="48"/>
        <v>100</v>
      </c>
      <c r="O116" s="887"/>
      <c r="R116" s="561">
        <v>1985</v>
      </c>
      <c r="S116" s="554">
        <f>(O24*($E24/365))+(O25*($E25/365))+(O26*($E26/365))+(O27*($E27/365))</f>
        <v>56.98465753424658</v>
      </c>
      <c r="T116" s="554">
        <f>(P24*($E24/365))+(P25*($E25/365))+(P26*($E26/365))+(P27*($E27/365))</f>
        <v>0</v>
      </c>
      <c r="U116" s="554">
        <f>(Q24*($E24/365))+(Q25*($E25/365))+(Q26*($E26/365))+(Q27*($E27/365))</f>
        <v>0</v>
      </c>
      <c r="W116" s="559">
        <f t="shared" si="47"/>
        <v>56.98465753424658</v>
      </c>
    </row>
    <row r="117" spans="1:25" s="561" customFormat="1" ht="9" customHeight="1">
      <c r="A117" s="561">
        <v>1986</v>
      </c>
      <c r="B117" s="554">
        <f>(K28*($E28/365))+(K29*($E29/365))</f>
        <v>66.666666666666657</v>
      </c>
      <c r="C117" s="554">
        <f>(L28*($E28/365))+(L29*($E29/365))</f>
        <v>0</v>
      </c>
      <c r="D117" s="554">
        <f>(M28*($E28/365))+(M29*($E29/365))</f>
        <v>0</v>
      </c>
      <c r="E117" s="555">
        <f t="shared" si="46"/>
        <v>66.666666666666657</v>
      </c>
      <c r="G117" s="561">
        <v>1986</v>
      </c>
      <c r="H117" s="918">
        <f>(O28/$R28*100*($E28/365))+(O29/$R29*100*($E29/365))</f>
        <v>100</v>
      </c>
      <c r="I117" s="918"/>
      <c r="J117" s="918">
        <f>(P28/$R28*100*($E28/365))+(P29/$R29*100*($E29/365))</f>
        <v>0</v>
      </c>
      <c r="K117" s="918"/>
      <c r="L117" s="918">
        <f>(Q28/$R28*100*($E28/365))+(Q29/$R29*100*($E29/365))</f>
        <v>0</v>
      </c>
      <c r="M117" s="918"/>
      <c r="N117" s="887">
        <f t="shared" si="48"/>
        <v>100</v>
      </c>
      <c r="O117" s="887"/>
      <c r="R117" s="561">
        <v>1986</v>
      </c>
      <c r="S117" s="554">
        <f>(O28*($E28/365))+(O29*($E29/365))</f>
        <v>62.5</v>
      </c>
      <c r="T117" s="554">
        <f>(P28*($E28/365))+(P29*($E29/365))</f>
        <v>0</v>
      </c>
      <c r="U117" s="554">
        <f>(Q28*($E28/365))+(Q29*($E29/365))</f>
        <v>0</v>
      </c>
      <c r="W117" s="559">
        <f t="shared" si="47"/>
        <v>62.5</v>
      </c>
    </row>
    <row r="118" spans="1:25" s="561" customFormat="1" ht="9" customHeight="1">
      <c r="A118" s="561">
        <v>1987</v>
      </c>
      <c r="B118" s="554">
        <f>(K30*($E30/365))+(K31*($E31/365))</f>
        <v>66.666666666666657</v>
      </c>
      <c r="C118" s="554">
        <f>(L30*($E30/365))+(L31*($E31/365))</f>
        <v>0</v>
      </c>
      <c r="D118" s="554">
        <f>(M30*($E30/365))+(M31*($E31/365))</f>
        <v>0</v>
      </c>
      <c r="E118" s="555">
        <f t="shared" si="46"/>
        <v>66.666666666666657</v>
      </c>
      <c r="G118" s="561">
        <v>1987</v>
      </c>
      <c r="H118" s="918">
        <f>(O30/$R30*100*($E30/365))+(O31/$R31*100*($E31/365))</f>
        <v>100</v>
      </c>
      <c r="I118" s="918"/>
      <c r="J118" s="918">
        <f>(P30/$R30*100*($E30/365))+(P31/$R31*100*($E31/365))</f>
        <v>0</v>
      </c>
      <c r="K118" s="918"/>
      <c r="L118" s="918">
        <f>(Q30/$R30*100*($E30/365))+(Q31/$R31*100*($E31/365))</f>
        <v>0</v>
      </c>
      <c r="M118" s="918"/>
      <c r="N118" s="887">
        <f t="shared" si="48"/>
        <v>100</v>
      </c>
      <c r="O118" s="887"/>
      <c r="R118" s="561">
        <v>1987</v>
      </c>
      <c r="S118" s="554">
        <f>(O30*($E30/365))+(O31*($E31/365))</f>
        <v>62.5</v>
      </c>
      <c r="T118" s="554">
        <f>(P30*($E30/365))+(P31*($E31/365))</f>
        <v>0</v>
      </c>
      <c r="U118" s="554">
        <f>(Q30*($E30/365))+(Q31*($E31/365))</f>
        <v>0</v>
      </c>
      <c r="W118" s="559">
        <f t="shared" si="47"/>
        <v>62.5</v>
      </c>
    </row>
    <row r="119" spans="1:25" s="561" customFormat="1" ht="9" customHeight="1">
      <c r="A119" s="561">
        <v>1988</v>
      </c>
      <c r="B119" s="554">
        <f>(K32*($E32/366))+(K33*($E33/366))</f>
        <v>10.564663023679417</v>
      </c>
      <c r="C119" s="554">
        <f>(L32*($E32/366))+(L33*($E33/366))</f>
        <v>0</v>
      </c>
      <c r="D119" s="554">
        <f>(M32*($E32/366))+(M33*($E33/366))</f>
        <v>0</v>
      </c>
      <c r="E119" s="555">
        <f t="shared" si="46"/>
        <v>10.564663023679417</v>
      </c>
      <c r="G119" s="561">
        <v>1988</v>
      </c>
      <c r="H119" s="918">
        <f>(O32/$R32*100*($E32/365))</f>
        <v>15.890410958904111</v>
      </c>
      <c r="I119" s="918"/>
      <c r="J119" s="918">
        <f>(P32/$R32*100*($E32/365))</f>
        <v>0</v>
      </c>
      <c r="K119" s="918"/>
      <c r="L119" s="918">
        <f>(Q32/$R32*100*($E32/365))</f>
        <v>0</v>
      </c>
      <c r="M119" s="918"/>
      <c r="N119" s="887">
        <f t="shared" si="48"/>
        <v>15.890410958904111</v>
      </c>
      <c r="O119" s="887"/>
      <c r="R119" s="561">
        <v>1988</v>
      </c>
      <c r="S119" s="554">
        <f>(O32*($E32/366))+(O33*($E33/366))</f>
        <v>9.9043715846994544</v>
      </c>
      <c r="T119" s="554">
        <f>(P32*($E32/366))+(P33*($E33/366))</f>
        <v>0</v>
      </c>
      <c r="U119" s="554">
        <f>(Q32*($E32/366))+(Q33*($E33/366))</f>
        <v>0</v>
      </c>
      <c r="W119" s="559">
        <f t="shared" si="47"/>
        <v>9.9043715846994544</v>
      </c>
    </row>
    <row r="120" spans="1:25" s="4" customFormat="1" ht="9" customHeight="1">
      <c r="A120" s="4">
        <v>1989</v>
      </c>
      <c r="B120" s="558">
        <f>(K34*($E34/365))+(K35*($E35/365))</f>
        <v>0</v>
      </c>
      <c r="C120" s="558">
        <f>(L34*($E34/365))+(L35*($E35/365))</f>
        <v>0</v>
      </c>
      <c r="D120" s="558">
        <f>(M34*($E34/365))+(M35*($E35/365))</f>
        <v>0</v>
      </c>
      <c r="E120" s="553">
        <f t="shared" si="46"/>
        <v>0</v>
      </c>
      <c r="G120" s="4">
        <v>1989</v>
      </c>
      <c r="H120" s="920">
        <v>0</v>
      </c>
      <c r="I120" s="920"/>
      <c r="J120" s="920">
        <v>0</v>
      </c>
      <c r="K120" s="920"/>
      <c r="L120" s="920">
        <v>0</v>
      </c>
      <c r="M120" s="920"/>
      <c r="N120" s="893">
        <f t="shared" si="48"/>
        <v>0</v>
      </c>
      <c r="O120" s="893"/>
      <c r="R120" s="4">
        <v>1989</v>
      </c>
      <c r="S120" s="558">
        <f>(O34*($E34/365))+(O35*($E35/365))</f>
        <v>0</v>
      </c>
      <c r="T120" s="558">
        <f>(P34*($E34/365))+(P35*($E35/365))</f>
        <v>0</v>
      </c>
      <c r="U120" s="558">
        <f>(Q34*($E34/365))+(Q35*($E35/365))</f>
        <v>0</v>
      </c>
      <c r="W120" s="552">
        <f t="shared" si="47"/>
        <v>0</v>
      </c>
    </row>
    <row r="121" spans="1:25" ht="9" customHeight="1">
      <c r="A121" s="1">
        <v>1990</v>
      </c>
      <c r="B121" s="8">
        <f>(K36*($E36/365))+(K37*($E37/365))</f>
        <v>0</v>
      </c>
      <c r="C121" s="8">
        <f>(L36*($E36/365))+(L37*($E37/365))</f>
        <v>0</v>
      </c>
      <c r="D121" s="8">
        <f>(M36*($E36/365))+(M37*($E37/365))</f>
        <v>0</v>
      </c>
      <c r="E121" s="64">
        <f t="shared" ref="E121:E143" si="49">SUM(B121:D121)</f>
        <v>0</v>
      </c>
      <c r="G121" s="1">
        <v>1990</v>
      </c>
      <c r="H121" s="918">
        <v>0</v>
      </c>
      <c r="I121" s="918"/>
      <c r="J121" s="918">
        <v>0</v>
      </c>
      <c r="K121" s="918"/>
      <c r="L121" s="918">
        <v>0</v>
      </c>
      <c r="M121" s="918"/>
      <c r="N121" s="887">
        <f t="shared" si="48"/>
        <v>0</v>
      </c>
      <c r="O121" s="887"/>
      <c r="R121" s="1">
        <v>1990</v>
      </c>
      <c r="S121" s="8">
        <f>(O36*($E36/365))+(O37*($E37/365))</f>
        <v>0</v>
      </c>
      <c r="T121" s="8">
        <f>(P36*($E36/365))+(P37*($E37/365))</f>
        <v>0</v>
      </c>
      <c r="U121" s="8">
        <f>(Q36*($E36/365))+(Q37*($E37/365))</f>
        <v>0</v>
      </c>
      <c r="W121" s="14">
        <f>SUM(S121:U121)</f>
        <v>0</v>
      </c>
      <c r="Y121" s="71"/>
    </row>
    <row r="122" spans="1:25" ht="9" customHeight="1">
      <c r="A122" s="1">
        <v>1991</v>
      </c>
      <c r="B122" s="8">
        <f>(K38*($E38/365))+(K39*($E39/365))</f>
        <v>0</v>
      </c>
      <c r="C122" s="8">
        <f>(L38*($E38/365))+(L39*($E39/365))</f>
        <v>0</v>
      </c>
      <c r="D122" s="8">
        <f>(M38*($E38/365))+(M39*($E39/365))</f>
        <v>0</v>
      </c>
      <c r="E122" s="64">
        <f t="shared" si="49"/>
        <v>0</v>
      </c>
      <c r="G122" s="1">
        <v>1991</v>
      </c>
      <c r="H122" s="918">
        <v>0</v>
      </c>
      <c r="I122" s="918"/>
      <c r="J122" s="918">
        <v>0</v>
      </c>
      <c r="K122" s="918"/>
      <c r="L122" s="918">
        <v>0</v>
      </c>
      <c r="M122" s="918"/>
      <c r="N122" s="887">
        <f t="shared" si="48"/>
        <v>0</v>
      </c>
      <c r="O122" s="887"/>
      <c r="R122" s="1">
        <v>1991</v>
      </c>
      <c r="S122" s="8">
        <f>(O38*($E38/365))+(O39*($E39/365))</f>
        <v>0</v>
      </c>
      <c r="T122" s="8">
        <f>(P38*($E38/365))+(P39*($E39/365))</f>
        <v>0</v>
      </c>
      <c r="U122" s="8">
        <f>(Q38*($E38/365))+(Q39*($E39/365))</f>
        <v>0</v>
      </c>
      <c r="W122" s="14">
        <f>SUM(S122:U122)</f>
        <v>0</v>
      </c>
    </row>
    <row r="123" spans="1:25" ht="9" customHeight="1">
      <c r="A123" s="1">
        <v>1992</v>
      </c>
      <c r="B123" s="8">
        <f>(K40*($E40/366))+(K41*($E41/366))</f>
        <v>0</v>
      </c>
      <c r="C123" s="8">
        <f>(L40*($E40/366))+(L41*($E41/366))</f>
        <v>0</v>
      </c>
      <c r="D123" s="8">
        <f>(M40*($E40/366))+(M41*($E41/366))</f>
        <v>0</v>
      </c>
      <c r="E123" s="64">
        <f t="shared" si="49"/>
        <v>0</v>
      </c>
      <c r="G123" s="1">
        <v>1992</v>
      </c>
      <c r="H123" s="918">
        <v>0</v>
      </c>
      <c r="I123" s="918"/>
      <c r="J123" s="918">
        <v>0</v>
      </c>
      <c r="K123" s="918"/>
      <c r="L123" s="918">
        <v>0</v>
      </c>
      <c r="M123" s="918"/>
      <c r="N123" s="887">
        <f t="shared" si="48"/>
        <v>0</v>
      </c>
      <c r="O123" s="887"/>
      <c r="R123" s="1">
        <v>1992</v>
      </c>
      <c r="S123" s="8">
        <f>(O40*($E40/366))+(O41*($E41/366))</f>
        <v>0</v>
      </c>
      <c r="T123" s="8">
        <f>(P40*($E40/366))+(P41*($E41/366))</f>
        <v>0</v>
      </c>
      <c r="U123" s="8">
        <f>(Q40*($E40/366))+(Q41*($E41/366))</f>
        <v>0</v>
      </c>
      <c r="W123" s="14">
        <f t="shared" ref="W123:W143" si="50">SUM(S123:U123)</f>
        <v>0</v>
      </c>
    </row>
    <row r="124" spans="1:25" ht="9" customHeight="1">
      <c r="A124" s="1">
        <v>1993</v>
      </c>
      <c r="B124" s="8">
        <f>(K42*($E42/365))+(K43*($E43/365))</f>
        <v>70.776255707762559</v>
      </c>
      <c r="C124" s="8">
        <f>(L42*($E42/365))+(L43*($E43/365))</f>
        <v>0</v>
      </c>
      <c r="D124" s="8">
        <f>(M42*($E42/365))+(M43*($E43/365))</f>
        <v>0</v>
      </c>
      <c r="E124" s="64">
        <f t="shared" si="49"/>
        <v>70.776255707762559</v>
      </c>
      <c r="G124" s="1">
        <v>1993</v>
      </c>
      <c r="H124" s="918">
        <f>0+(O43/$R43*100*($E43/365))</f>
        <v>84.93150684931507</v>
      </c>
      <c r="I124" s="918"/>
      <c r="J124" s="918">
        <f>0+(P43/$R43*100*($E43/365))</f>
        <v>0</v>
      </c>
      <c r="K124" s="918"/>
      <c r="L124" s="918">
        <f>0+(Q43/$R43*100*($E43/365))</f>
        <v>0</v>
      </c>
      <c r="M124" s="918"/>
      <c r="N124" s="887">
        <f t="shared" si="48"/>
        <v>84.93150684931507</v>
      </c>
      <c r="O124" s="887"/>
      <c r="R124" s="1">
        <v>1993</v>
      </c>
      <c r="S124" s="8">
        <f>(O42*($E42/365))+(O43*($E43/365))</f>
        <v>46.967123287671228</v>
      </c>
      <c r="T124" s="8">
        <f>(P42*($E42/365))+(P43*($E43/365))</f>
        <v>0</v>
      </c>
      <c r="U124" s="8">
        <f>(Q42*($E42/365))+(Q43*($E43/365))</f>
        <v>0</v>
      </c>
      <c r="W124" s="14">
        <f t="shared" si="50"/>
        <v>46.967123287671228</v>
      </c>
    </row>
    <row r="125" spans="1:25" ht="9" customHeight="1">
      <c r="A125" s="1">
        <v>1994</v>
      </c>
      <c r="B125" s="8">
        <f>(K44*($E44/365))+(K45*($E45/365))</f>
        <v>83.333333333333343</v>
      </c>
      <c r="C125" s="8">
        <f>(L44*($E44/365))+(L45*($E45/365))</f>
        <v>0</v>
      </c>
      <c r="D125" s="8">
        <f>(M44*($E44/365))+(M45*($E45/365))</f>
        <v>0</v>
      </c>
      <c r="E125" s="64">
        <f t="shared" si="49"/>
        <v>83.333333333333343</v>
      </c>
      <c r="G125" s="1">
        <v>1994</v>
      </c>
      <c r="H125" s="918">
        <f>(O44/$R44*100*($E44/365))+(O45/$R45*100*($E45/365))</f>
        <v>100</v>
      </c>
      <c r="I125" s="918"/>
      <c r="J125" s="918">
        <f>(P44/$R44*100*($E44/365))+(P45/$R45*100*($E45/365))</f>
        <v>0</v>
      </c>
      <c r="K125" s="918"/>
      <c r="L125" s="918">
        <f>(Q44/$R44*100*($E44/365))+(Q45/$R45*100*($E45/365))</f>
        <v>0</v>
      </c>
      <c r="M125" s="918"/>
      <c r="N125" s="887">
        <f t="shared" si="48"/>
        <v>100</v>
      </c>
      <c r="O125" s="887"/>
      <c r="R125" s="1">
        <v>1994</v>
      </c>
      <c r="S125" s="8">
        <f>(O44*($E44/365))+(O45*($E45/365))</f>
        <v>55.3</v>
      </c>
      <c r="T125" s="8">
        <f>(P44*($E44/365))+(P45*($E45/365))</f>
        <v>0</v>
      </c>
      <c r="U125" s="8">
        <f>(Q44*($E44/365))+(Q45*($E45/365))</f>
        <v>0</v>
      </c>
      <c r="W125" s="14">
        <f t="shared" si="50"/>
        <v>55.3</v>
      </c>
    </row>
    <row r="126" spans="1:25" ht="9" customHeight="1">
      <c r="A126" s="1">
        <v>1995</v>
      </c>
      <c r="B126" s="8">
        <f>(K46*($E46/365))+(K47*($E47/365))</f>
        <v>88.995433789954333</v>
      </c>
      <c r="C126" s="8">
        <f>(L46*($E46/365))+(L47*($E47/365))</f>
        <v>0</v>
      </c>
      <c r="D126" s="8">
        <f>(M46*($E46/365))+(M47*($E47/365))</f>
        <v>0</v>
      </c>
      <c r="E126" s="64">
        <f t="shared" si="49"/>
        <v>88.995433789954333</v>
      </c>
      <c r="G126" s="1">
        <v>1995</v>
      </c>
      <c r="H126" s="918">
        <f>(O46/$R46*100*($E46/365))+(O47/$R47*100*($E47/365))</f>
        <v>100</v>
      </c>
      <c r="I126" s="918"/>
      <c r="J126" s="918">
        <f>(P46/$R46*100*($E46/365))+(P47/$R47*100*($E47/365))</f>
        <v>0</v>
      </c>
      <c r="K126" s="918"/>
      <c r="L126" s="918">
        <f>(Q46/$R46*100*($E46/365))+(Q47/$R47*100*($E47/365))</f>
        <v>0</v>
      </c>
      <c r="M126" s="918"/>
      <c r="N126" s="887">
        <f t="shared" si="48"/>
        <v>100</v>
      </c>
      <c r="O126" s="887"/>
      <c r="R126" s="1">
        <v>1995</v>
      </c>
      <c r="S126" s="8">
        <f>(O46*($E46/365))+(O47*($E47/365))</f>
        <v>55.3</v>
      </c>
      <c r="T126" s="8">
        <f>(P46*($E46/365))+(P47*($E47/365))</f>
        <v>0</v>
      </c>
      <c r="U126" s="8">
        <f>(Q46*($E46/365))+(Q47*($E47/365))</f>
        <v>0</v>
      </c>
      <c r="W126" s="14">
        <f t="shared" si="50"/>
        <v>55.3</v>
      </c>
    </row>
    <row r="127" spans="1:25" ht="9" customHeight="1">
      <c r="A127" s="1">
        <v>1996</v>
      </c>
      <c r="B127" s="8">
        <f>(K48*($E48/366))+(K49*($E49/366))</f>
        <v>91.666666666666657</v>
      </c>
      <c r="C127" s="8">
        <f>(L48*($E48/366))+(L49*($E49/366))</f>
        <v>0</v>
      </c>
      <c r="D127" s="8">
        <f>(M48*($E48/366))+(M49*($E49/366))</f>
        <v>0</v>
      </c>
      <c r="E127" s="64">
        <f t="shared" si="49"/>
        <v>91.666666666666657</v>
      </c>
      <c r="G127" s="1">
        <v>1996</v>
      </c>
      <c r="H127" s="918">
        <f>(O48/$R48*100*($E48/366))+(O49/$R49*100*($E49/366))</f>
        <v>100</v>
      </c>
      <c r="I127" s="918"/>
      <c r="J127" s="918">
        <f>(P48/$R48*100*($E48/366))+(P49/$R49*100*($E49/366))</f>
        <v>0</v>
      </c>
      <c r="K127" s="918"/>
      <c r="L127" s="918">
        <f>(Q48/$R48*100*($E48/366))+(Q49/$R49*100*($E49/366))</f>
        <v>0</v>
      </c>
      <c r="M127" s="918"/>
      <c r="N127" s="887">
        <f t="shared" si="48"/>
        <v>100</v>
      </c>
      <c r="O127" s="887"/>
      <c r="R127" s="1">
        <v>1996</v>
      </c>
      <c r="S127" s="8">
        <f>(O48*($E48/366))+(O49*($E49/366))</f>
        <v>54.278142076502732</v>
      </c>
      <c r="T127" s="8">
        <f>(P48*($E48/366))+(P49*($E49/366))</f>
        <v>0</v>
      </c>
      <c r="U127" s="8">
        <f>(Q48*($E48/366))+(Q49*($E49/366))</f>
        <v>0</v>
      </c>
      <c r="W127" s="14">
        <f t="shared" si="50"/>
        <v>54.278142076502732</v>
      </c>
    </row>
    <row r="128" spans="1:25" ht="9" customHeight="1">
      <c r="A128" s="1">
        <v>1997</v>
      </c>
      <c r="B128" s="8">
        <f>(K50*($E50/365))+(K51*($E51/365))</f>
        <v>91.666666666666657</v>
      </c>
      <c r="C128" s="8">
        <f>(L50*($E50/365))+(L51*($E51/365))</f>
        <v>0</v>
      </c>
      <c r="D128" s="8">
        <f>(M50*($E50/365))+(M51*($E51/365))</f>
        <v>0</v>
      </c>
      <c r="E128" s="64">
        <f t="shared" si="49"/>
        <v>91.666666666666657</v>
      </c>
      <c r="G128" s="1">
        <v>1997</v>
      </c>
      <c r="H128" s="918">
        <f>(O50/$R50*100*($E50/365))+(O51/$R51*100*($E51/365))</f>
        <v>100</v>
      </c>
      <c r="I128" s="918"/>
      <c r="J128" s="918">
        <f>(P50/$R50*100*($E50/365))+(P51/$R51*100*($E51/365))</f>
        <v>0</v>
      </c>
      <c r="K128" s="918"/>
      <c r="L128" s="918">
        <f>(Q50/$R50*100*($E50/365))+(Q51/$R51*100*($E51/365))</f>
        <v>0</v>
      </c>
      <c r="M128" s="918"/>
      <c r="N128" s="887">
        <f t="shared" si="48"/>
        <v>100</v>
      </c>
      <c r="O128" s="887"/>
      <c r="R128" s="1">
        <v>1997</v>
      </c>
      <c r="S128" s="8">
        <f>(O50*($E50/365))+(O51*($E51/365))</f>
        <v>51.147945205479459</v>
      </c>
      <c r="T128" s="8">
        <f>(P50*($E50/365))+(P51*($E51/365))</f>
        <v>0</v>
      </c>
      <c r="U128" s="8">
        <f>(Q50*($E50/365))+(Q51*($E51/365))</f>
        <v>0</v>
      </c>
      <c r="W128" s="14">
        <f t="shared" si="50"/>
        <v>51.147945205479459</v>
      </c>
    </row>
    <row r="129" spans="1:23" ht="9" customHeight="1">
      <c r="A129" s="1">
        <v>1998</v>
      </c>
      <c r="B129" s="8">
        <f>(K52*($E52/365))+(K53*($E53/365))</f>
        <v>84.657534246575352</v>
      </c>
      <c r="C129" s="8">
        <f>(L52*($E52/365))+(L53*($E53/365))</f>
        <v>0</v>
      </c>
      <c r="D129" s="8">
        <f>(M52*($E52/365))+(M53*($E53/365))</f>
        <v>14.018264840182646</v>
      </c>
      <c r="E129" s="64">
        <f t="shared" si="49"/>
        <v>98.675799086757991</v>
      </c>
      <c r="G129" s="1">
        <v>1998</v>
      </c>
      <c r="H129" s="918">
        <f>(O52/$R52*100*($E52/365))+(O53/$R53*100*($E53/365))</f>
        <v>88.675108283422787</v>
      </c>
      <c r="I129" s="918"/>
      <c r="J129" s="918">
        <f>(P52/$R52*100*($E52/365))+(P53/$R53*100*($E53/365))</f>
        <v>0</v>
      </c>
      <c r="K129" s="918"/>
      <c r="L129" s="918">
        <f>(Q52/$R52*100*($E52/365))+(Q53/$R53*100*($E53/365))</f>
        <v>11.324891716577206</v>
      </c>
      <c r="M129" s="918"/>
      <c r="N129" s="887">
        <f t="shared" si="48"/>
        <v>100</v>
      </c>
      <c r="O129" s="887"/>
      <c r="R129" s="1">
        <v>1998</v>
      </c>
      <c r="S129" s="8">
        <f>(O52*($E52/365))+(O53*($E53/365))</f>
        <v>53.783561643835618</v>
      </c>
      <c r="T129" s="8">
        <f>(P52*($E52/365))+(P53*($E53/365))</f>
        <v>0</v>
      </c>
      <c r="U129" s="8">
        <f>(Q52*($E52/365))+(Q53*($E53/365))</f>
        <v>7.4857534246575348</v>
      </c>
      <c r="W129" s="14">
        <f t="shared" si="50"/>
        <v>61.269315068493157</v>
      </c>
    </row>
    <row r="130" spans="1:23" ht="9" customHeight="1">
      <c r="A130" s="1">
        <v>1999</v>
      </c>
      <c r="B130" s="8">
        <f>(K54*($E54/365))+(K55*($E55/365))</f>
        <v>99.817351598173516</v>
      </c>
      <c r="C130" s="8">
        <f>(L54*($E54/365))+(L55*($E55/365))</f>
        <v>0</v>
      </c>
      <c r="D130" s="8">
        <f>(M54*($E54/365))+(M55*($E55/365))</f>
        <v>0.18264840182648398</v>
      </c>
      <c r="E130" s="64">
        <f t="shared" si="49"/>
        <v>100</v>
      </c>
      <c r="G130" s="1">
        <v>1999</v>
      </c>
      <c r="H130" s="918">
        <f>(O54/$R54*100*($E54/365))+(O55/$R55*100*($E55/365))</f>
        <v>99.85244440760161</v>
      </c>
      <c r="I130" s="918"/>
      <c r="J130" s="918">
        <f>(P54/$R54*100*($E54/365))+(P55/$R55*100*($E55/365))</f>
        <v>0</v>
      </c>
      <c r="K130" s="918"/>
      <c r="L130" s="918">
        <f>(Q54/$R54*100*($E54/365))+(Q55/$R55*100*($E55/365))</f>
        <v>0.14755559239840008</v>
      </c>
      <c r="M130" s="918"/>
      <c r="N130" s="887">
        <f t="shared" si="48"/>
        <v>100.00000000000001</v>
      </c>
      <c r="O130" s="887"/>
      <c r="R130" s="1">
        <v>1999</v>
      </c>
      <c r="S130" s="8">
        <f>(O54*($E54/365))+(O55*($E55/365))</f>
        <v>57.2</v>
      </c>
      <c r="T130" s="8">
        <f>(P54*($E54/365))+(P55*($E55/365))</f>
        <v>0</v>
      </c>
      <c r="U130" s="8">
        <f>(Q54*($E54/365))+(Q55*($E55/365))</f>
        <v>9.7534246575342473E-2</v>
      </c>
      <c r="W130" s="14">
        <f t="shared" si="50"/>
        <v>57.297534246575346</v>
      </c>
    </row>
    <row r="131" spans="1:23" ht="9" customHeight="1">
      <c r="A131" s="1">
        <v>2000</v>
      </c>
      <c r="B131" s="8">
        <f>(K56*($E56/366))+(K57*($E57/366))</f>
        <v>100</v>
      </c>
      <c r="C131" s="8">
        <f>(L56*($E56/366))+(L57*($E57/366))</f>
        <v>0</v>
      </c>
      <c r="D131" s="8">
        <f>(M56*($E56/366))+(M57*($E57/366))</f>
        <v>0</v>
      </c>
      <c r="E131" s="64">
        <f t="shared" si="49"/>
        <v>100</v>
      </c>
      <c r="G131" s="1">
        <v>2000</v>
      </c>
      <c r="H131" s="918">
        <f>(O56/$R56*100*($E56/366))+(O57/$R57*100*($E57/366))</f>
        <v>100</v>
      </c>
      <c r="I131" s="918"/>
      <c r="J131" s="918">
        <f>(P56/$R56*100*($E56/366))+(P57/$R57*100*($E57/366))</f>
        <v>0</v>
      </c>
      <c r="K131" s="918"/>
      <c r="L131" s="918">
        <f>(Q56/$R56*100*($E56/366))+(Q57/$R57*100*($E57/366))</f>
        <v>0</v>
      </c>
      <c r="M131" s="918"/>
      <c r="N131" s="887">
        <f t="shared" si="48"/>
        <v>100</v>
      </c>
      <c r="O131" s="887"/>
      <c r="R131" s="1">
        <v>2000</v>
      </c>
      <c r="S131" s="8">
        <f>(O56*($E56/366))+(O57*($E57/366))</f>
        <v>57.2</v>
      </c>
      <c r="T131" s="8">
        <f>(P56*($E56/366))+(P57*($E57/366))</f>
        <v>0</v>
      </c>
      <c r="U131" s="8">
        <f>(Q56*($E56/366))+(Q57*($E57/366))</f>
        <v>0</v>
      </c>
      <c r="W131" s="14">
        <f t="shared" si="50"/>
        <v>57.2</v>
      </c>
    </row>
    <row r="132" spans="1:23" ht="9" customHeight="1">
      <c r="A132" s="1">
        <v>2001</v>
      </c>
      <c r="B132" s="8">
        <f>(K58*($E58/365))+(K59*($E59/365))</f>
        <v>100</v>
      </c>
      <c r="C132" s="8">
        <f>(L58*($E58/365))+(L59*($E59/365))</f>
        <v>0</v>
      </c>
      <c r="D132" s="8">
        <f>(M58*($E58/365))+(M59*($E59/365))</f>
        <v>0</v>
      </c>
      <c r="E132" s="64">
        <f t="shared" si="49"/>
        <v>100</v>
      </c>
      <c r="G132" s="1">
        <v>2001</v>
      </c>
      <c r="H132" s="918">
        <f>(O58/$R58*100*($E58/365))+(O59/$R59*100*($E59/365))</f>
        <v>100</v>
      </c>
      <c r="I132" s="918"/>
      <c r="J132" s="918">
        <f>(P58/$R58*100*($E58/365))+(P59/$R59*100*($E59/365))</f>
        <v>0</v>
      </c>
      <c r="K132" s="918"/>
      <c r="L132" s="918">
        <f>(Q58/$R58*100*($E58/365))+(Q59/$R59*100*($E59/365))</f>
        <v>0</v>
      </c>
      <c r="M132" s="918"/>
      <c r="N132" s="887">
        <f t="shared" si="48"/>
        <v>100</v>
      </c>
      <c r="O132" s="887"/>
      <c r="R132" s="1">
        <v>2001</v>
      </c>
      <c r="S132" s="8">
        <f>(O58*($E58/365))+(O59*($E59/365))</f>
        <v>53.96</v>
      </c>
      <c r="T132" s="8">
        <f>(P58*($E58/365))+(P59*($E59/365))</f>
        <v>0</v>
      </c>
      <c r="U132" s="8">
        <f>(Q58*($E58/365))+(Q59*($E59/365))</f>
        <v>0</v>
      </c>
      <c r="W132" s="14">
        <f t="shared" si="50"/>
        <v>53.96</v>
      </c>
    </row>
    <row r="133" spans="1:23" ht="9" customHeight="1">
      <c r="A133" s="1">
        <v>2002</v>
      </c>
      <c r="B133" s="8">
        <f>(K60*($E60/365))+(K61*($E61/365))</f>
        <v>100</v>
      </c>
      <c r="C133" s="8">
        <f>(L60*($E60/365))+(L61*($E61/365))</f>
        <v>0</v>
      </c>
      <c r="D133" s="8">
        <f>(M60*($E60/365))+(M61*($E61/365))</f>
        <v>0</v>
      </c>
      <c r="E133" s="64">
        <f t="shared" si="49"/>
        <v>100</v>
      </c>
      <c r="G133" s="1">
        <v>2002</v>
      </c>
      <c r="H133" s="918">
        <f>(O60/$R60*100*($E60/365))+(O61/$R61*100*($E61/365))</f>
        <v>100</v>
      </c>
      <c r="I133" s="918"/>
      <c r="J133" s="918">
        <f>(P60/$R60*100*($E60/365))+(P61/$R61*100*($E61/365))</f>
        <v>0</v>
      </c>
      <c r="K133" s="918"/>
      <c r="L133" s="918">
        <f>(Q60/$R60*100*($E60/365))+(Q61/$R61*100*($E61/365))</f>
        <v>0</v>
      </c>
      <c r="M133" s="918"/>
      <c r="N133" s="887">
        <f t="shared" si="48"/>
        <v>100</v>
      </c>
      <c r="O133" s="887"/>
      <c r="R133" s="1">
        <v>2002</v>
      </c>
      <c r="S133" s="8">
        <f>(O60*($E60/365))+(O61*($E61/365))</f>
        <v>51.8</v>
      </c>
      <c r="T133" s="8">
        <f>(P60*($E60/365))+(P61*($E61/365))</f>
        <v>0</v>
      </c>
      <c r="U133" s="8">
        <f>(Q60*($E60/365))+(Q61*($E61/365))</f>
        <v>0</v>
      </c>
      <c r="W133" s="14">
        <f t="shared" si="50"/>
        <v>51.8</v>
      </c>
    </row>
    <row r="134" spans="1:23" ht="9" customHeight="1">
      <c r="A134" s="1">
        <v>2003</v>
      </c>
      <c r="B134" s="8">
        <f>(K62*($E62/365))+(K63*($E63/365))</f>
        <v>43.926940639269404</v>
      </c>
      <c r="C134" s="8">
        <f>(L62*($E62/365))+(L63*($E63/365))</f>
        <v>0</v>
      </c>
      <c r="D134" s="8">
        <f>(M62*($E62/365))+(M63*($E63/365))</f>
        <v>42.054794520547944</v>
      </c>
      <c r="E134" s="64">
        <f t="shared" si="49"/>
        <v>85.981735159817347</v>
      </c>
      <c r="G134" s="1">
        <v>2003</v>
      </c>
      <c r="H134" s="918">
        <f>(O62/$R62*100*($E62/365))+(O63/$R63*100*($E63/365))</f>
        <v>38.881317301207062</v>
      </c>
      <c r="I134" s="918"/>
      <c r="J134" s="918">
        <f>(P62/$R62*100*($E62/365))+(P63/$R63*100*($E63/365))</f>
        <v>0</v>
      </c>
      <c r="K134" s="918"/>
      <c r="L134" s="918">
        <f>(Q62/$R62*100*($E62/365))+(Q63/$R63*100*($E63/365))</f>
        <v>61.118682698792938</v>
      </c>
      <c r="M134" s="918"/>
      <c r="N134" s="887">
        <f t="shared" si="48"/>
        <v>100</v>
      </c>
      <c r="O134" s="887"/>
      <c r="R134" s="1">
        <v>2003</v>
      </c>
      <c r="S134" s="8">
        <f>(O62*($E62/365))+(O63*($E63/365))</f>
        <v>21.772876712328767</v>
      </c>
      <c r="T134" s="8">
        <f>(P62*($E62/365))+(P63*($E63/365))</f>
        <v>0</v>
      </c>
      <c r="U134" s="8">
        <f>(Q62*($E62/365))+(Q63*($E63/365))</f>
        <v>35.998904109589041</v>
      </c>
      <c r="W134" s="14">
        <f t="shared" si="50"/>
        <v>57.771780821917808</v>
      </c>
    </row>
    <row r="135" spans="1:23" ht="9" customHeight="1">
      <c r="A135" s="1">
        <v>2004</v>
      </c>
      <c r="B135" s="8">
        <f>(K64*($E64/366))+(K65*($E65/366))</f>
        <v>28.119307832422585</v>
      </c>
      <c r="C135" s="8">
        <f>(L64*($E64/366))+(L65*($E65/366))</f>
        <v>0</v>
      </c>
      <c r="D135" s="8">
        <f>(M64*($E64/366))+(M65*($E65/366))</f>
        <v>50</v>
      </c>
      <c r="E135" s="64">
        <f t="shared" si="49"/>
        <v>78.119307832422578</v>
      </c>
      <c r="G135" s="1">
        <v>2004</v>
      </c>
      <c r="H135" s="918">
        <f>(O64/$R64*100*($E64/366))+(O65/$R65*100*($E65/366))</f>
        <v>27.334465195246182</v>
      </c>
      <c r="I135" s="918"/>
      <c r="J135" s="918">
        <f>(P64/$R64*100*($E64/366))+(P65/$R65*100*($E65/366))</f>
        <v>0</v>
      </c>
      <c r="K135" s="918"/>
      <c r="L135" s="918">
        <f>(Q64/$R64*100*($E64/366))+(Q65/$R65*100*($E65/366))</f>
        <v>72.665534804753833</v>
      </c>
      <c r="M135" s="918"/>
      <c r="N135" s="887">
        <f t="shared" si="48"/>
        <v>100.00000000000001</v>
      </c>
      <c r="O135" s="887"/>
      <c r="R135" s="1">
        <v>2004</v>
      </c>
      <c r="S135" s="8">
        <f>(O64*($E64/366))+(O65*($E65/366))</f>
        <v>16.100000000000001</v>
      </c>
      <c r="T135" s="8">
        <f>(P64*($E64/366))+(P65*($E65/366))</f>
        <v>0</v>
      </c>
      <c r="U135" s="8">
        <f>(Q64*($E64/366))+(Q65*($E65/366))</f>
        <v>42.8</v>
      </c>
      <c r="W135" s="14">
        <f t="shared" si="50"/>
        <v>58.9</v>
      </c>
    </row>
    <row r="136" spans="1:23" ht="9" customHeight="1">
      <c r="A136" s="1">
        <v>2005</v>
      </c>
      <c r="B136" s="8">
        <f>(K66*($E66/365))+(K67*($E67/365))</f>
        <v>25</v>
      </c>
      <c r="C136" s="8">
        <f>(L66*($E66/365))+(L67*($E67/365))</f>
        <v>0</v>
      </c>
      <c r="D136" s="8">
        <f>(M66*($E66/365))+(M67*($E67/365))</f>
        <v>42.374429223744301</v>
      </c>
      <c r="E136" s="64">
        <f>SUM(B136:D136)</f>
        <v>67.374429223744301</v>
      </c>
      <c r="G136" s="1">
        <v>2005</v>
      </c>
      <c r="H136" s="918">
        <f>(O66/$R66*100*($E66/365))+(O67/$R67*100*($E67/365))</f>
        <v>27.334465195246182</v>
      </c>
      <c r="I136" s="918"/>
      <c r="J136" s="918">
        <f>(P66/$R66*100*($E66/365))+(P67/$R67*100*($E67/365))</f>
        <v>0</v>
      </c>
      <c r="K136" s="918"/>
      <c r="L136" s="918">
        <f>(Q66/$R66*100*($E66/365))+(Q67/$R67*100*($E67/365))</f>
        <v>72.665534804753818</v>
      </c>
      <c r="M136" s="918"/>
      <c r="N136" s="887">
        <f>H136+J136+L136</f>
        <v>100</v>
      </c>
      <c r="O136" s="887"/>
      <c r="R136" s="1">
        <v>2005</v>
      </c>
      <c r="S136" s="8">
        <f>(O66*($E66/365))+(O67*($E67/365))</f>
        <v>16.100000000000001</v>
      </c>
      <c r="T136" s="8">
        <f>(P66*($E66/365))+(P67*($E67/365))</f>
        <v>0</v>
      </c>
      <c r="U136" s="8">
        <f>(Q66*($E66/365))+(Q67*($E67/365))</f>
        <v>42.8</v>
      </c>
      <c r="W136" s="14">
        <f t="shared" si="50"/>
        <v>58.9</v>
      </c>
    </row>
    <row r="137" spans="1:23" ht="9" customHeight="1">
      <c r="A137" s="1">
        <v>2006</v>
      </c>
      <c r="B137" s="8">
        <f>(K68*($E68/365))*(K69*($E69/365))+(K70*($E70/365))</f>
        <v>42.777256520923245</v>
      </c>
      <c r="C137" s="8">
        <f>(L68*($E68/365))+($L69*($E69/365))+(L70*($E70/365))</f>
        <v>0</v>
      </c>
      <c r="D137" s="8">
        <f>(M68*($E68/365))+(M69*($E69/365))+(M70*($E70/365))</f>
        <v>41.666666666666671</v>
      </c>
      <c r="E137" s="64">
        <f t="shared" si="49"/>
        <v>84.443923187589917</v>
      </c>
      <c r="G137" s="1">
        <v>2006</v>
      </c>
      <c r="H137" s="918">
        <f>(O68/$R68*100*($E68/365))+(O69/$R69*100*($E69/365))+(O70/$R70*100*($E70/365))</f>
        <v>30.422062603032174</v>
      </c>
      <c r="I137" s="918"/>
      <c r="J137" s="918">
        <f>(P68/$R68*100*($E68/365))+(P69/$R69*100*($E69/365))+(P70/$R70*100*($E70/365))</f>
        <v>0</v>
      </c>
      <c r="K137" s="918"/>
      <c r="L137" s="918">
        <f>(Q68/$R68*100*($E68/365))+(Q69/$R69*100*($E69/365))+(Q70/$R70*100*($E70/365))</f>
        <v>69.577937396967826</v>
      </c>
      <c r="M137" s="918"/>
      <c r="N137" s="887">
        <f t="shared" si="48"/>
        <v>100</v>
      </c>
      <c r="O137" s="887"/>
      <c r="R137" s="1">
        <v>2006</v>
      </c>
      <c r="S137" s="8">
        <f>(O68*($E68/365))+(O69*($E69/365))+(O70*($E70/365))</f>
        <v>18.257534246575343</v>
      </c>
      <c r="T137" s="8">
        <f>(P68*($E68/365))+(P69*($E69/365))+(P70*($E70/365))</f>
        <v>0</v>
      </c>
      <c r="U137" s="8">
        <f>(Q68*($E68/365))+(Q69*($E69/365))+(Q70*($E70/365))</f>
        <v>41.690410958904103</v>
      </c>
      <c r="W137" s="14">
        <f t="shared" si="50"/>
        <v>59.947945205479442</v>
      </c>
    </row>
    <row r="138" spans="1:23" ht="9" customHeight="1">
      <c r="A138" s="1">
        <v>2007</v>
      </c>
      <c r="B138" s="7">
        <f>(K71*($E71/365))+(K72*($E72/365))</f>
        <v>36.575342465753423</v>
      </c>
      <c r="C138" s="7">
        <f>(L71*($E71/365))+(L72*($E72/365))</f>
        <v>0</v>
      </c>
      <c r="D138" s="7">
        <f>(M71*($E71/365))+(M72*($E72/365))</f>
        <v>30.091324200913245</v>
      </c>
      <c r="E138" s="64">
        <f t="shared" si="49"/>
        <v>66.666666666666671</v>
      </c>
      <c r="G138" s="1">
        <v>2007</v>
      </c>
      <c r="H138" s="918">
        <f>(O71/$R71*100*($E71/365))+(O72/$R72*100*($E72/365))</f>
        <v>49.210219363681148</v>
      </c>
      <c r="I138" s="918"/>
      <c r="J138" s="918">
        <f>(P71/$R71*100*($E71/365))+(P72/$R72*100*($E72/365))</f>
        <v>0</v>
      </c>
      <c r="K138" s="918"/>
      <c r="L138" s="918">
        <f>(Q71/$R71*100*($E71/365))+(Q72/$R72*100*($E72/365))</f>
        <v>50.789780636318859</v>
      </c>
      <c r="M138" s="918"/>
      <c r="N138" s="887">
        <f t="shared" si="48"/>
        <v>100</v>
      </c>
      <c r="O138" s="887"/>
      <c r="R138" s="1">
        <v>2007</v>
      </c>
      <c r="S138" s="7">
        <f>(O71*($E71/365))+(O72*($E72/365))</f>
        <v>19.600000000000001</v>
      </c>
      <c r="T138" s="7">
        <f>(P71*($E71/365))+(P72*($E72/365))</f>
        <v>0</v>
      </c>
      <c r="U138" s="7">
        <f>(Q71*($E71/365))+(Q72*($E72/365))</f>
        <v>26.137260273972604</v>
      </c>
      <c r="W138" s="14">
        <f t="shared" si="50"/>
        <v>45.737260273972609</v>
      </c>
    </row>
    <row r="139" spans="1:23" ht="9" customHeight="1">
      <c r="A139" s="1">
        <v>2008</v>
      </c>
      <c r="B139" s="7">
        <f>(K73*($E73/366))+(K74*($E74/366))</f>
        <v>29.030054644808743</v>
      </c>
      <c r="C139" s="7">
        <f>(L73*($E73/366))+(L74*($E74/366))</f>
        <v>0</v>
      </c>
      <c r="D139" s="7">
        <f>(M73*($E73/366))+(M74*($E74/366))</f>
        <v>51.616575591985431</v>
      </c>
      <c r="E139" s="64">
        <f t="shared" si="49"/>
        <v>80.646630236794181</v>
      </c>
      <c r="G139" s="1">
        <v>2008</v>
      </c>
      <c r="H139" s="918">
        <f>(O73/$R73*100*($E73/366))+(O74/$R74*100*($E74/366))</f>
        <v>38.215619663778298</v>
      </c>
      <c r="I139" s="918"/>
      <c r="J139" s="918">
        <f>(P73/$R73*100*($E73/366))+(P74/$R74*100*($E74/366))</f>
        <v>0</v>
      </c>
      <c r="K139" s="918"/>
      <c r="L139" s="918">
        <f>(Q73/$R73*100*($E73/366))+(Q74/$R74*100*($E74/366))</f>
        <v>61.784380336221723</v>
      </c>
      <c r="M139" s="918"/>
      <c r="N139" s="887">
        <f t="shared" si="48"/>
        <v>100.00000000000003</v>
      </c>
      <c r="O139" s="887"/>
      <c r="R139" s="1">
        <v>2008</v>
      </c>
      <c r="S139" s="7">
        <f>(O73*($E73/366))+(O74*($E74/366))</f>
        <v>19.600000000000001</v>
      </c>
      <c r="T139" s="7">
        <f>(P73*($E73/366))+(P74*($E74/366))</f>
        <v>0</v>
      </c>
      <c r="U139" s="7">
        <f>(Q73*($E73/366))+(Q74*($E74/366))</f>
        <v>35.825409836065575</v>
      </c>
      <c r="W139" s="14">
        <f t="shared" si="50"/>
        <v>55.425409836065576</v>
      </c>
    </row>
    <row r="140" spans="1:23" ht="9" customHeight="1">
      <c r="A140" s="1">
        <v>2009</v>
      </c>
      <c r="B140" s="7">
        <f>(K75*($E75/365))+(K76*($E76/365))</f>
        <v>25</v>
      </c>
      <c r="C140" s="7">
        <f>(L75*($E75/365))+(L76*($E76/365))</f>
        <v>0</v>
      </c>
      <c r="D140" s="7">
        <f>(M75*($E75/365))+(M76*($E76/365))</f>
        <v>58.333333333333336</v>
      </c>
      <c r="E140" s="64">
        <f t="shared" si="49"/>
        <v>83.333333333333343</v>
      </c>
      <c r="G140" s="1">
        <v>2009</v>
      </c>
      <c r="H140" s="918">
        <f>(O75/$R75*100*($E75/365))+(O76/$R76*100*($E76/365))</f>
        <v>32.343234323432348</v>
      </c>
      <c r="I140" s="918"/>
      <c r="J140" s="918">
        <f>(P75/$R75*100*($E75/365))+(P76/$R76*100*($E76/365))</f>
        <v>0</v>
      </c>
      <c r="K140" s="918"/>
      <c r="L140" s="918">
        <f>(Q75/$R75*100*($E75/365))+(Q76/$R76*100*($E76/365))</f>
        <v>67.656765676567659</v>
      </c>
      <c r="M140" s="918"/>
      <c r="N140" s="887">
        <f t="shared" si="48"/>
        <v>100</v>
      </c>
      <c r="O140" s="887"/>
      <c r="R140" s="1">
        <v>2009</v>
      </c>
      <c r="S140" s="7">
        <f>(O75*($E75/365))+(O76*($E76/365))</f>
        <v>19.600000000000001</v>
      </c>
      <c r="T140" s="7">
        <f>(P75*($E75/365))+(P76*($E76/365))</f>
        <v>0</v>
      </c>
      <c r="U140" s="7">
        <f>(Q75*($E75/365))+(Q76*($E76/365))</f>
        <v>41</v>
      </c>
      <c r="W140" s="14">
        <f t="shared" si="50"/>
        <v>60.6</v>
      </c>
    </row>
    <row r="141" spans="1:23" ht="9" customHeight="1">
      <c r="A141" s="1">
        <v>2010</v>
      </c>
      <c r="B141" s="7">
        <f>(K77*($E77/365))+(K78*($E78/365))</f>
        <v>25</v>
      </c>
      <c r="C141" s="7">
        <f>(L77*($E77/365))+(L78*($E78/365))</f>
        <v>0</v>
      </c>
      <c r="D141" s="7">
        <f>(M77*($E77/365))+(M78*($E78/365))</f>
        <v>45.776255707762559</v>
      </c>
      <c r="E141" s="64">
        <f t="shared" si="49"/>
        <v>70.776255707762559</v>
      </c>
      <c r="G141" s="1">
        <v>2010</v>
      </c>
      <c r="H141" s="918">
        <f>(O77/$R77*100*($E77/365))+(O78/$R78*100*($E78/365))</f>
        <v>36.995771859319419</v>
      </c>
      <c r="I141" s="918"/>
      <c r="J141" s="918">
        <f>(P77/$R77*100*($E77/365))+(P78/$R78*100*($E78/365))</f>
        <v>0</v>
      </c>
      <c r="K141" s="918"/>
      <c r="L141" s="918">
        <f>(Q77/$R77*100*($E77/365))+(Q78/$R78*100*($E78/365))</f>
        <v>63.004228140680581</v>
      </c>
      <c r="M141" s="918"/>
      <c r="N141" s="887">
        <f t="shared" si="48"/>
        <v>100</v>
      </c>
      <c r="O141" s="887"/>
      <c r="R141" s="1">
        <v>2010</v>
      </c>
      <c r="S141" s="7">
        <f>(O77*($E77/365))+(O78*($E78/365))</f>
        <v>19.600000000000001</v>
      </c>
      <c r="T141" s="7">
        <f>(P77*($E77/365))+(P78*($E78/365))</f>
        <v>0</v>
      </c>
      <c r="U141" s="7">
        <f>(Q77*($E77/365))+(Q78*($E78/365))</f>
        <v>33.563013698630137</v>
      </c>
      <c r="W141" s="14">
        <f t="shared" si="50"/>
        <v>53.163013698630138</v>
      </c>
    </row>
    <row r="142" spans="1:23" ht="9" customHeight="1">
      <c r="A142" s="1">
        <v>2011</v>
      </c>
      <c r="B142" s="7">
        <f>(K79*($E79/365))+(K80*($E80/365))+(K81*($E81/365))</f>
        <v>14.794520547945206</v>
      </c>
      <c r="C142" s="7">
        <f>(L79*($E79/365))+(L80*($E80/365))+(L81*($E81/365))</f>
        <v>0</v>
      </c>
      <c r="D142" s="7">
        <f>(M79*($E79/365))+(M80*($E80/365))+(M81*($E81/365))</f>
        <v>43.37899543378996</v>
      </c>
      <c r="E142" s="64">
        <f t="shared" si="49"/>
        <v>58.173515981735164</v>
      </c>
      <c r="G142" s="1">
        <v>2011</v>
      </c>
      <c r="H142" s="918">
        <f>(O79/$R79*100*($E79/365))+(O80/$R80*100*($E80/365))+(O81/$R81*100*($E81/365))</f>
        <v>21.261519302615191</v>
      </c>
      <c r="I142" s="918"/>
      <c r="J142" s="918">
        <f>(P79/$R79*100*($E79/365))+(P80/$R80*100*($E80/365))+(P81/$R81*100*($E81/365))</f>
        <v>0</v>
      </c>
      <c r="K142" s="918"/>
      <c r="L142" s="918">
        <f>(Q79/$R79*100*($E79/365))+(Q80/$R80*100*($E80/365))+(Q81/$R81*100*($E81/365))</f>
        <v>78.738480697384801</v>
      </c>
      <c r="M142" s="918"/>
      <c r="N142" s="887">
        <f t="shared" si="48"/>
        <v>100</v>
      </c>
      <c r="O142" s="887"/>
      <c r="R142" s="1">
        <v>2011</v>
      </c>
      <c r="S142" s="7">
        <f>(O79*($E79/365))+(O80*($E80/365))+(O81*($E81/365))</f>
        <v>10.879726027397261</v>
      </c>
      <c r="T142" s="7">
        <f>(P79*($E79/365))+(P80*($E80/365))+(P81*($E81/365))</f>
        <v>0</v>
      </c>
      <c r="U142" s="7">
        <f>(Q79*($E79/365))+(Q80*($E80/365))+(Q81*($E81/365))</f>
        <v>33.204657534246579</v>
      </c>
      <c r="W142" s="14">
        <f t="shared" si="50"/>
        <v>44.08438356164384</v>
      </c>
    </row>
    <row r="143" spans="1:23" ht="9" customHeight="1">
      <c r="A143" s="1">
        <v>2012</v>
      </c>
      <c r="B143" s="7">
        <f>(K82*($E82/366))+(K83*($E83/366))+(K84*($E84/366))</f>
        <v>0</v>
      </c>
      <c r="C143" s="7">
        <f>(L82*($E82/366))+(L83*($E83/366))+(L84*($E84/366))</f>
        <v>0</v>
      </c>
      <c r="D143" s="7">
        <f>(M82*($E82/366))+(M83*($E83/366))+(M84*($E84/366))</f>
        <v>33.424408014571945</v>
      </c>
      <c r="E143" s="64">
        <f t="shared" si="49"/>
        <v>33.424408014571945</v>
      </c>
      <c r="G143" s="1">
        <v>2012</v>
      </c>
      <c r="H143" s="918">
        <f>(O82/$R82*100*($E82/366))+(O83/$R83*100*($E83/366))+(O84/$R84*100*($E84/366))</f>
        <v>0</v>
      </c>
      <c r="I143" s="918"/>
      <c r="J143" s="918">
        <f>(P82/$R82*100*($E82/366))+(P83/$R83*100*($E83/366))+(P84/$R84*100*($E84/366))</f>
        <v>0</v>
      </c>
      <c r="K143" s="918"/>
      <c r="L143" s="918">
        <f>(Q82/$R82*100*($E82/366))+(Q83/$R83*100*($E83/366))+(Q84/$R84*100*($E84/366))</f>
        <v>99.999999999999986</v>
      </c>
      <c r="M143" s="918"/>
      <c r="N143" s="887">
        <f t="shared" si="48"/>
        <v>99.999999999999986</v>
      </c>
      <c r="O143" s="887"/>
      <c r="R143" s="1">
        <v>2012</v>
      </c>
      <c r="S143" s="7">
        <f>(O82*($E82/366))+(O83*($E83/366))+(O84*($E84/366))</f>
        <v>0</v>
      </c>
      <c r="T143" s="7">
        <f>(P82*($E82/366))+(P83*($E83/366))+(P84*($E84/366))</f>
        <v>0</v>
      </c>
      <c r="U143" s="7">
        <f>(Q82*($E82/366))+(Q83*($E83/366))+(Q84*($E84/366))</f>
        <v>33.9</v>
      </c>
      <c r="W143" s="14">
        <f t="shared" si="50"/>
        <v>33.9</v>
      </c>
    </row>
    <row r="144" spans="1:23" ht="9" customHeight="1">
      <c r="A144" s="1">
        <v>2013</v>
      </c>
      <c r="B144" s="7">
        <f>(K85*($E85/365))+(K86*($E86/365))+(K87*($E87/365))</f>
        <v>83.333333333333343</v>
      </c>
      <c r="C144" s="7">
        <f>(L85*($E85/365))+(L86*($E86/365))+(L87*($E87/365))</f>
        <v>0</v>
      </c>
      <c r="D144" s="7">
        <f>(M85*($E85/365))+(M86*($E86/365))+(M87*($E87/365))</f>
        <v>3.9726027397260277</v>
      </c>
      <c r="E144" s="276">
        <f t="shared" ref="E144:E149" si="51">SUM(B144:D144)</f>
        <v>87.305936073059371</v>
      </c>
      <c r="G144" s="1">
        <v>2013</v>
      </c>
      <c r="H144" s="918">
        <f>(O85/$R85*100*($E85/365))+(O86/$R86*100*($E86/365))+(O87/$R87*100*($E87/365))</f>
        <v>84.109589041095902</v>
      </c>
      <c r="I144" s="918"/>
      <c r="J144" s="918">
        <f>(P85/$R85*100*($E85/365))+(P86/$R86*100*($E86/365))+(P87/$R87*100*($E87/365))</f>
        <v>0</v>
      </c>
      <c r="K144" s="918"/>
      <c r="L144" s="918">
        <f>(Q85/$R85*100*($E85/365))+(Q86/$R86*100*($E86/365))+(Q87/$R87*100*($E87/365))</f>
        <v>15.890410958904111</v>
      </c>
      <c r="M144" s="918"/>
      <c r="N144" s="887">
        <f t="shared" si="48"/>
        <v>100.00000000000001</v>
      </c>
      <c r="O144" s="887"/>
      <c r="R144" s="1">
        <v>2013</v>
      </c>
      <c r="S144" s="7">
        <f>(O85*($E85/365))+(O86*($E86/365))+(O87*($E87/365))</f>
        <v>45.082739726027398</v>
      </c>
      <c r="T144" s="7">
        <f>(P85*($E85/365))+(P86*($E86/365))+(P87*($E87/365))</f>
        <v>0</v>
      </c>
      <c r="U144" s="7">
        <f>(Q85*($E85/365))+(Q86*($E86/365))+(Q87*($E87/365))</f>
        <v>5.3868493150684937</v>
      </c>
      <c r="W144" s="14">
        <f t="shared" ref="W144:W149" si="52">SUM(S144:U144)</f>
        <v>50.469589041095894</v>
      </c>
    </row>
    <row r="145" spans="1:23" ht="9" customHeight="1">
      <c r="A145" s="1">
        <v>2014</v>
      </c>
      <c r="B145" s="7">
        <f>(K88*($E88/365))+(K89*($E89/365))+(K90*($E90/365))</f>
        <v>72.990867579908667</v>
      </c>
      <c r="C145" s="7">
        <f>(L88*($E88/365))+(L89*($E89/365))+(L90*($E90/365))</f>
        <v>0</v>
      </c>
      <c r="D145" s="7">
        <f>(M88*($E88/365))+(M89*($E89/365))+(M90*($E90/365))</f>
        <v>0</v>
      </c>
      <c r="E145" s="442">
        <f t="shared" si="51"/>
        <v>72.990867579908667</v>
      </c>
      <c r="G145" s="1">
        <v>2014</v>
      </c>
      <c r="H145" s="918">
        <f>(O88/$R88*100*($E88/365))+(O89/$R89*100*($E89/365))+(O90/$R90*100*($E90/365))</f>
        <v>100</v>
      </c>
      <c r="I145" s="918"/>
      <c r="J145" s="918">
        <f>(P88/$R88*100*($E88/365))+(P89/$R89*100*($E89/365))+(P90/$R90*100*($E90/365))</f>
        <v>0</v>
      </c>
      <c r="K145" s="918"/>
      <c r="L145" s="918">
        <f>(Q88/$R88*100*($E88/365))+(Q89/$R89*100*($E89/365))+(Q90/$R90*100*($E90/365))</f>
        <v>0</v>
      </c>
      <c r="M145" s="918"/>
      <c r="N145" s="887">
        <f t="shared" si="48"/>
        <v>100</v>
      </c>
      <c r="O145" s="887"/>
      <c r="R145" s="1">
        <v>2014</v>
      </c>
      <c r="S145" s="7">
        <f>(O88*($E88/365))+(O89*($E89/365))+(O90*($E90/365))</f>
        <v>40.675890410958907</v>
      </c>
      <c r="T145" s="7">
        <f>(P88*($E88/365))+(P89*($E89/365))+(P90*($E90/365))</f>
        <v>0</v>
      </c>
      <c r="U145" s="7">
        <f>(Q88*($E88/365))+(Q89*($E89/365))+(Q90*($E90/365))</f>
        <v>0</v>
      </c>
      <c r="W145" s="14">
        <f t="shared" si="52"/>
        <v>40.675890410958907</v>
      </c>
    </row>
    <row r="146" spans="1:23" s="585" customFormat="1" ht="9" customHeight="1">
      <c r="A146" s="585">
        <v>2015</v>
      </c>
      <c r="B146" s="583">
        <f>(K91*($E91/365))+(K92*($E92/365))</f>
        <v>75</v>
      </c>
      <c r="C146" s="583">
        <f>(L91*($E91/365))+(L92*($E92/365))</f>
        <v>0</v>
      </c>
      <c r="D146" s="583">
        <f>(M91*($E91/365))+(M92*($E92/365))</f>
        <v>0</v>
      </c>
      <c r="E146" s="580">
        <f t="shared" si="51"/>
        <v>75</v>
      </c>
      <c r="G146" s="585">
        <v>2015</v>
      </c>
      <c r="H146" s="918">
        <f>(O91/$R91*100*($E91/365))+(O92/$R92*100*($E92/365))</f>
        <v>100</v>
      </c>
      <c r="I146" s="918"/>
      <c r="J146" s="918">
        <f>(P91/$R91*100*($E91/365))+(P92/$R92*100*($E92/365))</f>
        <v>0</v>
      </c>
      <c r="K146" s="918"/>
      <c r="L146" s="918">
        <f>(Q91/$R91*100*($E91/365))+(Q92/$R92*100*($E92/365))</f>
        <v>0</v>
      </c>
      <c r="M146" s="918"/>
      <c r="N146" s="887">
        <f>H146+J146+L146</f>
        <v>100</v>
      </c>
      <c r="O146" s="887"/>
      <c r="R146" s="585">
        <v>2015</v>
      </c>
      <c r="S146" s="583">
        <f>(O91*($E91/365))+(O92*($E92/365))</f>
        <v>37.5</v>
      </c>
      <c r="T146" s="583">
        <f>(P91*($E91/365))+(P92*($E92/365))</f>
        <v>0</v>
      </c>
      <c r="U146" s="583">
        <f>(Q91*($E91/365))+(Q92*($E92/365))</f>
        <v>0</v>
      </c>
      <c r="W146" s="584">
        <f t="shared" si="52"/>
        <v>37.5</v>
      </c>
    </row>
    <row r="147" spans="1:23" s="585" customFormat="1" ht="9" customHeight="1">
      <c r="A147" s="585">
        <v>2016</v>
      </c>
      <c r="B147" s="739">
        <f>(K93*($E93/366))+K94*(E94/366)+(K95*($E95/366))</f>
        <v>68.670309653916206</v>
      </c>
      <c r="C147" s="826">
        <f>(L93*($E93/366))+L94*(E94/366)+(L95*($E95/366))</f>
        <v>0</v>
      </c>
      <c r="D147" s="826">
        <f>(M93*($E93/366))+M94*(E94/366)+(M95*($E95/366))</f>
        <v>0</v>
      </c>
      <c r="E147" s="653">
        <f t="shared" si="51"/>
        <v>68.670309653916206</v>
      </c>
      <c r="F147" s="655"/>
      <c r="G147" s="655">
        <v>2016</v>
      </c>
      <c r="H147" s="918">
        <f>(O93/$R93*100*($E93/366))+(O94/R94*100*(E94/366))+(O95/$R95*100*($E95/366))</f>
        <v>100</v>
      </c>
      <c r="I147" s="918"/>
      <c r="J147" s="918">
        <f>(P93/$R93*100*($E93/366))+(P94/R94*100*(E94/366))+(P95/$R95*100*($E95/366))</f>
        <v>0</v>
      </c>
      <c r="K147" s="918"/>
      <c r="L147" s="918">
        <f>(Q93/$R93*100*($E93/366))+(Q94/R94*100*(E94/366))+(Q95/$R95*100*($E95/366))</f>
        <v>0</v>
      </c>
      <c r="M147" s="918"/>
      <c r="N147" s="887">
        <f>H147+J147+L147</f>
        <v>100</v>
      </c>
      <c r="O147" s="887"/>
      <c r="P147" s="655"/>
      <c r="Q147" s="655"/>
      <c r="R147" s="655">
        <v>2016</v>
      </c>
      <c r="S147" s="739">
        <f>(O93*($E93/366))+(O94*(E94/366))+(O95*($E95/366))</f>
        <v>33.929508196721315</v>
      </c>
      <c r="T147" s="826">
        <f>(P93*($E93/366))+(P94*(E94/366))+(P95*($E95/366))</f>
        <v>0</v>
      </c>
      <c r="U147" s="826">
        <f>(Q93*($E93/366))+(Q94*(E94/366))+(Q95*($E95/366))</f>
        <v>0</v>
      </c>
      <c r="V147" s="655"/>
      <c r="W147" s="654">
        <f t="shared" si="52"/>
        <v>33.929508196721315</v>
      </c>
    </row>
    <row r="148" spans="1:23">
      <c r="A148" s="741">
        <v>2017</v>
      </c>
      <c r="B148" s="739">
        <f>(K96*($E96/365))+(K97*($E97/365))</f>
        <v>66.666666666666657</v>
      </c>
      <c r="C148" s="739">
        <f>(L96*($E96/365))+(L97*($E97/365))</f>
        <v>0</v>
      </c>
      <c r="D148" s="739">
        <f>(M96*($E96/365))+(M97*($E97/365))</f>
        <v>0</v>
      </c>
      <c r="E148" s="737">
        <f t="shared" si="51"/>
        <v>66.666666666666657</v>
      </c>
      <c r="F148" s="741"/>
      <c r="G148" s="741">
        <v>2017</v>
      </c>
      <c r="H148" s="918">
        <f>(O96/$R96*100*($E96/365))+(O97/$R97*100*($E97/365))</f>
        <v>100</v>
      </c>
      <c r="I148" s="918"/>
      <c r="J148" s="918">
        <f>(P96/$R96*100*($E96/365))+(P97/$R97*100*($E97/365))</f>
        <v>0</v>
      </c>
      <c r="K148" s="918"/>
      <c r="L148" s="918">
        <f>(Q96/$R96*100*($E96/365))+(Q97/$R97*100*($E97/365))</f>
        <v>0</v>
      </c>
      <c r="M148" s="918"/>
      <c r="N148" s="887">
        <f>H148+J148+L148</f>
        <v>100</v>
      </c>
      <c r="O148" s="887"/>
      <c r="P148" s="741"/>
      <c r="Q148" s="741"/>
      <c r="R148" s="741">
        <v>2017</v>
      </c>
      <c r="S148" s="739">
        <f>(O96*($E96/365))+(O97*($E97/365))</f>
        <v>32.1</v>
      </c>
      <c r="T148" s="826">
        <f t="shared" ref="T148:U148" si="53">(P96*($E96/365))+(P97*($E97/365))</f>
        <v>0</v>
      </c>
      <c r="U148" s="826">
        <f t="shared" si="53"/>
        <v>0</v>
      </c>
      <c r="V148" s="741"/>
      <c r="W148" s="740">
        <f t="shared" si="52"/>
        <v>32.1</v>
      </c>
    </row>
    <row r="149" spans="1:23">
      <c r="A149" s="766">
        <v>2018</v>
      </c>
      <c r="B149" s="762">
        <f>(K98*($E98/365))+(K99*($E99/365))</f>
        <v>52.694063926940643</v>
      </c>
      <c r="C149" s="762">
        <f>(L98*($E98/365))+(L99*($E99/365))</f>
        <v>0</v>
      </c>
      <c r="D149" s="762">
        <f>(M98*($E98/365))+(M99*($E99/365))</f>
        <v>0</v>
      </c>
      <c r="E149" s="758">
        <f t="shared" si="51"/>
        <v>52.694063926940643</v>
      </c>
      <c r="F149" s="766"/>
      <c r="G149" s="766">
        <v>2018</v>
      </c>
      <c r="H149" s="918">
        <f>(O98/$R98*100*($E98/365))+(O99/$R99*100*($E99/365))</f>
        <v>100</v>
      </c>
      <c r="I149" s="918"/>
      <c r="J149" s="918">
        <f>(P98/$R98*100*($E98/365))+(P99/$R99*100*($E99/365))</f>
        <v>0</v>
      </c>
      <c r="K149" s="918"/>
      <c r="L149" s="918">
        <f>(Q98/$R98*100*($E98/365))+(Q99/$R99*100*($E99/365))</f>
        <v>0</v>
      </c>
      <c r="M149" s="918"/>
      <c r="N149" s="887">
        <f>H149+J149+L149</f>
        <v>100</v>
      </c>
      <c r="O149" s="887"/>
      <c r="P149" s="766"/>
      <c r="Q149" s="766"/>
      <c r="R149" s="766">
        <v>2018</v>
      </c>
      <c r="S149" s="762">
        <f>(O98*($E98/365))+(O99*($E99/365))</f>
        <v>32.1</v>
      </c>
      <c r="T149" s="762">
        <f>(P98*($E98/365))+(P99*($E99/365))</f>
        <v>0</v>
      </c>
      <c r="U149" s="762">
        <f>(Q98*($E98/365))+(Q99*($E99/365))</f>
        <v>0</v>
      </c>
      <c r="V149" s="766"/>
      <c r="W149" s="763">
        <f t="shared" si="52"/>
        <v>32.1</v>
      </c>
    </row>
    <row r="150" spans="1:23">
      <c r="A150" s="766">
        <v>2019</v>
      </c>
      <c r="B150" s="791">
        <f>(K100*($E100/365))+(K101*($E101/365))+(K102*(E102/365))</f>
        <v>45.799086757990871</v>
      </c>
      <c r="C150" s="822">
        <f>(L100*($E100/365))+(L101*($E101/365))+(L102*(E102/365))</f>
        <v>0</v>
      </c>
      <c r="D150" s="822">
        <f>(M100*($E100/365))+(M101*($E101/365))+(M102*(E102/365))</f>
        <v>0</v>
      </c>
      <c r="E150" s="789">
        <f t="shared" ref="E150" si="54">SUM(B150:D150)</f>
        <v>45.799086757990871</v>
      </c>
      <c r="F150" s="794"/>
      <c r="G150" s="794">
        <v>2019</v>
      </c>
      <c r="H150" s="918">
        <f>(O100/$R100*100*($E100/365))+(O101/$R101*100*($E101/365))+(O102/R102*100*(E102/365))</f>
        <v>100</v>
      </c>
      <c r="I150" s="918"/>
      <c r="J150" s="918">
        <f>(P101/$R100*100*($E100/365))+(P101/$R101*100*($E101/365))+(P102/R102*100*(E102/365))</f>
        <v>0</v>
      </c>
      <c r="K150" s="918"/>
      <c r="L150" s="918">
        <f>(Q100/$R100*100*($E100/365))+(Q101/$R101*100*($E101/365))+(Q102/R102*100*(E102/365))</f>
        <v>0</v>
      </c>
      <c r="M150" s="918"/>
      <c r="N150" s="887">
        <f>H150+J150+L150</f>
        <v>100</v>
      </c>
      <c r="O150" s="887"/>
      <c r="P150" s="794"/>
      <c r="Q150" s="794"/>
      <c r="R150" s="794">
        <v>2019</v>
      </c>
      <c r="S150" s="791">
        <f>(O100*($E100/365))+(O101*($E101/365))+(O102*(E102/365))</f>
        <v>32.1</v>
      </c>
      <c r="T150" s="822">
        <f>(P100*($E100/365))+(P101*($E101/365))+(P102*(E102/365))</f>
        <v>0</v>
      </c>
      <c r="U150" s="822">
        <f>(Q100*($E100/365))+(Q101*($E101/365))+(Q102*(E102/365))</f>
        <v>0</v>
      </c>
      <c r="V150" s="794"/>
      <c r="W150" s="792">
        <f t="shared" ref="W150" si="55">SUM(S150:U150)</f>
        <v>32.1</v>
      </c>
    </row>
  </sheetData>
  <mergeCells count="299">
    <mergeCell ref="J145:K145"/>
    <mergeCell ref="L145:M145"/>
    <mergeCell ref="N145:O145"/>
    <mergeCell ref="L117:M117"/>
    <mergeCell ref="L142:M142"/>
    <mergeCell ref="L137:M137"/>
    <mergeCell ref="J143:K143"/>
    <mergeCell ref="N144:O144"/>
    <mergeCell ref="N141:O141"/>
    <mergeCell ref="N142:O142"/>
    <mergeCell ref="N139:O139"/>
    <mergeCell ref="N140:O140"/>
    <mergeCell ref="L143:M143"/>
    <mergeCell ref="N131:O131"/>
    <mergeCell ref="N138:O138"/>
    <mergeCell ref="N132:O132"/>
    <mergeCell ref="N133:O133"/>
    <mergeCell ref="N134:O134"/>
    <mergeCell ref="N135:O135"/>
    <mergeCell ref="N136:O136"/>
    <mergeCell ref="N137:O137"/>
    <mergeCell ref="L131:M131"/>
    <mergeCell ref="L132:M132"/>
    <mergeCell ref="L139:M139"/>
    <mergeCell ref="L133:M133"/>
    <mergeCell ref="L134:M134"/>
    <mergeCell ref="L141:M141"/>
    <mergeCell ref="R106:W106"/>
    <mergeCell ref="N108:O108"/>
    <mergeCell ref="N111:O111"/>
    <mergeCell ref="J141:K141"/>
    <mergeCell ref="H141:I141"/>
    <mergeCell ref="J118:K118"/>
    <mergeCell ref="H131:I131"/>
    <mergeCell ref="H132:I132"/>
    <mergeCell ref="H133:I133"/>
    <mergeCell ref="H124:I124"/>
    <mergeCell ref="J121:K121"/>
    <mergeCell ref="J129:K129"/>
    <mergeCell ref="H125:I125"/>
    <mergeCell ref="H126:I126"/>
    <mergeCell ref="H127:I127"/>
    <mergeCell ref="H128:I128"/>
    <mergeCell ref="J128:K128"/>
    <mergeCell ref="H129:I129"/>
    <mergeCell ref="H123:I123"/>
    <mergeCell ref="N126:O126"/>
    <mergeCell ref="N127:O127"/>
    <mergeCell ref="J142:K142"/>
    <mergeCell ref="J134:K134"/>
    <mergeCell ref="J135:K135"/>
    <mergeCell ref="J136:K136"/>
    <mergeCell ref="L138:M138"/>
    <mergeCell ref="H142:I142"/>
    <mergeCell ref="H139:I139"/>
    <mergeCell ref="H140:I140"/>
    <mergeCell ref="J138:K138"/>
    <mergeCell ref="J139:K139"/>
    <mergeCell ref="L135:M135"/>
    <mergeCell ref="L136:M136"/>
    <mergeCell ref="H137:I137"/>
    <mergeCell ref="H138:I138"/>
    <mergeCell ref="J137:K137"/>
    <mergeCell ref="J140:K140"/>
    <mergeCell ref="H134:I134"/>
    <mergeCell ref="H135:I135"/>
    <mergeCell ref="H136:I136"/>
    <mergeCell ref="L140:M140"/>
    <mergeCell ref="H144:I144"/>
    <mergeCell ref="H109:I109"/>
    <mergeCell ref="J109:K109"/>
    <mergeCell ref="L109:M109"/>
    <mergeCell ref="N109:O109"/>
    <mergeCell ref="H110:I110"/>
    <mergeCell ref="J110:K110"/>
    <mergeCell ref="L110:M110"/>
    <mergeCell ref="N110:O110"/>
    <mergeCell ref="L144:M144"/>
    <mergeCell ref="H121:I121"/>
    <mergeCell ref="H122:I122"/>
    <mergeCell ref="N114:O114"/>
    <mergeCell ref="N115:O115"/>
    <mergeCell ref="L115:M115"/>
    <mergeCell ref="N116:O116"/>
    <mergeCell ref="L116:M116"/>
    <mergeCell ref="N117:O117"/>
    <mergeCell ref="L114:M114"/>
    <mergeCell ref="H143:I143"/>
    <mergeCell ref="J125:K125"/>
    <mergeCell ref="J126:K126"/>
    <mergeCell ref="J127:K127"/>
    <mergeCell ref="N143:O143"/>
    <mergeCell ref="H145:I145"/>
    <mergeCell ref="H111:I111"/>
    <mergeCell ref="H112:I112"/>
    <mergeCell ref="H113:I113"/>
    <mergeCell ref="H114:I114"/>
    <mergeCell ref="J144:K144"/>
    <mergeCell ref="C50:D50"/>
    <mergeCell ref="C51:D51"/>
    <mergeCell ref="C59:D59"/>
    <mergeCell ref="C60:D60"/>
    <mergeCell ref="C83:D83"/>
    <mergeCell ref="J111:K111"/>
    <mergeCell ref="J114:K114"/>
    <mergeCell ref="C75:D75"/>
    <mergeCell ref="C76:D76"/>
    <mergeCell ref="C79:D79"/>
    <mergeCell ref="C73:D73"/>
    <mergeCell ref="C74:D74"/>
    <mergeCell ref="C81:D81"/>
    <mergeCell ref="C84:D84"/>
    <mergeCell ref="C82:D82"/>
    <mergeCell ref="C93:D93"/>
    <mergeCell ref="C96:D96"/>
    <mergeCell ref="C97:D97"/>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C33:D33"/>
    <mergeCell ref="C34:D34"/>
    <mergeCell ref="C29:D29"/>
    <mergeCell ref="C30:D30"/>
    <mergeCell ref="C31:D31"/>
    <mergeCell ref="C11:D11"/>
    <mergeCell ref="C12:D12"/>
    <mergeCell ref="C14:D14"/>
    <mergeCell ref="N128:O128"/>
    <mergeCell ref="L129:M129"/>
    <mergeCell ref="L130:M130"/>
    <mergeCell ref="N129:O129"/>
    <mergeCell ref="N118:O118"/>
    <mergeCell ref="N121:O121"/>
    <mergeCell ref="N122:O122"/>
    <mergeCell ref="N123:O123"/>
    <mergeCell ref="N124:O124"/>
    <mergeCell ref="L119:M119"/>
    <mergeCell ref="L120:M120"/>
    <mergeCell ref="N130:O130"/>
    <mergeCell ref="N120:O120"/>
    <mergeCell ref="L123:M123"/>
    <mergeCell ref="L128:M128"/>
    <mergeCell ref="L124:M124"/>
    <mergeCell ref="N125:O125"/>
    <mergeCell ref="N119:O119"/>
    <mergeCell ref="L125:M125"/>
    <mergeCell ref="L126:M126"/>
    <mergeCell ref="L127:M127"/>
    <mergeCell ref="C41:D41"/>
    <mergeCell ref="C42:D42"/>
    <mergeCell ref="C43:D43"/>
    <mergeCell ref="C69:D69"/>
    <mergeCell ref="C80:D80"/>
    <mergeCell ref="C52:D52"/>
    <mergeCell ref="C53:D53"/>
    <mergeCell ref="C54:D54"/>
    <mergeCell ref="J115:K115"/>
    <mergeCell ref="C78:D78"/>
    <mergeCell ref="C68:D68"/>
    <mergeCell ref="C70:D70"/>
    <mergeCell ref="C71:D71"/>
    <mergeCell ref="C72:D72"/>
    <mergeCell ref="C67:D67"/>
    <mergeCell ref="C66:D66"/>
    <mergeCell ref="C58:D58"/>
    <mergeCell ref="H115:I115"/>
    <mergeCell ref="H108:I108"/>
    <mergeCell ref="J108:K108"/>
    <mergeCell ref="C62:D62"/>
    <mergeCell ref="C88:D88"/>
    <mergeCell ref="C89:D89"/>
    <mergeCell ref="C90:D90"/>
    <mergeCell ref="C39:D39"/>
    <mergeCell ref="C40:D40"/>
    <mergeCell ref="Z4:AC4"/>
    <mergeCell ref="AD4:AG4"/>
    <mergeCell ref="AH4:AK4"/>
    <mergeCell ref="AL4:AO4"/>
    <mergeCell ref="U4:U5"/>
    <mergeCell ref="V4:Y4"/>
    <mergeCell ref="AP4:AS4"/>
    <mergeCell ref="S4:S5"/>
    <mergeCell ref="T4:T5"/>
    <mergeCell ref="V35:Y35"/>
    <mergeCell ref="V36:Y36"/>
    <mergeCell ref="V37:Y37"/>
    <mergeCell ref="V38:Y38"/>
    <mergeCell ref="C15:D15"/>
    <mergeCell ref="C23:D23"/>
    <mergeCell ref="C26:D26"/>
    <mergeCell ref="C27:D27"/>
    <mergeCell ref="C28:D28"/>
    <mergeCell ref="C32:D32"/>
    <mergeCell ref="V33:Y33"/>
    <mergeCell ref="V34:Y34"/>
    <mergeCell ref="V39:Y39"/>
    <mergeCell ref="L108:M108"/>
    <mergeCell ref="L121:M121"/>
    <mergeCell ref="L122:M122"/>
    <mergeCell ref="J122:K122"/>
    <mergeCell ref="J123:K123"/>
    <mergeCell ref="J124:K124"/>
    <mergeCell ref="H118:I118"/>
    <mergeCell ref="AT4:AW4"/>
    <mergeCell ref="AX4:BA4"/>
    <mergeCell ref="L118:M118"/>
    <mergeCell ref="H120:I120"/>
    <mergeCell ref="J120:K120"/>
    <mergeCell ref="L112:M112"/>
    <mergeCell ref="L113:M113"/>
    <mergeCell ref="N112:O112"/>
    <mergeCell ref="N113:O113"/>
    <mergeCell ref="H116:I116"/>
    <mergeCell ref="J116:K116"/>
    <mergeCell ref="H117:I117"/>
    <mergeCell ref="J117:K117"/>
    <mergeCell ref="V40:Y40"/>
    <mergeCell ref="V41:Y41"/>
    <mergeCell ref="V42:Y42"/>
    <mergeCell ref="L111:M111"/>
    <mergeCell ref="C77:D77"/>
    <mergeCell ref="J112:K112"/>
    <mergeCell ref="J113:K113"/>
    <mergeCell ref="C91:D91"/>
    <mergeCell ref="C92:D92"/>
    <mergeCell ref="J131:K131"/>
    <mergeCell ref="J132:K132"/>
    <mergeCell ref="J133:K133"/>
    <mergeCell ref="J130:K130"/>
    <mergeCell ref="C85:D85"/>
    <mergeCell ref="C86:D86"/>
    <mergeCell ref="C87:D87"/>
    <mergeCell ref="C95:D95"/>
    <mergeCell ref="C98:D98"/>
    <mergeCell ref="C99:D99"/>
    <mergeCell ref="C100:D100"/>
    <mergeCell ref="C101:D101"/>
    <mergeCell ref="H130:I130"/>
    <mergeCell ref="H119:I119"/>
    <mergeCell ref="J119:K119"/>
    <mergeCell ref="C102:D102"/>
    <mergeCell ref="C94:D94"/>
    <mergeCell ref="H150:I150"/>
    <mergeCell ref="J150:K150"/>
    <mergeCell ref="L150:M150"/>
    <mergeCell ref="N150:O150"/>
    <mergeCell ref="H147:I147"/>
    <mergeCell ref="J147:K147"/>
    <mergeCell ref="L147:M147"/>
    <mergeCell ref="N147:O147"/>
    <mergeCell ref="H146:I146"/>
    <mergeCell ref="J146:K146"/>
    <mergeCell ref="L146:M146"/>
    <mergeCell ref="N146:O146"/>
    <mergeCell ref="H149:I149"/>
    <mergeCell ref="J149:K149"/>
    <mergeCell ref="L149:M149"/>
    <mergeCell ref="N149:O149"/>
    <mergeCell ref="H148:I148"/>
    <mergeCell ref="J148:K148"/>
    <mergeCell ref="L148:M148"/>
    <mergeCell ref="N148:O148"/>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A108"/>
  <sheetViews>
    <sheetView zoomScale="184" zoomScaleNormal="120" workbookViewId="0">
      <pane xSplit="1" ySplit="5" topLeftCell="B6" activePane="bottomRight" state="frozen"/>
      <selection pane="topRight" activeCell="B1" sqref="B1"/>
      <selection pane="bottomLeft" activeCell="A6" sqref="A6"/>
      <selection pane="bottomRight" activeCell="J29" sqref="J2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138</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73" customFormat="1">
      <c r="A6" s="73">
        <v>1990</v>
      </c>
      <c r="B6" s="85"/>
      <c r="C6" s="935" t="s">
        <v>1268</v>
      </c>
      <c r="D6" s="935"/>
      <c r="E6" s="73">
        <v>176</v>
      </c>
      <c r="G6" s="411"/>
      <c r="H6" s="448"/>
      <c r="I6" s="448"/>
      <c r="J6" s="413"/>
      <c r="K6" s="409"/>
      <c r="L6" s="409"/>
      <c r="M6" s="409"/>
      <c r="N6" s="412"/>
      <c r="O6" s="408"/>
      <c r="P6" s="409"/>
      <c r="Q6" s="409"/>
      <c r="R6" s="410"/>
      <c r="T6" s="95"/>
      <c r="U6" s="85"/>
      <c r="V6" s="82"/>
      <c r="Y6" s="83"/>
      <c r="AD6" s="82"/>
      <c r="AG6" s="83"/>
      <c r="AL6" s="82"/>
      <c r="AO6" s="83"/>
      <c r="AP6" s="82"/>
      <c r="AS6" s="83"/>
      <c r="AW6" s="83"/>
      <c r="BA6" s="84"/>
    </row>
    <row r="7" spans="1:53" s="292" customFormat="1">
      <c r="A7" s="292">
        <v>1990</v>
      </c>
      <c r="B7" s="836">
        <v>33050</v>
      </c>
      <c r="C7" s="916" t="s">
        <v>1059</v>
      </c>
      <c r="D7" s="916"/>
      <c r="E7" s="292">
        <v>189</v>
      </c>
      <c r="F7" s="292" t="s">
        <v>338</v>
      </c>
      <c r="G7" s="425">
        <v>10</v>
      </c>
      <c r="H7" s="449">
        <v>3</v>
      </c>
      <c r="I7" s="449"/>
      <c r="J7" s="427">
        <v>21</v>
      </c>
      <c r="K7" s="423">
        <f t="shared" ref="K7:K37" si="0">G7/J7*100</f>
        <v>47.619047619047613</v>
      </c>
      <c r="L7" s="423">
        <f t="shared" ref="L7:L37" si="1">H7/J7*100</f>
        <v>14.285714285714285</v>
      </c>
      <c r="M7" s="423">
        <f t="shared" ref="M7:M37" si="2">I7/J7*100</f>
        <v>0</v>
      </c>
      <c r="N7" s="426">
        <f t="shared" ref="N7:N37" si="3">SUM(K7:M7)</f>
        <v>61.904761904761898</v>
      </c>
      <c r="O7" s="422">
        <v>63</v>
      </c>
      <c r="P7" s="423">
        <v>20</v>
      </c>
      <c r="Q7" s="423"/>
      <c r="R7" s="424">
        <f t="shared" ref="R7:R57" si="4">SUM(O7:Q7)</f>
        <v>83</v>
      </c>
      <c r="S7" s="292">
        <v>3</v>
      </c>
      <c r="T7" s="838">
        <v>33033</v>
      </c>
      <c r="U7" s="836">
        <v>33050</v>
      </c>
      <c r="V7" s="299" t="s">
        <v>1073</v>
      </c>
      <c r="W7" s="292" t="s">
        <v>22</v>
      </c>
      <c r="X7" s="292" t="s">
        <v>11</v>
      </c>
      <c r="Y7" s="300">
        <v>63</v>
      </c>
      <c r="Z7" s="292" t="s">
        <v>1074</v>
      </c>
      <c r="AA7" s="292" t="s">
        <v>1075</v>
      </c>
      <c r="AB7" s="292" t="s">
        <v>18</v>
      </c>
      <c r="AC7" s="292">
        <v>11</v>
      </c>
      <c r="AD7" s="299" t="s">
        <v>1076</v>
      </c>
      <c r="AE7" s="292" t="s">
        <v>17</v>
      </c>
      <c r="AF7" s="292" t="s">
        <v>18</v>
      </c>
      <c r="AG7" s="300">
        <v>9</v>
      </c>
      <c r="AL7" s="299"/>
      <c r="AO7" s="300"/>
      <c r="AP7" s="299"/>
      <c r="AS7" s="300"/>
      <c r="AW7" s="300"/>
      <c r="BA7" s="301"/>
    </row>
    <row r="8" spans="1:53" s="292" customFormat="1">
      <c r="A8" s="292">
        <v>1991</v>
      </c>
      <c r="B8" s="836"/>
      <c r="C8" s="916" t="s">
        <v>1059</v>
      </c>
      <c r="D8" s="916"/>
      <c r="E8" s="292">
        <v>0</v>
      </c>
      <c r="G8" s="425">
        <v>10</v>
      </c>
      <c r="H8" s="449">
        <v>3</v>
      </c>
      <c r="I8" s="449"/>
      <c r="J8" s="427">
        <v>21</v>
      </c>
      <c r="K8" s="423">
        <f t="shared" si="0"/>
        <v>47.619047619047613</v>
      </c>
      <c r="L8" s="423">
        <f t="shared" si="1"/>
        <v>14.285714285714285</v>
      </c>
      <c r="M8" s="423">
        <f t="shared" si="2"/>
        <v>0</v>
      </c>
      <c r="N8" s="426">
        <f t="shared" si="3"/>
        <v>61.904761904761898</v>
      </c>
      <c r="O8" s="422">
        <v>63</v>
      </c>
      <c r="P8" s="423">
        <v>20</v>
      </c>
      <c r="Q8" s="423"/>
      <c r="R8" s="424">
        <f t="shared" si="4"/>
        <v>83</v>
      </c>
      <c r="S8" s="292">
        <v>3</v>
      </c>
      <c r="T8" s="838"/>
      <c r="U8" s="836"/>
      <c r="V8" s="299" t="s">
        <v>1073</v>
      </c>
      <c r="W8" s="292" t="s">
        <v>22</v>
      </c>
      <c r="X8" s="292" t="s">
        <v>11</v>
      </c>
      <c r="Y8" s="300">
        <v>63</v>
      </c>
      <c r="Z8" s="292" t="s">
        <v>1074</v>
      </c>
      <c r="AA8" s="292" t="s">
        <v>1075</v>
      </c>
      <c r="AB8" s="292" t="s">
        <v>18</v>
      </c>
      <c r="AC8" s="292">
        <v>11</v>
      </c>
      <c r="AD8" s="299" t="s">
        <v>1076</v>
      </c>
      <c r="AE8" s="292" t="s">
        <v>17</v>
      </c>
      <c r="AF8" s="292" t="s">
        <v>18</v>
      </c>
      <c r="AG8" s="300">
        <v>9</v>
      </c>
      <c r="AL8" s="299"/>
      <c r="AO8" s="300"/>
      <c r="AP8" s="299"/>
      <c r="AS8" s="300"/>
      <c r="AW8" s="300"/>
      <c r="BA8" s="301"/>
    </row>
    <row r="9" spans="1:53" s="292" customFormat="1">
      <c r="A9" s="292">
        <v>1991</v>
      </c>
      <c r="B9" s="836"/>
      <c r="C9" s="916" t="s">
        <v>1059</v>
      </c>
      <c r="D9" s="916"/>
      <c r="E9" s="292">
        <v>365</v>
      </c>
      <c r="G9" s="425">
        <v>10</v>
      </c>
      <c r="H9" s="449">
        <v>3</v>
      </c>
      <c r="I9" s="449"/>
      <c r="J9" s="427">
        <v>21</v>
      </c>
      <c r="K9" s="423">
        <f t="shared" si="0"/>
        <v>47.619047619047613</v>
      </c>
      <c r="L9" s="423">
        <f t="shared" si="1"/>
        <v>14.285714285714285</v>
      </c>
      <c r="M9" s="423">
        <f t="shared" si="2"/>
        <v>0</v>
      </c>
      <c r="N9" s="426">
        <f t="shared" si="3"/>
        <v>61.904761904761898</v>
      </c>
      <c r="O9" s="422">
        <v>63</v>
      </c>
      <c r="P9" s="423">
        <v>20</v>
      </c>
      <c r="Q9" s="423"/>
      <c r="R9" s="424">
        <f t="shared" si="4"/>
        <v>83</v>
      </c>
      <c r="S9" s="292">
        <v>3</v>
      </c>
      <c r="T9" s="838"/>
      <c r="U9" s="836"/>
      <c r="V9" s="299" t="s">
        <v>1073</v>
      </c>
      <c r="W9" s="292" t="s">
        <v>22</v>
      </c>
      <c r="X9" s="292" t="s">
        <v>11</v>
      </c>
      <c r="Y9" s="300">
        <v>63</v>
      </c>
      <c r="Z9" s="292" t="s">
        <v>1074</v>
      </c>
      <c r="AA9" s="292" t="s">
        <v>1075</v>
      </c>
      <c r="AB9" s="292" t="s">
        <v>18</v>
      </c>
      <c r="AC9" s="292">
        <v>11</v>
      </c>
      <c r="AD9" s="299" t="s">
        <v>1076</v>
      </c>
      <c r="AE9" s="292" t="s">
        <v>17</v>
      </c>
      <c r="AF9" s="292" t="s">
        <v>18</v>
      </c>
      <c r="AG9" s="300">
        <v>9</v>
      </c>
      <c r="AL9" s="299"/>
      <c r="AO9" s="300"/>
      <c r="AP9" s="299"/>
      <c r="AS9" s="300"/>
      <c r="AW9" s="300"/>
      <c r="BA9" s="301"/>
    </row>
    <row r="10" spans="1:53" s="292" customFormat="1">
      <c r="A10" s="292">
        <v>1992</v>
      </c>
      <c r="B10" s="836"/>
      <c r="C10" s="916" t="s">
        <v>1059</v>
      </c>
      <c r="D10" s="916"/>
      <c r="E10" s="292">
        <v>184</v>
      </c>
      <c r="G10" s="425">
        <v>10</v>
      </c>
      <c r="H10" s="449">
        <v>3</v>
      </c>
      <c r="I10" s="449"/>
      <c r="J10" s="427">
        <v>21</v>
      </c>
      <c r="K10" s="423">
        <f t="shared" si="0"/>
        <v>47.619047619047613</v>
      </c>
      <c r="L10" s="423">
        <f t="shared" si="1"/>
        <v>14.285714285714285</v>
      </c>
      <c r="M10" s="423">
        <f t="shared" si="2"/>
        <v>0</v>
      </c>
      <c r="N10" s="426">
        <f t="shared" si="3"/>
        <v>61.904761904761898</v>
      </c>
      <c r="O10" s="422">
        <v>63</v>
      </c>
      <c r="P10" s="423">
        <v>20</v>
      </c>
      <c r="Q10" s="423"/>
      <c r="R10" s="424">
        <f t="shared" si="4"/>
        <v>83</v>
      </c>
      <c r="S10" s="292">
        <v>3</v>
      </c>
      <c r="T10" s="838"/>
      <c r="U10" s="836"/>
      <c r="V10" s="299" t="s">
        <v>1073</v>
      </c>
      <c r="W10" s="292" t="s">
        <v>22</v>
      </c>
      <c r="X10" s="292" t="s">
        <v>11</v>
      </c>
      <c r="Y10" s="300">
        <v>63</v>
      </c>
      <c r="Z10" s="292" t="s">
        <v>1074</v>
      </c>
      <c r="AA10" s="292" t="s">
        <v>1075</v>
      </c>
      <c r="AB10" s="292" t="s">
        <v>18</v>
      </c>
      <c r="AC10" s="292">
        <v>11</v>
      </c>
      <c r="AD10" s="299" t="s">
        <v>1076</v>
      </c>
      <c r="AE10" s="292" t="s">
        <v>17</v>
      </c>
      <c r="AF10" s="292" t="s">
        <v>18</v>
      </c>
      <c r="AG10" s="300">
        <v>9</v>
      </c>
      <c r="AL10" s="299"/>
      <c r="AO10" s="300"/>
      <c r="AP10" s="299"/>
      <c r="AS10" s="300"/>
      <c r="AW10" s="300"/>
      <c r="BA10" s="301"/>
    </row>
    <row r="11" spans="1:53" s="73" customFormat="1">
      <c r="A11" s="73">
        <v>1992</v>
      </c>
      <c r="B11" s="852">
        <v>33788</v>
      </c>
      <c r="C11" s="917" t="s">
        <v>1060</v>
      </c>
      <c r="D11" s="917"/>
      <c r="E11" s="73">
        <v>182</v>
      </c>
      <c r="F11" s="73">
        <v>1</v>
      </c>
      <c r="G11" s="411">
        <v>15</v>
      </c>
      <c r="H11" s="448">
        <v>4</v>
      </c>
      <c r="I11" s="448"/>
      <c r="J11" s="413">
        <v>19</v>
      </c>
      <c r="K11" s="409">
        <f t="shared" si="0"/>
        <v>78.94736842105263</v>
      </c>
      <c r="L11" s="409">
        <f t="shared" si="1"/>
        <v>21.052631578947366</v>
      </c>
      <c r="M11" s="409">
        <f t="shared" si="2"/>
        <v>0</v>
      </c>
      <c r="N11" s="412">
        <f t="shared" si="3"/>
        <v>100</v>
      </c>
      <c r="O11" s="408">
        <v>45</v>
      </c>
      <c r="P11" s="409">
        <v>7.5</v>
      </c>
      <c r="Q11" s="409"/>
      <c r="R11" s="410">
        <f t="shared" si="4"/>
        <v>52.5</v>
      </c>
      <c r="S11" s="73">
        <v>2</v>
      </c>
      <c r="T11" s="839">
        <v>33761</v>
      </c>
      <c r="U11" s="852">
        <v>33788</v>
      </c>
      <c r="V11" s="82" t="s">
        <v>1077</v>
      </c>
      <c r="W11" s="195" t="s">
        <v>74</v>
      </c>
      <c r="X11" s="195" t="s">
        <v>11</v>
      </c>
      <c r="Y11" s="83">
        <v>38</v>
      </c>
      <c r="Z11" s="82" t="s">
        <v>1076</v>
      </c>
      <c r="AA11" s="195" t="s">
        <v>17</v>
      </c>
      <c r="AB11" s="195" t="s">
        <v>18</v>
      </c>
      <c r="AC11" s="195">
        <v>7.5</v>
      </c>
      <c r="AD11" s="82" t="s">
        <v>1078</v>
      </c>
      <c r="AE11" s="195" t="s">
        <v>88</v>
      </c>
      <c r="AF11" s="195" t="s">
        <v>11</v>
      </c>
      <c r="AG11" s="83">
        <v>7</v>
      </c>
      <c r="AL11" s="82"/>
      <c r="AO11" s="83"/>
      <c r="AP11" s="82"/>
      <c r="AS11" s="83"/>
      <c r="AW11" s="83"/>
      <c r="BA11" s="84"/>
    </row>
    <row r="12" spans="1:53" s="73" customFormat="1">
      <c r="A12" s="73">
        <v>1993</v>
      </c>
      <c r="B12" s="852"/>
      <c r="C12" s="917" t="s">
        <v>1060</v>
      </c>
      <c r="D12" s="917"/>
      <c r="E12" s="73">
        <v>0</v>
      </c>
      <c r="G12" s="411">
        <v>15</v>
      </c>
      <c r="H12" s="448">
        <v>4</v>
      </c>
      <c r="I12" s="448"/>
      <c r="J12" s="413">
        <v>19</v>
      </c>
      <c r="K12" s="409">
        <f t="shared" si="0"/>
        <v>78.94736842105263</v>
      </c>
      <c r="L12" s="409">
        <f t="shared" si="1"/>
        <v>21.052631578947366</v>
      </c>
      <c r="M12" s="409">
        <f t="shared" si="2"/>
        <v>0</v>
      </c>
      <c r="N12" s="412">
        <f t="shared" si="3"/>
        <v>100</v>
      </c>
      <c r="O12" s="408">
        <v>45</v>
      </c>
      <c r="P12" s="409">
        <v>7.5</v>
      </c>
      <c r="Q12" s="409"/>
      <c r="R12" s="410">
        <f t="shared" si="4"/>
        <v>52.5</v>
      </c>
      <c r="S12" s="73">
        <v>2</v>
      </c>
      <c r="T12" s="839"/>
      <c r="U12" s="852"/>
      <c r="V12" s="82" t="s">
        <v>1077</v>
      </c>
      <c r="W12" s="195" t="s">
        <v>74</v>
      </c>
      <c r="X12" s="195" t="s">
        <v>11</v>
      </c>
      <c r="Y12" s="83">
        <v>38</v>
      </c>
      <c r="Z12" s="195" t="s">
        <v>1076</v>
      </c>
      <c r="AA12" s="195" t="s">
        <v>17</v>
      </c>
      <c r="AB12" s="195" t="s">
        <v>18</v>
      </c>
      <c r="AC12" s="195">
        <v>7.5</v>
      </c>
      <c r="AD12" s="82" t="s">
        <v>1078</v>
      </c>
      <c r="AE12" s="195" t="s">
        <v>88</v>
      </c>
      <c r="AF12" s="195" t="s">
        <v>11</v>
      </c>
      <c r="AG12" s="83">
        <v>7</v>
      </c>
      <c r="AL12" s="82"/>
      <c r="AO12" s="83"/>
      <c r="AP12" s="82"/>
      <c r="AS12" s="83"/>
      <c r="AW12" s="83"/>
      <c r="BA12" s="84"/>
    </row>
    <row r="13" spans="1:53" s="73" customFormat="1">
      <c r="A13" s="73">
        <v>1993</v>
      </c>
      <c r="B13" s="852"/>
      <c r="C13" s="917" t="s">
        <v>1060</v>
      </c>
      <c r="D13" s="917"/>
      <c r="E13" s="73">
        <v>365</v>
      </c>
      <c r="G13" s="411">
        <v>15</v>
      </c>
      <c r="H13" s="448">
        <v>4</v>
      </c>
      <c r="I13" s="448"/>
      <c r="J13" s="413">
        <v>19</v>
      </c>
      <c r="K13" s="409">
        <f t="shared" si="0"/>
        <v>78.94736842105263</v>
      </c>
      <c r="L13" s="409">
        <f t="shared" si="1"/>
        <v>21.052631578947366</v>
      </c>
      <c r="M13" s="409">
        <f t="shared" si="2"/>
        <v>0</v>
      </c>
      <c r="N13" s="412">
        <f t="shared" si="3"/>
        <v>100</v>
      </c>
      <c r="O13" s="408">
        <v>45</v>
      </c>
      <c r="P13" s="409">
        <v>7.5</v>
      </c>
      <c r="Q13" s="409"/>
      <c r="R13" s="410">
        <f t="shared" si="4"/>
        <v>52.5</v>
      </c>
      <c r="S13" s="73">
        <v>2</v>
      </c>
      <c r="T13" s="839"/>
      <c r="U13" s="852"/>
      <c r="V13" s="82" t="s">
        <v>1077</v>
      </c>
      <c r="W13" s="195" t="s">
        <v>74</v>
      </c>
      <c r="X13" s="195" t="s">
        <v>11</v>
      </c>
      <c r="Y13" s="83">
        <v>38</v>
      </c>
      <c r="Z13" s="82" t="s">
        <v>1076</v>
      </c>
      <c r="AA13" s="195" t="s">
        <v>17</v>
      </c>
      <c r="AB13" s="195" t="s">
        <v>18</v>
      </c>
      <c r="AC13" s="195">
        <v>7.5</v>
      </c>
      <c r="AD13" s="82" t="s">
        <v>1078</v>
      </c>
      <c r="AE13" s="195" t="s">
        <v>88</v>
      </c>
      <c r="AF13" s="195" t="s">
        <v>11</v>
      </c>
      <c r="AG13" s="83">
        <v>7</v>
      </c>
      <c r="AL13" s="82"/>
      <c r="AO13" s="83"/>
      <c r="AP13" s="82"/>
      <c r="AS13" s="83"/>
      <c r="AW13" s="83"/>
      <c r="BA13" s="84"/>
    </row>
    <row r="14" spans="1:53" s="73" customFormat="1">
      <c r="A14" s="73">
        <v>1994</v>
      </c>
      <c r="B14" s="852"/>
      <c r="C14" s="917" t="s">
        <v>1060</v>
      </c>
      <c r="D14" s="917"/>
      <c r="E14" s="73">
        <v>16</v>
      </c>
      <c r="G14" s="411">
        <v>15</v>
      </c>
      <c r="H14" s="448">
        <v>4</v>
      </c>
      <c r="I14" s="448"/>
      <c r="J14" s="413">
        <v>19</v>
      </c>
      <c r="K14" s="409">
        <f t="shared" si="0"/>
        <v>78.94736842105263</v>
      </c>
      <c r="L14" s="409">
        <f t="shared" si="1"/>
        <v>21.052631578947366</v>
      </c>
      <c r="M14" s="409">
        <f t="shared" si="2"/>
        <v>0</v>
      </c>
      <c r="N14" s="412">
        <f t="shared" si="3"/>
        <v>100</v>
      </c>
      <c r="O14" s="408">
        <v>45</v>
      </c>
      <c r="P14" s="409">
        <v>7.5</v>
      </c>
      <c r="Q14" s="409"/>
      <c r="R14" s="410">
        <f t="shared" si="4"/>
        <v>52.5</v>
      </c>
      <c r="S14" s="73">
        <v>2</v>
      </c>
      <c r="T14" s="839"/>
      <c r="U14" s="852"/>
      <c r="V14" s="82" t="s">
        <v>1077</v>
      </c>
      <c r="W14" s="195" t="s">
        <v>74</v>
      </c>
      <c r="X14" s="195" t="s">
        <v>11</v>
      </c>
      <c r="Y14" s="83">
        <v>38</v>
      </c>
      <c r="Z14" s="195" t="s">
        <v>1076</v>
      </c>
      <c r="AA14" s="195" t="s">
        <v>17</v>
      </c>
      <c r="AB14" s="195" t="s">
        <v>18</v>
      </c>
      <c r="AC14" s="195">
        <v>7.5</v>
      </c>
      <c r="AD14" s="82" t="s">
        <v>1078</v>
      </c>
      <c r="AE14" s="195" t="s">
        <v>88</v>
      </c>
      <c r="AF14" s="195" t="s">
        <v>11</v>
      </c>
      <c r="AG14" s="83">
        <v>7</v>
      </c>
      <c r="AL14" s="82"/>
      <c r="AO14" s="83"/>
      <c r="AP14" s="82"/>
      <c r="AS14" s="83"/>
      <c r="AW14" s="83"/>
      <c r="BA14" s="84"/>
    </row>
    <row r="15" spans="1:53" s="73" customFormat="1">
      <c r="A15" s="73">
        <v>1994</v>
      </c>
      <c r="B15" s="860">
        <v>34351</v>
      </c>
      <c r="C15" s="917" t="s">
        <v>1060</v>
      </c>
      <c r="D15" s="917"/>
      <c r="E15" s="73">
        <v>349</v>
      </c>
      <c r="F15" s="139">
        <v>0</v>
      </c>
      <c r="G15" s="411">
        <v>15</v>
      </c>
      <c r="H15" s="448">
        <v>3</v>
      </c>
      <c r="I15" s="448"/>
      <c r="J15" s="413">
        <v>19</v>
      </c>
      <c r="K15" s="409">
        <f t="shared" si="0"/>
        <v>78.94736842105263</v>
      </c>
      <c r="L15" s="409">
        <f t="shared" si="1"/>
        <v>15.789473684210526</v>
      </c>
      <c r="M15" s="409">
        <f t="shared" si="2"/>
        <v>0</v>
      </c>
      <c r="N15" s="412">
        <f t="shared" si="3"/>
        <v>94.73684210526315</v>
      </c>
      <c r="O15" s="408">
        <v>45</v>
      </c>
      <c r="P15" s="409">
        <v>7.5</v>
      </c>
      <c r="Q15" s="409"/>
      <c r="R15" s="410">
        <f t="shared" si="4"/>
        <v>52.5</v>
      </c>
      <c r="S15" s="73">
        <v>2</v>
      </c>
      <c r="T15" s="839"/>
      <c r="U15" s="852"/>
      <c r="V15" s="82" t="s">
        <v>1077</v>
      </c>
      <c r="W15" s="195" t="s">
        <v>74</v>
      </c>
      <c r="X15" s="195" t="s">
        <v>11</v>
      </c>
      <c r="Y15" s="83">
        <v>38</v>
      </c>
      <c r="Z15" s="82" t="s">
        <v>1076</v>
      </c>
      <c r="AA15" s="195" t="s">
        <v>17</v>
      </c>
      <c r="AB15" s="195" t="s">
        <v>18</v>
      </c>
      <c r="AC15" s="195">
        <v>7.5</v>
      </c>
      <c r="AD15" s="82" t="s">
        <v>1078</v>
      </c>
      <c r="AE15" s="195" t="s">
        <v>88</v>
      </c>
      <c r="AF15" s="195" t="s">
        <v>11</v>
      </c>
      <c r="AG15" s="83">
        <v>7</v>
      </c>
      <c r="AL15" s="82"/>
      <c r="AO15" s="83"/>
      <c r="AP15" s="82"/>
      <c r="AS15" s="83"/>
      <c r="AW15" s="83"/>
      <c r="BA15" s="84"/>
    </row>
    <row r="16" spans="1:53" s="73" customFormat="1">
      <c r="A16" s="73">
        <v>1995</v>
      </c>
      <c r="B16" s="852"/>
      <c r="C16" s="917" t="s">
        <v>1060</v>
      </c>
      <c r="D16" s="917"/>
      <c r="E16" s="73">
        <v>0</v>
      </c>
      <c r="G16" s="411">
        <v>15</v>
      </c>
      <c r="H16" s="448">
        <v>3</v>
      </c>
      <c r="I16" s="448"/>
      <c r="J16" s="413">
        <v>19</v>
      </c>
      <c r="K16" s="409">
        <f t="shared" si="0"/>
        <v>78.94736842105263</v>
      </c>
      <c r="L16" s="409">
        <f t="shared" si="1"/>
        <v>15.789473684210526</v>
      </c>
      <c r="M16" s="409">
        <f t="shared" si="2"/>
        <v>0</v>
      </c>
      <c r="N16" s="412">
        <f t="shared" si="3"/>
        <v>94.73684210526315</v>
      </c>
      <c r="O16" s="408">
        <v>45</v>
      </c>
      <c r="P16" s="409">
        <v>7.5</v>
      </c>
      <c r="Q16" s="409"/>
      <c r="R16" s="410">
        <f t="shared" si="4"/>
        <v>52.5</v>
      </c>
      <c r="S16" s="73">
        <v>2</v>
      </c>
      <c r="T16" s="839"/>
      <c r="U16" s="852"/>
      <c r="V16" s="82" t="s">
        <v>1077</v>
      </c>
      <c r="W16" s="195" t="s">
        <v>74</v>
      </c>
      <c r="X16" s="195" t="s">
        <v>11</v>
      </c>
      <c r="Y16" s="83">
        <v>38</v>
      </c>
      <c r="Z16" s="195" t="s">
        <v>1076</v>
      </c>
      <c r="AA16" s="195" t="s">
        <v>17</v>
      </c>
      <c r="AB16" s="195" t="s">
        <v>18</v>
      </c>
      <c r="AC16" s="195">
        <v>7.5</v>
      </c>
      <c r="AD16" s="82" t="s">
        <v>1078</v>
      </c>
      <c r="AE16" s="195" t="s">
        <v>88</v>
      </c>
      <c r="AF16" s="195" t="s">
        <v>11</v>
      </c>
      <c r="AG16" s="83">
        <v>7</v>
      </c>
      <c r="AL16" s="82"/>
      <c r="AO16" s="83"/>
      <c r="AP16" s="82"/>
      <c r="AS16" s="83"/>
      <c r="AW16" s="83"/>
      <c r="BA16" s="84"/>
    </row>
    <row r="17" spans="1:53" s="73" customFormat="1">
      <c r="A17" s="73">
        <v>1995</v>
      </c>
      <c r="B17" s="852"/>
      <c r="C17" s="917" t="s">
        <v>1060</v>
      </c>
      <c r="D17" s="917"/>
      <c r="E17" s="73">
        <v>365</v>
      </c>
      <c r="G17" s="411">
        <v>15</v>
      </c>
      <c r="H17" s="448">
        <v>3</v>
      </c>
      <c r="I17" s="448"/>
      <c r="J17" s="413">
        <v>19</v>
      </c>
      <c r="K17" s="409">
        <f t="shared" si="0"/>
        <v>78.94736842105263</v>
      </c>
      <c r="L17" s="409">
        <f t="shared" si="1"/>
        <v>15.789473684210526</v>
      </c>
      <c r="M17" s="409">
        <f t="shared" si="2"/>
        <v>0</v>
      </c>
      <c r="N17" s="412">
        <f t="shared" si="3"/>
        <v>94.73684210526315</v>
      </c>
      <c r="O17" s="408">
        <v>45</v>
      </c>
      <c r="P17" s="409">
        <v>7.5</v>
      </c>
      <c r="Q17" s="409"/>
      <c r="R17" s="410">
        <f t="shared" si="4"/>
        <v>52.5</v>
      </c>
      <c r="S17" s="73">
        <v>2</v>
      </c>
      <c r="T17" s="839"/>
      <c r="U17" s="852"/>
      <c r="V17" s="82" t="s">
        <v>1077</v>
      </c>
      <c r="W17" s="195" t="s">
        <v>74</v>
      </c>
      <c r="X17" s="195" t="s">
        <v>11</v>
      </c>
      <c r="Y17" s="83">
        <v>38</v>
      </c>
      <c r="Z17" s="82" t="s">
        <v>1076</v>
      </c>
      <c r="AA17" s="195" t="s">
        <v>17</v>
      </c>
      <c r="AB17" s="195" t="s">
        <v>18</v>
      </c>
      <c r="AC17" s="195">
        <v>7.5</v>
      </c>
      <c r="AD17" s="82" t="s">
        <v>1078</v>
      </c>
      <c r="AE17" s="195" t="s">
        <v>88</v>
      </c>
      <c r="AF17" s="195" t="s">
        <v>11</v>
      </c>
      <c r="AG17" s="83">
        <v>7</v>
      </c>
      <c r="AL17" s="82"/>
      <c r="AO17" s="83"/>
      <c r="AP17" s="82"/>
      <c r="AS17" s="83"/>
      <c r="AW17" s="83"/>
      <c r="BA17" s="84"/>
    </row>
    <row r="18" spans="1:53" s="73" customFormat="1">
      <c r="A18" s="73">
        <v>1996</v>
      </c>
      <c r="B18" s="852"/>
      <c r="C18" s="917" t="s">
        <v>1060</v>
      </c>
      <c r="D18" s="917"/>
      <c r="E18" s="73">
        <v>206</v>
      </c>
      <c r="G18" s="411">
        <v>15</v>
      </c>
      <c r="H18" s="448">
        <v>3</v>
      </c>
      <c r="I18" s="448"/>
      <c r="J18" s="413">
        <v>19</v>
      </c>
      <c r="K18" s="409">
        <f t="shared" si="0"/>
        <v>78.94736842105263</v>
      </c>
      <c r="L18" s="409">
        <f t="shared" si="1"/>
        <v>15.789473684210526</v>
      </c>
      <c r="M18" s="409">
        <f t="shared" si="2"/>
        <v>0</v>
      </c>
      <c r="N18" s="412">
        <f t="shared" si="3"/>
        <v>94.73684210526315</v>
      </c>
      <c r="O18" s="408">
        <v>45</v>
      </c>
      <c r="P18" s="409">
        <v>7.5</v>
      </c>
      <c r="Q18" s="409"/>
      <c r="R18" s="410">
        <f t="shared" si="4"/>
        <v>52.5</v>
      </c>
      <c r="S18" s="73">
        <v>2</v>
      </c>
      <c r="T18" s="839"/>
      <c r="U18" s="852"/>
      <c r="V18" s="82" t="s">
        <v>1077</v>
      </c>
      <c r="W18" s="195" t="s">
        <v>74</v>
      </c>
      <c r="X18" s="195" t="s">
        <v>11</v>
      </c>
      <c r="Y18" s="83">
        <v>38</v>
      </c>
      <c r="Z18" s="195" t="s">
        <v>1076</v>
      </c>
      <c r="AA18" s="195" t="s">
        <v>17</v>
      </c>
      <c r="AB18" s="195" t="s">
        <v>18</v>
      </c>
      <c r="AC18" s="195">
        <v>7.5</v>
      </c>
      <c r="AD18" s="82" t="s">
        <v>1078</v>
      </c>
      <c r="AE18" s="195" t="s">
        <v>88</v>
      </c>
      <c r="AF18" s="195" t="s">
        <v>11</v>
      </c>
      <c r="AG18" s="83">
        <v>7</v>
      </c>
      <c r="AL18" s="82"/>
      <c r="AO18" s="83"/>
      <c r="AP18" s="82"/>
      <c r="AS18" s="83"/>
      <c r="AW18" s="83"/>
      <c r="BA18" s="84"/>
    </row>
    <row r="19" spans="1:53" s="292" customFormat="1">
      <c r="A19" s="292">
        <v>1996</v>
      </c>
      <c r="B19" s="836">
        <v>35271</v>
      </c>
      <c r="C19" s="916" t="s">
        <v>1061</v>
      </c>
      <c r="D19" s="916"/>
      <c r="E19" s="292">
        <v>160</v>
      </c>
      <c r="F19" s="292">
        <v>1</v>
      </c>
      <c r="G19" s="425">
        <v>12</v>
      </c>
      <c r="H19" s="449">
        <v>4</v>
      </c>
      <c r="I19" s="449"/>
      <c r="J19" s="427">
        <v>16</v>
      </c>
      <c r="K19" s="423">
        <f t="shared" si="0"/>
        <v>75</v>
      </c>
      <c r="L19" s="423">
        <f t="shared" si="1"/>
        <v>25</v>
      </c>
      <c r="M19" s="423">
        <f t="shared" si="2"/>
        <v>0</v>
      </c>
      <c r="N19" s="426">
        <f t="shared" si="3"/>
        <v>100</v>
      </c>
      <c r="O19" s="422">
        <v>40.5</v>
      </c>
      <c r="P19" s="423">
        <v>9</v>
      </c>
      <c r="Q19" s="423"/>
      <c r="R19" s="424">
        <f t="shared" si="4"/>
        <v>49.5</v>
      </c>
      <c r="S19" s="292">
        <v>5</v>
      </c>
      <c r="T19" s="838">
        <v>35217</v>
      </c>
      <c r="U19" s="836">
        <v>35271</v>
      </c>
      <c r="V19" s="299" t="s">
        <v>1077</v>
      </c>
      <c r="W19" s="292" t="s">
        <v>74</v>
      </c>
      <c r="X19" s="292" t="s">
        <v>11</v>
      </c>
      <c r="Y19" s="300">
        <v>34</v>
      </c>
      <c r="Z19" s="299" t="s">
        <v>1076</v>
      </c>
      <c r="AA19" s="292" t="s">
        <v>17</v>
      </c>
      <c r="AB19" s="292" t="s">
        <v>18</v>
      </c>
      <c r="AC19" s="292">
        <v>9</v>
      </c>
      <c r="AD19" s="299" t="s">
        <v>1078</v>
      </c>
      <c r="AE19" s="292" t="s">
        <v>88</v>
      </c>
      <c r="AF19" s="292" t="s">
        <v>11</v>
      </c>
      <c r="AG19" s="300">
        <v>6.5</v>
      </c>
      <c r="AL19" s="299"/>
      <c r="AO19" s="300"/>
      <c r="AP19" s="299"/>
      <c r="AS19" s="300"/>
      <c r="AW19" s="300"/>
      <c r="BA19" s="301"/>
    </row>
    <row r="20" spans="1:53" s="292" customFormat="1">
      <c r="A20" s="292">
        <v>1997</v>
      </c>
      <c r="B20" s="836"/>
      <c r="C20" s="916" t="s">
        <v>1061</v>
      </c>
      <c r="D20" s="916"/>
      <c r="E20" s="292">
        <v>311</v>
      </c>
      <c r="G20" s="425">
        <v>12</v>
      </c>
      <c r="H20" s="449">
        <v>4</v>
      </c>
      <c r="I20" s="449"/>
      <c r="J20" s="427">
        <v>16</v>
      </c>
      <c r="K20" s="423">
        <f t="shared" si="0"/>
        <v>75</v>
      </c>
      <c r="L20" s="423">
        <f t="shared" si="1"/>
        <v>25</v>
      </c>
      <c r="M20" s="423">
        <f t="shared" si="2"/>
        <v>0</v>
      </c>
      <c r="N20" s="426">
        <f t="shared" si="3"/>
        <v>100</v>
      </c>
      <c r="O20" s="422">
        <v>40.5</v>
      </c>
      <c r="P20" s="423">
        <v>9</v>
      </c>
      <c r="Q20" s="423"/>
      <c r="R20" s="424">
        <f t="shared" si="4"/>
        <v>49.5</v>
      </c>
      <c r="S20" s="292">
        <v>5</v>
      </c>
      <c r="T20" s="838"/>
      <c r="U20" s="836"/>
      <c r="V20" s="299" t="s">
        <v>1077</v>
      </c>
      <c r="W20" s="292" t="s">
        <v>74</v>
      </c>
      <c r="X20" s="292" t="s">
        <v>11</v>
      </c>
      <c r="Y20" s="300">
        <v>34</v>
      </c>
      <c r="Z20" s="292" t="s">
        <v>1076</v>
      </c>
      <c r="AA20" s="292" t="s">
        <v>17</v>
      </c>
      <c r="AB20" s="292" t="s">
        <v>18</v>
      </c>
      <c r="AC20" s="292">
        <v>9</v>
      </c>
      <c r="AD20" s="299" t="s">
        <v>1078</v>
      </c>
      <c r="AE20" s="292" t="s">
        <v>88</v>
      </c>
      <c r="AF20" s="292" t="s">
        <v>11</v>
      </c>
      <c r="AG20" s="300">
        <v>6.5</v>
      </c>
      <c r="AL20" s="299"/>
      <c r="AO20" s="300"/>
      <c r="AP20" s="299"/>
      <c r="AS20" s="300"/>
      <c r="AW20" s="300"/>
      <c r="BA20" s="301"/>
    </row>
    <row r="21" spans="1:53" s="292" customFormat="1">
      <c r="A21" s="292">
        <v>1997</v>
      </c>
      <c r="B21" s="865">
        <v>35742</v>
      </c>
      <c r="C21" s="916" t="s">
        <v>1061</v>
      </c>
      <c r="D21" s="916"/>
      <c r="E21" s="292">
        <v>54</v>
      </c>
      <c r="F21" s="381">
        <v>0</v>
      </c>
      <c r="G21" s="425">
        <v>11</v>
      </c>
      <c r="H21" s="449">
        <v>4</v>
      </c>
      <c r="I21" s="449"/>
      <c r="J21" s="427">
        <v>16</v>
      </c>
      <c r="K21" s="423">
        <f t="shared" si="0"/>
        <v>68.75</v>
      </c>
      <c r="L21" s="423">
        <f t="shared" si="1"/>
        <v>25</v>
      </c>
      <c r="M21" s="423">
        <f t="shared" si="2"/>
        <v>0</v>
      </c>
      <c r="N21" s="426">
        <f t="shared" si="3"/>
        <v>93.75</v>
      </c>
      <c r="O21" s="422">
        <v>40.5</v>
      </c>
      <c r="P21" s="423">
        <v>9</v>
      </c>
      <c r="Q21" s="423"/>
      <c r="R21" s="424">
        <f t="shared" si="4"/>
        <v>49.5</v>
      </c>
      <c r="S21" s="292">
        <v>5</v>
      </c>
      <c r="T21" s="838"/>
      <c r="U21" s="836"/>
      <c r="V21" s="299" t="s">
        <v>1077</v>
      </c>
      <c r="W21" s="292" t="s">
        <v>74</v>
      </c>
      <c r="X21" s="292" t="s">
        <v>11</v>
      </c>
      <c r="Y21" s="300">
        <v>34</v>
      </c>
      <c r="Z21" s="299" t="s">
        <v>1076</v>
      </c>
      <c r="AA21" s="292" t="s">
        <v>17</v>
      </c>
      <c r="AB21" s="292" t="s">
        <v>18</v>
      </c>
      <c r="AC21" s="292">
        <v>9</v>
      </c>
      <c r="AD21" s="299" t="s">
        <v>1078</v>
      </c>
      <c r="AE21" s="292" t="s">
        <v>88</v>
      </c>
      <c r="AF21" s="292" t="s">
        <v>11</v>
      </c>
      <c r="AG21" s="300">
        <v>6.5</v>
      </c>
      <c r="AL21" s="299"/>
      <c r="AO21" s="300"/>
      <c r="AP21" s="299"/>
      <c r="AS21" s="300"/>
      <c r="AW21" s="300"/>
      <c r="BA21" s="301"/>
    </row>
    <row r="22" spans="1:53" s="292" customFormat="1">
      <c r="A22" s="292">
        <v>1998</v>
      </c>
      <c r="B22" s="836"/>
      <c r="C22" s="916" t="s">
        <v>1061</v>
      </c>
      <c r="D22" s="916"/>
      <c r="E22" s="292">
        <v>27</v>
      </c>
      <c r="G22" s="425">
        <v>11</v>
      </c>
      <c r="H22" s="449">
        <v>4</v>
      </c>
      <c r="I22" s="449"/>
      <c r="J22" s="427">
        <v>16</v>
      </c>
      <c r="K22" s="423">
        <f t="shared" si="0"/>
        <v>68.75</v>
      </c>
      <c r="L22" s="423">
        <f t="shared" si="1"/>
        <v>25</v>
      </c>
      <c r="M22" s="423">
        <f t="shared" si="2"/>
        <v>0</v>
      </c>
      <c r="N22" s="426">
        <f t="shared" si="3"/>
        <v>93.75</v>
      </c>
      <c r="O22" s="422">
        <v>40.5</v>
      </c>
      <c r="P22" s="423">
        <v>9</v>
      </c>
      <c r="Q22" s="423"/>
      <c r="R22" s="424">
        <f t="shared" si="4"/>
        <v>49.5</v>
      </c>
      <c r="S22" s="292">
        <v>5</v>
      </c>
      <c r="T22" s="838"/>
      <c r="U22" s="836"/>
      <c r="V22" s="299" t="s">
        <v>1077</v>
      </c>
      <c r="W22" s="292" t="s">
        <v>74</v>
      </c>
      <c r="X22" s="292" t="s">
        <v>11</v>
      </c>
      <c r="Y22" s="300">
        <v>34</v>
      </c>
      <c r="Z22" s="292" t="s">
        <v>1076</v>
      </c>
      <c r="AA22" s="292" t="s">
        <v>17</v>
      </c>
      <c r="AB22" s="292" t="s">
        <v>18</v>
      </c>
      <c r="AC22" s="292">
        <v>9</v>
      </c>
      <c r="AD22" s="299" t="s">
        <v>1078</v>
      </c>
      <c r="AE22" s="292" t="s">
        <v>88</v>
      </c>
      <c r="AF22" s="292" t="s">
        <v>11</v>
      </c>
      <c r="AG22" s="300">
        <v>6.5</v>
      </c>
      <c r="AL22" s="299"/>
      <c r="AO22" s="300"/>
      <c r="AP22" s="299"/>
      <c r="AS22" s="300"/>
      <c r="AW22" s="300"/>
      <c r="BA22" s="301"/>
    </row>
    <row r="23" spans="1:53" s="73" customFormat="1">
      <c r="A23" s="73">
        <v>1998</v>
      </c>
      <c r="B23" s="852">
        <v>35823</v>
      </c>
      <c r="C23" s="917" t="s">
        <v>1062</v>
      </c>
      <c r="D23" s="917"/>
      <c r="E23" s="73">
        <v>203</v>
      </c>
      <c r="F23" s="73">
        <v>2</v>
      </c>
      <c r="G23" s="411">
        <v>7</v>
      </c>
      <c r="H23" s="448">
        <v>3</v>
      </c>
      <c r="I23" s="448"/>
      <c r="J23" s="413">
        <v>17</v>
      </c>
      <c r="K23" s="409">
        <f t="shared" si="0"/>
        <v>41.17647058823529</v>
      </c>
      <c r="L23" s="409">
        <f t="shared" si="1"/>
        <v>17.647058823529413</v>
      </c>
      <c r="M23" s="409">
        <f t="shared" si="2"/>
        <v>0</v>
      </c>
      <c r="N23" s="412">
        <f t="shared" si="3"/>
        <v>58.823529411764703</v>
      </c>
      <c r="O23" s="408">
        <v>40.5</v>
      </c>
      <c r="P23" s="409">
        <v>9</v>
      </c>
      <c r="Q23" s="409"/>
      <c r="R23" s="410">
        <f>SUM(O23:Q23)</f>
        <v>49.5</v>
      </c>
      <c r="S23" s="73">
        <v>6</v>
      </c>
      <c r="T23" s="839"/>
      <c r="U23" s="852">
        <v>35823</v>
      </c>
      <c r="V23" s="82" t="s">
        <v>1077</v>
      </c>
      <c r="W23" s="195" t="s">
        <v>74</v>
      </c>
      <c r="X23" s="195" t="s">
        <v>11</v>
      </c>
      <c r="Y23" s="83">
        <v>34</v>
      </c>
      <c r="Z23" s="82" t="s">
        <v>1076</v>
      </c>
      <c r="AA23" s="195" t="s">
        <v>17</v>
      </c>
      <c r="AB23" s="195" t="s">
        <v>18</v>
      </c>
      <c r="AC23" s="195">
        <v>9</v>
      </c>
      <c r="AD23" s="82" t="s">
        <v>1078</v>
      </c>
      <c r="AE23" s="195" t="s">
        <v>88</v>
      </c>
      <c r="AF23" s="195" t="s">
        <v>11</v>
      </c>
      <c r="AG23" s="83">
        <v>6.5</v>
      </c>
      <c r="AL23" s="82"/>
      <c r="AO23" s="83"/>
      <c r="AP23" s="82"/>
      <c r="AS23" s="83"/>
      <c r="AW23" s="83"/>
      <c r="BA23" s="84"/>
    </row>
    <row r="24" spans="1:53" s="292" customFormat="1">
      <c r="A24" s="292">
        <v>1998</v>
      </c>
      <c r="B24" s="836">
        <v>36026</v>
      </c>
      <c r="C24" s="916" t="s">
        <v>1063</v>
      </c>
      <c r="D24" s="916"/>
      <c r="E24" s="292">
        <v>135</v>
      </c>
      <c r="F24" s="292">
        <v>1</v>
      </c>
      <c r="G24" s="425"/>
      <c r="H24" s="449"/>
      <c r="I24" s="449">
        <v>18</v>
      </c>
      <c r="J24" s="427">
        <v>19</v>
      </c>
      <c r="K24" s="423">
        <f t="shared" si="0"/>
        <v>0</v>
      </c>
      <c r="L24" s="423">
        <f t="shared" si="1"/>
        <v>0</v>
      </c>
      <c r="M24" s="423">
        <f t="shared" si="2"/>
        <v>94.73684210526315</v>
      </c>
      <c r="N24" s="426">
        <f t="shared" si="3"/>
        <v>94.73684210526315</v>
      </c>
      <c r="O24" s="422"/>
      <c r="P24" s="423"/>
      <c r="Q24" s="423">
        <v>37</v>
      </c>
      <c r="R24" s="424">
        <f t="shared" si="4"/>
        <v>37</v>
      </c>
      <c r="S24" s="292">
        <v>4</v>
      </c>
      <c r="T24" s="838">
        <v>35966</v>
      </c>
      <c r="U24" s="836">
        <v>36026</v>
      </c>
      <c r="V24" s="299" t="s">
        <v>1079</v>
      </c>
      <c r="W24" s="292" t="s">
        <v>20</v>
      </c>
      <c r="X24" s="292" t="s">
        <v>12</v>
      </c>
      <c r="Y24" s="300">
        <v>37</v>
      </c>
      <c r="AD24" s="299"/>
      <c r="AG24" s="300"/>
      <c r="AL24" s="299"/>
      <c r="AO24" s="300"/>
      <c r="AP24" s="299"/>
      <c r="AS24" s="300"/>
      <c r="AW24" s="300"/>
      <c r="BA24" s="301"/>
    </row>
    <row r="25" spans="1:53" s="292" customFormat="1">
      <c r="A25" s="292">
        <v>1999</v>
      </c>
      <c r="B25" s="836"/>
      <c r="C25" s="916" t="s">
        <v>1063</v>
      </c>
      <c r="D25" s="916"/>
      <c r="E25" s="292">
        <v>200</v>
      </c>
      <c r="G25" s="425"/>
      <c r="H25" s="449"/>
      <c r="I25" s="449">
        <v>18</v>
      </c>
      <c r="J25" s="427">
        <v>19</v>
      </c>
      <c r="K25" s="423">
        <f t="shared" si="0"/>
        <v>0</v>
      </c>
      <c r="L25" s="423">
        <f t="shared" si="1"/>
        <v>0</v>
      </c>
      <c r="M25" s="423">
        <f t="shared" si="2"/>
        <v>94.73684210526315</v>
      </c>
      <c r="N25" s="426">
        <f t="shared" si="3"/>
        <v>94.73684210526315</v>
      </c>
      <c r="O25" s="422"/>
      <c r="P25" s="423"/>
      <c r="Q25" s="423">
        <v>37</v>
      </c>
      <c r="R25" s="424">
        <f t="shared" si="4"/>
        <v>37</v>
      </c>
      <c r="S25" s="292">
        <v>4</v>
      </c>
      <c r="T25" s="838"/>
      <c r="U25" s="836"/>
      <c r="V25" s="299" t="s">
        <v>1079</v>
      </c>
      <c r="W25" s="292" t="s">
        <v>20</v>
      </c>
      <c r="X25" s="292" t="s">
        <v>12</v>
      </c>
      <c r="Y25" s="300">
        <v>37</v>
      </c>
      <c r="AD25" s="299"/>
      <c r="AG25" s="300"/>
      <c r="AL25" s="299"/>
      <c r="AO25" s="300"/>
      <c r="AP25" s="299"/>
      <c r="AS25" s="300"/>
      <c r="AW25" s="300"/>
      <c r="BA25" s="301"/>
    </row>
    <row r="26" spans="1:53" s="292" customFormat="1">
      <c r="A26" s="292">
        <v>1999</v>
      </c>
      <c r="B26" s="865">
        <v>36361</v>
      </c>
      <c r="C26" s="916" t="s">
        <v>1063</v>
      </c>
      <c r="D26" s="916"/>
      <c r="E26" s="292">
        <v>132</v>
      </c>
      <c r="F26" s="381">
        <v>0</v>
      </c>
      <c r="G26" s="425"/>
      <c r="H26" s="449"/>
      <c r="I26" s="449">
        <v>17</v>
      </c>
      <c r="J26" s="427">
        <v>18</v>
      </c>
      <c r="K26" s="423">
        <f>G26/J26*100</f>
        <v>0</v>
      </c>
      <c r="L26" s="423">
        <f>H26/J26*100</f>
        <v>0</v>
      </c>
      <c r="M26" s="423">
        <f>I26/J26*100</f>
        <v>94.444444444444443</v>
      </c>
      <c r="N26" s="426">
        <f>SUM(K26:M26)</f>
        <v>94.444444444444443</v>
      </c>
      <c r="O26" s="422"/>
      <c r="P26" s="423"/>
      <c r="Q26" s="423">
        <v>37</v>
      </c>
      <c r="R26" s="424">
        <f>SUM(O26:Q26)</f>
        <v>37</v>
      </c>
      <c r="S26" s="292">
        <v>4</v>
      </c>
      <c r="T26" s="838"/>
      <c r="U26" s="836"/>
      <c r="V26" s="299" t="s">
        <v>1079</v>
      </c>
      <c r="W26" s="292" t="s">
        <v>20</v>
      </c>
      <c r="X26" s="292" t="s">
        <v>12</v>
      </c>
      <c r="Y26" s="300">
        <v>37</v>
      </c>
      <c r="AD26" s="299"/>
      <c r="AG26" s="300"/>
      <c r="AL26" s="299"/>
      <c r="AO26" s="300"/>
      <c r="AP26" s="299"/>
      <c r="AS26" s="300"/>
      <c r="AW26" s="300"/>
      <c r="BA26" s="301"/>
    </row>
    <row r="27" spans="1:53" s="292" customFormat="1">
      <c r="A27" s="292">
        <v>1999</v>
      </c>
      <c r="B27" s="865">
        <v>36493</v>
      </c>
      <c r="C27" s="916" t="s">
        <v>1063</v>
      </c>
      <c r="D27" s="916"/>
      <c r="E27" s="292">
        <v>33</v>
      </c>
      <c r="F27" s="381">
        <v>0</v>
      </c>
      <c r="G27" s="425"/>
      <c r="H27" s="449"/>
      <c r="I27" s="449">
        <v>16</v>
      </c>
      <c r="J27" s="427">
        <v>17</v>
      </c>
      <c r="K27" s="423">
        <f t="shared" si="0"/>
        <v>0</v>
      </c>
      <c r="L27" s="423">
        <f t="shared" si="1"/>
        <v>0</v>
      </c>
      <c r="M27" s="423">
        <f t="shared" si="2"/>
        <v>94.117647058823522</v>
      </c>
      <c r="N27" s="426">
        <f t="shared" si="3"/>
        <v>94.117647058823522</v>
      </c>
      <c r="O27" s="422"/>
      <c r="P27" s="423"/>
      <c r="Q27" s="423">
        <v>37</v>
      </c>
      <c r="R27" s="424">
        <f t="shared" si="4"/>
        <v>37</v>
      </c>
      <c r="S27" s="292">
        <v>4</v>
      </c>
      <c r="T27" s="838"/>
      <c r="U27" s="836"/>
      <c r="V27" s="299" t="s">
        <v>1079</v>
      </c>
      <c r="W27" s="292" t="s">
        <v>20</v>
      </c>
      <c r="X27" s="292" t="s">
        <v>12</v>
      </c>
      <c r="Y27" s="300">
        <v>37</v>
      </c>
      <c r="AD27" s="299"/>
      <c r="AG27" s="300"/>
      <c r="AL27" s="299"/>
      <c r="AO27" s="300"/>
      <c r="AP27" s="299"/>
      <c r="AS27" s="300"/>
      <c r="AW27" s="300"/>
      <c r="BA27" s="301"/>
    </row>
    <row r="28" spans="1:53" s="292" customFormat="1">
      <c r="A28" s="292">
        <v>2000</v>
      </c>
      <c r="B28" s="836"/>
      <c r="C28" s="916" t="s">
        <v>1063</v>
      </c>
      <c r="D28" s="916"/>
      <c r="E28" s="292">
        <v>0</v>
      </c>
      <c r="G28" s="425"/>
      <c r="H28" s="449"/>
      <c r="I28" s="449">
        <v>16</v>
      </c>
      <c r="J28" s="427">
        <v>17</v>
      </c>
      <c r="K28" s="423">
        <f t="shared" si="0"/>
        <v>0</v>
      </c>
      <c r="L28" s="423">
        <f t="shared" si="1"/>
        <v>0</v>
      </c>
      <c r="M28" s="423">
        <f t="shared" si="2"/>
        <v>94.117647058823522</v>
      </c>
      <c r="N28" s="426">
        <f t="shared" si="3"/>
        <v>94.117647058823522</v>
      </c>
      <c r="O28" s="422"/>
      <c r="P28" s="423"/>
      <c r="Q28" s="423">
        <v>37</v>
      </c>
      <c r="R28" s="424">
        <f t="shared" si="4"/>
        <v>37</v>
      </c>
      <c r="S28" s="292">
        <v>4</v>
      </c>
      <c r="T28" s="838"/>
      <c r="U28" s="836"/>
      <c r="V28" s="299" t="s">
        <v>1079</v>
      </c>
      <c r="W28" s="292" t="s">
        <v>20</v>
      </c>
      <c r="X28" s="292" t="s">
        <v>12</v>
      </c>
      <c r="Y28" s="300">
        <v>37</v>
      </c>
      <c r="AD28" s="299"/>
      <c r="AG28" s="300"/>
      <c r="AL28" s="299"/>
      <c r="AO28" s="300"/>
      <c r="AP28" s="299"/>
      <c r="AS28" s="300"/>
      <c r="AW28" s="300"/>
      <c r="BA28" s="301"/>
    </row>
    <row r="29" spans="1:53" s="292" customFormat="1">
      <c r="A29" s="292">
        <v>2000</v>
      </c>
      <c r="B29" s="836"/>
      <c r="C29" s="916" t="s">
        <v>1063</v>
      </c>
      <c r="D29" s="916"/>
      <c r="E29" s="292">
        <v>366</v>
      </c>
      <c r="G29" s="425"/>
      <c r="H29" s="449"/>
      <c r="I29" s="449">
        <v>16</v>
      </c>
      <c r="J29" s="427">
        <v>17</v>
      </c>
      <c r="K29" s="423">
        <f t="shared" si="0"/>
        <v>0</v>
      </c>
      <c r="L29" s="423">
        <f t="shared" si="1"/>
        <v>0</v>
      </c>
      <c r="M29" s="423">
        <f t="shared" si="2"/>
        <v>94.117647058823522</v>
      </c>
      <c r="N29" s="426">
        <f t="shared" si="3"/>
        <v>94.117647058823522</v>
      </c>
      <c r="O29" s="422"/>
      <c r="P29" s="423"/>
      <c r="Q29" s="423">
        <v>37</v>
      </c>
      <c r="R29" s="424">
        <f t="shared" si="4"/>
        <v>37</v>
      </c>
      <c r="S29" s="292">
        <v>4</v>
      </c>
      <c r="T29" s="838"/>
      <c r="U29" s="836"/>
      <c r="V29" s="299" t="s">
        <v>1079</v>
      </c>
      <c r="W29" s="292" t="s">
        <v>20</v>
      </c>
      <c r="X29" s="292" t="s">
        <v>12</v>
      </c>
      <c r="Y29" s="300">
        <v>37</v>
      </c>
      <c r="AD29" s="299"/>
      <c r="AG29" s="300"/>
      <c r="AL29" s="299"/>
      <c r="AO29" s="300"/>
      <c r="AP29" s="299"/>
      <c r="AS29" s="300"/>
      <c r="AW29" s="300"/>
      <c r="BA29" s="301"/>
    </row>
    <row r="30" spans="1:53" s="292" customFormat="1">
      <c r="A30" s="292">
        <v>2001</v>
      </c>
      <c r="B30" s="836"/>
      <c r="C30" s="916" t="s">
        <v>1063</v>
      </c>
      <c r="D30" s="916"/>
      <c r="E30" s="292">
        <v>0</v>
      </c>
      <c r="G30" s="425"/>
      <c r="H30" s="449"/>
      <c r="I30" s="449">
        <v>16</v>
      </c>
      <c r="J30" s="427">
        <v>17</v>
      </c>
      <c r="K30" s="423">
        <f t="shared" si="0"/>
        <v>0</v>
      </c>
      <c r="L30" s="423">
        <f t="shared" si="1"/>
        <v>0</v>
      </c>
      <c r="M30" s="423">
        <f t="shared" si="2"/>
        <v>94.117647058823522</v>
      </c>
      <c r="N30" s="426">
        <f t="shared" si="3"/>
        <v>94.117647058823522</v>
      </c>
      <c r="O30" s="422"/>
      <c r="P30" s="423"/>
      <c r="Q30" s="423">
        <v>37</v>
      </c>
      <c r="R30" s="424">
        <f t="shared" si="4"/>
        <v>37</v>
      </c>
      <c r="S30" s="292">
        <v>4</v>
      </c>
      <c r="T30" s="838"/>
      <c r="U30" s="836"/>
      <c r="V30" s="299" t="s">
        <v>1079</v>
      </c>
      <c r="W30" s="292" t="s">
        <v>20</v>
      </c>
      <c r="X30" s="292" t="s">
        <v>12</v>
      </c>
      <c r="Y30" s="300">
        <v>37</v>
      </c>
      <c r="AD30" s="299"/>
      <c r="AG30" s="300"/>
      <c r="AL30" s="299"/>
      <c r="AO30" s="300"/>
      <c r="AP30" s="299"/>
      <c r="AS30" s="300"/>
      <c r="AW30" s="300"/>
      <c r="BA30" s="301"/>
    </row>
    <row r="31" spans="1:53" s="292" customFormat="1">
      <c r="A31" s="292">
        <v>2001</v>
      </c>
      <c r="B31" s="836"/>
      <c r="C31" s="916" t="s">
        <v>1063</v>
      </c>
      <c r="D31" s="916"/>
      <c r="E31" s="292">
        <v>365</v>
      </c>
      <c r="G31" s="425"/>
      <c r="H31" s="449"/>
      <c r="I31" s="449">
        <v>16</v>
      </c>
      <c r="J31" s="427">
        <v>17</v>
      </c>
      <c r="K31" s="423">
        <f t="shared" si="0"/>
        <v>0</v>
      </c>
      <c r="L31" s="423">
        <f t="shared" si="1"/>
        <v>0</v>
      </c>
      <c r="M31" s="423">
        <f t="shared" si="2"/>
        <v>94.117647058823522</v>
      </c>
      <c r="N31" s="426">
        <f t="shared" si="3"/>
        <v>94.117647058823522</v>
      </c>
      <c r="O31" s="422"/>
      <c r="P31" s="423"/>
      <c r="Q31" s="423">
        <v>37</v>
      </c>
      <c r="R31" s="424">
        <f t="shared" si="4"/>
        <v>37</v>
      </c>
      <c r="S31" s="292">
        <v>4</v>
      </c>
      <c r="T31" s="838"/>
      <c r="U31" s="836"/>
      <c r="V31" s="299" t="s">
        <v>1079</v>
      </c>
      <c r="W31" s="292" t="s">
        <v>20</v>
      </c>
      <c r="X31" s="292" t="s">
        <v>12</v>
      </c>
      <c r="Y31" s="300">
        <v>37</v>
      </c>
      <c r="AD31" s="299"/>
      <c r="AG31" s="300"/>
      <c r="AL31" s="299"/>
      <c r="AO31" s="300"/>
      <c r="AP31" s="299"/>
      <c r="AS31" s="300"/>
      <c r="AW31" s="300"/>
      <c r="BA31" s="301"/>
    </row>
    <row r="32" spans="1:53" s="292" customFormat="1">
      <c r="A32" s="292">
        <v>2002</v>
      </c>
      <c r="B32" s="863"/>
      <c r="C32" s="916" t="s">
        <v>1063</v>
      </c>
      <c r="D32" s="916"/>
      <c r="E32" s="292">
        <v>195</v>
      </c>
      <c r="G32" s="425"/>
      <c r="H32" s="449"/>
      <c r="I32" s="449">
        <v>16</v>
      </c>
      <c r="J32" s="427">
        <v>17</v>
      </c>
      <c r="K32" s="423">
        <f t="shared" si="0"/>
        <v>0</v>
      </c>
      <c r="L32" s="423">
        <f t="shared" si="1"/>
        <v>0</v>
      </c>
      <c r="M32" s="423">
        <f t="shared" si="2"/>
        <v>94.117647058823522</v>
      </c>
      <c r="N32" s="426">
        <f t="shared" si="3"/>
        <v>94.117647058823522</v>
      </c>
      <c r="O32" s="422"/>
      <c r="P32" s="423"/>
      <c r="Q32" s="423">
        <v>37</v>
      </c>
      <c r="R32" s="424">
        <f t="shared" si="4"/>
        <v>37</v>
      </c>
      <c r="S32" s="292">
        <v>4</v>
      </c>
      <c r="T32" s="838"/>
      <c r="U32" s="836"/>
      <c r="V32" s="299" t="s">
        <v>1079</v>
      </c>
      <c r="W32" s="292" t="s">
        <v>20</v>
      </c>
      <c r="X32" s="292" t="s">
        <v>12</v>
      </c>
      <c r="Y32" s="300">
        <v>37</v>
      </c>
      <c r="AD32" s="299"/>
      <c r="AG32" s="300"/>
      <c r="AL32" s="299"/>
      <c r="AO32" s="300"/>
      <c r="AP32" s="299"/>
      <c r="AS32" s="300"/>
      <c r="AW32" s="300"/>
      <c r="BA32" s="301"/>
    </row>
    <row r="33" spans="1:53" s="73" customFormat="1">
      <c r="A33" s="73">
        <v>2002</v>
      </c>
      <c r="B33" s="830">
        <v>37452</v>
      </c>
      <c r="C33" s="917" t="s">
        <v>1064</v>
      </c>
      <c r="D33" s="917"/>
      <c r="E33" s="73">
        <v>170</v>
      </c>
      <c r="F33" s="73">
        <v>1</v>
      </c>
      <c r="G33" s="411">
        <v>3</v>
      </c>
      <c r="H33" s="448">
        <v>3</v>
      </c>
      <c r="I33" s="448">
        <v>11</v>
      </c>
      <c r="J33" s="413">
        <v>17</v>
      </c>
      <c r="K33" s="409">
        <f t="shared" si="0"/>
        <v>17.647058823529413</v>
      </c>
      <c r="L33" s="409">
        <f t="shared" si="1"/>
        <v>17.647058823529413</v>
      </c>
      <c r="M33" s="409">
        <f t="shared" si="2"/>
        <v>64.705882352941174</v>
      </c>
      <c r="N33" s="412">
        <f t="shared" si="3"/>
        <v>100</v>
      </c>
      <c r="O33" s="408">
        <v>4.5</v>
      </c>
      <c r="P33" s="409">
        <v>11</v>
      </c>
      <c r="Q33" s="409">
        <v>35</v>
      </c>
      <c r="R33" s="410">
        <f t="shared" si="4"/>
        <v>50.5</v>
      </c>
      <c r="S33" s="73">
        <v>2</v>
      </c>
      <c r="T33" s="839">
        <v>37422</v>
      </c>
      <c r="U33" s="852">
        <v>37452</v>
      </c>
      <c r="V33" s="82" t="s">
        <v>1079</v>
      </c>
      <c r="W33" s="195" t="s">
        <v>20</v>
      </c>
      <c r="X33" s="195" t="s">
        <v>12</v>
      </c>
      <c r="Y33" s="83">
        <v>35</v>
      </c>
      <c r="Z33" s="195" t="s">
        <v>1076</v>
      </c>
      <c r="AA33" s="195" t="s">
        <v>17</v>
      </c>
      <c r="AB33" s="195" t="s">
        <v>18</v>
      </c>
      <c r="AC33" s="195">
        <v>11</v>
      </c>
      <c r="AD33" s="82" t="s">
        <v>1080</v>
      </c>
      <c r="AE33" s="195" t="s">
        <v>1081</v>
      </c>
      <c r="AF33" s="195" t="s">
        <v>11</v>
      </c>
      <c r="AG33" s="83">
        <v>4.5</v>
      </c>
      <c r="AL33" s="82"/>
      <c r="AO33" s="83"/>
      <c r="AP33" s="82"/>
      <c r="AS33" s="83"/>
      <c r="AW33" s="83"/>
      <c r="BA33" s="84"/>
    </row>
    <row r="34" spans="1:53" s="73" customFormat="1">
      <c r="A34" s="73">
        <v>2003</v>
      </c>
      <c r="B34" s="830"/>
      <c r="C34" s="917" t="s">
        <v>1064</v>
      </c>
      <c r="D34" s="917"/>
      <c r="E34" s="73">
        <v>159</v>
      </c>
      <c r="G34" s="411">
        <v>3</v>
      </c>
      <c r="H34" s="448">
        <v>3</v>
      </c>
      <c r="I34" s="448">
        <v>11</v>
      </c>
      <c r="J34" s="413">
        <v>17</v>
      </c>
      <c r="K34" s="409">
        <f t="shared" si="0"/>
        <v>17.647058823529413</v>
      </c>
      <c r="L34" s="409">
        <f t="shared" si="1"/>
        <v>17.647058823529413</v>
      </c>
      <c r="M34" s="409">
        <f t="shared" si="2"/>
        <v>64.705882352941174</v>
      </c>
      <c r="N34" s="412">
        <f t="shared" si="3"/>
        <v>100</v>
      </c>
      <c r="O34" s="408">
        <v>4.5</v>
      </c>
      <c r="P34" s="409">
        <v>11</v>
      </c>
      <c r="Q34" s="409">
        <v>35</v>
      </c>
      <c r="R34" s="410">
        <f t="shared" si="4"/>
        <v>50.5</v>
      </c>
      <c r="S34" s="73">
        <v>2</v>
      </c>
      <c r="T34" s="839"/>
      <c r="U34" s="852"/>
      <c r="V34" s="82" t="s">
        <v>1079</v>
      </c>
      <c r="W34" s="195" t="s">
        <v>20</v>
      </c>
      <c r="X34" s="195" t="s">
        <v>12</v>
      </c>
      <c r="Y34" s="83">
        <v>35</v>
      </c>
      <c r="Z34" s="195" t="s">
        <v>1076</v>
      </c>
      <c r="AA34" s="195" t="s">
        <v>17</v>
      </c>
      <c r="AB34" s="195" t="s">
        <v>18</v>
      </c>
      <c r="AC34" s="195">
        <v>11</v>
      </c>
      <c r="AD34" s="82" t="s">
        <v>1080</v>
      </c>
      <c r="AE34" s="195" t="s">
        <v>1081</v>
      </c>
      <c r="AF34" s="195" t="s">
        <v>11</v>
      </c>
      <c r="AG34" s="83">
        <v>4.5</v>
      </c>
      <c r="AL34" s="82"/>
      <c r="AO34" s="83"/>
      <c r="AP34" s="82"/>
      <c r="AS34" s="83"/>
      <c r="AW34" s="83"/>
      <c r="BA34" s="84"/>
    </row>
    <row r="35" spans="1:53" s="73" customFormat="1">
      <c r="A35" s="73">
        <v>2003</v>
      </c>
      <c r="B35" s="864">
        <v>37781</v>
      </c>
      <c r="C35" s="917" t="s">
        <v>1064</v>
      </c>
      <c r="D35" s="917"/>
      <c r="E35" s="73">
        <v>99</v>
      </c>
      <c r="F35" s="139">
        <v>0</v>
      </c>
      <c r="G35" s="411">
        <v>3</v>
      </c>
      <c r="H35" s="448">
        <v>3</v>
      </c>
      <c r="I35" s="448">
        <v>10</v>
      </c>
      <c r="J35" s="413">
        <v>17</v>
      </c>
      <c r="K35" s="409">
        <f>G35/J35*100</f>
        <v>17.647058823529413</v>
      </c>
      <c r="L35" s="409">
        <f>H35/J35*100</f>
        <v>17.647058823529413</v>
      </c>
      <c r="M35" s="409">
        <f>I35/J35*100</f>
        <v>58.82352941176471</v>
      </c>
      <c r="N35" s="412">
        <f>SUM(K35:M35)</f>
        <v>94.117647058823536</v>
      </c>
      <c r="O35" s="408">
        <v>4.5</v>
      </c>
      <c r="P35" s="409">
        <v>11</v>
      </c>
      <c r="Q35" s="409">
        <v>35</v>
      </c>
      <c r="R35" s="410">
        <f>SUM(O35:Q35)</f>
        <v>50.5</v>
      </c>
      <c r="S35" s="73">
        <v>2</v>
      </c>
      <c r="T35" s="839"/>
      <c r="U35" s="852"/>
      <c r="V35" s="82" t="s">
        <v>1079</v>
      </c>
      <c r="W35" s="195" t="s">
        <v>20</v>
      </c>
      <c r="X35" s="195" t="s">
        <v>12</v>
      </c>
      <c r="Y35" s="83">
        <v>35</v>
      </c>
      <c r="Z35" s="195" t="s">
        <v>1076</v>
      </c>
      <c r="AA35" s="195" t="s">
        <v>17</v>
      </c>
      <c r="AB35" s="195" t="s">
        <v>18</v>
      </c>
      <c r="AC35" s="195">
        <v>11</v>
      </c>
      <c r="AD35" s="82" t="s">
        <v>1080</v>
      </c>
      <c r="AE35" s="195" t="s">
        <v>1081</v>
      </c>
      <c r="AF35" s="195" t="s">
        <v>11</v>
      </c>
      <c r="AG35" s="83">
        <v>4.5</v>
      </c>
      <c r="AL35" s="82"/>
      <c r="AO35" s="83"/>
      <c r="AP35" s="82"/>
      <c r="AS35" s="83"/>
      <c r="AW35" s="83"/>
      <c r="BA35" s="84"/>
    </row>
    <row r="36" spans="1:53" s="73" customFormat="1">
      <c r="A36" s="73">
        <v>2003</v>
      </c>
      <c r="B36" s="864">
        <v>37880</v>
      </c>
      <c r="C36" s="917" t="s">
        <v>1064</v>
      </c>
      <c r="D36" s="917"/>
      <c r="E36" s="73">
        <v>107</v>
      </c>
      <c r="F36" s="139">
        <v>0</v>
      </c>
      <c r="G36" s="411">
        <v>3</v>
      </c>
      <c r="H36" s="448">
        <v>3</v>
      </c>
      <c r="I36" s="448">
        <v>9</v>
      </c>
      <c r="J36" s="413">
        <v>17</v>
      </c>
      <c r="K36" s="409">
        <f t="shared" si="0"/>
        <v>17.647058823529413</v>
      </c>
      <c r="L36" s="409">
        <f t="shared" si="1"/>
        <v>17.647058823529413</v>
      </c>
      <c r="M36" s="409">
        <f t="shared" si="2"/>
        <v>52.941176470588239</v>
      </c>
      <c r="N36" s="412">
        <f t="shared" si="3"/>
        <v>88.235294117647072</v>
      </c>
      <c r="O36" s="408">
        <v>4.5</v>
      </c>
      <c r="P36" s="409">
        <v>11</v>
      </c>
      <c r="Q36" s="409">
        <v>35</v>
      </c>
      <c r="R36" s="410">
        <f t="shared" si="4"/>
        <v>50.5</v>
      </c>
      <c r="S36" s="73">
        <v>2</v>
      </c>
      <c r="T36" s="839"/>
      <c r="U36" s="852"/>
      <c r="V36" s="82" t="s">
        <v>1079</v>
      </c>
      <c r="W36" s="195" t="s">
        <v>20</v>
      </c>
      <c r="X36" s="195" t="s">
        <v>12</v>
      </c>
      <c r="Y36" s="83">
        <v>35</v>
      </c>
      <c r="Z36" s="195" t="s">
        <v>1076</v>
      </c>
      <c r="AA36" s="195" t="s">
        <v>17</v>
      </c>
      <c r="AB36" s="195" t="s">
        <v>18</v>
      </c>
      <c r="AC36" s="195">
        <v>11</v>
      </c>
      <c r="AD36" s="82" t="s">
        <v>1080</v>
      </c>
      <c r="AE36" s="195" t="s">
        <v>1081</v>
      </c>
      <c r="AF36" s="195" t="s">
        <v>11</v>
      </c>
      <c r="AG36" s="83">
        <v>4.5</v>
      </c>
      <c r="AL36" s="82"/>
      <c r="AO36" s="83"/>
      <c r="AP36" s="82"/>
      <c r="AS36" s="83"/>
      <c r="AW36" s="83"/>
      <c r="BA36" s="84"/>
    </row>
    <row r="37" spans="1:53" s="73" customFormat="1">
      <c r="A37" s="73">
        <v>2004</v>
      </c>
      <c r="B37" s="830"/>
      <c r="C37" s="917" t="s">
        <v>1064</v>
      </c>
      <c r="D37" s="917"/>
      <c r="E37" s="73">
        <v>216</v>
      </c>
      <c r="G37" s="411">
        <v>3</v>
      </c>
      <c r="H37" s="448">
        <v>3</v>
      </c>
      <c r="I37" s="448">
        <v>9</v>
      </c>
      <c r="J37" s="413">
        <v>17</v>
      </c>
      <c r="K37" s="409">
        <f t="shared" si="0"/>
        <v>17.647058823529413</v>
      </c>
      <c r="L37" s="409">
        <f t="shared" si="1"/>
        <v>17.647058823529413</v>
      </c>
      <c r="M37" s="409">
        <f t="shared" si="2"/>
        <v>52.941176470588239</v>
      </c>
      <c r="N37" s="412">
        <f t="shared" si="3"/>
        <v>88.235294117647072</v>
      </c>
      <c r="O37" s="408">
        <v>4.5</v>
      </c>
      <c r="P37" s="409">
        <v>11</v>
      </c>
      <c r="Q37" s="409">
        <v>35</v>
      </c>
      <c r="R37" s="410">
        <f t="shared" si="4"/>
        <v>50.5</v>
      </c>
      <c r="S37" s="73">
        <v>2</v>
      </c>
      <c r="T37" s="839"/>
      <c r="U37" s="852"/>
      <c r="V37" s="82" t="s">
        <v>1079</v>
      </c>
      <c r="W37" s="195" t="s">
        <v>20</v>
      </c>
      <c r="X37" s="195" t="s">
        <v>12</v>
      </c>
      <c r="Y37" s="83">
        <v>35</v>
      </c>
      <c r="Z37" s="195" t="s">
        <v>1076</v>
      </c>
      <c r="AA37" s="195" t="s">
        <v>17</v>
      </c>
      <c r="AB37" s="195" t="s">
        <v>18</v>
      </c>
      <c r="AC37" s="195">
        <v>11</v>
      </c>
      <c r="AD37" s="82" t="s">
        <v>1080</v>
      </c>
      <c r="AE37" s="195" t="s">
        <v>1081</v>
      </c>
      <c r="AF37" s="195" t="s">
        <v>11</v>
      </c>
      <c r="AG37" s="83">
        <v>4.5</v>
      </c>
      <c r="AL37" s="82"/>
      <c r="AO37" s="83"/>
      <c r="AP37" s="82"/>
      <c r="AS37" s="83"/>
      <c r="AW37" s="83"/>
      <c r="BA37" s="84"/>
    </row>
    <row r="38" spans="1:53" s="292" customFormat="1">
      <c r="A38" s="292">
        <v>2004</v>
      </c>
      <c r="B38" s="863">
        <v>38203</v>
      </c>
      <c r="C38" s="916" t="s">
        <v>1065</v>
      </c>
      <c r="D38" s="916"/>
      <c r="E38" s="292">
        <v>150</v>
      </c>
      <c r="F38" s="292">
        <v>2</v>
      </c>
      <c r="G38" s="425">
        <v>3</v>
      </c>
      <c r="H38" s="449">
        <v>3</v>
      </c>
      <c r="I38" s="449">
        <v>12</v>
      </c>
      <c r="J38" s="427">
        <v>18</v>
      </c>
      <c r="K38" s="423">
        <f t="shared" ref="K38:K52" si="5">G38/J38*100</f>
        <v>16.666666666666664</v>
      </c>
      <c r="L38" s="423">
        <f t="shared" ref="L38:L52" si="6">H38/J38*100</f>
        <v>16.666666666666664</v>
      </c>
      <c r="M38" s="423">
        <f t="shared" ref="M38:M52" si="7">I38/J38*100</f>
        <v>66.666666666666657</v>
      </c>
      <c r="N38" s="426">
        <f t="shared" ref="N38:N58" si="8">SUM(K38:M38)</f>
        <v>99.999999999999986</v>
      </c>
      <c r="O38" s="422">
        <v>4.5</v>
      </c>
      <c r="P38" s="423">
        <v>11</v>
      </c>
      <c r="Q38" s="423">
        <v>35</v>
      </c>
      <c r="R38" s="424">
        <f t="shared" si="4"/>
        <v>50.5</v>
      </c>
      <c r="S38" s="292">
        <v>2</v>
      </c>
      <c r="T38" s="838"/>
      <c r="U38" s="836">
        <v>38203</v>
      </c>
      <c r="V38" s="299" t="s">
        <v>1079</v>
      </c>
      <c r="W38" s="292" t="s">
        <v>20</v>
      </c>
      <c r="X38" s="292" t="s">
        <v>12</v>
      </c>
      <c r="Y38" s="300">
        <v>35</v>
      </c>
      <c r="Z38" s="292" t="s">
        <v>1076</v>
      </c>
      <c r="AA38" s="292" t="s">
        <v>17</v>
      </c>
      <c r="AB38" s="292" t="s">
        <v>18</v>
      </c>
      <c r="AC38" s="292">
        <v>11</v>
      </c>
      <c r="AD38" s="299" t="s">
        <v>1080</v>
      </c>
      <c r="AE38" s="292" t="s">
        <v>1081</v>
      </c>
      <c r="AF38" s="292" t="s">
        <v>11</v>
      </c>
      <c r="AG38" s="300">
        <v>4.5</v>
      </c>
      <c r="AL38" s="299"/>
      <c r="AO38" s="300"/>
      <c r="AP38" s="299"/>
      <c r="AS38" s="300"/>
      <c r="AW38" s="300"/>
      <c r="BA38" s="301"/>
    </row>
    <row r="39" spans="1:53" s="292" customFormat="1">
      <c r="A39" s="292">
        <v>2005</v>
      </c>
      <c r="B39" s="863"/>
      <c r="C39" s="916" t="s">
        <v>1065</v>
      </c>
      <c r="D39" s="916"/>
      <c r="E39" s="292">
        <v>114</v>
      </c>
      <c r="G39" s="425">
        <v>3</v>
      </c>
      <c r="H39" s="449">
        <v>3</v>
      </c>
      <c r="I39" s="449">
        <v>12</v>
      </c>
      <c r="J39" s="427">
        <v>18</v>
      </c>
      <c r="K39" s="423">
        <f t="shared" si="5"/>
        <v>16.666666666666664</v>
      </c>
      <c r="L39" s="423">
        <f t="shared" si="6"/>
        <v>16.666666666666664</v>
      </c>
      <c r="M39" s="423">
        <f t="shared" si="7"/>
        <v>66.666666666666657</v>
      </c>
      <c r="N39" s="426">
        <f t="shared" si="8"/>
        <v>99.999999999999986</v>
      </c>
      <c r="O39" s="422">
        <v>4.5</v>
      </c>
      <c r="P39" s="423">
        <v>11</v>
      </c>
      <c r="Q39" s="423">
        <v>35</v>
      </c>
      <c r="R39" s="424">
        <f t="shared" si="4"/>
        <v>50.5</v>
      </c>
      <c r="S39" s="292">
        <v>2</v>
      </c>
      <c r="T39" s="838"/>
      <c r="U39" s="836"/>
      <c r="V39" s="299" t="s">
        <v>1079</v>
      </c>
      <c r="W39" s="292" t="s">
        <v>20</v>
      </c>
      <c r="X39" s="292" t="s">
        <v>12</v>
      </c>
      <c r="Y39" s="300">
        <v>35</v>
      </c>
      <c r="Z39" s="292" t="s">
        <v>1076</v>
      </c>
      <c r="AA39" s="292" t="s">
        <v>17</v>
      </c>
      <c r="AB39" s="292" t="s">
        <v>18</v>
      </c>
      <c r="AC39" s="292">
        <v>11</v>
      </c>
      <c r="AD39" s="299" t="s">
        <v>1080</v>
      </c>
      <c r="AE39" s="292" t="s">
        <v>1081</v>
      </c>
      <c r="AF39" s="292" t="s">
        <v>11</v>
      </c>
      <c r="AG39" s="300">
        <v>4.5</v>
      </c>
      <c r="AL39" s="299"/>
      <c r="AO39" s="300"/>
      <c r="AP39" s="299"/>
      <c r="AS39" s="300"/>
      <c r="AW39" s="300"/>
      <c r="BA39" s="301"/>
    </row>
    <row r="40" spans="1:53" s="73" customFormat="1">
      <c r="A40" s="73">
        <v>2005</v>
      </c>
      <c r="B40" s="830">
        <v>38467</v>
      </c>
      <c r="C40" s="917" t="s">
        <v>1066</v>
      </c>
      <c r="D40" s="917"/>
      <c r="E40" s="73">
        <v>114</v>
      </c>
      <c r="F40" s="73">
        <v>2</v>
      </c>
      <c r="G40" s="411">
        <v>2</v>
      </c>
      <c r="H40" s="448">
        <v>3</v>
      </c>
      <c r="I40" s="448">
        <v>9</v>
      </c>
      <c r="J40" s="413">
        <v>18</v>
      </c>
      <c r="K40" s="409">
        <f>G40/J40*100</f>
        <v>11.111111111111111</v>
      </c>
      <c r="L40" s="409">
        <f>H40/J40*100</f>
        <v>16.666666666666664</v>
      </c>
      <c r="M40" s="409">
        <f>I40/J40*100</f>
        <v>50</v>
      </c>
      <c r="N40" s="412">
        <f>SUM(K40:M40)</f>
        <v>77.777777777777771</v>
      </c>
      <c r="O40" s="408">
        <v>4.5</v>
      </c>
      <c r="P40" s="409">
        <v>11</v>
      </c>
      <c r="Q40" s="409">
        <v>35</v>
      </c>
      <c r="R40" s="410">
        <f>SUM(O40:Q40)</f>
        <v>50.5</v>
      </c>
      <c r="S40" s="73">
        <v>2</v>
      </c>
      <c r="T40" s="839"/>
      <c r="U40" s="852">
        <v>38467</v>
      </c>
      <c r="V40" s="82" t="s">
        <v>1079</v>
      </c>
      <c r="W40" s="195" t="s">
        <v>20</v>
      </c>
      <c r="X40" s="195" t="s">
        <v>12</v>
      </c>
      <c r="Y40" s="83">
        <v>35</v>
      </c>
      <c r="Z40" s="195" t="s">
        <v>1076</v>
      </c>
      <c r="AA40" s="195" t="s">
        <v>17</v>
      </c>
      <c r="AB40" s="195" t="s">
        <v>18</v>
      </c>
      <c r="AC40" s="195">
        <v>11</v>
      </c>
      <c r="AD40" s="82" t="s">
        <v>1080</v>
      </c>
      <c r="AE40" s="195" t="s">
        <v>1081</v>
      </c>
      <c r="AF40" s="195" t="s">
        <v>11</v>
      </c>
      <c r="AG40" s="83">
        <v>4.5</v>
      </c>
      <c r="AL40" s="82"/>
      <c r="AO40" s="83"/>
      <c r="AP40" s="82"/>
      <c r="AS40" s="83"/>
      <c r="AW40" s="83"/>
      <c r="BA40" s="84"/>
    </row>
    <row r="41" spans="1:53" s="73" customFormat="1">
      <c r="A41" s="73">
        <v>2005</v>
      </c>
      <c r="B41" s="864">
        <v>38581</v>
      </c>
      <c r="C41" s="917" t="s">
        <v>1066</v>
      </c>
      <c r="D41" s="917"/>
      <c r="E41" s="73">
        <v>79</v>
      </c>
      <c r="F41" s="139">
        <v>0</v>
      </c>
      <c r="G41" s="411">
        <v>2</v>
      </c>
      <c r="H41" s="448">
        <v>3</v>
      </c>
      <c r="I41" s="448">
        <v>8</v>
      </c>
      <c r="J41" s="413">
        <v>18</v>
      </c>
      <c r="K41" s="409">
        <f>G41/J41*100</f>
        <v>11.111111111111111</v>
      </c>
      <c r="L41" s="409">
        <f>H41/J41*100</f>
        <v>16.666666666666664</v>
      </c>
      <c r="M41" s="409">
        <f>I41/J41*100</f>
        <v>44.444444444444443</v>
      </c>
      <c r="N41" s="412">
        <f>SUM(K41:M41)</f>
        <v>72.222222222222214</v>
      </c>
      <c r="O41" s="408">
        <v>4.5</v>
      </c>
      <c r="P41" s="409">
        <v>11</v>
      </c>
      <c r="Q41" s="409">
        <v>35</v>
      </c>
      <c r="R41" s="410">
        <f>SUM(O41:Q41)</f>
        <v>50.5</v>
      </c>
      <c r="S41" s="73">
        <v>2</v>
      </c>
      <c r="T41" s="839"/>
      <c r="U41" s="852"/>
      <c r="V41" s="82" t="s">
        <v>1079</v>
      </c>
      <c r="W41" s="195" t="s">
        <v>20</v>
      </c>
      <c r="X41" s="195" t="s">
        <v>12</v>
      </c>
      <c r="Y41" s="83">
        <v>35</v>
      </c>
      <c r="Z41" s="195" t="s">
        <v>1076</v>
      </c>
      <c r="AA41" s="195" t="s">
        <v>17</v>
      </c>
      <c r="AB41" s="195" t="s">
        <v>18</v>
      </c>
      <c r="AC41" s="195">
        <v>11</v>
      </c>
      <c r="AD41" s="82" t="s">
        <v>1080</v>
      </c>
      <c r="AE41" s="195" t="s">
        <v>1081</v>
      </c>
      <c r="AF41" s="195" t="s">
        <v>11</v>
      </c>
      <c r="AG41" s="83">
        <v>4.5</v>
      </c>
      <c r="AL41" s="82"/>
      <c r="AO41" s="83"/>
      <c r="AP41" s="82"/>
      <c r="AS41" s="83"/>
      <c r="AW41" s="83"/>
      <c r="BA41" s="84"/>
    </row>
    <row r="42" spans="1:53" s="73" customFormat="1">
      <c r="A42" s="73">
        <v>2005</v>
      </c>
      <c r="B42" s="864">
        <v>38660</v>
      </c>
      <c r="C42" s="917" t="s">
        <v>1066</v>
      </c>
      <c r="D42" s="917"/>
      <c r="E42" s="73">
        <v>58</v>
      </c>
      <c r="F42" s="139">
        <v>0</v>
      </c>
      <c r="G42" s="411">
        <v>2</v>
      </c>
      <c r="H42" s="448">
        <v>3</v>
      </c>
      <c r="I42" s="448">
        <v>7</v>
      </c>
      <c r="J42" s="413">
        <v>18</v>
      </c>
      <c r="K42" s="409">
        <f t="shared" si="5"/>
        <v>11.111111111111111</v>
      </c>
      <c r="L42" s="409">
        <f t="shared" si="6"/>
        <v>16.666666666666664</v>
      </c>
      <c r="M42" s="409">
        <f t="shared" si="7"/>
        <v>38.888888888888893</v>
      </c>
      <c r="N42" s="412">
        <f t="shared" si="8"/>
        <v>66.666666666666671</v>
      </c>
      <c r="O42" s="408">
        <v>4.5</v>
      </c>
      <c r="P42" s="409">
        <v>11</v>
      </c>
      <c r="Q42" s="409">
        <v>35</v>
      </c>
      <c r="R42" s="410">
        <f t="shared" si="4"/>
        <v>50.5</v>
      </c>
      <c r="S42" s="73">
        <v>2</v>
      </c>
      <c r="T42" s="839"/>
      <c r="U42" s="852"/>
      <c r="V42" s="82" t="s">
        <v>1079</v>
      </c>
      <c r="W42" s="195" t="s">
        <v>20</v>
      </c>
      <c r="X42" s="195" t="s">
        <v>12</v>
      </c>
      <c r="Y42" s="83">
        <v>35</v>
      </c>
      <c r="Z42" s="195" t="s">
        <v>1076</v>
      </c>
      <c r="AA42" s="195" t="s">
        <v>17</v>
      </c>
      <c r="AB42" s="195" t="s">
        <v>18</v>
      </c>
      <c r="AC42" s="195">
        <v>11</v>
      </c>
      <c r="AD42" s="82" t="s">
        <v>1080</v>
      </c>
      <c r="AE42" s="195" t="s">
        <v>1081</v>
      </c>
      <c r="AF42" s="195" t="s">
        <v>11</v>
      </c>
      <c r="AG42" s="83">
        <v>4.5</v>
      </c>
      <c r="AL42" s="82"/>
      <c r="AO42" s="83"/>
      <c r="AP42" s="82"/>
      <c r="AS42" s="83"/>
      <c r="AW42" s="83"/>
      <c r="BA42" s="84"/>
    </row>
    <row r="43" spans="1:53" s="73" customFormat="1">
      <c r="A43" s="73">
        <v>2006</v>
      </c>
      <c r="B43" s="830"/>
      <c r="C43" s="917" t="s">
        <v>1066</v>
      </c>
      <c r="D43" s="917"/>
      <c r="E43" s="73">
        <v>246</v>
      </c>
      <c r="G43" s="411">
        <v>2</v>
      </c>
      <c r="H43" s="448">
        <v>3</v>
      </c>
      <c r="I43" s="448">
        <v>7</v>
      </c>
      <c r="J43" s="413">
        <v>17</v>
      </c>
      <c r="K43" s="409">
        <f t="shared" si="5"/>
        <v>11.76470588235294</v>
      </c>
      <c r="L43" s="409">
        <f t="shared" si="6"/>
        <v>17.647058823529413</v>
      </c>
      <c r="M43" s="409">
        <f t="shared" si="7"/>
        <v>41.17647058823529</v>
      </c>
      <c r="N43" s="412">
        <f t="shared" si="8"/>
        <v>70.588235294117652</v>
      </c>
      <c r="O43" s="408">
        <v>4.5</v>
      </c>
      <c r="P43" s="409">
        <v>11</v>
      </c>
      <c r="Q43" s="409">
        <v>35</v>
      </c>
      <c r="R43" s="410">
        <f t="shared" si="4"/>
        <v>50.5</v>
      </c>
      <c r="S43" s="73">
        <v>2</v>
      </c>
      <c r="T43" s="839"/>
      <c r="U43" s="852"/>
      <c r="V43" s="82" t="s">
        <v>1079</v>
      </c>
      <c r="W43" s="195" t="s">
        <v>20</v>
      </c>
      <c r="X43" s="195" t="s">
        <v>12</v>
      </c>
      <c r="Y43" s="83">
        <v>35</v>
      </c>
      <c r="Z43" s="195" t="s">
        <v>1076</v>
      </c>
      <c r="AA43" s="195" t="s">
        <v>17</v>
      </c>
      <c r="AB43" s="195" t="s">
        <v>18</v>
      </c>
      <c r="AC43" s="195">
        <v>11</v>
      </c>
      <c r="AD43" s="82" t="s">
        <v>1080</v>
      </c>
      <c r="AE43" s="195" t="s">
        <v>1081</v>
      </c>
      <c r="AF43" s="195" t="s">
        <v>11</v>
      </c>
      <c r="AG43" s="83">
        <v>4.5</v>
      </c>
      <c r="AL43" s="82"/>
      <c r="AO43" s="83"/>
      <c r="AP43" s="82"/>
      <c r="AS43" s="83"/>
      <c r="AW43" s="83"/>
      <c r="BA43" s="84"/>
    </row>
    <row r="44" spans="1:53" s="292" customFormat="1">
      <c r="A44" s="292">
        <v>2006</v>
      </c>
      <c r="B44" s="863">
        <v>38964</v>
      </c>
      <c r="C44" s="916" t="s">
        <v>1067</v>
      </c>
      <c r="D44" s="916"/>
      <c r="E44" s="292">
        <v>119</v>
      </c>
      <c r="F44" s="292">
        <v>1</v>
      </c>
      <c r="G44" s="425">
        <v>9</v>
      </c>
      <c r="H44" s="449"/>
      <c r="I44" s="449"/>
      <c r="J44" s="427">
        <v>15</v>
      </c>
      <c r="K44" s="423">
        <f t="shared" si="5"/>
        <v>60</v>
      </c>
      <c r="L44" s="423">
        <f t="shared" si="6"/>
        <v>0</v>
      </c>
      <c r="M44" s="423">
        <f t="shared" si="7"/>
        <v>0</v>
      </c>
      <c r="N44" s="426">
        <f t="shared" si="8"/>
        <v>60</v>
      </c>
      <c r="O44" s="422">
        <v>40.5</v>
      </c>
      <c r="P44" s="423"/>
      <c r="Q44" s="423"/>
      <c r="R44" s="424">
        <f t="shared" si="4"/>
        <v>40.5</v>
      </c>
      <c r="S44" s="292">
        <v>4</v>
      </c>
      <c r="T44" s="838">
        <v>38870</v>
      </c>
      <c r="U44" s="836">
        <v>38964</v>
      </c>
      <c r="V44" s="299" t="s">
        <v>1077</v>
      </c>
      <c r="W44" s="292" t="s">
        <v>74</v>
      </c>
      <c r="X44" s="292" t="s">
        <v>11</v>
      </c>
      <c r="Y44" s="300">
        <v>40.5</v>
      </c>
      <c r="AD44" s="299"/>
      <c r="AG44" s="300"/>
      <c r="AL44" s="299"/>
      <c r="AO44" s="300"/>
      <c r="AP44" s="299"/>
      <c r="AS44" s="300"/>
      <c r="AW44" s="300"/>
      <c r="BA44" s="301"/>
    </row>
    <row r="45" spans="1:53" s="292" customFormat="1">
      <c r="A45" s="292">
        <v>2007</v>
      </c>
      <c r="B45" s="863"/>
      <c r="C45" s="916" t="s">
        <v>1067</v>
      </c>
      <c r="D45" s="916"/>
      <c r="E45" s="292">
        <v>8</v>
      </c>
      <c r="G45" s="425">
        <v>9</v>
      </c>
      <c r="H45" s="449"/>
      <c r="I45" s="449"/>
      <c r="J45" s="427">
        <v>15</v>
      </c>
      <c r="K45" s="423">
        <f t="shared" si="5"/>
        <v>60</v>
      </c>
      <c r="L45" s="423">
        <f t="shared" si="6"/>
        <v>0</v>
      </c>
      <c r="M45" s="423">
        <f t="shared" si="7"/>
        <v>0</v>
      </c>
      <c r="N45" s="426">
        <f t="shared" si="8"/>
        <v>60</v>
      </c>
      <c r="O45" s="422">
        <v>40.5</v>
      </c>
      <c r="P45" s="423"/>
      <c r="Q45" s="423"/>
      <c r="R45" s="424">
        <f t="shared" si="4"/>
        <v>40.5</v>
      </c>
      <c r="S45" s="292">
        <v>4</v>
      </c>
      <c r="T45" s="838"/>
      <c r="U45" s="836"/>
      <c r="V45" s="299" t="s">
        <v>1077</v>
      </c>
      <c r="W45" s="292" t="s">
        <v>74</v>
      </c>
      <c r="X45" s="292" t="s">
        <v>11</v>
      </c>
      <c r="Y45" s="300">
        <v>40.5</v>
      </c>
      <c r="AD45" s="299"/>
      <c r="AG45" s="300"/>
      <c r="AL45" s="299"/>
      <c r="AO45" s="300"/>
      <c r="AP45" s="299"/>
      <c r="AS45" s="300"/>
      <c r="AW45" s="300"/>
      <c r="BA45" s="301"/>
    </row>
    <row r="46" spans="1:53" s="73" customFormat="1">
      <c r="A46" s="73">
        <v>2007</v>
      </c>
      <c r="B46" s="830">
        <v>39091</v>
      </c>
      <c r="C46" s="917" t="s">
        <v>1068</v>
      </c>
      <c r="D46" s="917"/>
      <c r="E46" s="73">
        <v>357</v>
      </c>
      <c r="F46" s="73">
        <v>5</v>
      </c>
      <c r="G46" s="411">
        <v>9</v>
      </c>
      <c r="H46" s="448">
        <v>4</v>
      </c>
      <c r="I46" s="448">
        <v>3</v>
      </c>
      <c r="J46" s="413">
        <v>18</v>
      </c>
      <c r="K46" s="409">
        <f t="shared" si="5"/>
        <v>50</v>
      </c>
      <c r="L46" s="409">
        <f t="shared" si="6"/>
        <v>22.222222222222221</v>
      </c>
      <c r="M46" s="409">
        <f t="shared" si="7"/>
        <v>16.666666666666664</v>
      </c>
      <c r="N46" s="412">
        <f t="shared" si="8"/>
        <v>88.888888888888886</v>
      </c>
      <c r="O46" s="408">
        <v>40.5</v>
      </c>
      <c r="P46" s="409">
        <v>6.5</v>
      </c>
      <c r="Q46" s="409">
        <v>3</v>
      </c>
      <c r="R46" s="410">
        <f t="shared" si="4"/>
        <v>50</v>
      </c>
      <c r="S46" s="73">
        <v>5</v>
      </c>
      <c r="T46" s="839"/>
      <c r="U46" s="852">
        <v>39091</v>
      </c>
      <c r="V46" s="82" t="s">
        <v>1077</v>
      </c>
      <c r="W46" s="195" t="s">
        <v>74</v>
      </c>
      <c r="X46" s="195" t="s">
        <v>11</v>
      </c>
      <c r="Y46" s="83">
        <v>40.5</v>
      </c>
      <c r="Z46" s="195" t="s">
        <v>1076</v>
      </c>
      <c r="AA46" s="195" t="s">
        <v>17</v>
      </c>
      <c r="AB46" s="195" t="s">
        <v>18</v>
      </c>
      <c r="AC46" s="195">
        <v>6.5</v>
      </c>
      <c r="AD46" s="82" t="s">
        <v>1082</v>
      </c>
      <c r="AE46" s="195" t="s">
        <v>218</v>
      </c>
      <c r="AF46" s="195" t="s">
        <v>12</v>
      </c>
      <c r="AG46" s="83">
        <v>3</v>
      </c>
      <c r="AL46" s="82"/>
      <c r="AO46" s="83"/>
      <c r="AP46" s="82"/>
      <c r="AS46" s="83"/>
      <c r="AW46" s="83"/>
      <c r="BA46" s="84"/>
    </row>
    <row r="47" spans="1:53" s="73" customFormat="1">
      <c r="A47" s="73">
        <v>2008</v>
      </c>
      <c r="B47" s="830"/>
      <c r="C47" s="917" t="s">
        <v>1068</v>
      </c>
      <c r="D47" s="917"/>
      <c r="E47" s="73">
        <v>0</v>
      </c>
      <c r="G47" s="411">
        <v>9</v>
      </c>
      <c r="H47" s="448">
        <v>4</v>
      </c>
      <c r="I47" s="448">
        <v>3</v>
      </c>
      <c r="J47" s="413">
        <v>18</v>
      </c>
      <c r="K47" s="409">
        <f t="shared" si="5"/>
        <v>50</v>
      </c>
      <c r="L47" s="409">
        <f t="shared" si="6"/>
        <v>22.222222222222221</v>
      </c>
      <c r="M47" s="409">
        <f t="shared" si="7"/>
        <v>16.666666666666664</v>
      </c>
      <c r="N47" s="412">
        <f t="shared" si="8"/>
        <v>88.888888888888886</v>
      </c>
      <c r="O47" s="408">
        <v>40.5</v>
      </c>
      <c r="P47" s="409">
        <v>6.5</v>
      </c>
      <c r="Q47" s="409">
        <v>3</v>
      </c>
      <c r="R47" s="410">
        <f t="shared" si="4"/>
        <v>50</v>
      </c>
      <c r="S47" s="73">
        <v>5</v>
      </c>
      <c r="T47" s="839"/>
      <c r="U47" s="852"/>
      <c r="V47" s="82" t="s">
        <v>1077</v>
      </c>
      <c r="W47" s="195" t="s">
        <v>74</v>
      </c>
      <c r="X47" s="195" t="s">
        <v>11</v>
      </c>
      <c r="Y47" s="83">
        <v>40.5</v>
      </c>
      <c r="Z47" s="195" t="s">
        <v>1076</v>
      </c>
      <c r="AA47" s="195" t="s">
        <v>17</v>
      </c>
      <c r="AB47" s="195" t="s">
        <v>18</v>
      </c>
      <c r="AC47" s="195">
        <v>6.5</v>
      </c>
      <c r="AD47" s="82" t="s">
        <v>1082</v>
      </c>
      <c r="AE47" s="195" t="s">
        <v>218</v>
      </c>
      <c r="AF47" s="195" t="s">
        <v>12</v>
      </c>
      <c r="AG47" s="83">
        <v>3</v>
      </c>
      <c r="AL47" s="82"/>
      <c r="AO47" s="83"/>
      <c r="AP47" s="82"/>
      <c r="AS47" s="83"/>
      <c r="AW47" s="83"/>
      <c r="BA47" s="84"/>
    </row>
    <row r="48" spans="1:53" s="73" customFormat="1">
      <c r="A48" s="73">
        <v>2008</v>
      </c>
      <c r="B48" s="830"/>
      <c r="C48" s="917" t="s">
        <v>1068</v>
      </c>
      <c r="D48" s="917"/>
      <c r="E48" s="73">
        <v>366</v>
      </c>
      <c r="G48" s="411">
        <v>9</v>
      </c>
      <c r="H48" s="448">
        <v>4</v>
      </c>
      <c r="I48" s="448">
        <v>3</v>
      </c>
      <c r="J48" s="413">
        <v>18</v>
      </c>
      <c r="K48" s="409">
        <f t="shared" si="5"/>
        <v>50</v>
      </c>
      <c r="L48" s="409">
        <f t="shared" si="6"/>
        <v>22.222222222222221</v>
      </c>
      <c r="M48" s="409">
        <f t="shared" si="7"/>
        <v>16.666666666666664</v>
      </c>
      <c r="N48" s="412">
        <f t="shared" si="8"/>
        <v>88.888888888888886</v>
      </c>
      <c r="O48" s="408">
        <v>40.5</v>
      </c>
      <c r="P48" s="409">
        <v>6.5</v>
      </c>
      <c r="Q48" s="409">
        <v>3</v>
      </c>
      <c r="R48" s="410">
        <f t="shared" si="4"/>
        <v>50</v>
      </c>
      <c r="S48" s="73">
        <v>5</v>
      </c>
      <c r="T48" s="839"/>
      <c r="U48" s="852"/>
      <c r="V48" s="82" t="s">
        <v>1077</v>
      </c>
      <c r="W48" s="195" t="s">
        <v>74</v>
      </c>
      <c r="X48" s="195" t="s">
        <v>11</v>
      </c>
      <c r="Y48" s="83">
        <v>40.5</v>
      </c>
      <c r="Z48" s="195" t="s">
        <v>1076</v>
      </c>
      <c r="AA48" s="195" t="s">
        <v>17</v>
      </c>
      <c r="AB48" s="195" t="s">
        <v>18</v>
      </c>
      <c r="AC48" s="195">
        <v>6.5</v>
      </c>
      <c r="AD48" s="82" t="s">
        <v>1082</v>
      </c>
      <c r="AE48" s="195" t="s">
        <v>218</v>
      </c>
      <c r="AF48" s="195" t="s">
        <v>12</v>
      </c>
      <c r="AG48" s="83">
        <v>3</v>
      </c>
      <c r="AL48" s="82"/>
      <c r="AO48" s="83"/>
      <c r="AP48" s="82"/>
      <c r="AS48" s="83"/>
      <c r="AW48" s="83"/>
      <c r="BA48" s="84"/>
    </row>
    <row r="49" spans="1:53" s="73" customFormat="1">
      <c r="A49" s="73">
        <v>2009</v>
      </c>
      <c r="B49" s="830"/>
      <c r="C49" s="917" t="s">
        <v>1068</v>
      </c>
      <c r="D49" s="917"/>
      <c r="E49" s="73">
        <v>127</v>
      </c>
      <c r="G49" s="411">
        <v>9</v>
      </c>
      <c r="H49" s="448">
        <v>4</v>
      </c>
      <c r="I49" s="448">
        <v>3</v>
      </c>
      <c r="J49" s="413">
        <v>18</v>
      </c>
      <c r="K49" s="409">
        <f t="shared" si="5"/>
        <v>50</v>
      </c>
      <c r="L49" s="409">
        <f t="shared" si="6"/>
        <v>22.222222222222221</v>
      </c>
      <c r="M49" s="409">
        <f t="shared" si="7"/>
        <v>16.666666666666664</v>
      </c>
      <c r="N49" s="412">
        <f t="shared" si="8"/>
        <v>88.888888888888886</v>
      </c>
      <c r="O49" s="408">
        <v>40.5</v>
      </c>
      <c r="P49" s="409">
        <v>6.5</v>
      </c>
      <c r="Q49" s="409">
        <v>3</v>
      </c>
      <c r="R49" s="410">
        <f t="shared" si="4"/>
        <v>50</v>
      </c>
      <c r="S49" s="73">
        <v>5</v>
      </c>
      <c r="T49" s="839"/>
      <c r="U49" s="852"/>
      <c r="V49" s="82" t="s">
        <v>1077</v>
      </c>
      <c r="W49" s="195" t="s">
        <v>74</v>
      </c>
      <c r="X49" s="195" t="s">
        <v>11</v>
      </c>
      <c r="Y49" s="83">
        <v>40.5</v>
      </c>
      <c r="Z49" s="195" t="s">
        <v>1076</v>
      </c>
      <c r="AA49" s="195" t="s">
        <v>17</v>
      </c>
      <c r="AB49" s="195" t="s">
        <v>18</v>
      </c>
      <c r="AC49" s="195">
        <v>6.5</v>
      </c>
      <c r="AD49" s="82" t="s">
        <v>1082</v>
      </c>
      <c r="AE49" s="195" t="s">
        <v>218</v>
      </c>
      <c r="AF49" s="195" t="s">
        <v>12</v>
      </c>
      <c r="AG49" s="83">
        <v>3</v>
      </c>
      <c r="AL49" s="82"/>
      <c r="AO49" s="83"/>
      <c r="AP49" s="82"/>
      <c r="AS49" s="83"/>
      <c r="AW49" s="83"/>
      <c r="BA49" s="84"/>
    </row>
    <row r="50" spans="1:53" s="292" customFormat="1">
      <c r="A50" s="292">
        <v>2009</v>
      </c>
      <c r="B50" s="863">
        <v>39941</v>
      </c>
      <c r="C50" s="916" t="s">
        <v>1069</v>
      </c>
      <c r="D50" s="916"/>
      <c r="E50" s="292">
        <v>238</v>
      </c>
      <c r="F50" s="292">
        <v>5</v>
      </c>
      <c r="G50" s="425">
        <v>0</v>
      </c>
      <c r="H50" s="449">
        <v>0</v>
      </c>
      <c r="I50" s="449">
        <v>0</v>
      </c>
      <c r="J50" s="427">
        <v>18</v>
      </c>
      <c r="K50" s="423">
        <f t="shared" si="5"/>
        <v>0</v>
      </c>
      <c r="L50" s="423">
        <f t="shared" si="6"/>
        <v>0</v>
      </c>
      <c r="M50" s="423">
        <f t="shared" si="7"/>
        <v>0</v>
      </c>
      <c r="N50" s="426">
        <f t="shared" si="8"/>
        <v>0</v>
      </c>
      <c r="O50" s="422">
        <v>0</v>
      </c>
      <c r="P50" s="423">
        <v>0</v>
      </c>
      <c r="Q50" s="423">
        <v>0</v>
      </c>
      <c r="R50" s="424">
        <f t="shared" si="4"/>
        <v>0</v>
      </c>
      <c r="S50" s="292">
        <v>7</v>
      </c>
      <c r="T50" s="838"/>
      <c r="U50" s="836">
        <v>39941</v>
      </c>
      <c r="V50" s="379" t="s">
        <v>801</v>
      </c>
      <c r="Y50" s="300"/>
      <c r="AD50" s="299"/>
      <c r="AG50" s="300"/>
      <c r="AL50" s="299"/>
      <c r="AO50" s="300"/>
      <c r="AP50" s="299"/>
      <c r="AS50" s="300"/>
      <c r="AW50" s="300"/>
      <c r="BA50" s="301"/>
    </row>
    <row r="51" spans="1:53" s="292" customFormat="1">
      <c r="A51" s="292">
        <v>2010</v>
      </c>
      <c r="B51" s="863"/>
      <c r="C51" s="916" t="s">
        <v>1069</v>
      </c>
      <c r="D51" s="916"/>
      <c r="E51" s="292">
        <v>193</v>
      </c>
      <c r="G51" s="425">
        <v>0</v>
      </c>
      <c r="H51" s="449">
        <v>0</v>
      </c>
      <c r="I51" s="449">
        <v>0</v>
      </c>
      <c r="J51" s="427">
        <v>18</v>
      </c>
      <c r="K51" s="423">
        <f t="shared" si="5"/>
        <v>0</v>
      </c>
      <c r="L51" s="423">
        <f t="shared" si="6"/>
        <v>0</v>
      </c>
      <c r="M51" s="423">
        <f t="shared" si="7"/>
        <v>0</v>
      </c>
      <c r="N51" s="426">
        <f t="shared" si="8"/>
        <v>0</v>
      </c>
      <c r="O51" s="422">
        <v>0</v>
      </c>
      <c r="P51" s="423">
        <v>0</v>
      </c>
      <c r="Q51" s="423">
        <v>0</v>
      </c>
      <c r="R51" s="424">
        <f t="shared" si="4"/>
        <v>0</v>
      </c>
      <c r="S51" s="292">
        <v>7</v>
      </c>
      <c r="T51" s="838"/>
      <c r="U51" s="836"/>
      <c r="V51" s="379" t="s">
        <v>801</v>
      </c>
      <c r="Y51" s="300"/>
      <c r="AD51" s="299"/>
      <c r="AG51" s="300"/>
      <c r="AL51" s="299"/>
      <c r="AO51" s="300"/>
      <c r="AP51" s="299"/>
      <c r="AS51" s="300"/>
      <c r="AW51" s="300"/>
      <c r="BA51" s="301"/>
    </row>
    <row r="52" spans="1:53" s="73" customFormat="1">
      <c r="A52" s="73">
        <v>2010</v>
      </c>
      <c r="B52" s="830">
        <v>40372</v>
      </c>
      <c r="C52" s="917" t="s">
        <v>1070</v>
      </c>
      <c r="D52" s="917"/>
      <c r="E52" s="73">
        <v>172</v>
      </c>
      <c r="F52" s="73">
        <v>1</v>
      </c>
      <c r="G52" s="411">
        <v>14</v>
      </c>
      <c r="H52" s="448"/>
      <c r="I52" s="448"/>
      <c r="J52" s="413">
        <v>15</v>
      </c>
      <c r="K52" s="409">
        <f t="shared" si="5"/>
        <v>93.333333333333329</v>
      </c>
      <c r="L52" s="409">
        <f t="shared" si="6"/>
        <v>0</v>
      </c>
      <c r="M52" s="409">
        <f t="shared" si="7"/>
        <v>0</v>
      </c>
      <c r="N52" s="412">
        <f t="shared" si="8"/>
        <v>93.333333333333329</v>
      </c>
      <c r="O52" s="408">
        <v>59</v>
      </c>
      <c r="P52" s="409"/>
      <c r="Q52" s="409"/>
      <c r="R52" s="410">
        <f t="shared" si="4"/>
        <v>59</v>
      </c>
      <c r="S52" s="73">
        <v>2</v>
      </c>
      <c r="T52" s="839">
        <v>40327</v>
      </c>
      <c r="U52" s="852">
        <v>40372</v>
      </c>
      <c r="V52" s="82" t="s">
        <v>1077</v>
      </c>
      <c r="W52" s="195" t="s">
        <v>74</v>
      </c>
      <c r="X52" s="195" t="s">
        <v>11</v>
      </c>
      <c r="Y52" s="83">
        <v>26.5</v>
      </c>
      <c r="Z52" s="195" t="s">
        <v>1083</v>
      </c>
      <c r="AA52" s="195" t="s">
        <v>77</v>
      </c>
      <c r="AB52" s="195" t="s">
        <v>11</v>
      </c>
      <c r="AC52" s="195">
        <v>20.5</v>
      </c>
      <c r="AD52" s="82" t="s">
        <v>1084</v>
      </c>
      <c r="AE52" s="195" t="s">
        <v>79</v>
      </c>
      <c r="AF52" s="195" t="s">
        <v>11</v>
      </c>
      <c r="AG52" s="83">
        <v>12</v>
      </c>
      <c r="AL52" s="82"/>
      <c r="AO52" s="83"/>
      <c r="AP52" s="82"/>
      <c r="AS52" s="83"/>
      <c r="AW52" s="83"/>
      <c r="BA52" s="84"/>
    </row>
    <row r="53" spans="1:53" s="73" customFormat="1">
      <c r="A53" s="73">
        <v>2011</v>
      </c>
      <c r="B53" s="830"/>
      <c r="C53" s="917" t="s">
        <v>1070</v>
      </c>
      <c r="D53" s="917"/>
      <c r="E53" s="73">
        <v>110</v>
      </c>
      <c r="G53" s="411">
        <v>14</v>
      </c>
      <c r="H53" s="448"/>
      <c r="I53" s="448"/>
      <c r="J53" s="413">
        <v>15</v>
      </c>
      <c r="K53" s="409">
        <f t="shared" ref="K53:K62" si="9">G53/J53*100</f>
        <v>93.333333333333329</v>
      </c>
      <c r="L53" s="409">
        <f t="shared" ref="L53:L62" si="10">H53/J53*100</f>
        <v>0</v>
      </c>
      <c r="M53" s="409">
        <f t="shared" ref="M53:M62" si="11">I53/J53*100</f>
        <v>0</v>
      </c>
      <c r="N53" s="412">
        <f t="shared" si="8"/>
        <v>93.333333333333329</v>
      </c>
      <c r="O53" s="408">
        <v>59</v>
      </c>
      <c r="P53" s="409"/>
      <c r="Q53" s="409"/>
      <c r="R53" s="410">
        <f t="shared" si="4"/>
        <v>59</v>
      </c>
      <c r="S53" s="73">
        <v>2</v>
      </c>
      <c r="T53" s="839"/>
      <c r="U53" s="852"/>
      <c r="V53" s="82" t="s">
        <v>1077</v>
      </c>
      <c r="W53" s="195" t="s">
        <v>74</v>
      </c>
      <c r="X53" s="195" t="s">
        <v>11</v>
      </c>
      <c r="Y53" s="83">
        <v>26.5</v>
      </c>
      <c r="Z53" s="195" t="s">
        <v>1083</v>
      </c>
      <c r="AA53" s="195" t="s">
        <v>77</v>
      </c>
      <c r="AB53" s="195" t="s">
        <v>11</v>
      </c>
      <c r="AC53" s="195">
        <v>20.5</v>
      </c>
      <c r="AD53" s="82" t="s">
        <v>1084</v>
      </c>
      <c r="AE53" s="195" t="s">
        <v>79</v>
      </c>
      <c r="AF53" s="195" t="s">
        <v>11</v>
      </c>
      <c r="AG53" s="83">
        <v>12</v>
      </c>
      <c r="AL53" s="82"/>
      <c r="AO53" s="83"/>
      <c r="AP53" s="82"/>
      <c r="AS53" s="83"/>
      <c r="AW53" s="83"/>
      <c r="BA53" s="84"/>
    </row>
    <row r="54" spans="1:53" s="73" customFormat="1">
      <c r="A54" s="73">
        <v>2011</v>
      </c>
      <c r="B54" s="864">
        <v>40654</v>
      </c>
      <c r="C54" s="917" t="s">
        <v>1070</v>
      </c>
      <c r="D54" s="917"/>
      <c r="E54" s="73">
        <v>255</v>
      </c>
      <c r="F54" s="139">
        <v>0</v>
      </c>
      <c r="G54" s="411">
        <v>13</v>
      </c>
      <c r="H54" s="448"/>
      <c r="I54" s="448"/>
      <c r="J54" s="413">
        <v>15</v>
      </c>
      <c r="K54" s="409">
        <f t="shared" si="9"/>
        <v>86.666666666666671</v>
      </c>
      <c r="L54" s="409">
        <f t="shared" si="10"/>
        <v>0</v>
      </c>
      <c r="M54" s="409">
        <f t="shared" si="11"/>
        <v>0</v>
      </c>
      <c r="N54" s="412">
        <f>SUM(K54:M54)</f>
        <v>86.666666666666671</v>
      </c>
      <c r="O54" s="408">
        <v>59</v>
      </c>
      <c r="P54" s="409"/>
      <c r="Q54" s="409"/>
      <c r="R54" s="410">
        <f>SUM(O54:Q54)</f>
        <v>59</v>
      </c>
      <c r="S54" s="73">
        <v>2</v>
      </c>
      <c r="T54" s="839"/>
      <c r="U54" s="852"/>
      <c r="V54" s="82" t="s">
        <v>1077</v>
      </c>
      <c r="W54" s="195" t="s">
        <v>74</v>
      </c>
      <c r="X54" s="195" t="s">
        <v>11</v>
      </c>
      <c r="Y54" s="83">
        <v>26.5</v>
      </c>
      <c r="Z54" s="195" t="s">
        <v>1083</v>
      </c>
      <c r="AA54" s="195" t="s">
        <v>77</v>
      </c>
      <c r="AB54" s="195" t="s">
        <v>11</v>
      </c>
      <c r="AC54" s="195">
        <v>20.5</v>
      </c>
      <c r="AD54" s="82" t="s">
        <v>1084</v>
      </c>
      <c r="AE54" s="195" t="s">
        <v>79</v>
      </c>
      <c r="AF54" s="195" t="s">
        <v>11</v>
      </c>
      <c r="AG54" s="83">
        <v>12</v>
      </c>
      <c r="AL54" s="82"/>
      <c r="AO54" s="83"/>
      <c r="AP54" s="82"/>
      <c r="AS54" s="83"/>
      <c r="AW54" s="83"/>
      <c r="BA54" s="84"/>
    </row>
    <row r="55" spans="1:53" s="73" customFormat="1">
      <c r="A55" s="73">
        <v>2012</v>
      </c>
      <c r="B55" s="830"/>
      <c r="C55" s="917" t="s">
        <v>1070</v>
      </c>
      <c r="D55" s="917"/>
      <c r="E55" s="73">
        <v>122</v>
      </c>
      <c r="G55" s="411">
        <v>13</v>
      </c>
      <c r="H55" s="448"/>
      <c r="I55" s="448"/>
      <c r="J55" s="413">
        <v>15</v>
      </c>
      <c r="K55" s="409">
        <f t="shared" si="9"/>
        <v>86.666666666666671</v>
      </c>
      <c r="L55" s="409">
        <f t="shared" si="10"/>
        <v>0</v>
      </c>
      <c r="M55" s="409">
        <f t="shared" si="11"/>
        <v>0</v>
      </c>
      <c r="N55" s="412">
        <f t="shared" si="8"/>
        <v>86.666666666666671</v>
      </c>
      <c r="O55" s="408">
        <v>59</v>
      </c>
      <c r="P55" s="409"/>
      <c r="Q55" s="409"/>
      <c r="R55" s="410">
        <f t="shared" si="4"/>
        <v>59</v>
      </c>
      <c r="S55" s="73">
        <v>2</v>
      </c>
      <c r="T55" s="839"/>
      <c r="U55" s="852"/>
      <c r="V55" s="82" t="s">
        <v>1077</v>
      </c>
      <c r="W55" s="195" t="s">
        <v>74</v>
      </c>
      <c r="X55" s="195" t="s">
        <v>11</v>
      </c>
      <c r="Y55" s="83">
        <v>26.5</v>
      </c>
      <c r="Z55" s="195" t="s">
        <v>1083</v>
      </c>
      <c r="AA55" s="195" t="s">
        <v>77</v>
      </c>
      <c r="AB55" s="195" t="s">
        <v>11</v>
      </c>
      <c r="AC55" s="195">
        <v>20.5</v>
      </c>
      <c r="AD55" s="82" t="s">
        <v>1084</v>
      </c>
      <c r="AE55" s="195" t="s">
        <v>79</v>
      </c>
      <c r="AF55" s="195" t="s">
        <v>11</v>
      </c>
      <c r="AG55" s="83">
        <v>12</v>
      </c>
      <c r="AL55" s="82"/>
      <c r="AO55" s="83"/>
      <c r="AP55" s="82"/>
      <c r="AS55" s="83"/>
      <c r="AW55" s="83"/>
      <c r="BA55" s="84"/>
    </row>
    <row r="56" spans="1:53" s="73" customFormat="1">
      <c r="A56" s="73">
        <v>2012</v>
      </c>
      <c r="B56" s="864">
        <v>41031</v>
      </c>
      <c r="C56" s="917" t="s">
        <v>1070</v>
      </c>
      <c r="D56" s="917"/>
      <c r="E56" s="73">
        <v>224</v>
      </c>
      <c r="F56" s="139">
        <v>0</v>
      </c>
      <c r="G56" s="411">
        <v>12</v>
      </c>
      <c r="H56" s="448"/>
      <c r="I56" s="448"/>
      <c r="J56" s="413">
        <v>15</v>
      </c>
      <c r="K56" s="409">
        <f t="shared" si="9"/>
        <v>80</v>
      </c>
      <c r="L56" s="409">
        <f t="shared" si="10"/>
        <v>0</v>
      </c>
      <c r="M56" s="409">
        <f t="shared" si="11"/>
        <v>0</v>
      </c>
      <c r="N56" s="412">
        <f t="shared" si="8"/>
        <v>80</v>
      </c>
      <c r="O56" s="408">
        <v>59</v>
      </c>
      <c r="P56" s="409"/>
      <c r="Q56" s="409"/>
      <c r="R56" s="410">
        <f t="shared" si="4"/>
        <v>59</v>
      </c>
      <c r="S56" s="73">
        <v>2</v>
      </c>
      <c r="T56" s="839"/>
      <c r="U56" s="852"/>
      <c r="V56" s="82" t="s">
        <v>1077</v>
      </c>
      <c r="W56" s="195" t="s">
        <v>74</v>
      </c>
      <c r="X56" s="195" t="s">
        <v>11</v>
      </c>
      <c r="Y56" s="83">
        <v>26.5</v>
      </c>
      <c r="Z56" s="195" t="s">
        <v>1083</v>
      </c>
      <c r="AA56" s="195" t="s">
        <v>77</v>
      </c>
      <c r="AB56" s="195" t="s">
        <v>11</v>
      </c>
      <c r="AC56" s="195">
        <v>20.5</v>
      </c>
      <c r="AD56" s="82" t="s">
        <v>1084</v>
      </c>
      <c r="AE56" s="195" t="s">
        <v>79</v>
      </c>
      <c r="AF56" s="195" t="s">
        <v>11</v>
      </c>
      <c r="AG56" s="83">
        <v>12</v>
      </c>
      <c r="AL56" s="82"/>
      <c r="AO56" s="83"/>
      <c r="AP56" s="82"/>
      <c r="AS56" s="83"/>
      <c r="AW56" s="83"/>
      <c r="BA56" s="84"/>
    </row>
    <row r="57" spans="1:53" s="73" customFormat="1">
      <c r="A57" s="73">
        <v>2012</v>
      </c>
      <c r="B57" s="864">
        <v>41255</v>
      </c>
      <c r="C57" s="917" t="s">
        <v>1070</v>
      </c>
      <c r="D57" s="917"/>
      <c r="E57" s="73">
        <f>366-E56-E55</f>
        <v>20</v>
      </c>
      <c r="F57" s="139">
        <v>0</v>
      </c>
      <c r="G57" s="411">
        <v>12</v>
      </c>
      <c r="H57" s="448"/>
      <c r="I57" s="448"/>
      <c r="J57" s="413">
        <v>16</v>
      </c>
      <c r="K57" s="409">
        <f t="shared" si="9"/>
        <v>75</v>
      </c>
      <c r="L57" s="409">
        <f t="shared" si="10"/>
        <v>0</v>
      </c>
      <c r="M57" s="409">
        <f t="shared" si="11"/>
        <v>0</v>
      </c>
      <c r="N57" s="412">
        <f t="shared" si="8"/>
        <v>75</v>
      </c>
      <c r="O57" s="408">
        <v>59</v>
      </c>
      <c r="P57" s="409"/>
      <c r="Q57" s="409"/>
      <c r="R57" s="410">
        <f t="shared" si="4"/>
        <v>59</v>
      </c>
      <c r="S57" s="73">
        <v>2</v>
      </c>
      <c r="T57" s="839"/>
      <c r="U57" s="852"/>
      <c r="V57" s="82" t="s">
        <v>1077</v>
      </c>
      <c r="W57" s="195" t="s">
        <v>74</v>
      </c>
      <c r="X57" s="195" t="s">
        <v>11</v>
      </c>
      <c r="Y57" s="83">
        <v>26.5</v>
      </c>
      <c r="Z57" s="195" t="s">
        <v>1083</v>
      </c>
      <c r="AA57" s="195" t="s">
        <v>77</v>
      </c>
      <c r="AB57" s="195" t="s">
        <v>11</v>
      </c>
      <c r="AC57" s="195">
        <v>20.5</v>
      </c>
      <c r="AD57" s="82" t="s">
        <v>1084</v>
      </c>
      <c r="AE57" s="284" t="s">
        <v>79</v>
      </c>
      <c r="AF57" s="284" t="s">
        <v>11</v>
      </c>
      <c r="AG57" s="83">
        <v>12</v>
      </c>
      <c r="AL57" s="82"/>
      <c r="AO57" s="83"/>
      <c r="AP57" s="82"/>
      <c r="AS57" s="83"/>
      <c r="AW57" s="83"/>
      <c r="BA57" s="84"/>
    </row>
    <row r="58" spans="1:53" s="277" customFormat="1">
      <c r="A58" s="277">
        <v>2013</v>
      </c>
      <c r="B58" s="864"/>
      <c r="C58" s="917" t="s">
        <v>1070</v>
      </c>
      <c r="D58" s="917"/>
      <c r="E58" s="277">
        <v>77</v>
      </c>
      <c r="F58" s="139"/>
      <c r="G58" s="411">
        <v>12</v>
      </c>
      <c r="H58" s="448"/>
      <c r="I58" s="448"/>
      <c r="J58" s="413">
        <v>16</v>
      </c>
      <c r="K58" s="409">
        <f t="shared" si="9"/>
        <v>75</v>
      </c>
      <c r="L58" s="409">
        <f t="shared" si="10"/>
        <v>0</v>
      </c>
      <c r="M58" s="409">
        <f t="shared" si="11"/>
        <v>0</v>
      </c>
      <c r="N58" s="412">
        <f t="shared" si="8"/>
        <v>75</v>
      </c>
      <c r="O58" s="408">
        <v>59</v>
      </c>
      <c r="P58" s="409"/>
      <c r="Q58" s="409"/>
      <c r="R58" s="410">
        <f>SUM(O58:Q58)</f>
        <v>59</v>
      </c>
      <c r="S58" s="277">
        <v>2</v>
      </c>
      <c r="T58" s="839"/>
      <c r="U58" s="852"/>
      <c r="V58" s="82" t="s">
        <v>1077</v>
      </c>
      <c r="W58" s="277" t="s">
        <v>74</v>
      </c>
      <c r="X58" s="277" t="s">
        <v>11</v>
      </c>
      <c r="Y58" s="83">
        <v>26.5</v>
      </c>
      <c r="Z58" s="277" t="s">
        <v>1083</v>
      </c>
      <c r="AA58" s="277" t="s">
        <v>77</v>
      </c>
      <c r="AB58" s="277" t="s">
        <v>11</v>
      </c>
      <c r="AC58" s="277">
        <v>20.5</v>
      </c>
      <c r="AD58" s="82" t="s">
        <v>1084</v>
      </c>
      <c r="AE58" s="284" t="s">
        <v>79</v>
      </c>
      <c r="AF58" s="284" t="s">
        <v>11</v>
      </c>
      <c r="AG58" s="83">
        <v>12</v>
      </c>
      <c r="AL58" s="82"/>
      <c r="AO58" s="83"/>
      <c r="AP58" s="82"/>
      <c r="AS58" s="83"/>
      <c r="AW58" s="83"/>
      <c r="BA58" s="84"/>
    </row>
    <row r="59" spans="1:53" s="281" customFormat="1">
      <c r="A59" s="281">
        <v>2013</v>
      </c>
      <c r="B59" s="864">
        <v>41352</v>
      </c>
      <c r="C59" s="917" t="s">
        <v>1070</v>
      </c>
      <c r="D59" s="917"/>
      <c r="E59" s="281">
        <v>113</v>
      </c>
      <c r="F59" s="139">
        <v>0</v>
      </c>
      <c r="G59" s="411">
        <v>11</v>
      </c>
      <c r="H59" s="448"/>
      <c r="I59" s="448"/>
      <c r="J59" s="413">
        <v>16</v>
      </c>
      <c r="K59" s="409">
        <f t="shared" si="9"/>
        <v>68.75</v>
      </c>
      <c r="L59" s="409">
        <f t="shared" si="10"/>
        <v>0</v>
      </c>
      <c r="M59" s="409">
        <f t="shared" si="11"/>
        <v>0</v>
      </c>
      <c r="N59" s="412">
        <f>SUM(K59:M59)</f>
        <v>68.75</v>
      </c>
      <c r="O59" s="408">
        <v>59</v>
      </c>
      <c r="P59" s="409"/>
      <c r="Q59" s="409"/>
      <c r="R59" s="410">
        <f>SUM(O59:Q59)</f>
        <v>59</v>
      </c>
      <c r="S59" s="281">
        <v>2</v>
      </c>
      <c r="T59" s="839"/>
      <c r="U59" s="852"/>
      <c r="V59" s="82" t="s">
        <v>1077</v>
      </c>
      <c r="W59" s="281" t="s">
        <v>74</v>
      </c>
      <c r="X59" s="281" t="s">
        <v>11</v>
      </c>
      <c r="Y59" s="83">
        <v>26.5</v>
      </c>
      <c r="Z59" s="281" t="s">
        <v>1083</v>
      </c>
      <c r="AA59" s="281" t="s">
        <v>77</v>
      </c>
      <c r="AB59" s="281" t="s">
        <v>11</v>
      </c>
      <c r="AC59" s="281">
        <v>20.5</v>
      </c>
      <c r="AD59" s="82" t="s">
        <v>1084</v>
      </c>
      <c r="AE59" s="284" t="s">
        <v>79</v>
      </c>
      <c r="AF59" s="284" t="s">
        <v>11</v>
      </c>
      <c r="AG59" s="83">
        <v>12</v>
      </c>
      <c r="AL59" s="82"/>
      <c r="AO59" s="83"/>
      <c r="AP59" s="82"/>
      <c r="AS59" s="83"/>
      <c r="AW59" s="83"/>
      <c r="BA59" s="84"/>
    </row>
    <row r="60" spans="1:53" s="292" customFormat="1">
      <c r="A60" s="292">
        <v>2013</v>
      </c>
      <c r="B60" s="863">
        <v>41465</v>
      </c>
      <c r="C60" s="916" t="s">
        <v>1258</v>
      </c>
      <c r="D60" s="916"/>
      <c r="E60" s="292">
        <f>365-E59-E58</f>
        <v>175</v>
      </c>
      <c r="F60" s="292">
        <v>2</v>
      </c>
      <c r="G60" s="425"/>
      <c r="H60" s="449">
        <v>1</v>
      </c>
      <c r="I60" s="449"/>
      <c r="J60" s="427">
        <v>15</v>
      </c>
      <c r="K60" s="423">
        <f t="shared" si="9"/>
        <v>0</v>
      </c>
      <c r="L60" s="423">
        <f t="shared" si="10"/>
        <v>6.666666666666667</v>
      </c>
      <c r="M60" s="423">
        <f t="shared" si="11"/>
        <v>0</v>
      </c>
      <c r="N60" s="426">
        <f>SUM(K60:M60)</f>
        <v>6.666666666666667</v>
      </c>
      <c r="O60" s="422">
        <v>0</v>
      </c>
      <c r="P60" s="423">
        <v>0</v>
      </c>
      <c r="Q60" s="423">
        <v>0</v>
      </c>
      <c r="R60" s="424">
        <f>SUM(O60:Q60)</f>
        <v>0</v>
      </c>
      <c r="S60" s="292">
        <v>7</v>
      </c>
      <c r="T60" s="838"/>
      <c r="U60" s="836">
        <v>41465</v>
      </c>
      <c r="V60" s="379" t="s">
        <v>1264</v>
      </c>
      <c r="Y60" s="300"/>
      <c r="AD60" s="299"/>
      <c r="AG60" s="300"/>
      <c r="AL60" s="299"/>
      <c r="AO60" s="300"/>
      <c r="AP60" s="299"/>
      <c r="AS60" s="300"/>
      <c r="AW60" s="300"/>
      <c r="BA60" s="301"/>
    </row>
    <row r="61" spans="1:53" s="445" customFormat="1">
      <c r="A61" s="445">
        <v>2014</v>
      </c>
      <c r="B61" s="863"/>
      <c r="C61" s="916" t="s">
        <v>1258</v>
      </c>
      <c r="D61" s="916"/>
      <c r="E61" s="445">
        <v>28</v>
      </c>
      <c r="G61" s="425"/>
      <c r="H61" s="449">
        <v>1</v>
      </c>
      <c r="I61" s="449"/>
      <c r="J61" s="427">
        <v>15</v>
      </c>
      <c r="K61" s="423">
        <f t="shared" si="9"/>
        <v>0</v>
      </c>
      <c r="L61" s="423">
        <f t="shared" si="10"/>
        <v>6.666666666666667</v>
      </c>
      <c r="M61" s="423">
        <f t="shared" si="11"/>
        <v>0</v>
      </c>
      <c r="N61" s="426">
        <f>SUM(K61:M61)</f>
        <v>6.666666666666667</v>
      </c>
      <c r="O61" s="422">
        <v>0</v>
      </c>
      <c r="P61" s="423">
        <v>0</v>
      </c>
      <c r="Q61" s="423">
        <v>0</v>
      </c>
      <c r="R61" s="424">
        <f>SUM(O61:Q61)</f>
        <v>0</v>
      </c>
      <c r="S61" s="445">
        <v>7</v>
      </c>
      <c r="T61" s="838"/>
      <c r="U61" s="836"/>
      <c r="V61" s="379" t="s">
        <v>1264</v>
      </c>
      <c r="Y61" s="418"/>
      <c r="AD61" s="417"/>
      <c r="AG61" s="418"/>
      <c r="AL61" s="417"/>
      <c r="AO61" s="418"/>
      <c r="AP61" s="417"/>
      <c r="AS61" s="418"/>
      <c r="AW61" s="418"/>
      <c r="BA61" s="419"/>
    </row>
    <row r="62" spans="1:53" s="444" customFormat="1">
      <c r="A62" s="444">
        <v>2014</v>
      </c>
      <c r="B62" s="830">
        <v>41668</v>
      </c>
      <c r="C62" s="917" t="s">
        <v>1289</v>
      </c>
      <c r="D62" s="917"/>
      <c r="E62" s="444">
        <v>337</v>
      </c>
      <c r="F62" s="444">
        <v>1</v>
      </c>
      <c r="G62" s="411">
        <v>6</v>
      </c>
      <c r="H62" s="448">
        <v>3</v>
      </c>
      <c r="I62" s="448">
        <v>8</v>
      </c>
      <c r="J62" s="413">
        <v>17</v>
      </c>
      <c r="K62" s="409">
        <f t="shared" si="9"/>
        <v>35.294117647058826</v>
      </c>
      <c r="L62" s="409">
        <f t="shared" si="10"/>
        <v>17.647058823529413</v>
      </c>
      <c r="M62" s="409">
        <f t="shared" si="11"/>
        <v>47.058823529411761</v>
      </c>
      <c r="N62" s="412">
        <f>SUM(K62:M62)</f>
        <v>100</v>
      </c>
      <c r="O62" s="408">
        <v>23.5</v>
      </c>
      <c r="P62" s="409">
        <v>7</v>
      </c>
      <c r="Q62" s="409">
        <v>25</v>
      </c>
      <c r="R62" s="410">
        <f>SUM(O62:Q62)</f>
        <v>55.5</v>
      </c>
      <c r="S62" s="444">
        <v>2</v>
      </c>
      <c r="T62" s="839">
        <v>41573</v>
      </c>
      <c r="U62" s="852">
        <v>41668</v>
      </c>
      <c r="V62" s="405" t="s">
        <v>1079</v>
      </c>
      <c r="W62" s="444" t="s">
        <v>20</v>
      </c>
      <c r="X62" s="444" t="s">
        <v>12</v>
      </c>
      <c r="Y62" s="406">
        <v>25</v>
      </c>
      <c r="Z62" s="444" t="s">
        <v>889</v>
      </c>
      <c r="AA62" s="444" t="s">
        <v>1315</v>
      </c>
      <c r="AB62" s="444" t="s">
        <v>11</v>
      </c>
      <c r="AC62" s="444">
        <v>23.5</v>
      </c>
      <c r="AD62" s="405" t="s">
        <v>1076</v>
      </c>
      <c r="AE62" s="444" t="s">
        <v>17</v>
      </c>
      <c r="AF62" s="444" t="s">
        <v>18</v>
      </c>
      <c r="AG62" s="406">
        <v>7</v>
      </c>
      <c r="AL62" s="405"/>
      <c r="AO62" s="406"/>
      <c r="AP62" s="405"/>
      <c r="AS62" s="406"/>
      <c r="AW62" s="406"/>
      <c r="BA62" s="407"/>
    </row>
    <row r="63" spans="1:53" s="581" customFormat="1">
      <c r="A63" s="581">
        <v>2015</v>
      </c>
      <c r="B63" s="830"/>
      <c r="C63" s="917" t="s">
        <v>1289</v>
      </c>
      <c r="D63" s="917"/>
      <c r="E63" s="581">
        <v>0</v>
      </c>
      <c r="G63" s="498">
        <v>6</v>
      </c>
      <c r="H63" s="581">
        <v>3</v>
      </c>
      <c r="I63" s="581">
        <v>8</v>
      </c>
      <c r="J63" s="500">
        <v>17</v>
      </c>
      <c r="K63" s="496">
        <f t="shared" ref="K63:K65" si="12">G63/J63*100</f>
        <v>35.294117647058826</v>
      </c>
      <c r="L63" s="496">
        <f t="shared" ref="L63:L65" si="13">H63/J63*100</f>
        <v>17.647058823529413</v>
      </c>
      <c r="M63" s="496">
        <f t="shared" ref="M63:M65" si="14">I63/J63*100</f>
        <v>47.058823529411761</v>
      </c>
      <c r="N63" s="499">
        <f t="shared" ref="N63:N65" si="15">SUM(K63:M63)</f>
        <v>100</v>
      </c>
      <c r="O63" s="495">
        <v>23.5</v>
      </c>
      <c r="P63" s="496">
        <v>7</v>
      </c>
      <c r="Q63" s="496">
        <v>25</v>
      </c>
      <c r="R63" s="497">
        <f t="shared" ref="R63:R65" si="16">SUM(O63:Q63)</f>
        <v>55.5</v>
      </c>
      <c r="S63" s="581">
        <v>2</v>
      </c>
      <c r="T63" s="839"/>
      <c r="U63" s="852"/>
      <c r="V63" s="492" t="s">
        <v>1079</v>
      </c>
      <c r="W63" s="581" t="s">
        <v>20</v>
      </c>
      <c r="X63" s="581" t="s">
        <v>12</v>
      </c>
      <c r="Y63" s="493">
        <v>25</v>
      </c>
      <c r="Z63" s="581" t="s">
        <v>889</v>
      </c>
      <c r="AA63" s="581" t="s">
        <v>1315</v>
      </c>
      <c r="AB63" s="581" t="s">
        <v>11</v>
      </c>
      <c r="AC63" s="581">
        <v>23.5</v>
      </c>
      <c r="AD63" s="492" t="s">
        <v>1076</v>
      </c>
      <c r="AE63" s="581" t="s">
        <v>17</v>
      </c>
      <c r="AF63" s="581" t="s">
        <v>18</v>
      </c>
      <c r="AG63" s="493">
        <v>7</v>
      </c>
      <c r="AL63" s="492"/>
      <c r="AO63" s="493"/>
      <c r="AP63" s="492"/>
      <c r="AS63" s="493"/>
      <c r="AW63" s="493"/>
      <c r="BA63" s="494"/>
    </row>
    <row r="64" spans="1:53" s="581" customFormat="1">
      <c r="A64" s="581">
        <v>2015</v>
      </c>
      <c r="B64" s="830"/>
      <c r="C64" s="917" t="s">
        <v>1289</v>
      </c>
      <c r="D64" s="917"/>
      <c r="E64" s="581">
        <v>365</v>
      </c>
      <c r="G64" s="498">
        <v>6</v>
      </c>
      <c r="H64" s="581">
        <v>3</v>
      </c>
      <c r="I64" s="581">
        <v>8</v>
      </c>
      <c r="J64" s="500">
        <v>17</v>
      </c>
      <c r="K64" s="496">
        <f t="shared" si="12"/>
        <v>35.294117647058826</v>
      </c>
      <c r="L64" s="496">
        <f t="shared" si="13"/>
        <v>17.647058823529413</v>
      </c>
      <c r="M64" s="496">
        <f t="shared" si="14"/>
        <v>47.058823529411761</v>
      </c>
      <c r="N64" s="499">
        <f t="shared" si="15"/>
        <v>100</v>
      </c>
      <c r="O64" s="495">
        <v>23.5</v>
      </c>
      <c r="P64" s="496">
        <v>7</v>
      </c>
      <c r="Q64" s="496">
        <v>25</v>
      </c>
      <c r="R64" s="497">
        <f t="shared" si="16"/>
        <v>55.5</v>
      </c>
      <c r="S64" s="581">
        <v>2</v>
      </c>
      <c r="T64" s="839"/>
      <c r="U64" s="852"/>
      <c r="V64" s="492" t="s">
        <v>1079</v>
      </c>
      <c r="W64" s="581" t="s">
        <v>20</v>
      </c>
      <c r="X64" s="581" t="s">
        <v>12</v>
      </c>
      <c r="Y64" s="493">
        <v>25</v>
      </c>
      <c r="Z64" s="581" t="s">
        <v>889</v>
      </c>
      <c r="AA64" s="581" t="s">
        <v>1315</v>
      </c>
      <c r="AB64" s="581" t="s">
        <v>11</v>
      </c>
      <c r="AC64" s="581">
        <v>23.5</v>
      </c>
      <c r="AD64" s="492" t="s">
        <v>1076</v>
      </c>
      <c r="AE64" s="581" t="s">
        <v>17</v>
      </c>
      <c r="AF64" s="581" t="s">
        <v>18</v>
      </c>
      <c r="AG64" s="493">
        <v>7</v>
      </c>
      <c r="AL64" s="492"/>
      <c r="AO64" s="493"/>
      <c r="AP64" s="492"/>
      <c r="AS64" s="493"/>
      <c r="AW64" s="493"/>
      <c r="BA64" s="494"/>
    </row>
    <row r="65" spans="1:53" s="659" customFormat="1">
      <c r="A65" s="659">
        <v>2016</v>
      </c>
      <c r="B65" s="830"/>
      <c r="C65" s="917" t="s">
        <v>1289</v>
      </c>
      <c r="D65" s="917"/>
      <c r="E65" s="659">
        <v>0</v>
      </c>
      <c r="G65" s="498">
        <v>6</v>
      </c>
      <c r="H65" s="659">
        <v>3</v>
      </c>
      <c r="I65" s="659">
        <v>8</v>
      </c>
      <c r="J65" s="500">
        <v>17</v>
      </c>
      <c r="K65" s="496">
        <f t="shared" si="12"/>
        <v>35.294117647058826</v>
      </c>
      <c r="L65" s="496">
        <f t="shared" si="13"/>
        <v>17.647058823529413</v>
      </c>
      <c r="M65" s="496">
        <f t="shared" si="14"/>
        <v>47.058823529411761</v>
      </c>
      <c r="N65" s="499">
        <f t="shared" si="15"/>
        <v>100</v>
      </c>
      <c r="O65" s="495">
        <v>23.5</v>
      </c>
      <c r="P65" s="496">
        <v>7</v>
      </c>
      <c r="Q65" s="496">
        <v>25</v>
      </c>
      <c r="R65" s="497">
        <f t="shared" si="16"/>
        <v>55.5</v>
      </c>
      <c r="S65" s="659">
        <v>2</v>
      </c>
      <c r="T65" s="839"/>
      <c r="U65" s="852"/>
      <c r="V65" s="492" t="s">
        <v>1079</v>
      </c>
      <c r="W65" s="659" t="s">
        <v>20</v>
      </c>
      <c r="X65" s="659" t="s">
        <v>12</v>
      </c>
      <c r="Y65" s="493">
        <v>25</v>
      </c>
      <c r="Z65" s="659" t="s">
        <v>889</v>
      </c>
      <c r="AA65" s="659" t="s">
        <v>1315</v>
      </c>
      <c r="AB65" s="659" t="s">
        <v>11</v>
      </c>
      <c r="AC65" s="659">
        <v>23.5</v>
      </c>
      <c r="AD65" s="492" t="s">
        <v>1076</v>
      </c>
      <c r="AE65" s="659" t="s">
        <v>17</v>
      </c>
      <c r="AF65" s="659" t="s">
        <v>18</v>
      </c>
      <c r="AG65" s="493">
        <v>7</v>
      </c>
      <c r="AL65" s="492"/>
      <c r="AO65" s="493"/>
      <c r="AP65" s="492"/>
      <c r="AS65" s="493"/>
      <c r="AW65" s="493"/>
      <c r="BA65" s="494"/>
    </row>
    <row r="66" spans="1:53" s="659" customFormat="1">
      <c r="A66" s="659">
        <v>2016</v>
      </c>
      <c r="B66" s="830"/>
      <c r="C66" s="917" t="s">
        <v>1289</v>
      </c>
      <c r="D66" s="917"/>
      <c r="E66" s="659">
        <v>366</v>
      </c>
      <c r="G66" s="498">
        <v>6</v>
      </c>
      <c r="H66" s="659">
        <v>3</v>
      </c>
      <c r="I66" s="659">
        <v>8</v>
      </c>
      <c r="J66" s="500">
        <v>17</v>
      </c>
      <c r="K66" s="496">
        <f t="shared" ref="K66" si="17">G66/J66*100</f>
        <v>35.294117647058826</v>
      </c>
      <c r="L66" s="496">
        <f t="shared" ref="L66" si="18">H66/J66*100</f>
        <v>17.647058823529413</v>
      </c>
      <c r="M66" s="496">
        <f t="shared" ref="M66" si="19">I66/J66*100</f>
        <v>47.058823529411761</v>
      </c>
      <c r="N66" s="499">
        <f t="shared" ref="N66" si="20">SUM(K66:M66)</f>
        <v>100</v>
      </c>
      <c r="O66" s="495">
        <v>23.5</v>
      </c>
      <c r="P66" s="496">
        <v>7</v>
      </c>
      <c r="Q66" s="496">
        <v>25</v>
      </c>
      <c r="R66" s="497">
        <f t="shared" ref="R66" si="21">SUM(O66:Q66)</f>
        <v>55.5</v>
      </c>
      <c r="S66" s="659">
        <v>2</v>
      </c>
      <c r="T66" s="839"/>
      <c r="U66" s="852"/>
      <c r="V66" s="492" t="s">
        <v>1079</v>
      </c>
      <c r="W66" s="659" t="s">
        <v>20</v>
      </c>
      <c r="X66" s="659" t="s">
        <v>12</v>
      </c>
      <c r="Y66" s="493">
        <v>25</v>
      </c>
      <c r="Z66" s="659" t="s">
        <v>889</v>
      </c>
      <c r="AA66" s="659" t="s">
        <v>1315</v>
      </c>
      <c r="AB66" s="659" t="s">
        <v>11</v>
      </c>
      <c r="AC66" s="659">
        <v>23.5</v>
      </c>
      <c r="AD66" s="492" t="s">
        <v>1076</v>
      </c>
      <c r="AE66" s="659" t="s">
        <v>17</v>
      </c>
      <c r="AF66" s="659" t="s">
        <v>18</v>
      </c>
      <c r="AG66" s="493">
        <v>7</v>
      </c>
      <c r="AL66" s="492"/>
      <c r="AO66" s="493"/>
      <c r="AP66" s="492"/>
      <c r="AS66" s="493"/>
      <c r="AW66" s="493"/>
      <c r="BA66" s="494"/>
    </row>
    <row r="67" spans="1:53" s="727" customFormat="1">
      <c r="A67" s="727">
        <v>2017</v>
      </c>
      <c r="B67" s="830"/>
      <c r="C67" s="917" t="s">
        <v>1289</v>
      </c>
      <c r="D67" s="917"/>
      <c r="E67" s="727">
        <v>346</v>
      </c>
      <c r="G67" s="498">
        <v>6</v>
      </c>
      <c r="H67" s="727">
        <v>3</v>
      </c>
      <c r="I67" s="727">
        <v>8</v>
      </c>
      <c r="J67" s="500">
        <v>17</v>
      </c>
      <c r="K67" s="496">
        <f t="shared" ref="K67" si="22">G67/J67*100</f>
        <v>35.294117647058826</v>
      </c>
      <c r="L67" s="496">
        <f t="shared" ref="L67" si="23">H67/J67*100</f>
        <v>17.647058823529413</v>
      </c>
      <c r="M67" s="496">
        <f t="shared" ref="M67" si="24">I67/J67*100</f>
        <v>47.058823529411761</v>
      </c>
      <c r="N67" s="499">
        <f t="shared" ref="N67" si="25">SUM(K67:M67)</f>
        <v>100</v>
      </c>
      <c r="O67" s="495">
        <v>23.5</v>
      </c>
      <c r="P67" s="496">
        <v>7</v>
      </c>
      <c r="Q67" s="496">
        <v>25</v>
      </c>
      <c r="R67" s="497">
        <f t="shared" ref="R67:R68" si="26">SUM(O67:Q67)</f>
        <v>55.5</v>
      </c>
      <c r="S67" s="727">
        <v>2</v>
      </c>
      <c r="T67" s="839"/>
      <c r="U67" s="852"/>
      <c r="V67" s="492" t="s">
        <v>1079</v>
      </c>
      <c r="W67" s="727" t="s">
        <v>20</v>
      </c>
      <c r="X67" s="727" t="s">
        <v>12</v>
      </c>
      <c r="Y67" s="493">
        <v>25</v>
      </c>
      <c r="Z67" s="727" t="s">
        <v>889</v>
      </c>
      <c r="AA67" s="727" t="s">
        <v>1315</v>
      </c>
      <c r="AB67" s="727" t="s">
        <v>11</v>
      </c>
      <c r="AC67" s="727">
        <v>23.5</v>
      </c>
      <c r="AD67" s="492" t="s">
        <v>1076</v>
      </c>
      <c r="AE67" s="727" t="s">
        <v>17</v>
      </c>
      <c r="AF67" s="727" t="s">
        <v>18</v>
      </c>
      <c r="AG67" s="493">
        <v>7</v>
      </c>
      <c r="AL67" s="492"/>
      <c r="AO67" s="493"/>
      <c r="AP67" s="492"/>
      <c r="AS67" s="493"/>
      <c r="AW67" s="493"/>
      <c r="BA67" s="494"/>
    </row>
    <row r="68" spans="1:53" s="731" customFormat="1">
      <c r="A68" s="731">
        <v>2017</v>
      </c>
      <c r="B68" s="863">
        <v>43082</v>
      </c>
      <c r="C68" s="916" t="s">
        <v>1372</v>
      </c>
      <c r="D68" s="916"/>
      <c r="E68" s="731">
        <v>19</v>
      </c>
      <c r="F68" s="731">
        <v>1</v>
      </c>
      <c r="G68" s="539">
        <v>15</v>
      </c>
      <c r="J68" s="541">
        <v>15</v>
      </c>
      <c r="K68" s="537">
        <f t="shared" ref="K68:K69" si="27">G68/J68*100</f>
        <v>100</v>
      </c>
      <c r="L68" s="537">
        <f t="shared" ref="L68:L69" si="28">H68/J68*100</f>
        <v>0</v>
      </c>
      <c r="M68" s="537">
        <f t="shared" ref="M68:M69" si="29">I68/J68*100</f>
        <v>0</v>
      </c>
      <c r="N68" s="540">
        <f t="shared" ref="N68:N69" si="30">SUM(K68:M68)</f>
        <v>100</v>
      </c>
      <c r="O68" s="536">
        <v>39</v>
      </c>
      <c r="P68" s="537">
        <v>0</v>
      </c>
      <c r="Q68" s="537">
        <v>0</v>
      </c>
      <c r="R68" s="538">
        <f t="shared" si="26"/>
        <v>39</v>
      </c>
      <c r="S68" s="731">
        <v>4</v>
      </c>
      <c r="T68" s="838">
        <v>43029</v>
      </c>
      <c r="U68" s="836">
        <v>43082</v>
      </c>
      <c r="V68" s="532" t="s">
        <v>889</v>
      </c>
      <c r="W68" s="731" t="s">
        <v>1315</v>
      </c>
      <c r="X68" s="731" t="s">
        <v>11</v>
      </c>
      <c r="Y68" s="533">
        <v>39</v>
      </c>
      <c r="AD68" s="532"/>
      <c r="AG68" s="533"/>
      <c r="AL68" s="532"/>
      <c r="AO68" s="533"/>
      <c r="AP68" s="532"/>
      <c r="AS68" s="533"/>
      <c r="AW68" s="533"/>
      <c r="BA68" s="534"/>
    </row>
    <row r="69" spans="1:53" s="759" customFormat="1">
      <c r="A69" s="759">
        <v>2018</v>
      </c>
      <c r="B69" s="863"/>
      <c r="C69" s="916" t="s">
        <v>1372</v>
      </c>
      <c r="D69" s="916"/>
      <c r="E69" s="759">
        <v>177</v>
      </c>
      <c r="G69" s="539">
        <v>15</v>
      </c>
      <c r="J69" s="541">
        <v>15</v>
      </c>
      <c r="K69" s="537">
        <f t="shared" si="27"/>
        <v>100</v>
      </c>
      <c r="L69" s="537">
        <f t="shared" si="28"/>
        <v>0</v>
      </c>
      <c r="M69" s="537">
        <f t="shared" si="29"/>
        <v>0</v>
      </c>
      <c r="N69" s="540">
        <f t="shared" si="30"/>
        <v>100</v>
      </c>
      <c r="O69" s="536">
        <v>39</v>
      </c>
      <c r="P69" s="537">
        <v>0</v>
      </c>
      <c r="Q69" s="537">
        <v>0</v>
      </c>
      <c r="R69" s="538">
        <f t="shared" ref="R69:R70" si="31">SUM(O69:Q69)</f>
        <v>39</v>
      </c>
      <c r="S69" s="759">
        <v>4</v>
      </c>
      <c r="T69" s="838"/>
      <c r="U69" s="836"/>
      <c r="V69" s="532" t="s">
        <v>889</v>
      </c>
      <c r="W69" s="759" t="s">
        <v>1315</v>
      </c>
      <c r="X69" s="759" t="s">
        <v>11</v>
      </c>
      <c r="Y69" s="533">
        <v>39</v>
      </c>
      <c r="AD69" s="532"/>
      <c r="AG69" s="533"/>
      <c r="AL69" s="532"/>
      <c r="AO69" s="533"/>
      <c r="AP69" s="532"/>
      <c r="AS69" s="533"/>
      <c r="AW69" s="533"/>
      <c r="BA69" s="534"/>
    </row>
    <row r="70" spans="1:53" s="760" customFormat="1">
      <c r="A70" s="760">
        <v>2018</v>
      </c>
      <c r="B70" s="830">
        <v>43278</v>
      </c>
      <c r="C70" s="917" t="s">
        <v>1396</v>
      </c>
      <c r="D70" s="917"/>
      <c r="E70" s="760">
        <v>188</v>
      </c>
      <c r="F70" s="760">
        <v>1</v>
      </c>
      <c r="G70" s="498">
        <v>10</v>
      </c>
      <c r="I70" s="760">
        <v>5</v>
      </c>
      <c r="J70" s="500">
        <v>15</v>
      </c>
      <c r="K70" s="496">
        <f t="shared" ref="K70" si="32">G70/J70*100</f>
        <v>66.666666666666657</v>
      </c>
      <c r="L70" s="496">
        <f t="shared" ref="L70" si="33">H70/J70*100</f>
        <v>0</v>
      </c>
      <c r="M70" s="496">
        <f t="shared" ref="M70" si="34">I70/J70*100</f>
        <v>33.333333333333329</v>
      </c>
      <c r="N70" s="499">
        <f t="shared" ref="N70" si="35">SUM(K70:M70)</f>
        <v>99.999999999999986</v>
      </c>
      <c r="O70" s="495">
        <v>39</v>
      </c>
      <c r="P70" s="496">
        <v>0</v>
      </c>
      <c r="Q70" s="496">
        <v>7.5</v>
      </c>
      <c r="R70" s="497">
        <f t="shared" si="31"/>
        <v>46.5</v>
      </c>
      <c r="S70" s="760">
        <v>5</v>
      </c>
      <c r="T70" s="839"/>
      <c r="U70" s="830">
        <v>43278</v>
      </c>
      <c r="V70" s="492" t="s">
        <v>889</v>
      </c>
      <c r="W70" s="760" t="s">
        <v>1315</v>
      </c>
      <c r="X70" s="760" t="s">
        <v>11</v>
      </c>
      <c r="Y70" s="493">
        <v>39</v>
      </c>
      <c r="Z70" s="760" t="s">
        <v>1079</v>
      </c>
      <c r="AA70" s="760" t="s">
        <v>20</v>
      </c>
      <c r="AB70" s="760" t="s">
        <v>12</v>
      </c>
      <c r="AC70" s="760">
        <v>7.5</v>
      </c>
      <c r="AD70" s="492"/>
      <c r="AG70" s="493"/>
      <c r="AL70" s="492"/>
      <c r="AO70" s="493"/>
      <c r="AP70" s="492"/>
      <c r="AS70" s="493"/>
      <c r="AW70" s="493"/>
      <c r="BA70" s="494"/>
    </row>
    <row r="71" spans="1:53" s="727" customFormat="1">
      <c r="A71" s="727">
        <v>2019</v>
      </c>
      <c r="B71" s="830"/>
      <c r="C71" s="917" t="s">
        <v>1396</v>
      </c>
      <c r="D71" s="917"/>
      <c r="E71" s="787">
        <v>0</v>
      </c>
      <c r="F71" s="787"/>
      <c r="G71" s="498">
        <v>10</v>
      </c>
      <c r="H71" s="787"/>
      <c r="I71" s="787">
        <v>5</v>
      </c>
      <c r="J71" s="500">
        <v>15</v>
      </c>
      <c r="K71" s="496">
        <f t="shared" ref="K71:K72" si="36">G71/J71*100</f>
        <v>66.666666666666657</v>
      </c>
      <c r="L71" s="496">
        <f t="shared" ref="L71:L72" si="37">H71/J71*100</f>
        <v>0</v>
      </c>
      <c r="M71" s="496">
        <f t="shared" ref="M71:M72" si="38">I71/J71*100</f>
        <v>33.333333333333329</v>
      </c>
      <c r="N71" s="499">
        <f t="shared" ref="N71:N72" si="39">SUM(K71:M71)</f>
        <v>99.999999999999986</v>
      </c>
      <c r="O71" s="495">
        <v>39</v>
      </c>
      <c r="P71" s="496">
        <v>0</v>
      </c>
      <c r="Q71" s="496">
        <v>7.5</v>
      </c>
      <c r="R71" s="497">
        <f t="shared" ref="R71:R72" si="40">SUM(O71:Q71)</f>
        <v>46.5</v>
      </c>
      <c r="S71" s="787">
        <v>5</v>
      </c>
      <c r="T71" s="839"/>
      <c r="U71" s="830"/>
      <c r="V71" s="492" t="s">
        <v>889</v>
      </c>
      <c r="W71" s="787" t="s">
        <v>1315</v>
      </c>
      <c r="X71" s="787" t="s">
        <v>11</v>
      </c>
      <c r="Y71" s="493">
        <v>39</v>
      </c>
      <c r="Z71" s="787" t="s">
        <v>1079</v>
      </c>
      <c r="AA71" s="787" t="s">
        <v>20</v>
      </c>
      <c r="AB71" s="787" t="s">
        <v>12</v>
      </c>
      <c r="AC71" s="787">
        <v>7.5</v>
      </c>
      <c r="AD71" s="492"/>
      <c r="AG71" s="493"/>
      <c r="AL71" s="492"/>
      <c r="AO71" s="493"/>
      <c r="AP71" s="492"/>
      <c r="AS71" s="493"/>
      <c r="AW71" s="493"/>
      <c r="BA71" s="494"/>
    </row>
    <row r="72" spans="1:53" s="727" customFormat="1">
      <c r="A72" s="727">
        <v>2019</v>
      </c>
      <c r="B72" s="830"/>
      <c r="C72" s="917" t="s">
        <v>1396</v>
      </c>
      <c r="D72" s="917"/>
      <c r="E72" s="787">
        <v>365</v>
      </c>
      <c r="F72" s="787"/>
      <c r="G72" s="498">
        <v>10</v>
      </c>
      <c r="H72" s="787"/>
      <c r="I72" s="787">
        <v>5</v>
      </c>
      <c r="J72" s="500">
        <v>15</v>
      </c>
      <c r="K72" s="496">
        <f t="shared" si="36"/>
        <v>66.666666666666657</v>
      </c>
      <c r="L72" s="496">
        <f t="shared" si="37"/>
        <v>0</v>
      </c>
      <c r="M72" s="496">
        <f t="shared" si="38"/>
        <v>33.333333333333329</v>
      </c>
      <c r="N72" s="499">
        <f t="shared" si="39"/>
        <v>99.999999999999986</v>
      </c>
      <c r="O72" s="495">
        <v>39</v>
      </c>
      <c r="P72" s="496">
        <v>0</v>
      </c>
      <c r="Q72" s="496">
        <v>7.5</v>
      </c>
      <c r="R72" s="497">
        <f t="shared" si="40"/>
        <v>46.5</v>
      </c>
      <c r="S72" s="787">
        <v>5</v>
      </c>
      <c r="T72" s="839"/>
      <c r="U72" s="830"/>
      <c r="V72" s="492" t="s">
        <v>889</v>
      </c>
      <c r="W72" s="787" t="s">
        <v>1315</v>
      </c>
      <c r="X72" s="787" t="s">
        <v>11</v>
      </c>
      <c r="Y72" s="493">
        <v>39</v>
      </c>
      <c r="Z72" s="787" t="s">
        <v>1079</v>
      </c>
      <c r="AA72" s="787" t="s">
        <v>20</v>
      </c>
      <c r="AB72" s="787" t="s">
        <v>12</v>
      </c>
      <c r="AC72" s="787">
        <v>7.5</v>
      </c>
      <c r="AD72" s="492"/>
      <c r="AG72" s="493"/>
      <c r="AL72" s="492"/>
      <c r="AO72" s="493"/>
      <c r="AP72" s="492"/>
      <c r="AS72" s="493"/>
      <c r="AW72" s="493"/>
      <c r="BA72" s="494"/>
    </row>
    <row r="73" spans="1:53">
      <c r="C73" s="917"/>
      <c r="D73" s="917"/>
      <c r="K73" s="496"/>
      <c r="L73" s="496"/>
      <c r="M73" s="496"/>
      <c r="N73" s="499"/>
    </row>
    <row r="74" spans="1:53" s="2" customFormat="1" ht="18" customHeight="1">
      <c r="B74" s="22" t="s">
        <v>1269</v>
      </c>
    </row>
    <row r="75" spans="1:53" s="2" customFormat="1" ht="9" customHeight="1"/>
    <row r="76" spans="1:53" s="317" customFormat="1" ht="9" customHeight="1">
      <c r="A76" s="315"/>
      <c r="B76" s="316" t="s">
        <v>1220</v>
      </c>
      <c r="C76" s="316"/>
      <c r="D76" s="316"/>
      <c r="E76" s="316"/>
      <c r="F76" s="316"/>
      <c r="G76" s="316" t="s">
        <v>1221</v>
      </c>
      <c r="H76" s="316"/>
      <c r="I76" s="316"/>
      <c r="J76" s="316"/>
      <c r="K76" s="316"/>
      <c r="L76" s="316"/>
      <c r="M76" s="316"/>
      <c r="N76" s="316"/>
      <c r="R76" s="895" t="s">
        <v>1222</v>
      </c>
      <c r="S76" s="895"/>
      <c r="T76" s="895"/>
      <c r="U76" s="895"/>
      <c r="V76" s="895"/>
      <c r="W76" s="895"/>
      <c r="X76" s="318"/>
      <c r="Y76" s="318"/>
      <c r="AA76" s="318"/>
      <c r="AB76" s="318"/>
      <c r="AC76" s="318"/>
      <c r="AD76" s="318"/>
    </row>
    <row r="77" spans="1:53" s="322" customFormat="1" ht="9" customHeight="1">
      <c r="A77" s="319"/>
      <c r="B77" s="320" t="s">
        <v>1224</v>
      </c>
      <c r="C77" s="321"/>
      <c r="D77" s="321"/>
      <c r="E77" s="321"/>
      <c r="F77" s="321"/>
      <c r="G77" s="320" t="s">
        <v>1223</v>
      </c>
      <c r="H77" s="321"/>
      <c r="I77" s="321"/>
      <c r="J77" s="321"/>
      <c r="K77" s="321"/>
      <c r="L77" s="321"/>
      <c r="M77" s="321"/>
      <c r="N77" s="321"/>
      <c r="R77" s="323" t="s">
        <v>1225</v>
      </c>
      <c r="S77" s="324"/>
      <c r="T77" s="325"/>
      <c r="U77" s="325"/>
      <c r="V77" s="325"/>
      <c r="W77" s="323" t="s">
        <v>1226</v>
      </c>
      <c r="X77" s="325"/>
      <c r="Y77" s="325"/>
      <c r="AA77" s="325"/>
      <c r="AB77" s="325"/>
      <c r="AC77" s="325"/>
      <c r="AD77" s="325"/>
    </row>
    <row r="78" spans="1:53" s="307" customFormat="1" ht="12" customHeight="1">
      <c r="A78" s="326" t="s">
        <v>3</v>
      </c>
      <c r="B78" s="327" t="s">
        <v>8</v>
      </c>
      <c r="C78" s="327" t="s">
        <v>9</v>
      </c>
      <c r="D78" s="327" t="s">
        <v>10</v>
      </c>
      <c r="E78" s="328" t="s">
        <v>1200</v>
      </c>
      <c r="F78" s="327"/>
      <c r="G78" s="307" t="s">
        <v>3</v>
      </c>
      <c r="H78" s="896" t="s">
        <v>0</v>
      </c>
      <c r="I78" s="896"/>
      <c r="J78" s="896" t="s">
        <v>1</v>
      </c>
      <c r="K78" s="896"/>
      <c r="L78" s="896" t="s">
        <v>2</v>
      </c>
      <c r="M78" s="896"/>
      <c r="N78" s="897" t="s">
        <v>1200</v>
      </c>
      <c r="O78" s="897"/>
      <c r="P78" s="329"/>
      <c r="Q78" s="329"/>
      <c r="R78" s="330" t="s">
        <v>3</v>
      </c>
      <c r="S78" s="331" t="s">
        <v>136</v>
      </c>
      <c r="T78" s="329" t="s">
        <v>134</v>
      </c>
      <c r="U78" s="327" t="s">
        <v>135</v>
      </c>
      <c r="V78" s="329"/>
      <c r="W78" s="332" t="s">
        <v>26</v>
      </c>
    </row>
    <row r="79" spans="1:53">
      <c r="A79" s="1">
        <v>1990</v>
      </c>
      <c r="B79" s="8">
        <f>(K7*($E7/189))</f>
        <v>47.619047619047613</v>
      </c>
      <c r="C79" s="8">
        <f>(L7*($E7/189))</f>
        <v>14.285714285714285</v>
      </c>
      <c r="D79" s="8">
        <f>(M7*($E7/189))</f>
        <v>0</v>
      </c>
      <c r="E79" s="65">
        <f>SUM(B79:D79)</f>
        <v>61.904761904761898</v>
      </c>
      <c r="G79" s="1">
        <v>1990</v>
      </c>
      <c r="H79" s="894">
        <f>(O7/$R7*100*($E7/189))</f>
        <v>75.903614457831324</v>
      </c>
      <c r="I79" s="894"/>
      <c r="J79" s="894">
        <f>(P7/$R7*100*($E7/189))</f>
        <v>24.096385542168676</v>
      </c>
      <c r="K79" s="894"/>
      <c r="L79" s="894">
        <f>(Q7/$R7*100*($E7/189))</f>
        <v>0</v>
      </c>
      <c r="M79" s="894"/>
      <c r="N79" s="887">
        <f>SUM(H79:M79)</f>
        <v>100</v>
      </c>
      <c r="O79" s="887"/>
      <c r="R79" s="1">
        <v>1990</v>
      </c>
      <c r="S79" s="8">
        <f>(O7*($E7/189))</f>
        <v>63</v>
      </c>
      <c r="T79" s="8">
        <f>(P7*($E7/189))</f>
        <v>20</v>
      </c>
      <c r="U79" s="8">
        <f>(Q7*($E7/189))</f>
        <v>0</v>
      </c>
      <c r="W79" s="14">
        <f>SUM(S79:U79)</f>
        <v>83</v>
      </c>
      <c r="Y79" s="72" t="s">
        <v>1144</v>
      </c>
    </row>
    <row r="80" spans="1:53">
      <c r="A80" s="1">
        <v>1991</v>
      </c>
      <c r="B80" s="8">
        <f>(K8*($E8/365))+(K9*($E9/365))</f>
        <v>47.619047619047613</v>
      </c>
      <c r="C80" s="8">
        <f>(L8*($E8/365))+(L9*($E9/365))</f>
        <v>14.285714285714285</v>
      </c>
      <c r="D80" s="8">
        <f>(M8*($E8/365))+(M9*($E9/365))</f>
        <v>0</v>
      </c>
      <c r="E80" s="65">
        <f t="shared" ref="E80:E101" si="41">SUM(B80:D80)</f>
        <v>61.904761904761898</v>
      </c>
      <c r="G80" s="1">
        <v>1991</v>
      </c>
      <c r="H80" s="886">
        <f>(O8/$R8*100*($E8/365))+(O9/$R9*100*($E9/365))</f>
        <v>75.903614457831324</v>
      </c>
      <c r="I80" s="886"/>
      <c r="J80" s="886">
        <f>(P8/$R8*100*($E8/365))+(P9/$R9*100*($E9/365))</f>
        <v>24.096385542168676</v>
      </c>
      <c r="K80" s="886"/>
      <c r="L80" s="886">
        <f>(Q8/$R8*100*($E8/365))+(Q9/$R9*100*($E9/365))</f>
        <v>0</v>
      </c>
      <c r="M80" s="886"/>
      <c r="N80" s="887">
        <f t="shared" ref="N80:N101" si="42">SUM(H80:M80)</f>
        <v>100</v>
      </c>
      <c r="O80" s="887"/>
      <c r="R80" s="1">
        <v>1991</v>
      </c>
      <c r="S80" s="8">
        <f>(O8*($E8/365))+(O9*($E9/365))</f>
        <v>63</v>
      </c>
      <c r="T80" s="8">
        <f>(P8*($E8/365))+(P9*($E9/365))</f>
        <v>20</v>
      </c>
      <c r="U80" s="8">
        <f>(Q8*($E8/365))+(Q9*($E9/365))</f>
        <v>0</v>
      </c>
      <c r="W80" s="14">
        <f t="shared" ref="W80:W101" si="43">SUM(S80:U80)</f>
        <v>83</v>
      </c>
    </row>
    <row r="81" spans="1:23">
      <c r="A81" s="1">
        <v>1992</v>
      </c>
      <c r="B81" s="8">
        <f>(K10*($E10/366))+(K11*($E11/366))</f>
        <v>63.19761151512661</v>
      </c>
      <c r="C81" s="8">
        <f>(L10*($E10/366))+(L11*($E11/366))</f>
        <v>17.650684087267347</v>
      </c>
      <c r="D81" s="8">
        <f>(M10*($E10/366))+(M11*($E11/366))</f>
        <v>0</v>
      </c>
      <c r="E81" s="65">
        <f t="shared" si="41"/>
        <v>80.848295602393961</v>
      </c>
      <c r="G81" s="1">
        <v>1992</v>
      </c>
      <c r="H81" s="886">
        <f>(O10/$R10*100*($E10/366))+(O11/$R11*100*($E11/366))</f>
        <v>80.78214497333596</v>
      </c>
      <c r="I81" s="886"/>
      <c r="J81" s="886">
        <f>(P10/$R10*100*($E10/366))+(P11/$R11*100*($E11/366))</f>
        <v>19.217855026664033</v>
      </c>
      <c r="K81" s="886"/>
      <c r="L81" s="886">
        <f>(Q10/$R10*100*($E10/366))+(Q11/$R11*100*($E11/366))</f>
        <v>0</v>
      </c>
      <c r="M81" s="886"/>
      <c r="N81" s="887">
        <f t="shared" si="42"/>
        <v>100</v>
      </c>
      <c r="O81" s="887"/>
      <c r="R81" s="1">
        <v>1992</v>
      </c>
      <c r="S81" s="8">
        <f>(O10*($E10/366))+(O11*($E11/366))</f>
        <v>54.049180327868854</v>
      </c>
      <c r="T81" s="8">
        <f>(P10*($E10/366))+(P11*($E11/366))</f>
        <v>13.784153005464482</v>
      </c>
      <c r="U81" s="8">
        <f>(Q10*($E10/366))+(Q11*($E11/366))</f>
        <v>0</v>
      </c>
      <c r="W81" s="14">
        <f t="shared" si="43"/>
        <v>67.833333333333343</v>
      </c>
    </row>
    <row r="82" spans="1:23">
      <c r="A82" s="1">
        <v>1993</v>
      </c>
      <c r="B82" s="8">
        <f>(K12*($E12/365))+(K13*($E13/365))</f>
        <v>78.94736842105263</v>
      </c>
      <c r="C82" s="8">
        <f>(L12*($E12/365))+(L13*($E13/365))</f>
        <v>21.052631578947366</v>
      </c>
      <c r="D82" s="8">
        <f>(M12*($E12/365))+(M13*($E13/365))</f>
        <v>0</v>
      </c>
      <c r="E82" s="65">
        <f t="shared" si="41"/>
        <v>100</v>
      </c>
      <c r="G82" s="1">
        <v>1993</v>
      </c>
      <c r="H82" s="886">
        <f>(O12/$R12*100*($E12/365))+(O13/$R13*100*($E13/365))</f>
        <v>85.714285714285708</v>
      </c>
      <c r="I82" s="886"/>
      <c r="J82" s="886">
        <f>(P12/$R12*100*($E12/365))+(P13/$R13*100*($E13/365))</f>
        <v>14.285714285714285</v>
      </c>
      <c r="K82" s="886"/>
      <c r="L82" s="886">
        <f>(Q12/$R12*100*($E12/365))+(Q13/$R13*100*($E13/365))</f>
        <v>0</v>
      </c>
      <c r="M82" s="886"/>
      <c r="N82" s="887">
        <f t="shared" si="42"/>
        <v>100</v>
      </c>
      <c r="O82" s="887"/>
      <c r="R82" s="1">
        <v>1993</v>
      </c>
      <c r="S82" s="8">
        <f>(O12*($E12/365))+(O13*($E13/365))</f>
        <v>45</v>
      </c>
      <c r="T82" s="8">
        <f>(P12*($E12/365))+(P13*($E13/365))</f>
        <v>7.5</v>
      </c>
      <c r="U82" s="8">
        <f>(Q12*($E12/365))+(Q13*($E13/365))</f>
        <v>0</v>
      </c>
      <c r="W82" s="14">
        <f t="shared" si="43"/>
        <v>52.5</v>
      </c>
    </row>
    <row r="83" spans="1:23">
      <c r="A83" s="1">
        <v>1994</v>
      </c>
      <c r="B83" s="8">
        <f>(K14*($E14/365))+(K15*($E15/365))</f>
        <v>78.94736842105263</v>
      </c>
      <c r="C83" s="8">
        <f>(L14*($E14/365))+(L15*($E15/365))</f>
        <v>16.020187454938714</v>
      </c>
      <c r="D83" s="8">
        <f>(M14*($E14/365))+(M15*($E15/365))</f>
        <v>0</v>
      </c>
      <c r="E83" s="65">
        <f t="shared" si="41"/>
        <v>94.967555875991337</v>
      </c>
      <c r="G83" s="1">
        <v>1994</v>
      </c>
      <c r="H83" s="886">
        <f>(O14/$R14*100*($E14/365))+(O15/$R15*100*($E15/365))</f>
        <v>85.714285714285694</v>
      </c>
      <c r="I83" s="886"/>
      <c r="J83" s="886">
        <f>(P14/$R14*100*($E14/365))+(P15/$R15*100*($E15/365))</f>
        <v>14.285714285714285</v>
      </c>
      <c r="K83" s="886"/>
      <c r="L83" s="886">
        <f>(Q14/$R14*100*($E14/365))+(Q15/$R15*100*($E15/365))</f>
        <v>0</v>
      </c>
      <c r="M83" s="886"/>
      <c r="N83" s="887">
        <f t="shared" si="42"/>
        <v>99.999999999999972</v>
      </c>
      <c r="O83" s="887"/>
      <c r="R83" s="1">
        <v>1994</v>
      </c>
      <c r="S83" s="8">
        <f>(O14*($E14/365))+(O15*($E15/365))</f>
        <v>45</v>
      </c>
      <c r="T83" s="8">
        <f>(P14*($E14/365))+(P15*($E15/365))</f>
        <v>7.5</v>
      </c>
      <c r="U83" s="8">
        <f>(Q14*($E14/365))+(Q15*($E15/365))</f>
        <v>0</v>
      </c>
      <c r="W83" s="14">
        <f t="shared" si="43"/>
        <v>52.5</v>
      </c>
    </row>
    <row r="84" spans="1:23">
      <c r="A84" s="1">
        <v>1995</v>
      </c>
      <c r="B84" s="8">
        <f>(K16*($E16/365))+(K17*($E17/365))</f>
        <v>78.94736842105263</v>
      </c>
      <c r="C84" s="8">
        <f>(L16*($E16/365))+(L17*($E17/365))</f>
        <v>15.789473684210526</v>
      </c>
      <c r="D84" s="8">
        <f>(M16*($E16/365))+(M17*($E17/365))</f>
        <v>0</v>
      </c>
      <c r="E84" s="65">
        <f t="shared" si="41"/>
        <v>94.73684210526315</v>
      </c>
      <c r="G84" s="1">
        <v>1995</v>
      </c>
      <c r="H84" s="886">
        <f>(O16/$R16*100*($E16/365))+(O17/$R17*100*($E17/365))</f>
        <v>85.714285714285708</v>
      </c>
      <c r="I84" s="886"/>
      <c r="J84" s="886">
        <f>(P16/$R16*100*($E16/365))+(P17/$R17*100*($E17/365))</f>
        <v>14.285714285714285</v>
      </c>
      <c r="K84" s="886"/>
      <c r="L84" s="886">
        <f>(Q16/$R16*100*($E16/365))+(Q17/$R17*100*($E17/365))</f>
        <v>0</v>
      </c>
      <c r="M84" s="886"/>
      <c r="N84" s="887">
        <f t="shared" si="42"/>
        <v>100</v>
      </c>
      <c r="O84" s="887"/>
      <c r="R84" s="1">
        <v>1995</v>
      </c>
      <c r="S84" s="8">
        <f>(O16*($E16/365))+(O17*($E17/365))</f>
        <v>45</v>
      </c>
      <c r="T84" s="8">
        <f>(P16*($E16/365))+(P17*($E17/365))</f>
        <v>7.5</v>
      </c>
      <c r="U84" s="8">
        <f>(Q16*($E16/365))+(Q17*($E17/365))</f>
        <v>0</v>
      </c>
      <c r="W84" s="14">
        <f t="shared" si="43"/>
        <v>52.5</v>
      </c>
    </row>
    <row r="85" spans="1:23">
      <c r="A85" s="1">
        <v>1996</v>
      </c>
      <c r="B85" s="8">
        <f>(K18*($E18/366))+(K19*($E19/366))</f>
        <v>77.221742881794654</v>
      </c>
      <c r="C85" s="8">
        <f>(L18*($E18/366))+(L19*($E19/366))</f>
        <v>19.815933275812483</v>
      </c>
      <c r="D85" s="8">
        <f>(M18*($E18/366))+(M19*($E19/366))</f>
        <v>0</v>
      </c>
      <c r="E85" s="65">
        <f t="shared" si="41"/>
        <v>97.037676157607137</v>
      </c>
      <c r="G85" s="1">
        <v>1996</v>
      </c>
      <c r="H85" s="886">
        <f>(O18/$R18*100*($E18/366))+(O19/$R19*100*($E19/366))</f>
        <v>84.011070896316795</v>
      </c>
      <c r="I85" s="886"/>
      <c r="J85" s="886">
        <f>(P18/$R18*100*($E18/366))+(P19/$R19*100*($E19/366))</f>
        <v>15.988929103683201</v>
      </c>
      <c r="K85" s="886"/>
      <c r="L85" s="886">
        <f>(Q18/$R18*100*($E18/366))+(Q19/$R19*100*($E19/366))</f>
        <v>0</v>
      </c>
      <c r="M85" s="886"/>
      <c r="N85" s="887">
        <f t="shared" si="42"/>
        <v>100</v>
      </c>
      <c r="O85" s="887"/>
      <c r="R85" s="1">
        <v>1996</v>
      </c>
      <c r="S85" s="8">
        <f>(O18*($E18/366))+(O19*($E19/366))</f>
        <v>43.032786885245898</v>
      </c>
      <c r="T85" s="8">
        <f>(P18*($E18/366))+(P19*($E19/366))</f>
        <v>8.1557377049180317</v>
      </c>
      <c r="U85" s="8">
        <f>(Q18*($E18/366))+(Q19*($E19/366))</f>
        <v>0</v>
      </c>
      <c r="W85" s="14">
        <f t="shared" si="43"/>
        <v>51.188524590163929</v>
      </c>
    </row>
    <row r="86" spans="1:23">
      <c r="A86" s="1">
        <v>1997</v>
      </c>
      <c r="B86" s="8">
        <f>(K20*($E20/365))+(K21*($E21/365))</f>
        <v>74.075342465753423</v>
      </c>
      <c r="C86" s="8">
        <f>(L20*($E20/365))+(L21*($E21/365))</f>
        <v>25.000000000000004</v>
      </c>
      <c r="D86" s="8">
        <f>(M20*($E20/365))+(M21*($E21/365))</f>
        <v>0</v>
      </c>
      <c r="E86" s="65">
        <f t="shared" si="41"/>
        <v>99.075342465753423</v>
      </c>
      <c r="G86" s="1">
        <v>1997</v>
      </c>
      <c r="H86" s="886">
        <f>(O20/$R20*100*($E20/365))+(O21/$R21*100*($E21/365))</f>
        <v>81.818181818181827</v>
      </c>
      <c r="I86" s="886"/>
      <c r="J86" s="886">
        <f>(P20/$R20*100*($E20/365))+(P21/$R21*100*($E21/365))</f>
        <v>18.181818181818183</v>
      </c>
      <c r="K86" s="886"/>
      <c r="L86" s="886">
        <f>(Q20/$R20*100*($E20/365))+(Q21/$R21*100*($E21/365))</f>
        <v>0</v>
      </c>
      <c r="M86" s="886"/>
      <c r="N86" s="887">
        <f t="shared" si="42"/>
        <v>100.00000000000001</v>
      </c>
      <c r="O86" s="887"/>
      <c r="R86" s="1">
        <v>1997</v>
      </c>
      <c r="S86" s="8">
        <f>(O20*($E20/365))+(O21*($E21/365))</f>
        <v>40.5</v>
      </c>
      <c r="T86" s="8">
        <f>(P20*($E20/365))+(P21*($E21/365))</f>
        <v>9</v>
      </c>
      <c r="U86" s="8">
        <f>(Q20*($E20/365))+(Q21*($E21/365))</f>
        <v>0</v>
      </c>
      <c r="W86" s="14">
        <f t="shared" si="43"/>
        <v>49.5</v>
      </c>
    </row>
    <row r="87" spans="1:23">
      <c r="A87" s="1">
        <v>1998</v>
      </c>
      <c r="B87" s="8">
        <f>(K22*($E22/365))+(K23*($E23/365))+(K24*($E24/365))</f>
        <v>27.986502820306207</v>
      </c>
      <c r="C87" s="8">
        <f>(L22*($E22/365))+(L23*($E23/365))+(L24*($E24/365))</f>
        <v>11.663980660757456</v>
      </c>
      <c r="D87" s="8">
        <f>(M22*($E22/365))+(M23*($E23/365))+(M24*($E24/365))</f>
        <v>35.039653929343906</v>
      </c>
      <c r="E87" s="65">
        <f t="shared" si="41"/>
        <v>74.690137410407573</v>
      </c>
      <c r="G87" s="1">
        <v>1998</v>
      </c>
      <c r="H87" s="886">
        <f>(O22/$R22*100*($E22/365))+(O23/$R23*100*($E23/365))+(O24/$R24*100*($E24/365))</f>
        <v>51.556662515566636</v>
      </c>
      <c r="I87" s="886"/>
      <c r="J87" s="886">
        <f>(P22/$R22*100*($E22/365))+(P23/$R23*100*($E23/365))+(P24/$R24*100*($E24/365))</f>
        <v>11.457036114570363</v>
      </c>
      <c r="K87" s="886"/>
      <c r="L87" s="886">
        <f>(Q22/$R22*100*($E22/365))+(Q23/$R23*100*($E23/365))+(Q24/$R24*100*($E24/365))</f>
        <v>36.986301369863014</v>
      </c>
      <c r="M87" s="886"/>
      <c r="N87" s="887">
        <f t="shared" si="42"/>
        <v>100.00000000000001</v>
      </c>
      <c r="O87" s="887"/>
      <c r="R87" s="1">
        <v>1998</v>
      </c>
      <c r="S87" s="8">
        <f>(O22*($E22/365))+(O23*($E23/365))+(O24*($E24/365))</f>
        <v>25.520547945205482</v>
      </c>
      <c r="T87" s="8">
        <f>(P22*($E22/365))+(P23*($E23/365))+(P24*($E24/365))</f>
        <v>5.6712328767123292</v>
      </c>
      <c r="U87" s="8">
        <f>(Q22*($E22/365))+(Q23*($E23/365))+(Q24*($E24/365))</f>
        <v>13.684931506849315</v>
      </c>
      <c r="W87" s="14">
        <f t="shared" si="43"/>
        <v>44.876712328767127</v>
      </c>
    </row>
    <row r="88" spans="1:23">
      <c r="A88" s="1">
        <v>1999</v>
      </c>
      <c r="B88" s="8">
        <f>(K25*($E25/365))+(K26*($E26/365))+(K27*($E27/365))</f>
        <v>0</v>
      </c>
      <c r="C88" s="8">
        <f>(L25*($E25/365))+(L26*($E26/365))+(L27*($E27/365))</f>
        <v>0</v>
      </c>
      <c r="D88" s="8">
        <f>(M25*($E25/365))+(M26*($E26/365))+(M27*($E27/365))</f>
        <v>94.575116275782122</v>
      </c>
      <c r="E88" s="65">
        <f t="shared" si="41"/>
        <v>94.575116275782122</v>
      </c>
      <c r="G88" s="1">
        <v>1999</v>
      </c>
      <c r="H88" s="886">
        <f>(O25/$R25*100*($E25/365))+(O26/$R26*100*($E26/365))+(O27/$R27*100*($E27/365))</f>
        <v>0</v>
      </c>
      <c r="I88" s="886"/>
      <c r="J88" s="886">
        <f>(P25/$R25*100*($E25/365))+(P26/$R26*100*($E26/365))+(P27/$R27*100*($E27/365))</f>
        <v>0</v>
      </c>
      <c r="K88" s="886"/>
      <c r="L88" s="886">
        <f>(Q25/$R25*100*($E25/365))+(Q26/$R26*100*($E26/365))+(Q27/$R27*100*($E27/365))</f>
        <v>100</v>
      </c>
      <c r="M88" s="886"/>
      <c r="N88" s="887">
        <f t="shared" si="42"/>
        <v>100</v>
      </c>
      <c r="O88" s="887"/>
      <c r="R88" s="1">
        <v>1999</v>
      </c>
      <c r="S88" s="8">
        <f>(O25*($E25/365))+(O26*($E26/365))+(O27*($E27/365))</f>
        <v>0</v>
      </c>
      <c r="T88" s="8">
        <f>(P25*($E25/365))+(P26*($E26/365))+(P27*($E27/365))</f>
        <v>0</v>
      </c>
      <c r="U88" s="8">
        <f>(Q25*($E25/365))+(Q26*($E26/365))+(Q27*($E27/365))</f>
        <v>37</v>
      </c>
      <c r="W88" s="14">
        <f t="shared" si="43"/>
        <v>37</v>
      </c>
    </row>
    <row r="89" spans="1:23">
      <c r="A89" s="1">
        <v>2000</v>
      </c>
      <c r="B89" s="8">
        <f>(K28*($E28/366))+(K29*($E29/366))</f>
        <v>0</v>
      </c>
      <c r="C89" s="8">
        <f>(L28*($E28/366))+(L29*($E29/366))</f>
        <v>0</v>
      </c>
      <c r="D89" s="8">
        <f>(M28*($E28/366))+(M29*($E29/366))</f>
        <v>94.117647058823522</v>
      </c>
      <c r="E89" s="65">
        <f t="shared" si="41"/>
        <v>94.117647058823522</v>
      </c>
      <c r="G89" s="1">
        <v>2000</v>
      </c>
      <c r="H89" s="886">
        <f>(O28/$R28*100*($E28/366))+(O29/$R29*100*($E29/366))</f>
        <v>0</v>
      </c>
      <c r="I89" s="886"/>
      <c r="J89" s="886">
        <f>(P28/$R28*100*($E28/366))+(P29/$R29*100*($E29/366))</f>
        <v>0</v>
      </c>
      <c r="K89" s="886"/>
      <c r="L89" s="886">
        <f>(Q28/$R28*100*($E28/366))+(Q29/$R29*100*($E29/366))</f>
        <v>100</v>
      </c>
      <c r="M89" s="886"/>
      <c r="N89" s="887">
        <f t="shared" si="42"/>
        <v>100</v>
      </c>
      <c r="O89" s="887"/>
      <c r="R89" s="1">
        <v>2000</v>
      </c>
      <c r="S89" s="8">
        <f>(O28*($E28/366))+(O29*($E29/366))</f>
        <v>0</v>
      </c>
      <c r="T89" s="8">
        <f>(P28*($E28/366))+(P29*($E29/366))</f>
        <v>0</v>
      </c>
      <c r="U89" s="8">
        <f>(Q28*($E28/366))+(Q29*($E29/366))</f>
        <v>37</v>
      </c>
      <c r="W89" s="14">
        <f t="shared" si="43"/>
        <v>37</v>
      </c>
    </row>
    <row r="90" spans="1:23">
      <c r="A90" s="1">
        <v>2001</v>
      </c>
      <c r="B90" s="8">
        <f>(K30*($E30/365))+(K31*($E31/365))</f>
        <v>0</v>
      </c>
      <c r="C90" s="8">
        <f>(L30*($E30/365))+(L31*($E31/365))</f>
        <v>0</v>
      </c>
      <c r="D90" s="8">
        <f>(M30*($E30/365))+(M31*($E31/365))</f>
        <v>94.117647058823522</v>
      </c>
      <c r="E90" s="65">
        <f t="shared" si="41"/>
        <v>94.117647058823522</v>
      </c>
      <c r="G90" s="1">
        <v>2001</v>
      </c>
      <c r="H90" s="886">
        <f>(O30/$R30*100*($E30/365))+(O31/$R31*100*($E31/365))</f>
        <v>0</v>
      </c>
      <c r="I90" s="886"/>
      <c r="J90" s="886">
        <f>(P30/$R30*100*($E30/365))+(P31/$R31*100*($E31/365))</f>
        <v>0</v>
      </c>
      <c r="K90" s="886"/>
      <c r="L90" s="886">
        <f>(Q30/$R30*100*($E30/365))+(Q31/$R31*100*($E31/365))</f>
        <v>100</v>
      </c>
      <c r="M90" s="886"/>
      <c r="N90" s="887">
        <f t="shared" si="42"/>
        <v>100</v>
      </c>
      <c r="O90" s="887"/>
      <c r="R90" s="1">
        <v>2001</v>
      </c>
      <c r="S90" s="8">
        <f>(O30*($E30/365))+(O31*($E31/365))</f>
        <v>0</v>
      </c>
      <c r="T90" s="8">
        <f>(P30*($E30/365))+(P31*($E31/365))</f>
        <v>0</v>
      </c>
      <c r="U90" s="8">
        <f>(Q30*($E30/365))+(Q31*($E31/365))</f>
        <v>37</v>
      </c>
      <c r="W90" s="14">
        <f t="shared" si="43"/>
        <v>37</v>
      </c>
    </row>
    <row r="91" spans="1:23">
      <c r="A91" s="1">
        <v>2002</v>
      </c>
      <c r="B91" s="8">
        <f>(K32*($E32/365))+(K33*($E33/365))</f>
        <v>8.2191780821917817</v>
      </c>
      <c r="C91" s="8">
        <f>(L32*($E32/365))+(L33*($E33/365))</f>
        <v>8.2191780821917817</v>
      </c>
      <c r="D91" s="8">
        <f>(M32*($E32/365))+(M33*($E33/365))</f>
        <v>80.419016921837226</v>
      </c>
      <c r="E91" s="65">
        <f t="shared" si="41"/>
        <v>96.85737308622079</v>
      </c>
      <c r="G91" s="1">
        <v>2002</v>
      </c>
      <c r="H91" s="886">
        <f>(O32/$R32*100*($E32/365))+(O33/$R33*100*($E33/365))</f>
        <v>4.15027804150278</v>
      </c>
      <c r="I91" s="886"/>
      <c r="J91" s="886">
        <f>(P32/$R32*100*($E32/365))+(P33/$R33*100*($E33/365))</f>
        <v>10.145124101451241</v>
      </c>
      <c r="K91" s="886"/>
      <c r="L91" s="886">
        <f>(Q32/$R32*100*($E32/365))+(Q33/$R33*100*($E33/365))</f>
        <v>85.704597857045968</v>
      </c>
      <c r="M91" s="886"/>
      <c r="N91" s="887">
        <f t="shared" si="42"/>
        <v>99.999999999999986</v>
      </c>
      <c r="O91" s="887"/>
      <c r="R91" s="1">
        <v>2002</v>
      </c>
      <c r="S91" s="8">
        <f>(O32*($E32/365))+(O33*($E33/365))</f>
        <v>2.095890410958904</v>
      </c>
      <c r="T91" s="8">
        <f>(P32*($E32/365))+(P33*($E33/365))</f>
        <v>5.1232876712328768</v>
      </c>
      <c r="U91" s="8">
        <f>(Q32*($E32/365))+(Q33*($E33/365))</f>
        <v>36.06849315068493</v>
      </c>
      <c r="W91" s="14">
        <f t="shared" si="43"/>
        <v>43.287671232876711</v>
      </c>
    </row>
    <row r="92" spans="1:23">
      <c r="A92" s="1">
        <v>2003</v>
      </c>
      <c r="B92" s="8">
        <f>(K34*($E34/365))+(K35*($E35/365))+(K36*($E36/365))</f>
        <v>17.647058823529413</v>
      </c>
      <c r="C92" s="8">
        <f>(L34*($E34/365))+(L35*($E35/365))+(L36*($E36/365))</f>
        <v>17.647058823529413</v>
      </c>
      <c r="D92" s="8">
        <f>(M34*($E34/365))+(M35*($E35/365))+(M36*($E36/365))</f>
        <v>59.661563255439162</v>
      </c>
      <c r="E92" s="65">
        <f t="shared" si="41"/>
        <v>94.955680902497988</v>
      </c>
      <c r="G92" s="1">
        <v>2003</v>
      </c>
      <c r="H92" s="886">
        <f>(O34/$R34*100*($E34/365))+(O35/$R35*100*($E35/365))+(O36/$R36*100*($E36/365))</f>
        <v>8.9108910891089099</v>
      </c>
      <c r="I92" s="886"/>
      <c r="J92" s="886">
        <f>(P34/$R34*100*($E34/365))+(P35/$R35*100*($E35/365))+(P36/$R36*100*($E36/365))</f>
        <v>21.782178217821784</v>
      </c>
      <c r="K92" s="886"/>
      <c r="L92" s="886">
        <f>(Q34/$R34*100*($E34/365))+(Q35/$R35*100*($E35/365))+(Q36/$R36*100*($E36/365))</f>
        <v>69.306930693069305</v>
      </c>
      <c r="M92" s="886"/>
      <c r="N92" s="887">
        <f t="shared" si="42"/>
        <v>100</v>
      </c>
      <c r="O92" s="887"/>
      <c r="R92" s="1">
        <v>2003</v>
      </c>
      <c r="S92" s="8">
        <f>(O34*($E34/365))+(O35*($E35/365))+(O36*($E36/365))</f>
        <v>4.5</v>
      </c>
      <c r="T92" s="8">
        <f>(P34*($E34/365))+(P35*($E35/365))+(P36*($E36/365))</f>
        <v>11</v>
      </c>
      <c r="U92" s="8">
        <f>(Q34*($E34/365))+(Q35*($E35/365))+(Q36*($E36/365))</f>
        <v>35</v>
      </c>
      <c r="W92" s="14">
        <f t="shared" si="43"/>
        <v>50.5</v>
      </c>
    </row>
    <row r="93" spans="1:23">
      <c r="A93" s="1">
        <v>2004</v>
      </c>
      <c r="B93" s="8">
        <f>(K37*($E37/366))+(K38*($E38/366))</f>
        <v>17.245258759241402</v>
      </c>
      <c r="C93" s="8">
        <f>(L37*($E37/366))+(L38*($E38/366))</f>
        <v>17.245258759241402</v>
      </c>
      <c r="D93" s="8">
        <f>(M37*($E37/366))+(M38*($E38/366))</f>
        <v>58.566377370620373</v>
      </c>
      <c r="E93" s="65">
        <f t="shared" si="41"/>
        <v>93.056894889103177</v>
      </c>
      <c r="G93" s="1">
        <v>2004</v>
      </c>
      <c r="H93" s="886">
        <f>(O37/$R37*100*($E37/366))+(O38/$R38*100*($E38/366))</f>
        <v>8.9108910891089099</v>
      </c>
      <c r="I93" s="886"/>
      <c r="J93" s="886">
        <f>(P37/$R37*100*($E37/366))+(P38/$R38*100*($E38/366))</f>
        <v>21.782178217821784</v>
      </c>
      <c r="K93" s="886"/>
      <c r="L93" s="886">
        <f>(Q37/$R37*100*($E37/366))+(Q38/$R38*100*($E38/366))</f>
        <v>69.306930693069305</v>
      </c>
      <c r="M93" s="886"/>
      <c r="N93" s="887">
        <f t="shared" si="42"/>
        <v>100</v>
      </c>
      <c r="O93" s="887"/>
      <c r="R93" s="1">
        <v>2004</v>
      </c>
      <c r="S93" s="8">
        <f>(O37*($E37/366))+(O38*($E38/366))</f>
        <v>4.5</v>
      </c>
      <c r="T93" s="8">
        <f>(P37*($E37/366))+(P38*($E38/366))</f>
        <v>11</v>
      </c>
      <c r="U93" s="8">
        <f>(Q37*($E37/366))+(Q38*($E38/366))</f>
        <v>35</v>
      </c>
      <c r="W93" s="14">
        <f t="shared" si="43"/>
        <v>50.5</v>
      </c>
    </row>
    <row r="94" spans="1:23">
      <c r="A94" s="1">
        <v>2005</v>
      </c>
      <c r="B94" s="8">
        <f>(K39*($E39/365))+(K40*($E40/365))+(K41*($E41/365))+(K42*($E42/365))</f>
        <v>12.84627092846271</v>
      </c>
      <c r="C94" s="8">
        <f>(L39*($E39/365))+(L40*($E40/365))+(L41*($E41/365))+(L42*($E42/365))</f>
        <v>16.666666666666664</v>
      </c>
      <c r="D94" s="8">
        <f>(M39*($E39/365))+(M40*($E40/365))+(M41*($E41/365))+(M42*($E42/365))</f>
        <v>52.237442922374434</v>
      </c>
      <c r="E94" s="65">
        <f>SUM(B94:D94)</f>
        <v>81.7503805175038</v>
      </c>
      <c r="G94" s="1">
        <v>2005</v>
      </c>
      <c r="H94" s="886">
        <f>(O39/$R39*100*($E39/365))+(O40/$R40*100*($E40/365))+(O41/$R41*100*($E41/365))+(O42/$R42*100*($E42/365))</f>
        <v>8.9108910891089099</v>
      </c>
      <c r="I94" s="886"/>
      <c r="J94" s="886">
        <f>(P39/$R39*100*($E39/365))+(P40/$R40*100*($E40/365))+(P41/$R41*100*($E41/365))+(P42/$R42*100*($E42/365))</f>
        <v>21.782178217821784</v>
      </c>
      <c r="K94" s="886"/>
      <c r="L94" s="886">
        <f>(Q39/$R39*100*($E39/365))+(Q40/$R40*100*($E40/365))+(Q41/$R41*100*($E41/365))+(Q42/$R42*100*($E42/365))</f>
        <v>69.306930693069305</v>
      </c>
      <c r="M94" s="886"/>
      <c r="N94" s="887">
        <f t="shared" si="42"/>
        <v>100</v>
      </c>
      <c r="O94" s="887"/>
      <c r="R94" s="1">
        <v>2005</v>
      </c>
      <c r="S94" s="8">
        <f>(O39*($E39/365))+(O40*($E40/365))+(O41*($E41/365))+(O42*($E42/365))</f>
        <v>4.5</v>
      </c>
      <c r="T94" s="8">
        <f>(P39*($E39/365))+(P40*($E40/365))+(P41*($E41/365))+(P42*($E42/365))</f>
        <v>11</v>
      </c>
      <c r="U94" s="8">
        <f>(Q39*($E39/365))+(Q40*($E40/365))+(Q41*($E41/365))+(Q42*($E42/365))</f>
        <v>35</v>
      </c>
      <c r="W94" s="14">
        <f t="shared" si="43"/>
        <v>50.5</v>
      </c>
    </row>
    <row r="95" spans="1:23">
      <c r="A95" s="1">
        <v>2006</v>
      </c>
      <c r="B95" s="8">
        <f>(K43*($E43/365))+(K44*($E44/365))</f>
        <v>27.490733279613213</v>
      </c>
      <c r="C95" s="8">
        <f>(L43*($E43/365))+(L44*($E44/365))</f>
        <v>11.893634165995167</v>
      </c>
      <c r="D95" s="8">
        <f>(M43*($E43/365))+(M44*($E44/365))</f>
        <v>27.751813053988716</v>
      </c>
      <c r="E95" s="65">
        <f t="shared" si="41"/>
        <v>67.136180499597089</v>
      </c>
      <c r="G95" s="1">
        <v>2006</v>
      </c>
      <c r="H95" s="886">
        <f>(O43/$R43*100*($E43/365))+(O44/$R44*100*($E44/365))</f>
        <v>38.608436186084361</v>
      </c>
      <c r="I95" s="886"/>
      <c r="J95" s="886">
        <f>(P43/$R43*100*($E43/365))+(P44/$R44*100*($E44/365))</f>
        <v>14.680591346805915</v>
      </c>
      <c r="K95" s="886"/>
      <c r="L95" s="886">
        <f>(Q43/$R43*100*($E43/365))+(Q44/$R44*100*($E44/365))</f>
        <v>46.710972467109727</v>
      </c>
      <c r="M95" s="886"/>
      <c r="N95" s="887">
        <f t="shared" si="42"/>
        <v>100</v>
      </c>
      <c r="O95" s="887"/>
      <c r="R95" s="1">
        <v>2006</v>
      </c>
      <c r="S95" s="8">
        <f>(O43*($E43/365))+(O44*($E44/365))</f>
        <v>16.236986301369864</v>
      </c>
      <c r="T95" s="8">
        <f>(P43*($E43/365))+(P44*($E44/365))</f>
        <v>7.4136986301369863</v>
      </c>
      <c r="U95" s="8">
        <f>(Q43*($E43/365))+(Q44*($E44/365))</f>
        <v>23.589041095890412</v>
      </c>
      <c r="W95" s="14">
        <f t="shared" si="43"/>
        <v>47.239726027397268</v>
      </c>
    </row>
    <row r="96" spans="1:23">
      <c r="A96" s="1">
        <v>2007</v>
      </c>
      <c r="B96" s="8">
        <f>(K45*($E45/365))+(K46*($E46/365))</f>
        <v>50.219178082191775</v>
      </c>
      <c r="C96" s="8">
        <f>(L45*($E45/365))+(L46*($E46/365))</f>
        <v>21.735159817351597</v>
      </c>
      <c r="D96" s="8">
        <f>(M45*($E45/365))+(M46*($E46/365))</f>
        <v>16.301369863013697</v>
      </c>
      <c r="E96" s="65">
        <f t="shared" si="41"/>
        <v>88.25570776255708</v>
      </c>
      <c r="G96" s="1">
        <v>2007</v>
      </c>
      <c r="H96" s="886">
        <f>(O45/$R45*100*($E45/365))+(O46/$R46*100*($E46/365))</f>
        <v>81.416438356164377</v>
      </c>
      <c r="I96" s="886"/>
      <c r="J96" s="886">
        <f>(P45/$R45*100*($E45/365))+(P46/$R46*100*($E46/365))</f>
        <v>12.715068493150685</v>
      </c>
      <c r="K96" s="886"/>
      <c r="L96" s="886">
        <f>(Q45/$R45*100*($E45/365))+(Q46/$R46*100*($E46/365))</f>
        <v>5.8684931506849312</v>
      </c>
      <c r="M96" s="886"/>
      <c r="N96" s="887">
        <f t="shared" si="42"/>
        <v>99.999999999999986</v>
      </c>
      <c r="O96" s="887"/>
      <c r="R96" s="1">
        <v>2007</v>
      </c>
      <c r="S96" s="8">
        <f>(O45*($E45/365))+(O46*($E46/365))</f>
        <v>40.5</v>
      </c>
      <c r="T96" s="8">
        <f>(P45*($E45/365))+(P46*($E46/365))</f>
        <v>6.3575342465753426</v>
      </c>
      <c r="U96" s="8">
        <f>(Q45*($E45/365))+(Q46*($E46/365))</f>
        <v>2.9342465753424656</v>
      </c>
      <c r="W96" s="14">
        <f t="shared" si="43"/>
        <v>49.791780821917804</v>
      </c>
    </row>
    <row r="97" spans="1:23">
      <c r="A97" s="1">
        <v>2008</v>
      </c>
      <c r="B97" s="8">
        <f>(K47*($E47/366))+(K48*($E48/366))</f>
        <v>50</v>
      </c>
      <c r="C97" s="8">
        <f>(L47*($E47/366))+(L48*($E48/366))</f>
        <v>22.222222222222221</v>
      </c>
      <c r="D97" s="8">
        <f>(M47*($E47/366))+(M48*($E48/366))</f>
        <v>16.666666666666664</v>
      </c>
      <c r="E97" s="65">
        <f t="shared" si="41"/>
        <v>88.888888888888886</v>
      </c>
      <c r="G97" s="1">
        <v>2008</v>
      </c>
      <c r="H97" s="886">
        <f>(O47/$R47*100*($E47/366))+(O48/$R48*100*($E48/366))</f>
        <v>81</v>
      </c>
      <c r="I97" s="886"/>
      <c r="J97" s="886">
        <f>(P47/$R47*100*($E47/366))+(P48/$R48*100*($E48/366))</f>
        <v>13</v>
      </c>
      <c r="K97" s="886"/>
      <c r="L97" s="886">
        <f>(Q47/$R47*100*($E47/366))+(Q48/$R48*100*($E48/366))</f>
        <v>6</v>
      </c>
      <c r="M97" s="886"/>
      <c r="N97" s="887">
        <f t="shared" si="42"/>
        <v>100</v>
      </c>
      <c r="O97" s="887"/>
      <c r="R97" s="1">
        <v>2008</v>
      </c>
      <c r="S97" s="8">
        <f>(O47*($E47/366))+(O48*($E48/366))</f>
        <v>40.5</v>
      </c>
      <c r="T97" s="8">
        <f>(P47*($E47/366))+(P48*($E48/366))</f>
        <v>6.5</v>
      </c>
      <c r="U97" s="8">
        <f>(Q47*($E47/366))+(Q48*($E48/366))</f>
        <v>3</v>
      </c>
      <c r="W97" s="14">
        <f t="shared" si="43"/>
        <v>50</v>
      </c>
    </row>
    <row r="98" spans="1:23">
      <c r="A98" s="1">
        <v>2009</v>
      </c>
      <c r="B98" s="8">
        <f>(K49*($E49/365))+(K50*($E50/365))</f>
        <v>17.397260273972602</v>
      </c>
      <c r="C98" s="8">
        <f>(L49*($E49/365))+(L50*($E50/365))</f>
        <v>7.7321156773211568</v>
      </c>
      <c r="D98" s="8">
        <f>(M49*($E49/365))+(M50*($E50/365))</f>
        <v>5.7990867579908674</v>
      </c>
      <c r="E98" s="65">
        <f t="shared" si="41"/>
        <v>30.928462709284627</v>
      </c>
      <c r="G98" s="1">
        <v>2009</v>
      </c>
      <c r="H98" s="886">
        <f>(O49/$R49*100*($E49/365))</f>
        <v>28.183561643835617</v>
      </c>
      <c r="I98" s="886"/>
      <c r="J98" s="886">
        <f>(P49/$R49*100*($E49/365))</f>
        <v>4.5232876712328771</v>
      </c>
      <c r="K98" s="886"/>
      <c r="L98" s="886">
        <f>(Q49/$R49*100*($E49/365))</f>
        <v>2.0876712328767124</v>
      </c>
      <c r="M98" s="886"/>
      <c r="N98" s="887">
        <f t="shared" si="42"/>
        <v>34.794520547945211</v>
      </c>
      <c r="O98" s="887"/>
      <c r="R98" s="1">
        <v>2009</v>
      </c>
      <c r="S98" s="8">
        <f>(O49*($E49/365))+(O50*($E50/365))</f>
        <v>14.091780821917808</v>
      </c>
      <c r="T98" s="8">
        <f>(P49*($E49/365))+(P50*($E50/365))</f>
        <v>2.2616438356164386</v>
      </c>
      <c r="U98" s="8">
        <f>(Q49*($E49/365))+(Q50*($E50/365))</f>
        <v>1.0438356164383562</v>
      </c>
      <c r="W98" s="14">
        <f t="shared" si="43"/>
        <v>17.397260273972606</v>
      </c>
    </row>
    <row r="99" spans="1:23">
      <c r="A99" s="1">
        <v>2010</v>
      </c>
      <c r="B99" s="8">
        <f>(K51*($E51/365))+(K52*($E52/365))</f>
        <v>43.981735159817347</v>
      </c>
      <c r="C99" s="8">
        <f>(L51*($E51/365))+(L52*($E52/365))</f>
        <v>0</v>
      </c>
      <c r="D99" s="8">
        <f>(M51*($E51/365))+(M52*($E52/365))</f>
        <v>0</v>
      </c>
      <c r="E99" s="65">
        <f t="shared" si="41"/>
        <v>43.981735159817347</v>
      </c>
      <c r="G99" s="1">
        <v>2010</v>
      </c>
      <c r="H99" s="886">
        <f>(O52/$R52*100*($E52/365))</f>
        <v>47.12328767123288</v>
      </c>
      <c r="I99" s="886"/>
      <c r="J99" s="886">
        <f>(P52/$R52*100*($E52/365))</f>
        <v>0</v>
      </c>
      <c r="K99" s="886"/>
      <c r="L99" s="886">
        <f>(Q52/$R52*100*($E52/365))</f>
        <v>0</v>
      </c>
      <c r="M99" s="886"/>
      <c r="N99" s="887">
        <f t="shared" si="42"/>
        <v>47.12328767123288</v>
      </c>
      <c r="O99" s="887"/>
      <c r="R99" s="1">
        <v>2010</v>
      </c>
      <c r="S99" s="8">
        <f>(O51*($E51/365))+(O52*($E52/365))</f>
        <v>27.802739726027397</v>
      </c>
      <c r="T99" s="8">
        <f>(P51*($E51/365))+(P52*($E52/365))</f>
        <v>0</v>
      </c>
      <c r="U99" s="8">
        <f>(Q51*($E51/365))+(Q52*($E52/365))</f>
        <v>0</v>
      </c>
      <c r="W99" s="14">
        <f t="shared" si="43"/>
        <v>27.802739726027397</v>
      </c>
    </row>
    <row r="100" spans="1:23">
      <c r="A100" s="1">
        <v>2011</v>
      </c>
      <c r="B100" s="8">
        <f>(K53*($E53/365))+(K54*($E54/365))</f>
        <v>88.675799086757991</v>
      </c>
      <c r="C100" s="8">
        <f>(L53*($E53/365))+(L54*($E54/365))</f>
        <v>0</v>
      </c>
      <c r="D100" s="8">
        <f>(M53*($E53/365))+(M54*($E54/365))</f>
        <v>0</v>
      </c>
      <c r="E100" s="65">
        <f t="shared" si="41"/>
        <v>88.675799086757991</v>
      </c>
      <c r="G100" s="1">
        <v>2011</v>
      </c>
      <c r="H100" s="886">
        <f>(O53/$R53*100*($E53/365))+(O54/$R54*100*($E54/365))</f>
        <v>100</v>
      </c>
      <c r="I100" s="886"/>
      <c r="J100" s="886">
        <f>(P53/$R53*100*($E53/365))+(P54/$R54*100*($E54/365))</f>
        <v>0</v>
      </c>
      <c r="K100" s="886"/>
      <c r="L100" s="886">
        <f>(Q53/$R53*100*($E53/365))+(Q54/$R54*100*($E54/365))</f>
        <v>0</v>
      </c>
      <c r="M100" s="886"/>
      <c r="N100" s="887">
        <f t="shared" si="42"/>
        <v>100</v>
      </c>
      <c r="O100" s="887"/>
      <c r="R100" s="1">
        <v>2011</v>
      </c>
      <c r="S100" s="8">
        <f>(O53*($E53/365))+(O54*($E54/365))</f>
        <v>59</v>
      </c>
      <c r="T100" s="8">
        <f>(P53*($E53/365))+(P54*($E54/365))</f>
        <v>0</v>
      </c>
      <c r="U100" s="8">
        <f>(Q53*($E53/365))+(Q54*($E54/365))</f>
        <v>0</v>
      </c>
      <c r="W100" s="14">
        <f t="shared" si="43"/>
        <v>59</v>
      </c>
    </row>
    <row r="101" spans="1:23">
      <c r="A101" s="1">
        <v>2012</v>
      </c>
      <c r="B101" s="8">
        <f>(K55*($E55/366))+(K56*($E56/366))+(K57*($E57/366))</f>
        <v>81.948998178506372</v>
      </c>
      <c r="C101" s="8">
        <f>(L55*($E55/366))+(L56*($E56/366))+(L57*($E57/366))</f>
        <v>0</v>
      </c>
      <c r="D101" s="8">
        <f>(M55*($E55/366))+(M56*($E56/366))+(M57*($E57/366))</f>
        <v>0</v>
      </c>
      <c r="E101" s="65">
        <f t="shared" si="41"/>
        <v>81.948998178506372</v>
      </c>
      <c r="G101" s="1">
        <v>2012</v>
      </c>
      <c r="H101" s="886">
        <f>(O55/$R55*100*($E55/366))+(O56/$R56*100*($E56/366))+(O57/$R57*100*($E57/366))</f>
        <v>100</v>
      </c>
      <c r="I101" s="886"/>
      <c r="J101" s="886">
        <f>(P55/$R55*100*($E55/366))+(P56/$R56*100*($E56/366))+(P57/$R57*100*($E57/366))</f>
        <v>0</v>
      </c>
      <c r="K101" s="886"/>
      <c r="L101" s="886">
        <f>(Q55/$R55*100*($E55/366))+(Q56/$R56*100*($E56/366))+(Q57/$R57*100*($E57/366))</f>
        <v>0</v>
      </c>
      <c r="M101" s="886"/>
      <c r="N101" s="887">
        <f t="shared" si="42"/>
        <v>100</v>
      </c>
      <c r="O101" s="887"/>
      <c r="R101" s="1">
        <v>2012</v>
      </c>
      <c r="S101" s="8">
        <f>(O55*($E55/366))+(O56*($E56/366))+(O57*($E57/366))</f>
        <v>59</v>
      </c>
      <c r="T101" s="8">
        <f>(P55*($E55/366))+(P56*($E56/366))+(P57*($E57/366))</f>
        <v>0</v>
      </c>
      <c r="U101" s="8">
        <f>(Q55*($E55/366))+(Q56*($E56/366))+(Q57*($E57/366))</f>
        <v>0</v>
      </c>
      <c r="W101" s="14">
        <f t="shared" si="43"/>
        <v>59</v>
      </c>
    </row>
    <row r="102" spans="1:23">
      <c r="A102" s="1">
        <v>2013</v>
      </c>
      <c r="B102" s="8">
        <f>(K58*($E58/365))+(K59*($E59/365))+(K60*($E60/365))</f>
        <v>37.106164383561641</v>
      </c>
      <c r="C102" s="8">
        <f>(L58*($E58/365))+(L59*($E59/365))+(L60*($E60/365))</f>
        <v>3.1963470319634704</v>
      </c>
      <c r="D102" s="8">
        <f>(M58*($E58/365))+(M59*($E59/365))+(M60*($E60/365))</f>
        <v>0</v>
      </c>
      <c r="E102" s="276">
        <f>SUM(B102:D102)</f>
        <v>40.30251141552511</v>
      </c>
      <c r="G102" s="1">
        <v>2013</v>
      </c>
      <c r="H102" s="886">
        <f>(O58/$R58*100*($E58/365))+(O59/$R59*100*($E59/365))</f>
        <v>52.054794520547944</v>
      </c>
      <c r="I102" s="886"/>
      <c r="J102" s="886">
        <f>(P58/$R58*100*($E58/365))+(P59/$R59*100*($E59/365))</f>
        <v>0</v>
      </c>
      <c r="K102" s="886"/>
      <c r="L102" s="886">
        <f>(Q58/$R58*100*($E58/365))+(Q59/$R59*100*($E59/365))</f>
        <v>0</v>
      </c>
      <c r="M102" s="886"/>
      <c r="N102" s="887">
        <f>SUM(H102:M102)</f>
        <v>52.054794520547944</v>
      </c>
      <c r="O102" s="887"/>
      <c r="R102" s="1">
        <v>2013</v>
      </c>
      <c r="S102" s="8">
        <f>(O58*($E58/365))+(O59*($E59/365))+(O60*($E60/365))</f>
        <v>30.712328767123289</v>
      </c>
      <c r="T102" s="8">
        <f>(P58*($E58/365))+(P59*($E59/365))+(P60*($E60/365))</f>
        <v>0</v>
      </c>
      <c r="U102" s="8">
        <f>(Q58*($E58/365))+(Q59*($E59/365))+(Q60*($E60/365))</f>
        <v>0</v>
      </c>
      <c r="W102" s="14">
        <f>SUM(S102:U102)</f>
        <v>30.712328767123289</v>
      </c>
    </row>
    <row r="103" spans="1:23">
      <c r="A103" s="1">
        <v>2014</v>
      </c>
      <c r="B103" s="8">
        <f>(K61*($E61/365))+(K62*($E62/365))</f>
        <v>32.586623690572118</v>
      </c>
      <c r="C103" s="8">
        <f>(L61*($E61/365))+(L62*($E62/365))</f>
        <v>16.804727370400215</v>
      </c>
      <c r="D103" s="8">
        <f>(M61*($E61/365))+(M62*($E62/365))</f>
        <v>43.448831587429488</v>
      </c>
      <c r="E103" s="443">
        <f>SUM(B103:D103)</f>
        <v>92.840182648401822</v>
      </c>
      <c r="G103" s="1">
        <v>2014</v>
      </c>
      <c r="H103" s="886">
        <f>(O62/$R62*100*($E62/365))</f>
        <v>39.094162655806493</v>
      </c>
      <c r="I103" s="886"/>
      <c r="J103" s="886">
        <f>(P62/$R62*100*($E62/365))</f>
        <v>11.645069727261507</v>
      </c>
      <c r="K103" s="886"/>
      <c r="L103" s="886">
        <f>(Q62/$R62*100*($E62/365))</f>
        <v>41.589534740219669</v>
      </c>
      <c r="M103" s="886"/>
      <c r="N103" s="887">
        <f>SUM(H103:M103)</f>
        <v>92.328767123287662</v>
      </c>
      <c r="O103" s="887"/>
      <c r="R103" s="1">
        <v>2014</v>
      </c>
      <c r="S103" s="8">
        <f>(O61*($E61/365))+(O62*($E62/365))</f>
        <v>21.697260273972603</v>
      </c>
      <c r="T103" s="8">
        <f>(P61*($E61/365))+(P62*($E62/365))</f>
        <v>6.463013698630137</v>
      </c>
      <c r="U103" s="8">
        <f>(Q61*($E61/365))+(Q62*($E62/365))</f>
        <v>23.082191780821919</v>
      </c>
      <c r="W103" s="14">
        <f>SUM(S103:U103)</f>
        <v>51.242465753424653</v>
      </c>
    </row>
    <row r="104" spans="1:23" s="585" customFormat="1">
      <c r="A104" s="585">
        <v>2015</v>
      </c>
      <c r="B104" s="579">
        <f>(K63*($E63/365))+(K64*($E64/365))</f>
        <v>35.294117647058826</v>
      </c>
      <c r="C104" s="579">
        <f>(L63*($E63/365))+(L64*($E64/365))</f>
        <v>17.647058823529413</v>
      </c>
      <c r="D104" s="579">
        <f>(M63*($E63/365))+(M64*($E64/365))</f>
        <v>47.058823529411761</v>
      </c>
      <c r="E104" s="580">
        <f>SUM(B104:D104)</f>
        <v>100</v>
      </c>
      <c r="G104" s="585">
        <v>2015</v>
      </c>
      <c r="H104" s="886">
        <f>(O63/$R63*100*($E63/365))+(O64/$R64*100*($E64/365))</f>
        <v>42.342342342342342</v>
      </c>
      <c r="I104" s="886"/>
      <c r="J104" s="886">
        <f>(P63/$R63*100*($E63/365))+(P64/$R64*100*($E64/365))</f>
        <v>12.612612612612612</v>
      </c>
      <c r="K104" s="886"/>
      <c r="L104" s="886">
        <f>(Q63/$R63*100*($E63/365))+(Q64/$R64*100*($E64/365))</f>
        <v>45.045045045045043</v>
      </c>
      <c r="M104" s="886"/>
      <c r="N104" s="887">
        <f>SUM(H104:M104)</f>
        <v>100</v>
      </c>
      <c r="O104" s="887"/>
      <c r="R104" s="585">
        <v>2015</v>
      </c>
      <c r="S104" s="579">
        <f>(O63*($E63/365))+(O64*($E64/365))</f>
        <v>23.5</v>
      </c>
      <c r="T104" s="579">
        <f>(P63*($E63/365))+(P64*($E64/365))</f>
        <v>7</v>
      </c>
      <c r="U104" s="579">
        <f>(Q63*($E63/365))+(Q64*($E64/365))</f>
        <v>25</v>
      </c>
      <c r="W104" s="584">
        <f>SUM(S104:U104)</f>
        <v>55.5</v>
      </c>
    </row>
    <row r="105" spans="1:23" s="585" customFormat="1">
      <c r="A105" s="663">
        <v>2016</v>
      </c>
      <c r="B105" s="657">
        <f>(K65*($E65/366))+(K66*($E66/366))</f>
        <v>35.294117647058826</v>
      </c>
      <c r="C105" s="657">
        <f>(L65*($E65/366))+(L66*($E66/366))</f>
        <v>17.647058823529413</v>
      </c>
      <c r="D105" s="657">
        <f>(M65*($E65/366))+(M66*($E66/366))</f>
        <v>47.058823529411761</v>
      </c>
      <c r="E105" s="658">
        <f>SUM(B105:D105)</f>
        <v>100</v>
      </c>
      <c r="F105" s="663"/>
      <c r="G105" s="663">
        <v>2016</v>
      </c>
      <c r="H105" s="886">
        <f>(O65/$R65*100*($E65/366))+(O66/$R66*100*($E66/366))</f>
        <v>42.342342342342342</v>
      </c>
      <c r="I105" s="886"/>
      <c r="J105" s="886">
        <f>(P65/$R65*100*($E65/366))+(P66/$R66*100*($E66/366))</f>
        <v>12.612612612612612</v>
      </c>
      <c r="K105" s="886"/>
      <c r="L105" s="886">
        <f>(Q65/$R65*100*($E65/366))+(Q66/$R66*100*($E66/366))</f>
        <v>45.045045045045043</v>
      </c>
      <c r="M105" s="886"/>
      <c r="N105" s="887">
        <f>SUM(H105:M105)</f>
        <v>100</v>
      </c>
      <c r="O105" s="887"/>
      <c r="P105" s="663"/>
      <c r="Q105" s="663"/>
      <c r="R105" s="663">
        <v>2016</v>
      </c>
      <c r="S105" s="657">
        <f>(O65*($E65/366))+(O66*($E66/366))</f>
        <v>23.5</v>
      </c>
      <c r="T105" s="657">
        <f>(P65*($E65/366))+(P66*($E66/366))</f>
        <v>7</v>
      </c>
      <c r="U105" s="657">
        <f>(Q65*($E65/366))+(Q66*($E66/366))</f>
        <v>25</v>
      </c>
      <c r="V105" s="663"/>
      <c r="W105" s="662">
        <f>SUM(S105:U105)</f>
        <v>55.5</v>
      </c>
    </row>
    <row r="106" spans="1:23" s="585" customFormat="1">
      <c r="A106" s="749">
        <v>2017</v>
      </c>
      <c r="B106" s="744">
        <f>(K67*($E67/365))+(K68*($E68/365))</f>
        <v>38.662369057211926</v>
      </c>
      <c r="C106" s="744">
        <f>(L67*($E67/365))+(L68*($E68/365))</f>
        <v>16.728444802578565</v>
      </c>
      <c r="D106" s="744">
        <f t="shared" ref="D106" si="44">(M67*($E67/365))+(M68*($E68/365))</f>
        <v>44.609186140209502</v>
      </c>
      <c r="E106" s="745">
        <f>SUM(B106:D106)</f>
        <v>100</v>
      </c>
      <c r="G106" s="749">
        <v>2017</v>
      </c>
      <c r="H106" s="886">
        <f>(O67/$R67*100*($E67/365))+(O68/$R68*100*($E68/365))</f>
        <v>45.34369986424781</v>
      </c>
      <c r="I106" s="886"/>
      <c r="J106" s="886">
        <f>(P67/$R67*100*($E67/365))+(P68/$R68*100*($E68/365))</f>
        <v>11.956065654695792</v>
      </c>
      <c r="K106" s="886"/>
      <c r="L106" s="886">
        <f>(Q67/$R67*100*($E67/365))+(Q68/$R68*100*($E68/365))</f>
        <v>42.700234481056398</v>
      </c>
      <c r="M106" s="886"/>
      <c r="N106" s="887">
        <f>SUM(H106:M106)</f>
        <v>100</v>
      </c>
      <c r="O106" s="887"/>
      <c r="R106" s="749">
        <v>2017</v>
      </c>
      <c r="S106" s="744">
        <f>(O67*($E67/365))+(O68*($E68/365))</f>
        <v>24.30684931506849</v>
      </c>
      <c r="T106" s="744">
        <f t="shared" ref="T106:U106" si="45">(P67*($E67/365))+(P68*($E68/365))</f>
        <v>6.6356164383561644</v>
      </c>
      <c r="U106" s="744">
        <f t="shared" si="45"/>
        <v>23.698630136986303</v>
      </c>
      <c r="V106" s="749"/>
      <c r="W106" s="747">
        <f>SUM(S106:U106)</f>
        <v>54.641095890410959</v>
      </c>
    </row>
    <row r="107" spans="1:23">
      <c r="A107" s="766">
        <v>2018</v>
      </c>
      <c r="B107" s="757">
        <f>(K69*($E69/365))+(K70*($E70/365))</f>
        <v>82.831050228310488</v>
      </c>
      <c r="C107" s="757">
        <f>(L69*($E69/365))+(L70*($E70/365))</f>
        <v>0</v>
      </c>
      <c r="D107" s="757">
        <f>(M69*($E69/365))+(M70*($E70/365))</f>
        <v>17.168949771689494</v>
      </c>
      <c r="E107" s="758">
        <f t="shared" ref="E107" si="46">SUM(B107:D107)</f>
        <v>99.999999999999986</v>
      </c>
      <c r="F107" s="766"/>
      <c r="G107" s="766">
        <v>2018</v>
      </c>
      <c r="H107" s="886">
        <f>(O69/$R69*100*($E69/365))+(O70/$R70*100*($E70/365))</f>
        <v>91.692443658859929</v>
      </c>
      <c r="I107" s="886"/>
      <c r="J107" s="886">
        <f>(P69/$R69*100*($E69/365))+(P70/$R70*100*($E70/365))</f>
        <v>0</v>
      </c>
      <c r="K107" s="886"/>
      <c r="L107" s="886">
        <f>(Q69/$R69*100*($E69/365))+(Q70/$R70*100*($E70/365))</f>
        <v>8.3075563411400797</v>
      </c>
      <c r="M107" s="886"/>
      <c r="N107" s="887">
        <f t="shared" ref="N107" si="47">SUM(H107:M107)</f>
        <v>100.00000000000001</v>
      </c>
      <c r="O107" s="887"/>
      <c r="P107" s="766"/>
      <c r="Q107" s="766"/>
      <c r="R107" s="766">
        <v>2018</v>
      </c>
      <c r="S107" s="757">
        <f>(O69*($E69/365))+(O70*($E70/365))</f>
        <v>39</v>
      </c>
      <c r="T107" s="757">
        <f>(P69*($E69/365))+(P70*($E70/365))</f>
        <v>0</v>
      </c>
      <c r="U107" s="757">
        <f>(Q69*($E69/365))+(Q70*($E70/365))</f>
        <v>3.8630136986301369</v>
      </c>
      <c r="V107" s="766"/>
      <c r="W107" s="763">
        <f t="shared" ref="W107" si="48">SUM(S107:U107)</f>
        <v>42.863013698630134</v>
      </c>
    </row>
    <row r="108" spans="1:23">
      <c r="A108" s="1">
        <v>2019</v>
      </c>
      <c r="B108" s="788">
        <f>(K71*($E71/365))+(K72*($E72/365))</f>
        <v>66.666666666666657</v>
      </c>
      <c r="C108" s="788">
        <f>(L71*($E71/365))+(L72*($E72/365))</f>
        <v>0</v>
      </c>
      <c r="D108" s="788">
        <f>(M71*($E71/365))+(M72*($E72/365))</f>
        <v>33.333333333333329</v>
      </c>
      <c r="E108" s="789">
        <f t="shared" ref="E108" si="49">SUM(B108:D108)</f>
        <v>99.999999999999986</v>
      </c>
      <c r="F108" s="794"/>
      <c r="G108" s="794">
        <v>2019</v>
      </c>
      <c r="H108" s="886">
        <f>(O71/$R71*100*($E71/365))+(O72/$R72*100*($E72/365))</f>
        <v>83.870967741935488</v>
      </c>
      <c r="I108" s="886"/>
      <c r="J108" s="886">
        <f>(P71/$R71*100*($E71/365))+(P72/$R72*100*($E72/365))</f>
        <v>0</v>
      </c>
      <c r="K108" s="886"/>
      <c r="L108" s="886">
        <f>(Q71/$R71*100*($E71/365))+(Q72/$R72*100*($E72/365))</f>
        <v>16.129032258064516</v>
      </c>
      <c r="M108" s="886"/>
      <c r="N108" s="887">
        <f t="shared" ref="N108" si="50">SUM(H108:M108)</f>
        <v>100</v>
      </c>
      <c r="O108" s="887"/>
      <c r="P108" s="794"/>
      <c r="Q108" s="794"/>
      <c r="R108" s="794">
        <v>2019</v>
      </c>
      <c r="S108" s="788">
        <f>(O71*($E71/365))+(O72*($E72/365))</f>
        <v>39</v>
      </c>
      <c r="T108" s="788">
        <f>(P71*($E71/365))+(P72*($E72/365))</f>
        <v>0</v>
      </c>
      <c r="U108" s="788">
        <f>(Q71*($E71/365))+(Q72*($E72/365))</f>
        <v>7.5</v>
      </c>
      <c r="V108" s="794"/>
      <c r="W108" s="792">
        <f t="shared" ref="W108" si="51">SUM(S108:U108)</f>
        <v>46.5</v>
      </c>
    </row>
  </sheetData>
  <mergeCells count="214">
    <mergeCell ref="H107:I107"/>
    <mergeCell ref="J107:K107"/>
    <mergeCell ref="L107:M107"/>
    <mergeCell ref="N107:O107"/>
    <mergeCell ref="H102:I102"/>
    <mergeCell ref="J102:K102"/>
    <mergeCell ref="L102:M102"/>
    <mergeCell ref="N102:O102"/>
    <mergeCell ref="N100:O100"/>
    <mergeCell ref="H104:I104"/>
    <mergeCell ref="J104:K104"/>
    <mergeCell ref="L104:M104"/>
    <mergeCell ref="N104:O104"/>
    <mergeCell ref="H106:I106"/>
    <mergeCell ref="J106:K106"/>
    <mergeCell ref="L106:M106"/>
    <mergeCell ref="N106:O106"/>
    <mergeCell ref="H103:I103"/>
    <mergeCell ref="J103:K103"/>
    <mergeCell ref="L103:M103"/>
    <mergeCell ref="N103:O103"/>
    <mergeCell ref="H105:I105"/>
    <mergeCell ref="J105:K105"/>
    <mergeCell ref="L105:M105"/>
    <mergeCell ref="H101:I101"/>
    <mergeCell ref="N99:O99"/>
    <mergeCell ref="N98:O98"/>
    <mergeCell ref="J100:K100"/>
    <mergeCell ref="L99:M99"/>
    <mergeCell ref="J99:K99"/>
    <mergeCell ref="H99:I99"/>
    <mergeCell ref="H100:I100"/>
    <mergeCell ref="H98:I98"/>
    <mergeCell ref="J98:K98"/>
    <mergeCell ref="N86:O86"/>
    <mergeCell ref="L85:M85"/>
    <mergeCell ref="L86:M86"/>
    <mergeCell ref="N85:O85"/>
    <mergeCell ref="L100:M100"/>
    <mergeCell ref="L98:M98"/>
    <mergeCell ref="J101:K101"/>
    <mergeCell ref="L101:M101"/>
    <mergeCell ref="N101:O101"/>
    <mergeCell ref="L97:M97"/>
    <mergeCell ref="N94:O94"/>
    <mergeCell ref="L93:M93"/>
    <mergeCell ref="L94:M94"/>
    <mergeCell ref="L95:M95"/>
    <mergeCell ref="N90:O90"/>
    <mergeCell ref="L91:M91"/>
    <mergeCell ref="N87:O87"/>
    <mergeCell ref="N88:O88"/>
    <mergeCell ref="N91:O91"/>
    <mergeCell ref="N92:O92"/>
    <mergeCell ref="L96:M96"/>
    <mergeCell ref="L87:M87"/>
    <mergeCell ref="L92:M92"/>
    <mergeCell ref="L88:M88"/>
    <mergeCell ref="L89:M89"/>
    <mergeCell ref="N97:O97"/>
    <mergeCell ref="H89:I89"/>
    <mergeCell ref="H90:I90"/>
    <mergeCell ref="H91:I91"/>
    <mergeCell ref="H96:I96"/>
    <mergeCell ref="H97:I97"/>
    <mergeCell ref="H95:I95"/>
    <mergeCell ref="J91:K91"/>
    <mergeCell ref="J92:K92"/>
    <mergeCell ref="J94:K94"/>
    <mergeCell ref="H94:I94"/>
    <mergeCell ref="J93:K93"/>
    <mergeCell ref="H93:I93"/>
    <mergeCell ref="H92:I92"/>
    <mergeCell ref="J95:K95"/>
    <mergeCell ref="J96:K96"/>
    <mergeCell ref="J97:K97"/>
    <mergeCell ref="J89:K89"/>
    <mergeCell ref="N93:O93"/>
    <mergeCell ref="C59:D59"/>
    <mergeCell ref="C60:D60"/>
    <mergeCell ref="J83:K83"/>
    <mergeCell ref="J84:K84"/>
    <mergeCell ref="N79:O79"/>
    <mergeCell ref="N80:O80"/>
    <mergeCell ref="N81:O81"/>
    <mergeCell ref="N82:O82"/>
    <mergeCell ref="L79:M79"/>
    <mergeCell ref="L80:M80"/>
    <mergeCell ref="J79:K79"/>
    <mergeCell ref="J80:K80"/>
    <mergeCell ref="J81:K81"/>
    <mergeCell ref="J82:K82"/>
    <mergeCell ref="H82:I82"/>
    <mergeCell ref="H83:I83"/>
    <mergeCell ref="H84:I84"/>
    <mergeCell ref="N83:O83"/>
    <mergeCell ref="N84:O84"/>
    <mergeCell ref="C61:D61"/>
    <mergeCell ref="C62:D62"/>
    <mergeCell ref="L84:M84"/>
    <mergeCell ref="L81:M81"/>
    <mergeCell ref="L82:M82"/>
    <mergeCell ref="C58:D58"/>
    <mergeCell ref="C49:D49"/>
    <mergeCell ref="C50:D50"/>
    <mergeCell ref="C51:D51"/>
    <mergeCell ref="C52:D52"/>
    <mergeCell ref="C53:D53"/>
    <mergeCell ref="C54:D54"/>
    <mergeCell ref="L83:M83"/>
    <mergeCell ref="C56:D56"/>
    <mergeCell ref="C57:D57"/>
    <mergeCell ref="C55:D55"/>
    <mergeCell ref="C63:D63"/>
    <mergeCell ref="C64:D64"/>
    <mergeCell ref="C65:D65"/>
    <mergeCell ref="C66:D66"/>
    <mergeCell ref="C67:D67"/>
    <mergeCell ref="C68:D68"/>
    <mergeCell ref="C71:D71"/>
    <mergeCell ref="C72:D72"/>
    <mergeCell ref="C69:D69"/>
    <mergeCell ref="C70:D70"/>
    <mergeCell ref="C73:D73"/>
    <mergeCell ref="H78:I78"/>
    <mergeCell ref="J78:K78"/>
    <mergeCell ref="C44:D44"/>
    <mergeCell ref="C45:D45"/>
    <mergeCell ref="C46:D46"/>
    <mergeCell ref="C47:D47"/>
    <mergeCell ref="C48:D48"/>
    <mergeCell ref="C36:D36"/>
    <mergeCell ref="C37:D37"/>
    <mergeCell ref="C38:D38"/>
    <mergeCell ref="C39:D39"/>
    <mergeCell ref="C42:D42"/>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13:D13"/>
    <mergeCell ref="C14:D14"/>
    <mergeCell ref="C15:D15"/>
    <mergeCell ref="C16:D16"/>
    <mergeCell ref="C17:D17"/>
    <mergeCell ref="C18:D18"/>
    <mergeCell ref="C19:D19"/>
    <mergeCell ref="C20:D20"/>
    <mergeCell ref="C21:D21"/>
    <mergeCell ref="C7:D7"/>
    <mergeCell ref="C8:D8"/>
    <mergeCell ref="S4:S5"/>
    <mergeCell ref="T4:T5"/>
    <mergeCell ref="U4:U5"/>
    <mergeCell ref="C9:D9"/>
    <mergeCell ref="C10:D10"/>
    <mergeCell ref="C11:D11"/>
    <mergeCell ref="C12:D12"/>
    <mergeCell ref="G3:M3"/>
    <mergeCell ref="O3:Q3"/>
    <mergeCell ref="A4:A5"/>
    <mergeCell ref="B4:B5"/>
    <mergeCell ref="C4:D5"/>
    <mergeCell ref="E4:E5"/>
    <mergeCell ref="F4:F5"/>
    <mergeCell ref="G4:J4"/>
    <mergeCell ref="C6:D6"/>
    <mergeCell ref="AT4:AW4"/>
    <mergeCell ref="AX4:BA4"/>
    <mergeCell ref="K4:N4"/>
    <mergeCell ref="O4:R4"/>
    <mergeCell ref="Z4:AC4"/>
    <mergeCell ref="AD4:AG4"/>
    <mergeCell ref="AH4:AK4"/>
    <mergeCell ref="AL4:AO4"/>
    <mergeCell ref="AP4:AS4"/>
    <mergeCell ref="V4:Y4"/>
    <mergeCell ref="R76:W76"/>
    <mergeCell ref="L78:M78"/>
    <mergeCell ref="N78:O78"/>
    <mergeCell ref="N95:O95"/>
    <mergeCell ref="N96:O96"/>
    <mergeCell ref="H108:I108"/>
    <mergeCell ref="J108:K108"/>
    <mergeCell ref="L108:M108"/>
    <mergeCell ref="N108:O108"/>
    <mergeCell ref="N105:O105"/>
    <mergeCell ref="L90:M90"/>
    <mergeCell ref="J87:K87"/>
    <mergeCell ref="N89:O89"/>
    <mergeCell ref="H79:I79"/>
    <mergeCell ref="H80:I80"/>
    <mergeCell ref="H81:I81"/>
    <mergeCell ref="H85:I85"/>
    <mergeCell ref="J85:K85"/>
    <mergeCell ref="J90:K90"/>
    <mergeCell ref="H88:I88"/>
    <mergeCell ref="J88:K88"/>
    <mergeCell ref="J86:K86"/>
    <mergeCell ref="H86:I86"/>
    <mergeCell ref="H87:I87"/>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A196"/>
  <sheetViews>
    <sheetView zoomScale="176" zoomScaleNormal="120" workbookViewId="0">
      <pane xSplit="1" ySplit="5" topLeftCell="B6" activePane="bottomRight" state="frozen"/>
      <selection pane="topRight" activeCell="B1" sqref="B1"/>
      <selection pane="bottomLeft" activeCell="A6" sqref="A6"/>
      <selection pane="bottomRight" activeCell="K36" sqref="K36"/>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52</v>
      </c>
    </row>
    <row r="3" spans="1:53" s="2" customFormat="1">
      <c r="G3" s="924"/>
      <c r="H3" s="924"/>
      <c r="I3" s="924"/>
      <c r="J3" s="924"/>
      <c r="K3" s="924"/>
      <c r="L3" s="924"/>
      <c r="M3" s="924"/>
      <c r="O3" s="924"/>
      <c r="P3" s="924"/>
      <c r="Q3" s="924"/>
      <c r="R3" s="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12" t="s">
        <v>246</v>
      </c>
      <c r="D6" s="912"/>
      <c r="E6" s="227">
        <v>0</v>
      </c>
      <c r="G6" s="235">
        <v>7</v>
      </c>
      <c r="I6" s="227">
        <v>9</v>
      </c>
      <c r="J6" s="242">
        <v>16</v>
      </c>
      <c r="K6" s="218">
        <f>G6/J6*100</f>
        <v>43.75</v>
      </c>
      <c r="L6" s="218">
        <f>H6/J6*100</f>
        <v>0</v>
      </c>
      <c r="M6" s="218">
        <f>I6/J6*100</f>
        <v>56.25</v>
      </c>
      <c r="N6" s="237">
        <f>SUM(K6:M6)</f>
        <v>100</v>
      </c>
      <c r="O6" s="217">
        <v>13.1</v>
      </c>
      <c r="P6" s="218"/>
      <c r="Q6" s="218">
        <v>40</v>
      </c>
      <c r="R6" s="219">
        <f>SUM(O6:Q6)</f>
        <v>53.1</v>
      </c>
      <c r="S6" s="224">
        <v>2</v>
      </c>
      <c r="T6" s="870"/>
      <c r="U6" s="853"/>
      <c r="V6" s="226" t="s">
        <v>102</v>
      </c>
      <c r="W6" s="227" t="s">
        <v>20</v>
      </c>
      <c r="X6" s="227" t="s">
        <v>12</v>
      </c>
      <c r="Y6" s="228">
        <v>40</v>
      </c>
      <c r="Z6" s="227" t="s">
        <v>103</v>
      </c>
      <c r="AA6" s="227" t="s">
        <v>22</v>
      </c>
      <c r="AB6" s="227" t="s">
        <v>11</v>
      </c>
      <c r="AC6" s="227">
        <v>8</v>
      </c>
      <c r="AD6" s="226" t="s">
        <v>104</v>
      </c>
      <c r="AE6" s="227" t="s">
        <v>100</v>
      </c>
      <c r="AF6" s="227" t="s">
        <v>11</v>
      </c>
      <c r="AG6" s="228">
        <v>5.0999999999999996</v>
      </c>
      <c r="AH6" s="226"/>
      <c r="AL6" s="226"/>
      <c r="AO6" s="228"/>
      <c r="AP6" s="226"/>
      <c r="AS6" s="228"/>
      <c r="AW6" s="228"/>
      <c r="BA6" s="229"/>
    </row>
    <row r="7" spans="1:53" s="227" customFormat="1">
      <c r="A7" s="233">
        <v>1959</v>
      </c>
      <c r="B7" s="853"/>
      <c r="C7" s="912" t="s">
        <v>246</v>
      </c>
      <c r="D7" s="912"/>
      <c r="E7" s="227">
        <v>365</v>
      </c>
      <c r="G7" s="235">
        <v>7</v>
      </c>
      <c r="I7" s="227">
        <v>9</v>
      </c>
      <c r="J7" s="242">
        <v>16</v>
      </c>
      <c r="K7" s="218">
        <f>G7/J7*100</f>
        <v>43.75</v>
      </c>
      <c r="L7" s="218">
        <f>H7/J7*100</f>
        <v>0</v>
      </c>
      <c r="M7" s="218">
        <f>I7/J7*100</f>
        <v>56.25</v>
      </c>
      <c r="N7" s="237">
        <f>SUM(K7:M7)</f>
        <v>100</v>
      </c>
      <c r="O7" s="217">
        <v>13.1</v>
      </c>
      <c r="P7" s="218"/>
      <c r="Q7" s="218">
        <v>40</v>
      </c>
      <c r="R7" s="219">
        <f>SUM(O7:Q7)</f>
        <v>53.1</v>
      </c>
      <c r="S7" s="224">
        <v>2</v>
      </c>
      <c r="T7" s="870"/>
      <c r="U7" s="853"/>
      <c r="V7" s="226" t="s">
        <v>102</v>
      </c>
      <c r="W7" s="227" t="s">
        <v>20</v>
      </c>
      <c r="X7" s="227" t="s">
        <v>12</v>
      </c>
      <c r="Y7" s="228">
        <v>40</v>
      </c>
      <c r="Z7" s="227" t="s">
        <v>103</v>
      </c>
      <c r="AA7" s="227" t="s">
        <v>22</v>
      </c>
      <c r="AB7" s="227" t="s">
        <v>11</v>
      </c>
      <c r="AC7" s="227">
        <v>8</v>
      </c>
      <c r="AD7" s="226" t="s">
        <v>104</v>
      </c>
      <c r="AE7" s="227" t="s">
        <v>100</v>
      </c>
      <c r="AF7" s="227" t="s">
        <v>11</v>
      </c>
      <c r="AG7" s="228">
        <v>5.0999999999999996</v>
      </c>
      <c r="AH7" s="226"/>
      <c r="AL7" s="226"/>
      <c r="AO7" s="228"/>
      <c r="AP7" s="226"/>
      <c r="AS7" s="228"/>
      <c r="AW7" s="228"/>
      <c r="BA7" s="229"/>
    </row>
    <row r="8" spans="1:53" s="73" customFormat="1">
      <c r="A8" s="101">
        <v>1960</v>
      </c>
      <c r="B8" s="852"/>
      <c r="C8" s="901" t="s">
        <v>246</v>
      </c>
      <c r="D8" s="901"/>
      <c r="E8" s="73">
        <v>51</v>
      </c>
      <c r="G8" s="119">
        <v>7</v>
      </c>
      <c r="I8" s="73">
        <v>9</v>
      </c>
      <c r="J8" s="126">
        <v>16</v>
      </c>
      <c r="K8" s="92">
        <f>G8/J8*100</f>
        <v>43.75</v>
      </c>
      <c r="L8" s="92">
        <f>H8/J8*100</f>
        <v>0</v>
      </c>
      <c r="M8" s="92">
        <f>I8/J8*100</f>
        <v>56.25</v>
      </c>
      <c r="N8" s="121">
        <f>SUM(K8:M8)</f>
        <v>100</v>
      </c>
      <c r="O8" s="91">
        <v>13.1</v>
      </c>
      <c r="P8" s="92"/>
      <c r="Q8" s="92">
        <v>40</v>
      </c>
      <c r="R8" s="93">
        <f>SUM(O8:Q8)</f>
        <v>53.1</v>
      </c>
      <c r="S8" s="97">
        <v>2</v>
      </c>
      <c r="T8" s="839"/>
      <c r="U8" s="852"/>
      <c r="V8" s="82" t="s">
        <v>102</v>
      </c>
      <c r="W8" s="73" t="s">
        <v>20</v>
      </c>
      <c r="X8" s="73" t="s">
        <v>12</v>
      </c>
      <c r="Y8" s="83">
        <v>40</v>
      </c>
      <c r="Z8" s="73" t="s">
        <v>103</v>
      </c>
      <c r="AA8" s="73" t="s">
        <v>22</v>
      </c>
      <c r="AB8" s="73" t="s">
        <v>11</v>
      </c>
      <c r="AC8" s="73">
        <v>8</v>
      </c>
      <c r="AD8" s="82" t="s">
        <v>104</v>
      </c>
      <c r="AE8" s="73" t="s">
        <v>100</v>
      </c>
      <c r="AF8" s="73" t="s">
        <v>11</v>
      </c>
      <c r="AG8" s="83">
        <v>5.0999999999999996</v>
      </c>
      <c r="AH8" s="82"/>
      <c r="AL8" s="82"/>
      <c r="AO8" s="83"/>
      <c r="AP8" s="82"/>
      <c r="AS8" s="83"/>
      <c r="AW8" s="83"/>
      <c r="BA8" s="84"/>
    </row>
    <row r="9" spans="1:53" s="292" customFormat="1">
      <c r="A9" s="338">
        <v>1960</v>
      </c>
      <c r="B9" s="836">
        <v>21967</v>
      </c>
      <c r="C9" s="909" t="s">
        <v>247</v>
      </c>
      <c r="D9" s="909"/>
      <c r="E9" s="292">
        <v>271</v>
      </c>
      <c r="F9" s="292">
        <v>3</v>
      </c>
      <c r="G9" s="366">
        <v>7</v>
      </c>
      <c r="I9" s="292">
        <v>8</v>
      </c>
      <c r="J9" s="377">
        <v>15</v>
      </c>
      <c r="K9" s="336">
        <f>G9/J9*100</f>
        <v>46.666666666666664</v>
      </c>
      <c r="L9" s="336">
        <f>H9/J9*100</f>
        <v>0</v>
      </c>
      <c r="M9" s="336">
        <f>I9/J9*100</f>
        <v>53.333333333333336</v>
      </c>
      <c r="N9" s="368">
        <f t="shared" ref="N9:N72" si="0">SUM(K9:M9)</f>
        <v>100</v>
      </c>
      <c r="O9" s="335">
        <v>13.1</v>
      </c>
      <c r="P9" s="336"/>
      <c r="Q9" s="336">
        <v>40</v>
      </c>
      <c r="R9" s="337">
        <f t="shared" ref="R9:R72" si="1">SUM(O9:Q9)</f>
        <v>53.1</v>
      </c>
      <c r="S9" s="340">
        <v>2</v>
      </c>
      <c r="T9" s="838"/>
      <c r="U9" s="836">
        <v>21967</v>
      </c>
      <c r="V9" s="299" t="s">
        <v>102</v>
      </c>
      <c r="W9" s="292" t="s">
        <v>20</v>
      </c>
      <c r="X9" s="292" t="s">
        <v>12</v>
      </c>
      <c r="Y9" s="300">
        <v>40</v>
      </c>
      <c r="Z9" s="292" t="s">
        <v>103</v>
      </c>
      <c r="AA9" s="292" t="s">
        <v>22</v>
      </c>
      <c r="AB9" s="292" t="s">
        <v>11</v>
      </c>
      <c r="AC9" s="292">
        <v>8</v>
      </c>
      <c r="AD9" s="299" t="s">
        <v>104</v>
      </c>
      <c r="AE9" s="292" t="s">
        <v>100</v>
      </c>
      <c r="AF9" s="292" t="s">
        <v>11</v>
      </c>
      <c r="AG9" s="300">
        <v>5.0999999999999996</v>
      </c>
      <c r="AH9" s="299"/>
      <c r="AL9" s="299"/>
      <c r="AO9" s="300"/>
      <c r="AP9" s="299"/>
      <c r="AS9" s="300"/>
      <c r="AW9" s="300"/>
      <c r="BA9" s="301"/>
    </row>
    <row r="10" spans="1:53" s="73" customFormat="1">
      <c r="A10" s="101">
        <v>1960</v>
      </c>
      <c r="B10" s="852">
        <v>22238</v>
      </c>
      <c r="C10" s="901" t="s">
        <v>248</v>
      </c>
      <c r="D10" s="901"/>
      <c r="E10" s="73">
        <v>44</v>
      </c>
      <c r="F10" s="73">
        <v>1</v>
      </c>
      <c r="G10" s="119">
        <v>5</v>
      </c>
      <c r="I10" s="73">
        <v>11</v>
      </c>
      <c r="J10" s="126">
        <v>17</v>
      </c>
      <c r="K10" s="92">
        <f t="shared" ref="K10:K15" si="2">G10/J10*100</f>
        <v>29.411764705882355</v>
      </c>
      <c r="L10" s="92">
        <f t="shared" ref="L10:L15" si="3">H10/J10*100</f>
        <v>0</v>
      </c>
      <c r="M10" s="92">
        <f t="shared" ref="M10:M15" si="4">I10/J10*100</f>
        <v>64.705882352941174</v>
      </c>
      <c r="N10" s="121">
        <f t="shared" si="0"/>
        <v>94.117647058823536</v>
      </c>
      <c r="O10" s="91">
        <v>6.3</v>
      </c>
      <c r="P10" s="92"/>
      <c r="Q10" s="92">
        <v>43.4</v>
      </c>
      <c r="R10" s="93">
        <f t="shared" si="1"/>
        <v>49.699999999999996</v>
      </c>
      <c r="S10" s="97">
        <v>5</v>
      </c>
      <c r="T10" s="839">
        <v>22235</v>
      </c>
      <c r="U10" s="852">
        <v>22238</v>
      </c>
      <c r="V10" s="82" t="s">
        <v>102</v>
      </c>
      <c r="W10" s="73" t="s">
        <v>20</v>
      </c>
      <c r="X10" s="73" t="s">
        <v>12</v>
      </c>
      <c r="Y10" s="83">
        <v>43.4</v>
      </c>
      <c r="Z10" s="73" t="s">
        <v>103</v>
      </c>
      <c r="AA10" s="73" t="s">
        <v>22</v>
      </c>
      <c r="AB10" s="73" t="s">
        <v>11</v>
      </c>
      <c r="AC10" s="73">
        <v>6.3</v>
      </c>
      <c r="AD10" s="82"/>
      <c r="AG10" s="83"/>
      <c r="AL10" s="82"/>
      <c r="AO10" s="83"/>
      <c r="AP10" s="82"/>
      <c r="AS10" s="83"/>
      <c r="AW10" s="83"/>
      <c r="BA10" s="84"/>
    </row>
    <row r="11" spans="1:53" s="73" customFormat="1">
      <c r="A11" s="101">
        <v>1961</v>
      </c>
      <c r="B11" s="852"/>
      <c r="C11" s="901" t="s">
        <v>248</v>
      </c>
      <c r="D11" s="901"/>
      <c r="E11" s="73">
        <v>0</v>
      </c>
      <c r="G11" s="119">
        <v>5</v>
      </c>
      <c r="I11" s="73">
        <v>11</v>
      </c>
      <c r="J11" s="126">
        <v>17</v>
      </c>
      <c r="K11" s="92">
        <f t="shared" si="2"/>
        <v>29.411764705882355</v>
      </c>
      <c r="L11" s="92">
        <f t="shared" si="3"/>
        <v>0</v>
      </c>
      <c r="M11" s="92">
        <f t="shared" si="4"/>
        <v>64.705882352941174</v>
      </c>
      <c r="N11" s="121">
        <f t="shared" si="0"/>
        <v>94.117647058823536</v>
      </c>
      <c r="O11" s="91">
        <v>6.3</v>
      </c>
      <c r="P11" s="92"/>
      <c r="Q11" s="92">
        <v>43.4</v>
      </c>
      <c r="R11" s="93">
        <f t="shared" si="1"/>
        <v>49.699999999999996</v>
      </c>
      <c r="S11" s="97">
        <v>5</v>
      </c>
      <c r="T11" s="839"/>
      <c r="U11" s="852"/>
      <c r="V11" s="82" t="s">
        <v>102</v>
      </c>
      <c r="W11" s="73" t="s">
        <v>20</v>
      </c>
      <c r="X11" s="73" t="s">
        <v>12</v>
      </c>
      <c r="Y11" s="83">
        <v>43.4</v>
      </c>
      <c r="Z11" s="73" t="s">
        <v>103</v>
      </c>
      <c r="AA11" s="73" t="s">
        <v>22</v>
      </c>
      <c r="AB11" s="73" t="s">
        <v>11</v>
      </c>
      <c r="AC11" s="73">
        <v>6.3</v>
      </c>
      <c r="AD11" s="82"/>
      <c r="AG11" s="83"/>
      <c r="AL11" s="82"/>
      <c r="AO11" s="83"/>
      <c r="AP11" s="82"/>
      <c r="AS11" s="83"/>
      <c r="AW11" s="83"/>
      <c r="BA11" s="84"/>
    </row>
    <row r="12" spans="1:53" s="73" customFormat="1">
      <c r="A12" s="101">
        <v>1961</v>
      </c>
      <c r="B12" s="852"/>
      <c r="C12" s="901" t="s">
        <v>248</v>
      </c>
      <c r="D12" s="901"/>
      <c r="E12" s="73">
        <f>365-E11</f>
        <v>365</v>
      </c>
      <c r="G12" s="119">
        <v>5</v>
      </c>
      <c r="I12" s="73">
        <v>11</v>
      </c>
      <c r="J12" s="126">
        <v>17</v>
      </c>
      <c r="K12" s="92">
        <f t="shared" si="2"/>
        <v>29.411764705882355</v>
      </c>
      <c r="L12" s="92">
        <f t="shared" si="3"/>
        <v>0</v>
      </c>
      <c r="M12" s="92">
        <f t="shared" si="4"/>
        <v>64.705882352941174</v>
      </c>
      <c r="N12" s="121">
        <f t="shared" si="0"/>
        <v>94.117647058823536</v>
      </c>
      <c r="O12" s="91">
        <v>6.3</v>
      </c>
      <c r="P12" s="92"/>
      <c r="Q12" s="92">
        <v>43.4</v>
      </c>
      <c r="R12" s="93">
        <f t="shared" si="1"/>
        <v>49.699999999999996</v>
      </c>
      <c r="S12" s="97">
        <v>5</v>
      </c>
      <c r="T12" s="839"/>
      <c r="U12" s="852"/>
      <c r="V12" s="82" t="s">
        <v>102</v>
      </c>
      <c r="W12" s="73" t="s">
        <v>20</v>
      </c>
      <c r="X12" s="73" t="s">
        <v>12</v>
      </c>
      <c r="Y12" s="83">
        <v>43.4</v>
      </c>
      <c r="Z12" s="73" t="s">
        <v>103</v>
      </c>
      <c r="AA12" s="73" t="s">
        <v>22</v>
      </c>
      <c r="AB12" s="73" t="s">
        <v>11</v>
      </c>
      <c r="AC12" s="73">
        <v>6.3</v>
      </c>
      <c r="AD12" s="82"/>
      <c r="AG12" s="83"/>
      <c r="AL12" s="82"/>
      <c r="AO12" s="83"/>
      <c r="AP12" s="82"/>
      <c r="AS12" s="83"/>
      <c r="AW12" s="83"/>
      <c r="BA12" s="84"/>
    </row>
    <row r="13" spans="1:53" s="73" customFormat="1">
      <c r="A13" s="101">
        <v>1962</v>
      </c>
      <c r="B13" s="852"/>
      <c r="C13" s="901" t="s">
        <v>248</v>
      </c>
      <c r="D13" s="901"/>
      <c r="E13" s="73">
        <v>246</v>
      </c>
      <c r="G13" s="119">
        <v>5</v>
      </c>
      <c r="I13" s="73">
        <v>11</v>
      </c>
      <c r="J13" s="126">
        <v>17</v>
      </c>
      <c r="K13" s="92">
        <f t="shared" si="2"/>
        <v>29.411764705882355</v>
      </c>
      <c r="L13" s="92">
        <f t="shared" si="3"/>
        <v>0</v>
      </c>
      <c r="M13" s="92">
        <f t="shared" si="4"/>
        <v>64.705882352941174</v>
      </c>
      <c r="N13" s="121">
        <f t="shared" si="0"/>
        <v>94.117647058823536</v>
      </c>
      <c r="O13" s="91">
        <v>6.3</v>
      </c>
      <c r="P13" s="92"/>
      <c r="Q13" s="92">
        <v>43.4</v>
      </c>
      <c r="R13" s="93">
        <f t="shared" si="1"/>
        <v>49.699999999999996</v>
      </c>
      <c r="S13" s="97">
        <v>5</v>
      </c>
      <c r="T13" s="839"/>
      <c r="U13" s="852"/>
      <c r="V13" s="82" t="s">
        <v>102</v>
      </c>
      <c r="W13" s="73" t="s">
        <v>20</v>
      </c>
      <c r="X13" s="73" t="s">
        <v>12</v>
      </c>
      <c r="Y13" s="83">
        <v>43.4</v>
      </c>
      <c r="Z13" s="73" t="s">
        <v>103</v>
      </c>
      <c r="AA13" s="73" t="s">
        <v>22</v>
      </c>
      <c r="AB13" s="73" t="s">
        <v>11</v>
      </c>
      <c r="AC13" s="73">
        <v>6.3</v>
      </c>
      <c r="AD13" s="82"/>
      <c r="AG13" s="83"/>
      <c r="AL13" s="82"/>
      <c r="AO13" s="83"/>
      <c r="AP13" s="82"/>
      <c r="AS13" s="83"/>
      <c r="AW13" s="83"/>
      <c r="BA13" s="84"/>
    </row>
    <row r="14" spans="1:53" s="292" customFormat="1">
      <c r="A14" s="338">
        <v>1962</v>
      </c>
      <c r="B14" s="836">
        <v>22893</v>
      </c>
      <c r="C14" s="909" t="s">
        <v>249</v>
      </c>
      <c r="D14" s="909"/>
      <c r="E14" s="292">
        <f>365-E13</f>
        <v>119</v>
      </c>
      <c r="F14" s="292">
        <v>3</v>
      </c>
      <c r="G14" s="366">
        <v>5</v>
      </c>
      <c r="I14" s="292">
        <v>11</v>
      </c>
      <c r="J14" s="377">
        <v>17</v>
      </c>
      <c r="K14" s="336">
        <f t="shared" si="2"/>
        <v>29.411764705882355</v>
      </c>
      <c r="L14" s="336">
        <f t="shared" si="3"/>
        <v>0</v>
      </c>
      <c r="M14" s="336">
        <f t="shared" si="4"/>
        <v>64.705882352941174</v>
      </c>
      <c r="N14" s="368">
        <f t="shared" si="0"/>
        <v>94.117647058823536</v>
      </c>
      <c r="O14" s="335">
        <v>6.3</v>
      </c>
      <c r="P14" s="336"/>
      <c r="Q14" s="336">
        <v>43.4</v>
      </c>
      <c r="R14" s="337">
        <f t="shared" si="1"/>
        <v>49.699999999999996</v>
      </c>
      <c r="S14" s="340">
        <v>5</v>
      </c>
      <c r="T14" s="838"/>
      <c r="U14" s="836">
        <v>22893</v>
      </c>
      <c r="V14" s="299" t="s">
        <v>102</v>
      </c>
      <c r="W14" s="292" t="s">
        <v>20</v>
      </c>
      <c r="X14" s="292" t="s">
        <v>12</v>
      </c>
      <c r="Y14" s="300">
        <v>43.4</v>
      </c>
      <c r="Z14" s="292" t="s">
        <v>103</v>
      </c>
      <c r="AA14" s="292" t="s">
        <v>22</v>
      </c>
      <c r="AB14" s="292" t="s">
        <v>11</v>
      </c>
      <c r="AC14" s="292">
        <v>6.3</v>
      </c>
      <c r="AD14" s="299"/>
      <c r="AG14" s="300"/>
      <c r="AL14" s="299"/>
      <c r="AO14" s="300"/>
      <c r="AP14" s="299"/>
      <c r="AS14" s="300"/>
      <c r="AW14" s="300"/>
      <c r="BA14" s="301"/>
    </row>
    <row r="15" spans="1:53" s="292" customFormat="1">
      <c r="A15" s="338">
        <v>1962.6</v>
      </c>
      <c r="B15" s="836"/>
      <c r="C15" s="909" t="s">
        <v>249</v>
      </c>
      <c r="D15" s="909"/>
      <c r="E15" s="292">
        <v>0</v>
      </c>
      <c r="G15" s="366">
        <v>5</v>
      </c>
      <c r="I15" s="292">
        <v>11</v>
      </c>
      <c r="J15" s="377">
        <v>17</v>
      </c>
      <c r="K15" s="336">
        <f t="shared" si="2"/>
        <v>29.411764705882355</v>
      </c>
      <c r="L15" s="336">
        <f t="shared" si="3"/>
        <v>0</v>
      </c>
      <c r="M15" s="336">
        <f t="shared" si="4"/>
        <v>64.705882352941174</v>
      </c>
      <c r="N15" s="368">
        <f t="shared" si="0"/>
        <v>94.117647058823536</v>
      </c>
      <c r="O15" s="335">
        <v>6.3</v>
      </c>
      <c r="P15" s="336"/>
      <c r="Q15" s="336">
        <v>43.4</v>
      </c>
      <c r="R15" s="337">
        <f t="shared" si="1"/>
        <v>49.699999999999996</v>
      </c>
      <c r="S15" s="340">
        <v>5</v>
      </c>
      <c r="T15" s="838"/>
      <c r="U15" s="836"/>
      <c r="V15" s="299" t="s">
        <v>102</v>
      </c>
      <c r="W15" s="292" t="s">
        <v>20</v>
      </c>
      <c r="X15" s="292" t="s">
        <v>12</v>
      </c>
      <c r="Y15" s="300">
        <v>43.4</v>
      </c>
      <c r="Z15" s="292" t="s">
        <v>103</v>
      </c>
      <c r="AA15" s="292" t="s">
        <v>22</v>
      </c>
      <c r="AB15" s="292" t="s">
        <v>11</v>
      </c>
      <c r="AC15" s="292">
        <v>6.3</v>
      </c>
      <c r="AD15" s="299"/>
      <c r="AG15" s="300"/>
      <c r="AL15" s="299"/>
      <c r="AO15" s="300"/>
      <c r="AP15" s="299"/>
      <c r="AS15" s="300"/>
      <c r="AW15" s="300"/>
      <c r="BA15" s="301"/>
    </row>
    <row r="16" spans="1:53" s="292" customFormat="1">
      <c r="A16" s="338">
        <v>1963.05714285714</v>
      </c>
      <c r="B16" s="836"/>
      <c r="C16" s="909" t="s">
        <v>249</v>
      </c>
      <c r="D16" s="909"/>
      <c r="E16" s="292">
        <v>365</v>
      </c>
      <c r="G16" s="366">
        <v>5</v>
      </c>
      <c r="I16" s="292">
        <v>11</v>
      </c>
      <c r="J16" s="377">
        <v>17</v>
      </c>
      <c r="K16" s="336">
        <f>G16/J16*100</f>
        <v>29.411764705882355</v>
      </c>
      <c r="L16" s="336">
        <f>H16/J16*100</f>
        <v>0</v>
      </c>
      <c r="M16" s="336">
        <f>I16/J16*100</f>
        <v>64.705882352941174</v>
      </c>
      <c r="N16" s="368">
        <f t="shared" si="0"/>
        <v>94.117647058823536</v>
      </c>
      <c r="O16" s="335">
        <v>6.3</v>
      </c>
      <c r="P16" s="336"/>
      <c r="Q16" s="336">
        <v>43.4</v>
      </c>
      <c r="R16" s="337">
        <f t="shared" si="1"/>
        <v>49.699999999999996</v>
      </c>
      <c r="S16" s="340">
        <v>5</v>
      </c>
      <c r="T16" s="838"/>
      <c r="U16" s="836"/>
      <c r="V16" s="299" t="s">
        <v>102</v>
      </c>
      <c r="W16" s="292" t="s">
        <v>20</v>
      </c>
      <c r="X16" s="292" t="s">
        <v>12</v>
      </c>
      <c r="Y16" s="300">
        <v>43.4</v>
      </c>
      <c r="Z16" s="292" t="s">
        <v>103</v>
      </c>
      <c r="AA16" s="292" t="s">
        <v>22</v>
      </c>
      <c r="AB16" s="292" t="s">
        <v>11</v>
      </c>
      <c r="AC16" s="292">
        <v>6.3</v>
      </c>
      <c r="AD16" s="299"/>
      <c r="AG16" s="300"/>
      <c r="AL16" s="299"/>
      <c r="AO16" s="300"/>
      <c r="AP16" s="299"/>
      <c r="AS16" s="300"/>
      <c r="AW16" s="300"/>
      <c r="BA16" s="301"/>
    </row>
    <row r="17" spans="1:53" s="292" customFormat="1">
      <c r="A17" s="338">
        <v>1963.5142857142901</v>
      </c>
      <c r="B17" s="836"/>
      <c r="C17" s="909" t="s">
        <v>249</v>
      </c>
      <c r="D17" s="909"/>
      <c r="E17" s="292">
        <v>269</v>
      </c>
      <c r="G17" s="366">
        <v>5</v>
      </c>
      <c r="I17" s="292">
        <v>11</v>
      </c>
      <c r="J17" s="377">
        <v>17</v>
      </c>
      <c r="K17" s="336">
        <f>G17/J17*100</f>
        <v>29.411764705882355</v>
      </c>
      <c r="L17" s="336">
        <f>H17/J17*100</f>
        <v>0</v>
      </c>
      <c r="M17" s="336">
        <f>I17/J17*100</f>
        <v>64.705882352941174</v>
      </c>
      <c r="N17" s="368">
        <f t="shared" si="0"/>
        <v>94.117647058823536</v>
      </c>
      <c r="O17" s="335">
        <v>6.3</v>
      </c>
      <c r="P17" s="336"/>
      <c r="Q17" s="336">
        <v>43.4</v>
      </c>
      <c r="R17" s="337">
        <f t="shared" si="1"/>
        <v>49.699999999999996</v>
      </c>
      <c r="S17" s="340">
        <v>5</v>
      </c>
      <c r="T17" s="838"/>
      <c r="U17" s="836"/>
      <c r="V17" s="299" t="s">
        <v>102</v>
      </c>
      <c r="W17" s="292" t="s">
        <v>20</v>
      </c>
      <c r="X17" s="292" t="s">
        <v>12</v>
      </c>
      <c r="Y17" s="300">
        <v>43.4</v>
      </c>
      <c r="Z17" s="292" t="s">
        <v>103</v>
      </c>
      <c r="AA17" s="292" t="s">
        <v>22</v>
      </c>
      <c r="AB17" s="292" t="s">
        <v>11</v>
      </c>
      <c r="AC17" s="292">
        <v>6.3</v>
      </c>
      <c r="AD17" s="299"/>
      <c r="AG17" s="300"/>
      <c r="AL17" s="299"/>
      <c r="AO17" s="300"/>
      <c r="AP17" s="299"/>
      <c r="AS17" s="300"/>
      <c r="AW17" s="300"/>
      <c r="BA17" s="301"/>
    </row>
    <row r="18" spans="1:53" s="73" customFormat="1">
      <c r="A18" s="101">
        <v>1963.9714285714299</v>
      </c>
      <c r="B18" s="852">
        <v>23646</v>
      </c>
      <c r="C18" s="901" t="s">
        <v>250</v>
      </c>
      <c r="D18" s="901"/>
      <c r="E18" s="73">
        <v>97</v>
      </c>
      <c r="F18" s="73">
        <v>1</v>
      </c>
      <c r="G18" s="119"/>
      <c r="I18" s="73">
        <v>17</v>
      </c>
      <c r="J18" s="126">
        <v>17</v>
      </c>
      <c r="K18" s="92">
        <f>G18/J18*100</f>
        <v>0</v>
      </c>
      <c r="L18" s="92">
        <f>H18/J18*100</f>
        <v>0</v>
      </c>
      <c r="M18" s="92">
        <f>I18/J18*100</f>
        <v>100</v>
      </c>
      <c r="N18" s="121">
        <f t="shared" si="0"/>
        <v>100</v>
      </c>
      <c r="O18" s="91"/>
      <c r="P18" s="92"/>
      <c r="Q18" s="92">
        <v>43.4</v>
      </c>
      <c r="R18" s="93">
        <f t="shared" si="1"/>
        <v>43.4</v>
      </c>
      <c r="S18" s="97">
        <v>4</v>
      </c>
      <c r="T18" s="839">
        <v>23642</v>
      </c>
      <c r="U18" s="852">
        <v>23646</v>
      </c>
      <c r="V18" s="82" t="s">
        <v>102</v>
      </c>
      <c r="W18" s="73" t="s">
        <v>20</v>
      </c>
      <c r="X18" s="73" t="s">
        <v>12</v>
      </c>
      <c r="Y18" s="83">
        <v>43.4</v>
      </c>
      <c r="AD18" s="82"/>
      <c r="AG18" s="83"/>
      <c r="AL18" s="82"/>
      <c r="AO18" s="83"/>
      <c r="AP18" s="82"/>
      <c r="AS18" s="83"/>
      <c r="AW18" s="83"/>
      <c r="BA18" s="84"/>
    </row>
    <row r="19" spans="1:53" s="73" customFormat="1">
      <c r="A19" s="101">
        <v>1965</v>
      </c>
      <c r="B19" s="852"/>
      <c r="C19" s="901" t="s">
        <v>250</v>
      </c>
      <c r="D19" s="901"/>
      <c r="E19" s="73">
        <v>0</v>
      </c>
      <c r="G19" s="119"/>
      <c r="I19" s="73">
        <v>17</v>
      </c>
      <c r="J19" s="126">
        <v>17</v>
      </c>
      <c r="K19" s="92">
        <f t="shared" ref="K19:K24" si="5">G19/J19*100</f>
        <v>0</v>
      </c>
      <c r="L19" s="92">
        <f t="shared" ref="L19:L24" si="6">H19/J19*100</f>
        <v>0</v>
      </c>
      <c r="M19" s="92">
        <f t="shared" ref="M19:M24" si="7">I19/J19*100</f>
        <v>100</v>
      </c>
      <c r="N19" s="121">
        <f t="shared" si="0"/>
        <v>100</v>
      </c>
      <c r="O19" s="91"/>
      <c r="P19" s="92"/>
      <c r="Q19" s="92">
        <v>43.4</v>
      </c>
      <c r="R19" s="93">
        <f t="shared" si="1"/>
        <v>43.4</v>
      </c>
      <c r="S19" s="97">
        <v>4</v>
      </c>
      <c r="T19" s="839"/>
      <c r="U19" s="852"/>
      <c r="V19" s="82" t="s">
        <v>102</v>
      </c>
      <c r="W19" s="73" t="s">
        <v>20</v>
      </c>
      <c r="X19" s="73" t="s">
        <v>12</v>
      </c>
      <c r="Y19" s="83">
        <v>43.4</v>
      </c>
      <c r="AD19" s="82"/>
      <c r="AG19" s="83"/>
      <c r="AL19" s="82"/>
      <c r="AO19" s="83"/>
      <c r="AP19" s="82"/>
      <c r="AS19" s="83"/>
      <c r="AW19" s="83"/>
      <c r="BA19" s="84"/>
    </row>
    <row r="20" spans="1:53" s="73" customFormat="1">
      <c r="A20" s="101">
        <v>1964.88571428572</v>
      </c>
      <c r="B20" s="852"/>
      <c r="C20" s="901" t="s">
        <v>250</v>
      </c>
      <c r="D20" s="901"/>
      <c r="E20" s="73">
        <v>365</v>
      </c>
      <c r="G20" s="119"/>
      <c r="I20" s="73">
        <v>17</v>
      </c>
      <c r="J20" s="126">
        <v>17</v>
      </c>
      <c r="K20" s="92">
        <f t="shared" si="5"/>
        <v>0</v>
      </c>
      <c r="L20" s="92">
        <f t="shared" si="6"/>
        <v>0</v>
      </c>
      <c r="M20" s="92">
        <f t="shared" si="7"/>
        <v>100</v>
      </c>
      <c r="N20" s="121">
        <f t="shared" si="0"/>
        <v>100</v>
      </c>
      <c r="O20" s="91"/>
      <c r="P20" s="92"/>
      <c r="Q20" s="92">
        <v>43.4</v>
      </c>
      <c r="R20" s="93">
        <f t="shared" si="1"/>
        <v>43.4</v>
      </c>
      <c r="S20" s="97">
        <v>4</v>
      </c>
      <c r="T20" s="839"/>
      <c r="U20" s="852"/>
      <c r="V20" s="82" t="s">
        <v>102</v>
      </c>
      <c r="W20" s="73" t="s">
        <v>20</v>
      </c>
      <c r="X20" s="73" t="s">
        <v>12</v>
      </c>
      <c r="Y20" s="83">
        <v>43.4</v>
      </c>
      <c r="AD20" s="82"/>
      <c r="AG20" s="83"/>
      <c r="AL20" s="82"/>
      <c r="AO20" s="83"/>
      <c r="AP20" s="82"/>
      <c r="AS20" s="83"/>
      <c r="AW20" s="83"/>
      <c r="BA20" s="84"/>
    </row>
    <row r="21" spans="1:53" s="73" customFormat="1">
      <c r="A21" s="101">
        <v>1966</v>
      </c>
      <c r="B21" s="852"/>
      <c r="C21" s="901" t="s">
        <v>250</v>
      </c>
      <c r="D21" s="901"/>
      <c r="E21" s="73">
        <v>331</v>
      </c>
      <c r="G21" s="119"/>
      <c r="I21" s="73">
        <v>17</v>
      </c>
      <c r="J21" s="126">
        <v>17</v>
      </c>
      <c r="K21" s="92">
        <f t="shared" si="5"/>
        <v>0</v>
      </c>
      <c r="L21" s="92">
        <f t="shared" si="6"/>
        <v>0</v>
      </c>
      <c r="M21" s="92">
        <f t="shared" si="7"/>
        <v>100</v>
      </c>
      <c r="N21" s="121">
        <f t="shared" si="0"/>
        <v>100</v>
      </c>
      <c r="O21" s="91"/>
      <c r="P21" s="92"/>
      <c r="Q21" s="92">
        <v>43.4</v>
      </c>
      <c r="R21" s="93">
        <f t="shared" si="1"/>
        <v>43.4</v>
      </c>
      <c r="S21" s="97">
        <v>4</v>
      </c>
      <c r="T21" s="839"/>
      <c r="U21" s="852"/>
      <c r="V21" s="82" t="s">
        <v>102</v>
      </c>
      <c r="W21" s="73" t="s">
        <v>20</v>
      </c>
      <c r="X21" s="73" t="s">
        <v>12</v>
      </c>
      <c r="Y21" s="83">
        <v>43.4</v>
      </c>
      <c r="AD21" s="82"/>
      <c r="AG21" s="83"/>
      <c r="AL21" s="82"/>
      <c r="AO21" s="83"/>
      <c r="AP21" s="82"/>
      <c r="AS21" s="83"/>
      <c r="AW21" s="83"/>
      <c r="BA21" s="84"/>
    </row>
    <row r="22" spans="1:53" s="292" customFormat="1">
      <c r="A22" s="338">
        <v>1965.8</v>
      </c>
      <c r="B22" s="836">
        <v>24439</v>
      </c>
      <c r="C22" s="909" t="s">
        <v>251</v>
      </c>
      <c r="D22" s="909"/>
      <c r="E22" s="292">
        <v>34</v>
      </c>
      <c r="F22" s="292">
        <v>1</v>
      </c>
      <c r="G22" s="366"/>
      <c r="I22" s="292">
        <v>19</v>
      </c>
      <c r="J22" s="377">
        <v>19</v>
      </c>
      <c r="K22" s="336">
        <f t="shared" si="5"/>
        <v>0</v>
      </c>
      <c r="L22" s="336">
        <f t="shared" si="6"/>
        <v>0</v>
      </c>
      <c r="M22" s="336">
        <f t="shared" si="7"/>
        <v>100</v>
      </c>
      <c r="N22" s="368">
        <f t="shared" si="0"/>
        <v>100</v>
      </c>
      <c r="O22" s="335"/>
      <c r="P22" s="336"/>
      <c r="Q22" s="336">
        <v>39.4</v>
      </c>
      <c r="R22" s="337">
        <f t="shared" si="1"/>
        <v>39.4</v>
      </c>
      <c r="S22" s="340">
        <v>4</v>
      </c>
      <c r="T22" s="838">
        <v>24433</v>
      </c>
      <c r="U22" s="836">
        <v>24439</v>
      </c>
      <c r="V22" s="299" t="s">
        <v>102</v>
      </c>
      <c r="W22" s="292" t="s">
        <v>20</v>
      </c>
      <c r="X22" s="292" t="s">
        <v>12</v>
      </c>
      <c r="Y22" s="300">
        <v>39.4</v>
      </c>
      <c r="AD22" s="299"/>
      <c r="AG22" s="300"/>
      <c r="AL22" s="299"/>
      <c r="AO22" s="300"/>
      <c r="AP22" s="299"/>
      <c r="AS22" s="300"/>
      <c r="AW22" s="300"/>
      <c r="BA22" s="301"/>
    </row>
    <row r="23" spans="1:53" s="292" customFormat="1">
      <c r="A23" s="338">
        <v>1967</v>
      </c>
      <c r="B23" s="836"/>
      <c r="C23" s="909" t="s">
        <v>251</v>
      </c>
      <c r="D23" s="909"/>
      <c r="E23" s="292">
        <v>0</v>
      </c>
      <c r="G23" s="366"/>
      <c r="I23" s="292">
        <v>19</v>
      </c>
      <c r="J23" s="377">
        <v>19</v>
      </c>
      <c r="K23" s="336">
        <f t="shared" si="5"/>
        <v>0</v>
      </c>
      <c r="L23" s="336">
        <f t="shared" si="6"/>
        <v>0</v>
      </c>
      <c r="M23" s="336">
        <f t="shared" si="7"/>
        <v>100</v>
      </c>
      <c r="N23" s="368">
        <f t="shared" si="0"/>
        <v>100</v>
      </c>
      <c r="O23" s="335"/>
      <c r="P23" s="336"/>
      <c r="Q23" s="336">
        <v>39.4</v>
      </c>
      <c r="R23" s="337">
        <f t="shared" si="1"/>
        <v>39.4</v>
      </c>
      <c r="S23" s="340">
        <v>4</v>
      </c>
      <c r="T23" s="838"/>
      <c r="U23" s="836"/>
      <c r="V23" s="299" t="s">
        <v>102</v>
      </c>
      <c r="W23" s="292" t="s">
        <v>20</v>
      </c>
      <c r="X23" s="292" t="s">
        <v>12</v>
      </c>
      <c r="Y23" s="300">
        <v>39.4</v>
      </c>
      <c r="AD23" s="299"/>
      <c r="AG23" s="300"/>
      <c r="AL23" s="299"/>
      <c r="AO23" s="300"/>
      <c r="AP23" s="299"/>
      <c r="AS23" s="300"/>
      <c r="AW23" s="300"/>
      <c r="BA23" s="301"/>
    </row>
    <row r="24" spans="1:53" s="292" customFormat="1">
      <c r="A24" s="338">
        <v>1966.7142857142901</v>
      </c>
      <c r="B24" s="836"/>
      <c r="C24" s="909" t="s">
        <v>251</v>
      </c>
      <c r="D24" s="909"/>
      <c r="E24" s="292">
        <v>365</v>
      </c>
      <c r="G24" s="366"/>
      <c r="I24" s="292">
        <v>19</v>
      </c>
      <c r="J24" s="377">
        <v>19</v>
      </c>
      <c r="K24" s="336">
        <f t="shared" si="5"/>
        <v>0</v>
      </c>
      <c r="L24" s="336">
        <f t="shared" si="6"/>
        <v>0</v>
      </c>
      <c r="M24" s="336">
        <f t="shared" si="7"/>
        <v>100</v>
      </c>
      <c r="N24" s="368">
        <f t="shared" si="0"/>
        <v>100</v>
      </c>
      <c r="O24" s="335"/>
      <c r="P24" s="336"/>
      <c r="Q24" s="336">
        <v>39.4</v>
      </c>
      <c r="R24" s="337">
        <f t="shared" si="1"/>
        <v>39.4</v>
      </c>
      <c r="S24" s="340">
        <v>4</v>
      </c>
      <c r="T24" s="838"/>
      <c r="U24" s="836"/>
      <c r="V24" s="299" t="s">
        <v>102</v>
      </c>
      <c r="W24" s="292" t="s">
        <v>20</v>
      </c>
      <c r="X24" s="292" t="s">
        <v>12</v>
      </c>
      <c r="Y24" s="300">
        <v>39.4</v>
      </c>
      <c r="AD24" s="299"/>
      <c r="AG24" s="300"/>
      <c r="AL24" s="299"/>
      <c r="AO24" s="300"/>
      <c r="AP24" s="299"/>
      <c r="AS24" s="300"/>
      <c r="AW24" s="300"/>
      <c r="BA24" s="301"/>
    </row>
    <row r="25" spans="1:53" s="292" customFormat="1">
      <c r="A25" s="338">
        <v>1968</v>
      </c>
      <c r="B25" s="836"/>
      <c r="C25" s="909" t="s">
        <v>251</v>
      </c>
      <c r="D25" s="909"/>
      <c r="E25" s="292">
        <v>31</v>
      </c>
      <c r="G25" s="366"/>
      <c r="I25" s="292">
        <v>19</v>
      </c>
      <c r="J25" s="377">
        <v>19</v>
      </c>
      <c r="K25" s="336">
        <f>G25/J25*100</f>
        <v>0</v>
      </c>
      <c r="L25" s="336">
        <f>H25/J25*100</f>
        <v>0</v>
      </c>
      <c r="M25" s="336">
        <f>I25/J25*100</f>
        <v>100</v>
      </c>
      <c r="N25" s="368">
        <f t="shared" si="0"/>
        <v>100</v>
      </c>
      <c r="O25" s="335"/>
      <c r="P25" s="336"/>
      <c r="Q25" s="336">
        <v>39.4</v>
      </c>
      <c r="R25" s="337">
        <f t="shared" si="1"/>
        <v>39.4</v>
      </c>
      <c r="S25" s="340">
        <v>4</v>
      </c>
      <c r="T25" s="838"/>
      <c r="U25" s="836"/>
      <c r="V25" s="299" t="s">
        <v>102</v>
      </c>
      <c r="W25" s="292" t="s">
        <v>20</v>
      </c>
      <c r="X25" s="292" t="s">
        <v>12</v>
      </c>
      <c r="Y25" s="300">
        <v>39.4</v>
      </c>
      <c r="AD25" s="299"/>
      <c r="AG25" s="300"/>
      <c r="AL25" s="299"/>
      <c r="AO25" s="300"/>
      <c r="AP25" s="299"/>
      <c r="AS25" s="300"/>
      <c r="AW25" s="300"/>
      <c r="BA25" s="301"/>
    </row>
    <row r="26" spans="1:53" s="73" customFormat="1">
      <c r="A26" s="101">
        <v>1967.62857142857</v>
      </c>
      <c r="B26" s="852">
        <v>24869</v>
      </c>
      <c r="C26" s="901" t="s">
        <v>252</v>
      </c>
      <c r="D26" s="901"/>
      <c r="E26" s="73">
        <v>335</v>
      </c>
      <c r="F26" s="73">
        <v>5</v>
      </c>
      <c r="G26" s="119">
        <v>17</v>
      </c>
      <c r="J26" s="126">
        <v>17</v>
      </c>
      <c r="K26" s="92">
        <f t="shared" ref="K26:K31" si="8">G26/J26*100</f>
        <v>100</v>
      </c>
      <c r="L26" s="92">
        <f t="shared" ref="L26:L31" si="9">H26/J26*100</f>
        <v>0</v>
      </c>
      <c r="M26" s="92">
        <f t="shared" ref="M26:M31" si="10">I26/J26*100</f>
        <v>0</v>
      </c>
      <c r="N26" s="121">
        <f t="shared" si="0"/>
        <v>100</v>
      </c>
      <c r="O26" s="91">
        <v>55.9</v>
      </c>
      <c r="P26" s="92"/>
      <c r="Q26" s="92"/>
      <c r="R26" s="93">
        <f t="shared" si="1"/>
        <v>55.9</v>
      </c>
      <c r="S26" s="97">
        <v>2</v>
      </c>
      <c r="T26" s="839">
        <v>24860</v>
      </c>
      <c r="U26" s="852">
        <v>24869</v>
      </c>
      <c r="V26" s="82" t="s">
        <v>103</v>
      </c>
      <c r="W26" s="73" t="s">
        <v>22</v>
      </c>
      <c r="X26" s="73" t="s">
        <v>11</v>
      </c>
      <c r="Y26" s="83">
        <v>15.4</v>
      </c>
      <c r="Z26" s="73" t="s">
        <v>72</v>
      </c>
      <c r="AA26" s="73" t="s">
        <v>88</v>
      </c>
      <c r="AB26" s="73" t="s">
        <v>11</v>
      </c>
      <c r="AC26" s="73">
        <v>19.399999999999999</v>
      </c>
      <c r="AD26" s="82" t="s">
        <v>105</v>
      </c>
      <c r="AE26" s="73" t="s">
        <v>74</v>
      </c>
      <c r="AF26" s="73" t="s">
        <v>11</v>
      </c>
      <c r="AG26" s="83">
        <v>21.1</v>
      </c>
      <c r="AL26" s="82"/>
      <c r="AO26" s="83"/>
      <c r="AP26" s="82"/>
      <c r="AS26" s="83"/>
      <c r="AW26" s="83"/>
      <c r="BA26" s="84"/>
    </row>
    <row r="27" spans="1:53" s="73" customFormat="1">
      <c r="A27" s="101">
        <v>1969</v>
      </c>
      <c r="B27" s="852"/>
      <c r="C27" s="901" t="s">
        <v>252</v>
      </c>
      <c r="D27" s="901"/>
      <c r="E27" s="73">
        <v>0</v>
      </c>
      <c r="G27" s="119">
        <v>17</v>
      </c>
      <c r="J27" s="126">
        <v>17</v>
      </c>
      <c r="K27" s="92">
        <f t="shared" si="8"/>
        <v>100</v>
      </c>
      <c r="L27" s="92">
        <f t="shared" si="9"/>
        <v>0</v>
      </c>
      <c r="M27" s="92">
        <f t="shared" si="10"/>
        <v>0</v>
      </c>
      <c r="N27" s="121">
        <f t="shared" si="0"/>
        <v>100</v>
      </c>
      <c r="O27" s="91">
        <v>55.9</v>
      </c>
      <c r="P27" s="92"/>
      <c r="Q27" s="92"/>
      <c r="R27" s="93">
        <f t="shared" si="1"/>
        <v>55.9</v>
      </c>
      <c r="S27" s="97">
        <v>2</v>
      </c>
      <c r="T27" s="839"/>
      <c r="U27" s="852"/>
      <c r="V27" s="82" t="s">
        <v>103</v>
      </c>
      <c r="W27" s="73" t="s">
        <v>22</v>
      </c>
      <c r="X27" s="73" t="s">
        <v>11</v>
      </c>
      <c r="Y27" s="83">
        <v>15.4</v>
      </c>
      <c r="Z27" s="73" t="s">
        <v>72</v>
      </c>
      <c r="AA27" s="73" t="s">
        <v>88</v>
      </c>
      <c r="AB27" s="73" t="s">
        <v>11</v>
      </c>
      <c r="AC27" s="73">
        <v>19.399999999999999</v>
      </c>
      <c r="AD27" s="82" t="s">
        <v>105</v>
      </c>
      <c r="AE27" s="73" t="s">
        <v>74</v>
      </c>
      <c r="AF27" s="73" t="s">
        <v>11</v>
      </c>
      <c r="AG27" s="83">
        <v>21.1</v>
      </c>
      <c r="AL27" s="82"/>
      <c r="AO27" s="83"/>
      <c r="AP27" s="82"/>
      <c r="AS27" s="83"/>
      <c r="AW27" s="83"/>
      <c r="BA27" s="84"/>
    </row>
    <row r="28" spans="1:53" s="73" customFormat="1">
      <c r="A28" s="101">
        <v>1968.5428571428599</v>
      </c>
      <c r="B28" s="852"/>
      <c r="C28" s="901" t="s">
        <v>252</v>
      </c>
      <c r="D28" s="901"/>
      <c r="E28" s="73">
        <v>365</v>
      </c>
      <c r="G28" s="119">
        <v>17</v>
      </c>
      <c r="J28" s="126">
        <v>17</v>
      </c>
      <c r="K28" s="92">
        <f t="shared" si="8"/>
        <v>100</v>
      </c>
      <c r="L28" s="92">
        <f t="shared" si="9"/>
        <v>0</v>
      </c>
      <c r="M28" s="92">
        <f t="shared" si="10"/>
        <v>0</v>
      </c>
      <c r="N28" s="121">
        <f t="shared" si="0"/>
        <v>100</v>
      </c>
      <c r="O28" s="91">
        <v>55.9</v>
      </c>
      <c r="P28" s="92"/>
      <c r="Q28" s="92"/>
      <c r="R28" s="93">
        <f t="shared" si="1"/>
        <v>55.9</v>
      </c>
      <c r="S28" s="97">
        <v>2</v>
      </c>
      <c r="T28" s="839"/>
      <c r="U28" s="852"/>
      <c r="V28" s="82" t="s">
        <v>103</v>
      </c>
      <c r="W28" s="73" t="s">
        <v>22</v>
      </c>
      <c r="X28" s="73" t="s">
        <v>11</v>
      </c>
      <c r="Y28" s="83">
        <v>15.4</v>
      </c>
      <c r="Z28" s="73" t="s">
        <v>72</v>
      </c>
      <c r="AA28" s="73" t="s">
        <v>88</v>
      </c>
      <c r="AB28" s="73" t="s">
        <v>11</v>
      </c>
      <c r="AC28" s="73">
        <v>19.399999999999999</v>
      </c>
      <c r="AD28" s="82" t="s">
        <v>105</v>
      </c>
      <c r="AE28" s="73" t="s">
        <v>74</v>
      </c>
      <c r="AF28" s="73" t="s">
        <v>11</v>
      </c>
      <c r="AG28" s="83">
        <v>21.1</v>
      </c>
      <c r="AL28" s="82"/>
      <c r="AO28" s="83"/>
      <c r="AP28" s="82"/>
      <c r="AS28" s="83"/>
      <c r="AW28" s="83"/>
      <c r="BA28" s="84"/>
    </row>
    <row r="29" spans="1:53" s="73" customFormat="1">
      <c r="A29" s="101">
        <v>1970</v>
      </c>
      <c r="B29" s="852"/>
      <c r="C29" s="901" t="s">
        <v>252</v>
      </c>
      <c r="D29" s="901"/>
      <c r="E29" s="73">
        <v>0</v>
      </c>
      <c r="G29" s="119">
        <v>17</v>
      </c>
      <c r="J29" s="126">
        <v>17</v>
      </c>
      <c r="K29" s="92">
        <f t="shared" si="8"/>
        <v>100</v>
      </c>
      <c r="L29" s="92">
        <f t="shared" si="9"/>
        <v>0</v>
      </c>
      <c r="M29" s="92">
        <f t="shared" si="10"/>
        <v>0</v>
      </c>
      <c r="N29" s="121">
        <f t="shared" si="0"/>
        <v>100</v>
      </c>
      <c r="O29" s="91">
        <v>55.9</v>
      </c>
      <c r="P29" s="92"/>
      <c r="Q29" s="92"/>
      <c r="R29" s="93">
        <f t="shared" si="1"/>
        <v>55.9</v>
      </c>
      <c r="S29" s="97">
        <v>2</v>
      </c>
      <c r="T29" s="839"/>
      <c r="U29" s="852"/>
      <c r="V29" s="82" t="s">
        <v>103</v>
      </c>
      <c r="W29" s="73" t="s">
        <v>22</v>
      </c>
      <c r="X29" s="73" t="s">
        <v>11</v>
      </c>
      <c r="Y29" s="83">
        <v>15.4</v>
      </c>
      <c r="Z29" s="73" t="s">
        <v>72</v>
      </c>
      <c r="AA29" s="73" t="s">
        <v>88</v>
      </c>
      <c r="AB29" s="73" t="s">
        <v>11</v>
      </c>
      <c r="AC29" s="73">
        <v>19.399999999999999</v>
      </c>
      <c r="AD29" s="82" t="s">
        <v>105</v>
      </c>
      <c r="AE29" s="73" t="s">
        <v>74</v>
      </c>
      <c r="AF29" s="73" t="s">
        <v>11</v>
      </c>
      <c r="AG29" s="83">
        <v>21.1</v>
      </c>
      <c r="AL29" s="82"/>
      <c r="AO29" s="83"/>
      <c r="AP29" s="82"/>
      <c r="AS29" s="83"/>
      <c r="AW29" s="83"/>
      <c r="BA29" s="84"/>
    </row>
    <row r="30" spans="1:53" s="73" customFormat="1">
      <c r="A30" s="101">
        <v>1970</v>
      </c>
      <c r="B30" s="852"/>
      <c r="C30" s="901" t="s">
        <v>252</v>
      </c>
      <c r="D30" s="901"/>
      <c r="E30" s="73">
        <v>365</v>
      </c>
      <c r="G30" s="119">
        <v>17</v>
      </c>
      <c r="J30" s="126">
        <v>17</v>
      </c>
      <c r="K30" s="92">
        <f t="shared" si="8"/>
        <v>100</v>
      </c>
      <c r="L30" s="92">
        <f t="shared" si="9"/>
        <v>0</v>
      </c>
      <c r="M30" s="92">
        <f t="shared" si="10"/>
        <v>0</v>
      </c>
      <c r="N30" s="121">
        <f t="shared" si="0"/>
        <v>100</v>
      </c>
      <c r="O30" s="91">
        <v>55.9</v>
      </c>
      <c r="P30" s="92"/>
      <c r="Q30" s="92"/>
      <c r="R30" s="93">
        <f t="shared" si="1"/>
        <v>55.9</v>
      </c>
      <c r="S30" s="97">
        <v>2</v>
      </c>
      <c r="T30" s="839"/>
      <c r="U30" s="852"/>
      <c r="V30" s="82" t="s">
        <v>103</v>
      </c>
      <c r="W30" s="73" t="s">
        <v>22</v>
      </c>
      <c r="X30" s="73" t="s">
        <v>11</v>
      </c>
      <c r="Y30" s="83">
        <v>15.4</v>
      </c>
      <c r="Z30" s="73" t="s">
        <v>72</v>
      </c>
      <c r="AA30" s="73" t="s">
        <v>88</v>
      </c>
      <c r="AB30" s="73" t="s">
        <v>11</v>
      </c>
      <c r="AC30" s="73">
        <v>19.399999999999999</v>
      </c>
      <c r="AD30" s="82" t="s">
        <v>105</v>
      </c>
      <c r="AE30" s="73" t="s">
        <v>74</v>
      </c>
      <c r="AF30" s="73" t="s">
        <v>11</v>
      </c>
      <c r="AG30" s="83">
        <v>21.1</v>
      </c>
      <c r="AL30" s="82"/>
      <c r="AO30" s="83"/>
      <c r="AP30" s="82"/>
      <c r="AS30" s="83"/>
      <c r="AW30" s="83"/>
      <c r="BA30" s="84"/>
    </row>
    <row r="31" spans="1:53" s="73" customFormat="1">
      <c r="A31" s="101">
        <v>1971</v>
      </c>
      <c r="B31" s="852"/>
      <c r="C31" s="901" t="s">
        <v>252</v>
      </c>
      <c r="D31" s="901"/>
      <c r="E31" s="73">
        <v>283</v>
      </c>
      <c r="G31" s="119">
        <v>17</v>
      </c>
      <c r="J31" s="126">
        <v>17</v>
      </c>
      <c r="K31" s="92">
        <f t="shared" si="8"/>
        <v>100</v>
      </c>
      <c r="L31" s="92">
        <f t="shared" si="9"/>
        <v>0</v>
      </c>
      <c r="M31" s="92">
        <f t="shared" si="10"/>
        <v>0</v>
      </c>
      <c r="N31" s="121">
        <f t="shared" si="0"/>
        <v>100</v>
      </c>
      <c r="O31" s="91">
        <v>55.9</v>
      </c>
      <c r="P31" s="92"/>
      <c r="Q31" s="92"/>
      <c r="R31" s="93">
        <f t="shared" si="1"/>
        <v>55.9</v>
      </c>
      <c r="S31" s="97">
        <v>2</v>
      </c>
      <c r="T31" s="839"/>
      <c r="U31" s="852"/>
      <c r="V31" s="82" t="s">
        <v>103</v>
      </c>
      <c r="W31" s="73" t="s">
        <v>22</v>
      </c>
      <c r="X31" s="73" t="s">
        <v>11</v>
      </c>
      <c r="Y31" s="83">
        <v>15.4</v>
      </c>
      <c r="Z31" s="73" t="s">
        <v>72</v>
      </c>
      <c r="AA31" s="73" t="s">
        <v>88</v>
      </c>
      <c r="AB31" s="73" t="s">
        <v>11</v>
      </c>
      <c r="AC31" s="73">
        <v>19.399999999999999</v>
      </c>
      <c r="AD31" s="82" t="s">
        <v>105</v>
      </c>
      <c r="AE31" s="73" t="s">
        <v>74</v>
      </c>
      <c r="AF31" s="73" t="s">
        <v>11</v>
      </c>
      <c r="AG31" s="83">
        <v>21.1</v>
      </c>
      <c r="AL31" s="82"/>
      <c r="AO31" s="83"/>
      <c r="AP31" s="82"/>
      <c r="AS31" s="83"/>
      <c r="AW31" s="83"/>
      <c r="BA31" s="84"/>
    </row>
    <row r="32" spans="1:53" s="292" customFormat="1">
      <c r="A32" s="338">
        <v>1971</v>
      </c>
      <c r="B32" s="836">
        <v>26217</v>
      </c>
      <c r="C32" s="909" t="s">
        <v>253</v>
      </c>
      <c r="D32" s="909"/>
      <c r="E32" s="292">
        <v>82</v>
      </c>
      <c r="F32" s="292">
        <v>1</v>
      </c>
      <c r="G32" s="366"/>
      <c r="I32" s="292">
        <v>17</v>
      </c>
      <c r="J32" s="377">
        <v>18</v>
      </c>
      <c r="K32" s="336">
        <f>G32/J32*100</f>
        <v>0</v>
      </c>
      <c r="L32" s="336">
        <f>H32/J32*100</f>
        <v>0</v>
      </c>
      <c r="M32" s="336">
        <f>I32/J32*100</f>
        <v>94.444444444444443</v>
      </c>
      <c r="N32" s="368">
        <f t="shared" si="0"/>
        <v>94.444444444444443</v>
      </c>
      <c r="O32" s="335"/>
      <c r="P32" s="336"/>
      <c r="Q32" s="336">
        <v>40</v>
      </c>
      <c r="R32" s="337">
        <f t="shared" si="1"/>
        <v>40</v>
      </c>
      <c r="S32" s="340">
        <v>4</v>
      </c>
      <c r="T32" s="838">
        <v>26197</v>
      </c>
      <c r="U32" s="836">
        <v>26217</v>
      </c>
      <c r="V32" s="299" t="s">
        <v>102</v>
      </c>
      <c r="W32" s="292" t="s">
        <v>20</v>
      </c>
      <c r="X32" s="292" t="s">
        <v>12</v>
      </c>
      <c r="Y32" s="300">
        <v>40</v>
      </c>
      <c r="AD32" s="299"/>
      <c r="AG32" s="300"/>
      <c r="AL32" s="299"/>
      <c r="AO32" s="300"/>
      <c r="AP32" s="299"/>
      <c r="AS32" s="300"/>
      <c r="AW32" s="300"/>
      <c r="BA32" s="301"/>
    </row>
    <row r="33" spans="1:53" s="292" customFormat="1">
      <c r="A33" s="338">
        <v>1972</v>
      </c>
      <c r="B33" s="836"/>
      <c r="C33" s="909" t="s">
        <v>253</v>
      </c>
      <c r="D33" s="909"/>
      <c r="E33" s="292">
        <v>278</v>
      </c>
      <c r="G33" s="366"/>
      <c r="I33" s="292">
        <v>17</v>
      </c>
      <c r="J33" s="377">
        <v>18</v>
      </c>
      <c r="K33" s="336">
        <f t="shared" ref="K33:K38" si="11">G33/J33*100</f>
        <v>0</v>
      </c>
      <c r="L33" s="336">
        <f t="shared" ref="L33:L38" si="12">H33/J33*100</f>
        <v>0</v>
      </c>
      <c r="M33" s="336">
        <f t="shared" ref="M33:M38" si="13">I33/J33*100</f>
        <v>94.444444444444443</v>
      </c>
      <c r="N33" s="368">
        <f t="shared" si="0"/>
        <v>94.444444444444443</v>
      </c>
      <c r="O33" s="335"/>
      <c r="P33" s="336"/>
      <c r="Q33" s="336">
        <v>40</v>
      </c>
      <c r="R33" s="337">
        <f t="shared" si="1"/>
        <v>40</v>
      </c>
      <c r="S33" s="340">
        <v>4</v>
      </c>
      <c r="T33" s="838"/>
      <c r="U33" s="836"/>
      <c r="V33" s="299" t="s">
        <v>102</v>
      </c>
      <c r="W33" s="292" t="s">
        <v>20</v>
      </c>
      <c r="X33" s="292" t="s">
        <v>12</v>
      </c>
      <c r="Y33" s="300">
        <v>40</v>
      </c>
      <c r="AD33" s="299"/>
      <c r="AG33" s="300"/>
      <c r="AL33" s="299"/>
      <c r="AO33" s="300"/>
      <c r="AP33" s="299"/>
      <c r="AS33" s="300"/>
      <c r="AW33" s="300"/>
      <c r="BA33" s="301"/>
    </row>
    <row r="34" spans="1:53" s="73" customFormat="1">
      <c r="A34" s="101">
        <v>1972</v>
      </c>
      <c r="B34" s="852">
        <v>26577</v>
      </c>
      <c r="C34" s="901" t="s">
        <v>254</v>
      </c>
      <c r="D34" s="901"/>
      <c r="E34" s="73">
        <v>88</v>
      </c>
      <c r="F34" s="73">
        <v>2</v>
      </c>
      <c r="G34" s="119"/>
      <c r="I34" s="73">
        <v>17</v>
      </c>
      <c r="J34" s="126">
        <v>18</v>
      </c>
      <c r="K34" s="92">
        <f t="shared" si="11"/>
        <v>0</v>
      </c>
      <c r="L34" s="92">
        <f t="shared" si="12"/>
        <v>0</v>
      </c>
      <c r="M34" s="92">
        <f t="shared" si="13"/>
        <v>94.444444444444443</v>
      </c>
      <c r="N34" s="121">
        <f t="shared" si="0"/>
        <v>94.444444444444443</v>
      </c>
      <c r="O34" s="91"/>
      <c r="P34" s="92"/>
      <c r="Q34" s="92">
        <v>40</v>
      </c>
      <c r="R34" s="93">
        <f t="shared" si="1"/>
        <v>40</v>
      </c>
      <c r="S34" s="97">
        <v>4</v>
      </c>
      <c r="T34" s="839"/>
      <c r="U34" s="852">
        <v>26577</v>
      </c>
      <c r="V34" s="82" t="s">
        <v>102</v>
      </c>
      <c r="W34" s="73" t="s">
        <v>20</v>
      </c>
      <c r="X34" s="73" t="s">
        <v>12</v>
      </c>
      <c r="Y34" s="83">
        <v>40</v>
      </c>
      <c r="AD34" s="82"/>
      <c r="AG34" s="83"/>
      <c r="AL34" s="82"/>
      <c r="AO34" s="83"/>
      <c r="AP34" s="82"/>
      <c r="AS34" s="83"/>
      <c r="AW34" s="83"/>
      <c r="BA34" s="84"/>
    </row>
    <row r="35" spans="1:53" s="73" customFormat="1">
      <c r="A35" s="101">
        <v>1973</v>
      </c>
      <c r="B35" s="852"/>
      <c r="C35" s="901" t="s">
        <v>254</v>
      </c>
      <c r="D35" s="901"/>
      <c r="E35" s="73">
        <v>352</v>
      </c>
      <c r="G35" s="119"/>
      <c r="I35" s="73">
        <v>17</v>
      </c>
      <c r="J35" s="126">
        <v>18</v>
      </c>
      <c r="K35" s="92">
        <f t="shared" si="11"/>
        <v>0</v>
      </c>
      <c r="L35" s="92">
        <f t="shared" si="12"/>
        <v>0</v>
      </c>
      <c r="M35" s="92">
        <f t="shared" si="13"/>
        <v>94.444444444444443</v>
      </c>
      <c r="N35" s="121">
        <f t="shared" si="0"/>
        <v>94.444444444444443</v>
      </c>
      <c r="O35" s="91"/>
      <c r="P35" s="92"/>
      <c r="Q35" s="92">
        <v>40</v>
      </c>
      <c r="R35" s="93">
        <f t="shared" si="1"/>
        <v>40</v>
      </c>
      <c r="S35" s="97">
        <v>4</v>
      </c>
      <c r="T35" s="839"/>
      <c r="U35" s="852"/>
      <c r="V35" s="82" t="s">
        <v>102</v>
      </c>
      <c r="W35" s="73" t="s">
        <v>20</v>
      </c>
      <c r="X35" s="73" t="s">
        <v>12</v>
      </c>
      <c r="Y35" s="83">
        <v>40</v>
      </c>
      <c r="AD35" s="82"/>
      <c r="AG35" s="83"/>
      <c r="AL35" s="82"/>
      <c r="AO35" s="83"/>
      <c r="AP35" s="82"/>
      <c r="AS35" s="83"/>
      <c r="AW35" s="83"/>
      <c r="BA35" s="84"/>
    </row>
    <row r="36" spans="1:53" s="292" customFormat="1">
      <c r="A36" s="338">
        <v>1973</v>
      </c>
      <c r="B36" s="836">
        <v>27017</v>
      </c>
      <c r="C36" s="909" t="s">
        <v>255</v>
      </c>
      <c r="D36" s="909"/>
      <c r="E36" s="292">
        <v>13</v>
      </c>
      <c r="F36" s="292">
        <v>1</v>
      </c>
      <c r="G36" s="366">
        <v>12</v>
      </c>
      <c r="J36" s="377">
        <v>12</v>
      </c>
      <c r="K36" s="336">
        <f t="shared" si="11"/>
        <v>100</v>
      </c>
      <c r="L36" s="336">
        <f t="shared" si="12"/>
        <v>0</v>
      </c>
      <c r="M36" s="336">
        <f t="shared" si="13"/>
        <v>0</v>
      </c>
      <c r="N36" s="368">
        <f t="shared" si="0"/>
        <v>100</v>
      </c>
      <c r="O36" s="335">
        <v>12.6</v>
      </c>
      <c r="P36" s="336"/>
      <c r="Q36" s="336"/>
      <c r="R36" s="337">
        <f t="shared" si="1"/>
        <v>12.6</v>
      </c>
      <c r="S36" s="340">
        <v>4</v>
      </c>
      <c r="T36" s="838">
        <v>27002</v>
      </c>
      <c r="U36" s="836">
        <v>27017</v>
      </c>
      <c r="V36" s="299" t="s">
        <v>72</v>
      </c>
      <c r="W36" s="292" t="s">
        <v>88</v>
      </c>
      <c r="X36" s="292" t="s">
        <v>11</v>
      </c>
      <c r="Y36" s="300">
        <v>12.6</v>
      </c>
      <c r="AD36" s="299"/>
      <c r="AG36" s="300"/>
      <c r="AL36" s="299"/>
      <c r="AO36" s="300"/>
      <c r="AP36" s="299"/>
      <c r="AS36" s="300"/>
      <c r="AW36" s="300"/>
      <c r="BA36" s="301"/>
    </row>
    <row r="37" spans="1:53" s="292" customFormat="1">
      <c r="A37" s="338">
        <v>1974</v>
      </c>
      <c r="B37" s="836"/>
      <c r="C37" s="909" t="s">
        <v>255</v>
      </c>
      <c r="D37" s="909"/>
      <c r="E37" s="292">
        <v>0</v>
      </c>
      <c r="G37" s="366">
        <v>12</v>
      </c>
      <c r="J37" s="377">
        <v>12</v>
      </c>
      <c r="K37" s="336">
        <f t="shared" si="11"/>
        <v>100</v>
      </c>
      <c r="L37" s="336">
        <f t="shared" si="12"/>
        <v>0</v>
      </c>
      <c r="M37" s="336">
        <f t="shared" si="13"/>
        <v>0</v>
      </c>
      <c r="N37" s="368">
        <f t="shared" si="0"/>
        <v>100</v>
      </c>
      <c r="O37" s="335">
        <v>12.6</v>
      </c>
      <c r="P37" s="336"/>
      <c r="Q37" s="336"/>
      <c r="R37" s="337">
        <f t="shared" si="1"/>
        <v>12.6</v>
      </c>
      <c r="S37" s="340">
        <v>4</v>
      </c>
      <c r="T37" s="838"/>
      <c r="U37" s="836"/>
      <c r="V37" s="299" t="s">
        <v>72</v>
      </c>
      <c r="W37" s="292" t="s">
        <v>88</v>
      </c>
      <c r="X37" s="292" t="s">
        <v>11</v>
      </c>
      <c r="Y37" s="300">
        <v>12.6</v>
      </c>
      <c r="AD37" s="299"/>
      <c r="AG37" s="300"/>
      <c r="AL37" s="299"/>
      <c r="AO37" s="300"/>
      <c r="AP37" s="299"/>
      <c r="AS37" s="300"/>
      <c r="AW37" s="300"/>
      <c r="BA37" s="301"/>
    </row>
    <row r="38" spans="1:53" s="292" customFormat="1">
      <c r="A38" s="338">
        <v>1974</v>
      </c>
      <c r="B38" s="836"/>
      <c r="C38" s="909" t="s">
        <v>255</v>
      </c>
      <c r="D38" s="909"/>
      <c r="E38" s="292">
        <v>365</v>
      </c>
      <c r="G38" s="366">
        <v>12</v>
      </c>
      <c r="J38" s="377">
        <v>12</v>
      </c>
      <c r="K38" s="336">
        <f t="shared" si="11"/>
        <v>100</v>
      </c>
      <c r="L38" s="336">
        <f t="shared" si="12"/>
        <v>0</v>
      </c>
      <c r="M38" s="336">
        <f t="shared" si="13"/>
        <v>0</v>
      </c>
      <c r="N38" s="368">
        <f t="shared" si="0"/>
        <v>100</v>
      </c>
      <c r="O38" s="335">
        <v>12.6</v>
      </c>
      <c r="P38" s="336"/>
      <c r="Q38" s="336"/>
      <c r="R38" s="337">
        <f t="shared" si="1"/>
        <v>12.6</v>
      </c>
      <c r="S38" s="340">
        <v>4</v>
      </c>
      <c r="T38" s="838"/>
      <c r="U38" s="836"/>
      <c r="V38" s="299" t="s">
        <v>72</v>
      </c>
      <c r="W38" s="292" t="s">
        <v>88</v>
      </c>
      <c r="X38" s="292" t="s">
        <v>11</v>
      </c>
      <c r="Y38" s="300">
        <v>12.6</v>
      </c>
      <c r="AD38" s="299"/>
      <c r="AG38" s="300"/>
      <c r="AL38" s="299"/>
      <c r="AO38" s="300"/>
      <c r="AP38" s="299"/>
      <c r="AS38" s="300"/>
      <c r="AW38" s="300"/>
      <c r="BA38" s="301"/>
    </row>
    <row r="39" spans="1:53" s="292" customFormat="1">
      <c r="A39" s="338">
        <v>1975</v>
      </c>
      <c r="B39" s="836"/>
      <c r="C39" s="909" t="s">
        <v>255</v>
      </c>
      <c r="D39" s="909"/>
      <c r="E39" s="292">
        <v>43</v>
      </c>
      <c r="G39" s="366">
        <v>12</v>
      </c>
      <c r="J39" s="377">
        <v>12</v>
      </c>
      <c r="K39" s="336">
        <f>G39/J39*100</f>
        <v>100</v>
      </c>
      <c r="L39" s="336">
        <f>H39/J39*100</f>
        <v>0</v>
      </c>
      <c r="M39" s="336">
        <f>I39/J39*100</f>
        <v>0</v>
      </c>
      <c r="N39" s="368">
        <f t="shared" si="0"/>
        <v>100</v>
      </c>
      <c r="O39" s="335">
        <v>12.6</v>
      </c>
      <c r="P39" s="336"/>
      <c r="Q39" s="336"/>
      <c r="R39" s="337">
        <f t="shared" si="1"/>
        <v>12.6</v>
      </c>
      <c r="S39" s="340">
        <v>4</v>
      </c>
      <c r="T39" s="838"/>
      <c r="U39" s="836"/>
      <c r="V39" s="299" t="s">
        <v>72</v>
      </c>
      <c r="W39" s="292" t="s">
        <v>88</v>
      </c>
      <c r="X39" s="292" t="s">
        <v>11</v>
      </c>
      <c r="Y39" s="300">
        <v>12.6</v>
      </c>
      <c r="AD39" s="299"/>
      <c r="AG39" s="300"/>
      <c r="AL39" s="299"/>
      <c r="AO39" s="300"/>
      <c r="AP39" s="299"/>
      <c r="AS39" s="300"/>
      <c r="AW39" s="300"/>
      <c r="BA39" s="301"/>
    </row>
    <row r="40" spans="1:53" s="73" customFormat="1">
      <c r="A40" s="101">
        <v>1975</v>
      </c>
      <c r="B40" s="852">
        <v>27438</v>
      </c>
      <c r="C40" s="901" t="s">
        <v>256</v>
      </c>
      <c r="D40" s="901"/>
      <c r="E40" s="73">
        <v>322</v>
      </c>
      <c r="F40" s="73">
        <v>1</v>
      </c>
      <c r="G40" s="119"/>
      <c r="I40" s="73">
        <v>15</v>
      </c>
      <c r="J40" s="126">
        <v>15</v>
      </c>
      <c r="K40" s="92">
        <f t="shared" ref="K40:K45" si="14">G40/J40*100</f>
        <v>0</v>
      </c>
      <c r="L40" s="92">
        <f t="shared" ref="L40:L45" si="15">H40/J40*100</f>
        <v>0</v>
      </c>
      <c r="M40" s="92">
        <f t="shared" ref="M40:M45" si="16">I40/J40*100</f>
        <v>100</v>
      </c>
      <c r="N40" s="121">
        <f t="shared" si="0"/>
        <v>100</v>
      </c>
      <c r="O40" s="91"/>
      <c r="P40" s="92"/>
      <c r="Q40" s="92">
        <v>30.3</v>
      </c>
      <c r="R40" s="93">
        <f t="shared" si="1"/>
        <v>30.3</v>
      </c>
      <c r="S40" s="97">
        <v>4</v>
      </c>
      <c r="T40" s="839">
        <v>27403</v>
      </c>
      <c r="U40" s="852">
        <v>27438</v>
      </c>
      <c r="V40" s="82" t="s">
        <v>102</v>
      </c>
      <c r="W40" s="73" t="s">
        <v>20</v>
      </c>
      <c r="X40" s="73" t="s">
        <v>12</v>
      </c>
      <c r="Y40" s="83">
        <v>30.3</v>
      </c>
      <c r="AD40" s="82"/>
      <c r="AG40" s="83"/>
      <c r="AL40" s="82"/>
      <c r="AO40" s="83"/>
      <c r="AP40" s="82"/>
      <c r="AS40" s="83"/>
      <c r="AW40" s="83"/>
      <c r="BA40" s="84"/>
    </row>
    <row r="41" spans="1:53" s="73" customFormat="1">
      <c r="A41" s="101">
        <v>1976</v>
      </c>
      <c r="B41" s="852"/>
      <c r="C41" s="901" t="s">
        <v>256</v>
      </c>
      <c r="D41" s="901"/>
      <c r="E41" s="73">
        <v>0</v>
      </c>
      <c r="G41" s="119"/>
      <c r="I41" s="73">
        <v>15</v>
      </c>
      <c r="J41" s="126">
        <v>15</v>
      </c>
      <c r="K41" s="92">
        <f t="shared" si="14"/>
        <v>0</v>
      </c>
      <c r="L41" s="92">
        <f t="shared" si="15"/>
        <v>0</v>
      </c>
      <c r="M41" s="92">
        <f t="shared" si="16"/>
        <v>100</v>
      </c>
      <c r="N41" s="121">
        <f t="shared" si="0"/>
        <v>100</v>
      </c>
      <c r="O41" s="91"/>
      <c r="P41" s="92"/>
      <c r="Q41" s="92">
        <v>30.3</v>
      </c>
      <c r="R41" s="93">
        <f t="shared" si="1"/>
        <v>30.3</v>
      </c>
      <c r="S41" s="97">
        <v>4</v>
      </c>
      <c r="T41" s="839"/>
      <c r="U41" s="852"/>
      <c r="V41" s="82" t="s">
        <v>102</v>
      </c>
      <c r="W41" s="73" t="s">
        <v>20</v>
      </c>
      <c r="X41" s="73" t="s">
        <v>12</v>
      </c>
      <c r="Y41" s="83">
        <v>30.3</v>
      </c>
      <c r="AD41" s="82"/>
      <c r="AG41" s="83"/>
      <c r="AL41" s="82"/>
      <c r="AO41" s="83"/>
      <c r="AP41" s="82"/>
      <c r="AS41" s="83"/>
      <c r="AW41" s="83"/>
      <c r="BA41" s="84"/>
    </row>
    <row r="42" spans="1:53" s="73" customFormat="1">
      <c r="A42" s="101">
        <v>1976</v>
      </c>
      <c r="B42" s="852"/>
      <c r="C42" s="901" t="s">
        <v>256</v>
      </c>
      <c r="D42" s="901"/>
      <c r="E42" s="73">
        <v>366</v>
      </c>
      <c r="G42" s="119"/>
      <c r="I42" s="73">
        <v>15</v>
      </c>
      <c r="J42" s="126">
        <v>15</v>
      </c>
      <c r="K42" s="92">
        <f t="shared" si="14"/>
        <v>0</v>
      </c>
      <c r="L42" s="92">
        <f t="shared" si="15"/>
        <v>0</v>
      </c>
      <c r="M42" s="92">
        <f t="shared" si="16"/>
        <v>100</v>
      </c>
      <c r="N42" s="121">
        <f t="shared" si="0"/>
        <v>100</v>
      </c>
      <c r="O42" s="91"/>
      <c r="P42" s="92"/>
      <c r="Q42" s="92">
        <v>30.3</v>
      </c>
      <c r="R42" s="93">
        <f t="shared" si="1"/>
        <v>30.3</v>
      </c>
      <c r="S42" s="97">
        <v>4</v>
      </c>
      <c r="T42" s="839"/>
      <c r="U42" s="852"/>
      <c r="V42" s="82" t="s">
        <v>102</v>
      </c>
      <c r="W42" s="73" t="s">
        <v>20</v>
      </c>
      <c r="X42" s="73" t="s">
        <v>12</v>
      </c>
      <c r="Y42" s="83">
        <v>30.3</v>
      </c>
      <c r="AD42" s="82"/>
      <c r="AG42" s="83"/>
      <c r="AL42" s="82"/>
      <c r="AO42" s="83"/>
      <c r="AP42" s="82"/>
      <c r="AS42" s="83"/>
      <c r="AW42" s="83"/>
      <c r="BA42" s="84"/>
    </row>
    <row r="43" spans="1:53" s="73" customFormat="1">
      <c r="A43" s="101">
        <v>1977</v>
      </c>
      <c r="B43" s="852"/>
      <c r="C43" s="901" t="s">
        <v>256</v>
      </c>
      <c r="D43" s="901"/>
      <c r="E43" s="73">
        <v>55</v>
      </c>
      <c r="G43" s="119"/>
      <c r="I43" s="73">
        <v>15</v>
      </c>
      <c r="J43" s="126">
        <v>15</v>
      </c>
      <c r="K43" s="92">
        <f t="shared" si="14"/>
        <v>0</v>
      </c>
      <c r="L43" s="92">
        <f t="shared" si="15"/>
        <v>0</v>
      </c>
      <c r="M43" s="92">
        <f t="shared" si="16"/>
        <v>100</v>
      </c>
      <c r="N43" s="121">
        <f t="shared" si="0"/>
        <v>100</v>
      </c>
      <c r="O43" s="91"/>
      <c r="P43" s="92"/>
      <c r="Q43" s="92">
        <v>30.3</v>
      </c>
      <c r="R43" s="93">
        <f t="shared" si="1"/>
        <v>30.3</v>
      </c>
      <c r="S43" s="97">
        <v>4</v>
      </c>
      <c r="T43" s="839"/>
      <c r="U43" s="852"/>
      <c r="V43" s="82" t="s">
        <v>102</v>
      </c>
      <c r="W43" s="73" t="s">
        <v>20</v>
      </c>
      <c r="X43" s="73" t="s">
        <v>12</v>
      </c>
      <c r="Y43" s="83">
        <v>30.3</v>
      </c>
      <c r="AD43" s="82"/>
      <c r="AG43" s="83"/>
      <c r="AL43" s="82"/>
      <c r="AO43" s="83"/>
      <c r="AP43" s="82"/>
      <c r="AS43" s="83"/>
      <c r="AW43" s="83"/>
      <c r="BA43" s="84"/>
    </row>
    <row r="44" spans="1:53" s="292" customFormat="1">
      <c r="A44" s="338">
        <v>1977</v>
      </c>
      <c r="B44" s="836">
        <v>28181</v>
      </c>
      <c r="C44" s="909" t="s">
        <v>257</v>
      </c>
      <c r="D44" s="909"/>
      <c r="E44" s="292">
        <v>310</v>
      </c>
      <c r="F44" s="292">
        <v>5</v>
      </c>
      <c r="G44" s="366"/>
      <c r="I44" s="292">
        <v>17</v>
      </c>
      <c r="J44" s="377">
        <v>17</v>
      </c>
      <c r="K44" s="336">
        <f t="shared" si="14"/>
        <v>0</v>
      </c>
      <c r="L44" s="336">
        <f t="shared" si="15"/>
        <v>0</v>
      </c>
      <c r="M44" s="336">
        <f t="shared" si="16"/>
        <v>100</v>
      </c>
      <c r="N44" s="368">
        <f t="shared" si="0"/>
        <v>100</v>
      </c>
      <c r="O44" s="335"/>
      <c r="P44" s="336"/>
      <c r="Q44" s="336">
        <v>37.1</v>
      </c>
      <c r="R44" s="337">
        <f t="shared" si="1"/>
        <v>37.1</v>
      </c>
      <c r="S44" s="340">
        <v>4</v>
      </c>
      <c r="T44" s="838">
        <v>28171</v>
      </c>
      <c r="U44" s="836">
        <v>28181</v>
      </c>
      <c r="V44" s="299" t="s">
        <v>102</v>
      </c>
      <c r="W44" s="292" t="s">
        <v>20</v>
      </c>
      <c r="X44" s="292" t="s">
        <v>12</v>
      </c>
      <c r="Y44" s="300">
        <v>37.1</v>
      </c>
      <c r="AD44" s="299"/>
      <c r="AG44" s="300"/>
      <c r="AL44" s="299"/>
      <c r="AO44" s="300"/>
      <c r="AP44" s="299"/>
      <c r="AS44" s="300"/>
      <c r="AW44" s="300"/>
      <c r="BA44" s="301"/>
    </row>
    <row r="45" spans="1:53" s="292" customFormat="1">
      <c r="A45" s="338">
        <v>1978</v>
      </c>
      <c r="B45" s="836"/>
      <c r="C45" s="909" t="s">
        <v>257</v>
      </c>
      <c r="D45" s="909"/>
      <c r="E45" s="292">
        <v>241</v>
      </c>
      <c r="G45" s="366"/>
      <c r="I45" s="292">
        <v>17</v>
      </c>
      <c r="J45" s="377">
        <v>17</v>
      </c>
      <c r="K45" s="336">
        <f t="shared" si="14"/>
        <v>0</v>
      </c>
      <c r="L45" s="336">
        <f t="shared" si="15"/>
        <v>0</v>
      </c>
      <c r="M45" s="336">
        <f t="shared" si="16"/>
        <v>100</v>
      </c>
      <c r="N45" s="368">
        <f t="shared" si="0"/>
        <v>100</v>
      </c>
      <c r="O45" s="335"/>
      <c r="P45" s="336"/>
      <c r="Q45" s="336">
        <v>37.1</v>
      </c>
      <c r="R45" s="337">
        <f t="shared" si="1"/>
        <v>37.1</v>
      </c>
      <c r="S45" s="340">
        <v>4</v>
      </c>
      <c r="T45" s="838"/>
      <c r="U45" s="836"/>
      <c r="V45" s="299" t="s">
        <v>102</v>
      </c>
      <c r="W45" s="292" t="s">
        <v>20</v>
      </c>
      <c r="X45" s="292" t="s">
        <v>12</v>
      </c>
      <c r="Y45" s="300">
        <v>37.1</v>
      </c>
      <c r="AD45" s="299"/>
      <c r="AG45" s="300"/>
      <c r="AL45" s="299"/>
      <c r="AO45" s="300"/>
      <c r="AP45" s="299"/>
      <c r="AS45" s="300"/>
      <c r="AW45" s="300"/>
      <c r="BA45" s="301"/>
    </row>
    <row r="46" spans="1:53" s="73" customFormat="1">
      <c r="A46" s="101">
        <v>1978</v>
      </c>
      <c r="B46" s="852">
        <v>28732</v>
      </c>
      <c r="C46" s="901" t="s">
        <v>258</v>
      </c>
      <c r="D46" s="901"/>
      <c r="E46" s="73">
        <v>124</v>
      </c>
      <c r="F46" s="73">
        <v>7</v>
      </c>
      <c r="G46" s="119">
        <v>7</v>
      </c>
      <c r="I46" s="73">
        <v>14</v>
      </c>
      <c r="J46" s="126">
        <v>21</v>
      </c>
      <c r="K46" s="92">
        <f t="shared" ref="K46:K51" si="17">G46/J46*100</f>
        <v>33.333333333333329</v>
      </c>
      <c r="L46" s="92">
        <f t="shared" ref="L46:L51" si="18">H46/J46*100</f>
        <v>0</v>
      </c>
      <c r="M46" s="92">
        <f t="shared" ref="M46:M51" si="19">I46/J46*100</f>
        <v>66.666666666666657</v>
      </c>
      <c r="N46" s="121">
        <f t="shared" si="0"/>
        <v>99.999999999999986</v>
      </c>
      <c r="O46" s="91">
        <v>12</v>
      </c>
      <c r="P46" s="92"/>
      <c r="Q46" s="92">
        <v>37.1</v>
      </c>
      <c r="R46" s="93">
        <f t="shared" si="1"/>
        <v>49.1</v>
      </c>
      <c r="S46" s="97">
        <v>5</v>
      </c>
      <c r="T46" s="839"/>
      <c r="U46" s="852">
        <v>28732</v>
      </c>
      <c r="V46" s="82" t="s">
        <v>102</v>
      </c>
      <c r="W46" s="73" t="s">
        <v>20</v>
      </c>
      <c r="X46" s="73" t="s">
        <v>12</v>
      </c>
      <c r="Y46" s="83">
        <v>37.1</v>
      </c>
      <c r="Z46" s="73" t="s">
        <v>72</v>
      </c>
      <c r="AA46" s="73" t="s">
        <v>88</v>
      </c>
      <c r="AB46" s="73" t="s">
        <v>11</v>
      </c>
      <c r="AC46" s="73">
        <v>12</v>
      </c>
      <c r="AD46" s="82"/>
      <c r="AG46" s="83"/>
      <c r="AL46" s="82"/>
      <c r="AO46" s="83"/>
      <c r="AP46" s="82"/>
      <c r="AS46" s="83"/>
      <c r="AW46" s="83"/>
      <c r="BA46" s="84"/>
    </row>
    <row r="47" spans="1:53" s="73" customFormat="1">
      <c r="A47" s="101">
        <v>1979</v>
      </c>
      <c r="B47" s="852"/>
      <c r="C47" s="901" t="s">
        <v>258</v>
      </c>
      <c r="D47" s="901"/>
      <c r="E47" s="73">
        <v>298</v>
      </c>
      <c r="G47" s="119">
        <v>7</v>
      </c>
      <c r="I47" s="73">
        <v>14</v>
      </c>
      <c r="J47" s="126">
        <v>21</v>
      </c>
      <c r="K47" s="92">
        <f t="shared" si="17"/>
        <v>33.333333333333329</v>
      </c>
      <c r="L47" s="92">
        <f t="shared" si="18"/>
        <v>0</v>
      </c>
      <c r="M47" s="92">
        <f t="shared" si="19"/>
        <v>66.666666666666657</v>
      </c>
      <c r="N47" s="121">
        <f t="shared" si="0"/>
        <v>99.999999999999986</v>
      </c>
      <c r="O47" s="91">
        <v>12</v>
      </c>
      <c r="P47" s="92"/>
      <c r="Q47" s="92">
        <v>37.1</v>
      </c>
      <c r="R47" s="93">
        <f t="shared" si="1"/>
        <v>49.1</v>
      </c>
      <c r="S47" s="97">
        <v>5</v>
      </c>
      <c r="T47" s="839"/>
      <c r="U47" s="852"/>
      <c r="V47" s="82" t="s">
        <v>102</v>
      </c>
      <c r="W47" s="73" t="s">
        <v>20</v>
      </c>
      <c r="X47" s="73" t="s">
        <v>12</v>
      </c>
      <c r="Y47" s="83">
        <v>37.1</v>
      </c>
      <c r="Z47" s="73" t="s">
        <v>72</v>
      </c>
      <c r="AA47" s="73" t="s">
        <v>88</v>
      </c>
      <c r="AB47" s="73" t="s">
        <v>11</v>
      </c>
      <c r="AC47" s="73">
        <v>12</v>
      </c>
      <c r="AD47" s="82"/>
      <c r="AG47" s="83"/>
      <c r="AL47" s="82"/>
      <c r="AO47" s="83"/>
      <c r="AP47" s="82"/>
      <c r="AS47" s="83"/>
      <c r="AW47" s="83"/>
      <c r="BA47" s="84"/>
    </row>
    <row r="48" spans="1:53" s="292" customFormat="1">
      <c r="A48" s="338">
        <v>1979</v>
      </c>
      <c r="B48" s="836">
        <v>29154</v>
      </c>
      <c r="C48" s="909" t="s">
        <v>259</v>
      </c>
      <c r="D48" s="909"/>
      <c r="E48" s="292">
        <v>67</v>
      </c>
      <c r="F48" s="292">
        <v>4</v>
      </c>
      <c r="G48" s="366"/>
      <c r="I48" s="292">
        <v>17</v>
      </c>
      <c r="J48" s="377">
        <v>17</v>
      </c>
      <c r="K48" s="336">
        <f t="shared" si="17"/>
        <v>0</v>
      </c>
      <c r="L48" s="336">
        <f t="shared" si="18"/>
        <v>0</v>
      </c>
      <c r="M48" s="336">
        <f t="shared" si="19"/>
        <v>100</v>
      </c>
      <c r="N48" s="368">
        <f t="shared" si="0"/>
        <v>100</v>
      </c>
      <c r="O48" s="335"/>
      <c r="P48" s="336"/>
      <c r="Q48" s="336">
        <v>38.9</v>
      </c>
      <c r="R48" s="337">
        <f t="shared" si="1"/>
        <v>38.9</v>
      </c>
      <c r="S48" s="340">
        <v>4</v>
      </c>
      <c r="T48" s="838">
        <v>29151</v>
      </c>
      <c r="U48" s="836">
        <v>29154</v>
      </c>
      <c r="V48" s="299" t="s">
        <v>102</v>
      </c>
      <c r="W48" s="292" t="s">
        <v>20</v>
      </c>
      <c r="X48" s="292" t="s">
        <v>12</v>
      </c>
      <c r="Y48" s="300">
        <v>38.9</v>
      </c>
      <c r="AD48" s="299"/>
      <c r="AG48" s="300"/>
      <c r="AL48" s="299"/>
      <c r="AO48" s="300"/>
      <c r="AP48" s="299"/>
      <c r="AS48" s="300"/>
      <c r="AW48" s="300"/>
      <c r="BA48" s="301"/>
    </row>
    <row r="49" spans="1:53" s="292" customFormat="1">
      <c r="A49" s="338">
        <v>1980</v>
      </c>
      <c r="B49" s="836"/>
      <c r="C49" s="909" t="s">
        <v>259</v>
      </c>
      <c r="D49" s="909"/>
      <c r="E49" s="292">
        <v>0</v>
      </c>
      <c r="G49" s="366"/>
      <c r="I49" s="292">
        <v>17</v>
      </c>
      <c r="J49" s="377">
        <v>17</v>
      </c>
      <c r="K49" s="336">
        <f t="shared" si="17"/>
        <v>0</v>
      </c>
      <c r="L49" s="336">
        <f t="shared" si="18"/>
        <v>0</v>
      </c>
      <c r="M49" s="336">
        <f t="shared" si="19"/>
        <v>100</v>
      </c>
      <c r="N49" s="368">
        <f t="shared" si="0"/>
        <v>100</v>
      </c>
      <c r="O49" s="335"/>
      <c r="P49" s="336"/>
      <c r="Q49" s="336">
        <v>38.9</v>
      </c>
      <c r="R49" s="337">
        <f t="shared" si="1"/>
        <v>38.9</v>
      </c>
      <c r="S49" s="340">
        <v>4</v>
      </c>
      <c r="T49" s="838"/>
      <c r="U49" s="836"/>
      <c r="V49" s="299" t="s">
        <v>102</v>
      </c>
      <c r="W49" s="292" t="s">
        <v>20</v>
      </c>
      <c r="X49" s="292" t="s">
        <v>12</v>
      </c>
      <c r="Y49" s="300">
        <v>38.9</v>
      </c>
      <c r="AD49" s="299"/>
      <c r="AG49" s="300"/>
      <c r="AL49" s="299"/>
      <c r="AO49" s="300"/>
      <c r="AP49" s="299"/>
      <c r="AS49" s="300"/>
      <c r="AW49" s="300"/>
      <c r="BA49" s="301"/>
    </row>
    <row r="50" spans="1:53" s="292" customFormat="1">
      <c r="A50" s="338">
        <v>1980</v>
      </c>
      <c r="B50" s="836"/>
      <c r="C50" s="909" t="s">
        <v>259</v>
      </c>
      <c r="D50" s="909"/>
      <c r="E50" s="292">
        <v>366</v>
      </c>
      <c r="G50" s="366"/>
      <c r="I50" s="292">
        <v>17</v>
      </c>
      <c r="J50" s="377">
        <v>17</v>
      </c>
      <c r="K50" s="336">
        <f t="shared" si="17"/>
        <v>0</v>
      </c>
      <c r="L50" s="336">
        <f t="shared" si="18"/>
        <v>0</v>
      </c>
      <c r="M50" s="336">
        <f t="shared" si="19"/>
        <v>100</v>
      </c>
      <c r="N50" s="368">
        <f t="shared" si="0"/>
        <v>100</v>
      </c>
      <c r="O50" s="335"/>
      <c r="P50" s="336"/>
      <c r="Q50" s="336">
        <v>38.9</v>
      </c>
      <c r="R50" s="337">
        <f t="shared" si="1"/>
        <v>38.9</v>
      </c>
      <c r="S50" s="340">
        <v>4</v>
      </c>
      <c r="T50" s="838"/>
      <c r="U50" s="836"/>
      <c r="V50" s="299" t="s">
        <v>102</v>
      </c>
      <c r="W50" s="292" t="s">
        <v>20</v>
      </c>
      <c r="X50" s="292" t="s">
        <v>12</v>
      </c>
      <c r="Y50" s="300">
        <v>38.9</v>
      </c>
      <c r="AD50" s="299"/>
      <c r="AG50" s="300"/>
      <c r="AL50" s="299"/>
      <c r="AO50" s="300"/>
      <c r="AP50" s="299"/>
      <c r="AS50" s="300"/>
      <c r="AW50" s="300"/>
      <c r="BA50" s="301"/>
    </row>
    <row r="51" spans="1:53" s="292" customFormat="1">
      <c r="A51" s="338">
        <v>1981</v>
      </c>
      <c r="B51" s="836"/>
      <c r="C51" s="909" t="s">
        <v>259</v>
      </c>
      <c r="D51" s="909"/>
      <c r="E51" s="292">
        <v>364</v>
      </c>
      <c r="G51" s="366"/>
      <c r="I51" s="292">
        <v>17</v>
      </c>
      <c r="J51" s="377">
        <v>17</v>
      </c>
      <c r="K51" s="336">
        <f t="shared" si="17"/>
        <v>0</v>
      </c>
      <c r="L51" s="336">
        <f t="shared" si="18"/>
        <v>0</v>
      </c>
      <c r="M51" s="336">
        <f t="shared" si="19"/>
        <v>100</v>
      </c>
      <c r="N51" s="368">
        <f t="shared" si="0"/>
        <v>100</v>
      </c>
      <c r="O51" s="335"/>
      <c r="P51" s="336"/>
      <c r="Q51" s="336">
        <v>38.9</v>
      </c>
      <c r="R51" s="337">
        <f t="shared" si="1"/>
        <v>38.9</v>
      </c>
      <c r="S51" s="340">
        <v>4</v>
      </c>
      <c r="T51" s="838"/>
      <c r="U51" s="836"/>
      <c r="V51" s="299" t="s">
        <v>102</v>
      </c>
      <c r="W51" s="292" t="s">
        <v>20</v>
      </c>
      <c r="X51" s="292" t="s">
        <v>12</v>
      </c>
      <c r="Y51" s="300">
        <v>38.9</v>
      </c>
      <c r="AD51" s="299"/>
      <c r="AG51" s="300"/>
      <c r="AL51" s="299"/>
      <c r="AO51" s="300"/>
      <c r="AP51" s="299"/>
      <c r="AS51" s="300"/>
      <c r="AW51" s="300"/>
      <c r="BA51" s="301"/>
    </row>
    <row r="52" spans="1:53" s="73" customFormat="1">
      <c r="A52" s="101">
        <v>1981</v>
      </c>
      <c r="B52" s="852">
        <v>29951</v>
      </c>
      <c r="C52" s="901" t="s">
        <v>260</v>
      </c>
      <c r="D52" s="901"/>
      <c r="E52" s="73">
        <v>1</v>
      </c>
      <c r="F52" s="73">
        <v>5</v>
      </c>
      <c r="G52" s="119"/>
      <c r="I52" s="73">
        <v>20</v>
      </c>
      <c r="J52" s="126">
        <v>20</v>
      </c>
      <c r="K52" s="92">
        <f>G52/J52*100</f>
        <v>0</v>
      </c>
      <c r="L52" s="92">
        <f>H52/J52*100</f>
        <v>0</v>
      </c>
      <c r="M52" s="92">
        <f>I52/J52*100</f>
        <v>100</v>
      </c>
      <c r="N52" s="121">
        <f t="shared" si="0"/>
        <v>100</v>
      </c>
      <c r="O52" s="91"/>
      <c r="P52" s="92"/>
      <c r="Q52" s="92">
        <v>33.700000000000003</v>
      </c>
      <c r="R52" s="93">
        <f t="shared" si="1"/>
        <v>33.700000000000003</v>
      </c>
      <c r="S52" s="97">
        <v>4</v>
      </c>
      <c r="T52" s="839">
        <v>29928</v>
      </c>
      <c r="U52" s="852">
        <v>29951</v>
      </c>
      <c r="V52" s="82" t="s">
        <v>102</v>
      </c>
      <c r="W52" s="73" t="s">
        <v>20</v>
      </c>
      <c r="X52" s="73" t="s">
        <v>12</v>
      </c>
      <c r="Y52" s="83">
        <v>33.700000000000003</v>
      </c>
      <c r="AD52" s="82"/>
      <c r="AG52" s="83"/>
      <c r="AL52" s="82"/>
      <c r="AO52" s="83"/>
      <c r="AP52" s="82"/>
      <c r="AS52" s="83"/>
      <c r="AW52" s="83"/>
      <c r="BA52" s="84"/>
    </row>
    <row r="53" spans="1:53" s="73" customFormat="1">
      <c r="A53" s="101">
        <v>1982</v>
      </c>
      <c r="B53" s="852"/>
      <c r="C53" s="901" t="s">
        <v>260</v>
      </c>
      <c r="D53" s="901"/>
      <c r="E53" s="73">
        <v>252</v>
      </c>
      <c r="G53" s="119"/>
      <c r="I53" s="73">
        <v>20</v>
      </c>
      <c r="J53" s="126">
        <v>20</v>
      </c>
      <c r="K53" s="92">
        <f t="shared" ref="K53:K58" si="20">G53/J53*100</f>
        <v>0</v>
      </c>
      <c r="L53" s="92">
        <f t="shared" ref="L53:L58" si="21">H53/J53*100</f>
        <v>0</v>
      </c>
      <c r="M53" s="92">
        <f t="shared" ref="M53:M58" si="22">I53/J53*100</f>
        <v>100</v>
      </c>
      <c r="N53" s="121">
        <f t="shared" si="0"/>
        <v>100</v>
      </c>
      <c r="O53" s="91"/>
      <c r="P53" s="92"/>
      <c r="Q53" s="92">
        <v>33.700000000000003</v>
      </c>
      <c r="R53" s="93">
        <f t="shared" si="1"/>
        <v>33.700000000000003</v>
      </c>
      <c r="S53" s="97">
        <v>4</v>
      </c>
      <c r="T53" s="839"/>
      <c r="U53" s="852"/>
      <c r="V53" s="82" t="s">
        <v>102</v>
      </c>
      <c r="W53" s="73" t="s">
        <v>20</v>
      </c>
      <c r="X53" s="73" t="s">
        <v>12</v>
      </c>
      <c r="Y53" s="83">
        <v>33.700000000000003</v>
      </c>
      <c r="AD53" s="82"/>
      <c r="AG53" s="83"/>
      <c r="AL53" s="82"/>
      <c r="AO53" s="83"/>
      <c r="AP53" s="82"/>
      <c r="AS53" s="83"/>
      <c r="AW53" s="83"/>
      <c r="BA53" s="84"/>
    </row>
    <row r="54" spans="1:53" s="292" customFormat="1">
      <c r="A54" s="338">
        <v>1982</v>
      </c>
      <c r="B54" s="836">
        <v>30204</v>
      </c>
      <c r="C54" s="909" t="s">
        <v>261</v>
      </c>
      <c r="D54" s="909"/>
      <c r="E54" s="292">
        <v>113</v>
      </c>
      <c r="F54" s="292">
        <v>4</v>
      </c>
      <c r="G54" s="366">
        <v>16</v>
      </c>
      <c r="H54" s="292">
        <v>5</v>
      </c>
      <c r="J54" s="377">
        <v>21</v>
      </c>
      <c r="K54" s="336">
        <f t="shared" si="20"/>
        <v>76.19047619047619</v>
      </c>
      <c r="L54" s="336">
        <f t="shared" si="21"/>
        <v>23.809523809523807</v>
      </c>
      <c r="M54" s="336">
        <f t="shared" si="22"/>
        <v>0</v>
      </c>
      <c r="N54" s="368">
        <f t="shared" si="0"/>
        <v>100</v>
      </c>
      <c r="O54" s="335">
        <v>26.9</v>
      </c>
      <c r="P54" s="336">
        <v>8.6</v>
      </c>
      <c r="Q54" s="336"/>
      <c r="R54" s="337">
        <f t="shared" si="1"/>
        <v>35.5</v>
      </c>
      <c r="S54" s="340">
        <v>5</v>
      </c>
      <c r="T54" s="838"/>
      <c r="U54" s="836">
        <v>30204</v>
      </c>
      <c r="V54" s="299" t="s">
        <v>105</v>
      </c>
      <c r="W54" s="292" t="s">
        <v>74</v>
      </c>
      <c r="X54" s="292" t="s">
        <v>11</v>
      </c>
      <c r="Y54" s="300">
        <v>14.9</v>
      </c>
      <c r="Z54" s="292" t="s">
        <v>72</v>
      </c>
      <c r="AA54" s="292" t="s">
        <v>88</v>
      </c>
      <c r="AB54" s="292" t="s">
        <v>11</v>
      </c>
      <c r="AC54" s="292">
        <v>12</v>
      </c>
      <c r="AD54" s="299" t="s">
        <v>106</v>
      </c>
      <c r="AE54" s="292" t="s">
        <v>107</v>
      </c>
      <c r="AF54" s="292" t="s">
        <v>18</v>
      </c>
      <c r="AG54" s="300">
        <v>8.6</v>
      </c>
      <c r="AL54" s="299"/>
      <c r="AO54" s="300"/>
      <c r="AP54" s="299"/>
      <c r="AS54" s="300"/>
      <c r="AW54" s="300"/>
      <c r="BA54" s="301"/>
    </row>
    <row r="55" spans="1:53" s="292" customFormat="1">
      <c r="A55" s="338">
        <v>1983</v>
      </c>
      <c r="B55" s="836"/>
      <c r="C55" s="909" t="s">
        <v>261</v>
      </c>
      <c r="D55" s="909"/>
      <c r="E55" s="292">
        <v>0</v>
      </c>
      <c r="G55" s="366">
        <v>16</v>
      </c>
      <c r="H55" s="292">
        <v>5</v>
      </c>
      <c r="J55" s="377">
        <v>21</v>
      </c>
      <c r="K55" s="336">
        <f t="shared" si="20"/>
        <v>76.19047619047619</v>
      </c>
      <c r="L55" s="336">
        <f t="shared" si="21"/>
        <v>23.809523809523807</v>
      </c>
      <c r="M55" s="336">
        <f t="shared" si="22"/>
        <v>0</v>
      </c>
      <c r="N55" s="368">
        <f t="shared" si="0"/>
        <v>100</v>
      </c>
      <c r="O55" s="335">
        <v>26.9</v>
      </c>
      <c r="P55" s="336">
        <v>8.6</v>
      </c>
      <c r="Q55" s="336"/>
      <c r="R55" s="337">
        <f t="shared" si="1"/>
        <v>35.5</v>
      </c>
      <c r="S55" s="340">
        <v>5</v>
      </c>
      <c r="T55" s="838"/>
      <c r="U55" s="836"/>
      <c r="V55" s="299" t="s">
        <v>105</v>
      </c>
      <c r="W55" s="292" t="s">
        <v>74</v>
      </c>
      <c r="X55" s="292" t="s">
        <v>11</v>
      </c>
      <c r="Y55" s="300">
        <v>14.9</v>
      </c>
      <c r="Z55" s="292" t="s">
        <v>72</v>
      </c>
      <c r="AA55" s="292" t="s">
        <v>88</v>
      </c>
      <c r="AB55" s="292" t="s">
        <v>11</v>
      </c>
      <c r="AC55" s="292">
        <v>12</v>
      </c>
      <c r="AD55" s="299" t="s">
        <v>106</v>
      </c>
      <c r="AE55" s="292" t="s">
        <v>107</v>
      </c>
      <c r="AF55" s="292" t="s">
        <v>18</v>
      </c>
      <c r="AG55" s="300">
        <v>8.6</v>
      </c>
      <c r="AL55" s="299"/>
      <c r="AO55" s="300"/>
      <c r="AP55" s="299"/>
      <c r="AS55" s="300"/>
      <c r="AW55" s="300"/>
      <c r="BA55" s="301"/>
    </row>
    <row r="56" spans="1:53" s="292" customFormat="1">
      <c r="A56" s="338">
        <v>1983</v>
      </c>
      <c r="B56" s="836"/>
      <c r="C56" s="909" t="s">
        <v>261</v>
      </c>
      <c r="D56" s="909"/>
      <c r="E56" s="292">
        <v>365</v>
      </c>
      <c r="G56" s="366">
        <v>16</v>
      </c>
      <c r="H56" s="292">
        <v>5</v>
      </c>
      <c r="J56" s="377">
        <v>21</v>
      </c>
      <c r="K56" s="336">
        <f t="shared" si="20"/>
        <v>76.19047619047619</v>
      </c>
      <c r="L56" s="336">
        <f t="shared" si="21"/>
        <v>23.809523809523807</v>
      </c>
      <c r="M56" s="336">
        <f t="shared" si="22"/>
        <v>0</v>
      </c>
      <c r="N56" s="368">
        <f t="shared" si="0"/>
        <v>100</v>
      </c>
      <c r="O56" s="335">
        <v>26.9</v>
      </c>
      <c r="P56" s="336">
        <v>8.6</v>
      </c>
      <c r="Q56" s="336"/>
      <c r="R56" s="337">
        <f t="shared" si="1"/>
        <v>35.5</v>
      </c>
      <c r="S56" s="340">
        <v>5</v>
      </c>
      <c r="T56" s="838"/>
      <c r="U56" s="836"/>
      <c r="V56" s="299" t="s">
        <v>105</v>
      </c>
      <c r="W56" s="292" t="s">
        <v>74</v>
      </c>
      <c r="X56" s="292" t="s">
        <v>11</v>
      </c>
      <c r="Y56" s="300">
        <v>14.9</v>
      </c>
      <c r="Z56" s="292" t="s">
        <v>72</v>
      </c>
      <c r="AA56" s="292" t="s">
        <v>88</v>
      </c>
      <c r="AB56" s="292" t="s">
        <v>11</v>
      </c>
      <c r="AC56" s="292">
        <v>12</v>
      </c>
      <c r="AD56" s="299" t="s">
        <v>106</v>
      </c>
      <c r="AE56" s="292" t="s">
        <v>107</v>
      </c>
      <c r="AF56" s="292" t="s">
        <v>18</v>
      </c>
      <c r="AG56" s="300">
        <v>8.6</v>
      </c>
      <c r="AL56" s="299"/>
      <c r="AO56" s="300"/>
      <c r="AP56" s="299"/>
      <c r="AS56" s="300"/>
      <c r="AW56" s="300"/>
      <c r="BA56" s="301"/>
    </row>
    <row r="57" spans="1:53" s="292" customFormat="1">
      <c r="A57" s="338">
        <v>1984</v>
      </c>
      <c r="B57" s="836"/>
      <c r="C57" s="909" t="s">
        <v>261</v>
      </c>
      <c r="D57" s="909"/>
      <c r="E57" s="292">
        <v>20</v>
      </c>
      <c r="G57" s="366">
        <v>16</v>
      </c>
      <c r="H57" s="292">
        <v>5</v>
      </c>
      <c r="J57" s="377">
        <v>21</v>
      </c>
      <c r="K57" s="336">
        <f t="shared" si="20"/>
        <v>76.19047619047619</v>
      </c>
      <c r="L57" s="336">
        <f t="shared" si="21"/>
        <v>23.809523809523807</v>
      </c>
      <c r="M57" s="336">
        <f t="shared" si="22"/>
        <v>0</v>
      </c>
      <c r="N57" s="368">
        <f t="shared" si="0"/>
        <v>100</v>
      </c>
      <c r="O57" s="335">
        <v>26.9</v>
      </c>
      <c r="P57" s="336">
        <v>8.6</v>
      </c>
      <c r="Q57" s="336"/>
      <c r="R57" s="337">
        <f t="shared" si="1"/>
        <v>35.5</v>
      </c>
      <c r="S57" s="340">
        <v>5</v>
      </c>
      <c r="T57" s="838"/>
      <c r="U57" s="836"/>
      <c r="V57" s="299" t="s">
        <v>105</v>
      </c>
      <c r="W57" s="292" t="s">
        <v>74</v>
      </c>
      <c r="X57" s="292" t="s">
        <v>11</v>
      </c>
      <c r="Y57" s="300">
        <v>14.9</v>
      </c>
      <c r="Z57" s="292" t="s">
        <v>72</v>
      </c>
      <c r="AA57" s="292" t="s">
        <v>88</v>
      </c>
      <c r="AB57" s="292" t="s">
        <v>11</v>
      </c>
      <c r="AC57" s="292">
        <v>12</v>
      </c>
      <c r="AD57" s="299" t="s">
        <v>106</v>
      </c>
      <c r="AE57" s="292" t="s">
        <v>107</v>
      </c>
      <c r="AF57" s="292" t="s">
        <v>18</v>
      </c>
      <c r="AG57" s="300">
        <v>8.6</v>
      </c>
      <c r="AL57" s="299"/>
      <c r="AO57" s="300"/>
      <c r="AP57" s="299"/>
      <c r="AS57" s="300"/>
      <c r="AW57" s="300"/>
      <c r="BA57" s="301"/>
    </row>
    <row r="58" spans="1:53" s="73" customFormat="1">
      <c r="A58" s="101">
        <v>1984</v>
      </c>
      <c r="B58" s="852">
        <v>30702</v>
      </c>
      <c r="C58" s="901" t="s">
        <v>262</v>
      </c>
      <c r="D58" s="901"/>
      <c r="E58" s="73">
        <v>346</v>
      </c>
      <c r="F58" s="73">
        <v>5</v>
      </c>
      <c r="G58" s="119">
        <v>16</v>
      </c>
      <c r="H58" s="73">
        <v>5</v>
      </c>
      <c r="J58" s="126">
        <v>21</v>
      </c>
      <c r="K58" s="92">
        <f t="shared" si="20"/>
        <v>76.19047619047619</v>
      </c>
      <c r="L58" s="92">
        <f t="shared" si="21"/>
        <v>23.809523809523807</v>
      </c>
      <c r="M58" s="92">
        <f t="shared" si="22"/>
        <v>0</v>
      </c>
      <c r="N58" s="121">
        <f t="shared" si="0"/>
        <v>100</v>
      </c>
      <c r="O58" s="91">
        <v>36.6</v>
      </c>
      <c r="P58" s="92">
        <v>4.5999999999999996</v>
      </c>
      <c r="Q58" s="92"/>
      <c r="R58" s="93">
        <f t="shared" si="1"/>
        <v>41.2</v>
      </c>
      <c r="S58" s="97">
        <v>5</v>
      </c>
      <c r="T58" s="839">
        <v>30691</v>
      </c>
      <c r="U58" s="852">
        <v>30702</v>
      </c>
      <c r="V58" s="82" t="s">
        <v>105</v>
      </c>
      <c r="W58" s="73" t="s">
        <v>74</v>
      </c>
      <c r="X58" s="73" t="s">
        <v>11</v>
      </c>
      <c r="Y58" s="83">
        <v>24</v>
      </c>
      <c r="Z58" s="73" t="s">
        <v>72</v>
      </c>
      <c r="AA58" s="73" t="s">
        <v>88</v>
      </c>
      <c r="AB58" s="73" t="s">
        <v>11</v>
      </c>
      <c r="AC58" s="73">
        <v>12.6</v>
      </c>
      <c r="AD58" s="82" t="s">
        <v>106</v>
      </c>
      <c r="AE58" s="73" t="s">
        <v>107</v>
      </c>
      <c r="AF58" s="73" t="s">
        <v>18</v>
      </c>
      <c r="AG58" s="83">
        <v>4.5999999999999996</v>
      </c>
      <c r="AL58" s="82"/>
      <c r="AO58" s="83"/>
      <c r="AP58" s="82"/>
      <c r="AS58" s="83"/>
      <c r="AW58" s="83"/>
      <c r="BA58" s="84"/>
    </row>
    <row r="59" spans="1:53" s="73" customFormat="1">
      <c r="A59" s="101">
        <v>1985</v>
      </c>
      <c r="B59" s="852"/>
      <c r="C59" s="901" t="s">
        <v>262</v>
      </c>
      <c r="D59" s="901"/>
      <c r="E59" s="73">
        <v>0</v>
      </c>
      <c r="G59" s="119">
        <v>16</v>
      </c>
      <c r="H59" s="73">
        <v>5</v>
      </c>
      <c r="J59" s="126">
        <v>21</v>
      </c>
      <c r="K59" s="92">
        <f>G59/J59*100</f>
        <v>76.19047619047619</v>
      </c>
      <c r="L59" s="92">
        <f>H59/J59*100</f>
        <v>23.809523809523807</v>
      </c>
      <c r="M59" s="92">
        <f>I59/J59*100</f>
        <v>0</v>
      </c>
      <c r="N59" s="121">
        <f t="shared" si="0"/>
        <v>100</v>
      </c>
      <c r="O59" s="91">
        <v>36.6</v>
      </c>
      <c r="P59" s="92">
        <v>4.5999999999999996</v>
      </c>
      <c r="Q59" s="92"/>
      <c r="R59" s="93">
        <f t="shared" si="1"/>
        <v>41.2</v>
      </c>
      <c r="S59" s="97">
        <v>5</v>
      </c>
      <c r="T59" s="839"/>
      <c r="U59" s="852"/>
      <c r="V59" s="82" t="s">
        <v>105</v>
      </c>
      <c r="W59" s="73" t="s">
        <v>74</v>
      </c>
      <c r="X59" s="73" t="s">
        <v>11</v>
      </c>
      <c r="Y59" s="83">
        <v>24</v>
      </c>
      <c r="Z59" s="73" t="s">
        <v>72</v>
      </c>
      <c r="AA59" s="73" t="s">
        <v>88</v>
      </c>
      <c r="AB59" s="73" t="s">
        <v>11</v>
      </c>
      <c r="AC59" s="73">
        <v>12.6</v>
      </c>
      <c r="AD59" s="82" t="s">
        <v>106</v>
      </c>
      <c r="AE59" s="73" t="s">
        <v>107</v>
      </c>
      <c r="AF59" s="73" t="s">
        <v>18</v>
      </c>
      <c r="AG59" s="83">
        <v>4.5999999999999996</v>
      </c>
      <c r="AL59" s="82"/>
      <c r="AO59" s="83"/>
      <c r="AP59" s="82"/>
      <c r="AS59" s="83"/>
      <c r="AW59" s="83"/>
      <c r="BA59" s="84"/>
    </row>
    <row r="60" spans="1:53" s="73" customFormat="1">
      <c r="A60" s="101">
        <v>1985</v>
      </c>
      <c r="B60" s="852"/>
      <c r="C60" s="901" t="s">
        <v>262</v>
      </c>
      <c r="D60" s="901"/>
      <c r="E60" s="73">
        <v>365</v>
      </c>
      <c r="G60" s="119">
        <v>16</v>
      </c>
      <c r="H60" s="73">
        <v>5</v>
      </c>
      <c r="J60" s="126">
        <v>21</v>
      </c>
      <c r="K60" s="92">
        <f t="shared" ref="K60:K65" si="23">G60/J60*100</f>
        <v>76.19047619047619</v>
      </c>
      <c r="L60" s="92">
        <f t="shared" ref="L60:L65" si="24">H60/J60*100</f>
        <v>23.809523809523807</v>
      </c>
      <c r="M60" s="92">
        <f t="shared" ref="M60:M65" si="25">I60/J60*100</f>
        <v>0</v>
      </c>
      <c r="N60" s="121">
        <f t="shared" si="0"/>
        <v>100</v>
      </c>
      <c r="O60" s="91">
        <v>36.6</v>
      </c>
      <c r="P60" s="92">
        <v>4.5999999999999996</v>
      </c>
      <c r="Q60" s="92"/>
      <c r="R60" s="93">
        <f t="shared" si="1"/>
        <v>41.2</v>
      </c>
      <c r="S60" s="97">
        <v>5</v>
      </c>
      <c r="T60" s="839"/>
      <c r="U60" s="852"/>
      <c r="V60" s="82" t="s">
        <v>105</v>
      </c>
      <c r="W60" s="73" t="s">
        <v>74</v>
      </c>
      <c r="X60" s="73" t="s">
        <v>11</v>
      </c>
      <c r="Y60" s="83">
        <v>24</v>
      </c>
      <c r="Z60" s="73" t="s">
        <v>72</v>
      </c>
      <c r="AA60" s="73" t="s">
        <v>88</v>
      </c>
      <c r="AB60" s="73" t="s">
        <v>11</v>
      </c>
      <c r="AC60" s="73">
        <v>12.6</v>
      </c>
      <c r="AD60" s="82" t="s">
        <v>106</v>
      </c>
      <c r="AE60" s="73" t="s">
        <v>107</v>
      </c>
      <c r="AF60" s="73" t="s">
        <v>18</v>
      </c>
      <c r="AG60" s="83">
        <v>4.5999999999999996</v>
      </c>
      <c r="AL60" s="82"/>
      <c r="AO60" s="83"/>
      <c r="AP60" s="82"/>
      <c r="AS60" s="83"/>
      <c r="AW60" s="83"/>
      <c r="BA60" s="84"/>
    </row>
    <row r="61" spans="1:53" s="73" customFormat="1">
      <c r="A61" s="101">
        <v>1986</v>
      </c>
      <c r="B61" s="852"/>
      <c r="C61" s="901" t="s">
        <v>262</v>
      </c>
      <c r="D61" s="901"/>
      <c r="E61" s="73">
        <v>0</v>
      </c>
      <c r="G61" s="119">
        <v>16</v>
      </c>
      <c r="H61" s="73">
        <v>5</v>
      </c>
      <c r="J61" s="126">
        <v>21</v>
      </c>
      <c r="K61" s="92">
        <f t="shared" si="23"/>
        <v>76.19047619047619</v>
      </c>
      <c r="L61" s="92">
        <f t="shared" si="24"/>
        <v>23.809523809523807</v>
      </c>
      <c r="M61" s="92">
        <f t="shared" si="25"/>
        <v>0</v>
      </c>
      <c r="N61" s="121">
        <f t="shared" si="0"/>
        <v>100</v>
      </c>
      <c r="O61" s="91">
        <v>36.6</v>
      </c>
      <c r="P61" s="92">
        <v>4.5999999999999996</v>
      </c>
      <c r="Q61" s="92"/>
      <c r="R61" s="93">
        <f t="shared" si="1"/>
        <v>41.2</v>
      </c>
      <c r="S61" s="97">
        <v>5</v>
      </c>
      <c r="T61" s="839"/>
      <c r="U61" s="852"/>
      <c r="V61" s="82" t="s">
        <v>105</v>
      </c>
      <c r="W61" s="73" t="s">
        <v>74</v>
      </c>
      <c r="X61" s="73" t="s">
        <v>11</v>
      </c>
      <c r="Y61" s="83">
        <v>24</v>
      </c>
      <c r="Z61" s="73" t="s">
        <v>72</v>
      </c>
      <c r="AA61" s="73" t="s">
        <v>88</v>
      </c>
      <c r="AB61" s="73" t="s">
        <v>11</v>
      </c>
      <c r="AC61" s="73">
        <v>12.6</v>
      </c>
      <c r="AD61" s="82" t="s">
        <v>106</v>
      </c>
      <c r="AE61" s="73" t="s">
        <v>107</v>
      </c>
      <c r="AF61" s="73" t="s">
        <v>18</v>
      </c>
      <c r="AG61" s="83">
        <v>4.5999999999999996</v>
      </c>
      <c r="AL61" s="82"/>
      <c r="AO61" s="83"/>
      <c r="AP61" s="82"/>
      <c r="AS61" s="83"/>
      <c r="AW61" s="83"/>
      <c r="BA61" s="84"/>
    </row>
    <row r="62" spans="1:53" s="73" customFormat="1">
      <c r="A62" s="101">
        <v>1986</v>
      </c>
      <c r="B62" s="852"/>
      <c r="C62" s="901" t="s">
        <v>262</v>
      </c>
      <c r="D62" s="901"/>
      <c r="E62" s="73">
        <v>365</v>
      </c>
      <c r="G62" s="119">
        <v>16</v>
      </c>
      <c r="H62" s="73">
        <v>5</v>
      </c>
      <c r="J62" s="126">
        <v>21</v>
      </c>
      <c r="K62" s="92">
        <f t="shared" si="23"/>
        <v>76.19047619047619</v>
      </c>
      <c r="L62" s="92">
        <f t="shared" si="24"/>
        <v>23.809523809523807</v>
      </c>
      <c r="M62" s="92">
        <f t="shared" si="25"/>
        <v>0</v>
      </c>
      <c r="N62" s="121">
        <f t="shared" si="0"/>
        <v>100</v>
      </c>
      <c r="O62" s="91">
        <v>36.6</v>
      </c>
      <c r="P62" s="92">
        <v>4.5999999999999996</v>
      </c>
      <c r="Q62" s="92"/>
      <c r="R62" s="93">
        <f t="shared" si="1"/>
        <v>41.2</v>
      </c>
      <c r="S62" s="97">
        <v>5</v>
      </c>
      <c r="T62" s="839"/>
      <c r="U62" s="852"/>
      <c r="V62" s="82" t="s">
        <v>105</v>
      </c>
      <c r="W62" s="73" t="s">
        <v>74</v>
      </c>
      <c r="X62" s="73" t="s">
        <v>11</v>
      </c>
      <c r="Y62" s="83">
        <v>24</v>
      </c>
      <c r="Z62" s="73" t="s">
        <v>72</v>
      </c>
      <c r="AA62" s="73" t="s">
        <v>88</v>
      </c>
      <c r="AB62" s="73" t="s">
        <v>11</v>
      </c>
      <c r="AC62" s="73">
        <v>12.6</v>
      </c>
      <c r="AD62" s="82" t="s">
        <v>106</v>
      </c>
      <c r="AE62" s="73" t="s">
        <v>107</v>
      </c>
      <c r="AF62" s="73" t="s">
        <v>18</v>
      </c>
      <c r="AG62" s="83">
        <v>4.5999999999999996</v>
      </c>
      <c r="AL62" s="82"/>
      <c r="AO62" s="83"/>
      <c r="AP62" s="82"/>
      <c r="AS62" s="83"/>
      <c r="AW62" s="83"/>
      <c r="BA62" s="84"/>
    </row>
    <row r="63" spans="1:53" s="73" customFormat="1">
      <c r="A63" s="101">
        <v>1987</v>
      </c>
      <c r="B63" s="852"/>
      <c r="C63" s="901" t="s">
        <v>262</v>
      </c>
      <c r="D63" s="901"/>
      <c r="E63" s="73">
        <v>252</v>
      </c>
      <c r="G63" s="119">
        <v>16</v>
      </c>
      <c r="H63" s="73">
        <v>5</v>
      </c>
      <c r="J63" s="126">
        <v>21</v>
      </c>
      <c r="K63" s="92">
        <f t="shared" si="23"/>
        <v>76.19047619047619</v>
      </c>
      <c r="L63" s="92">
        <f t="shared" si="24"/>
        <v>23.809523809523807</v>
      </c>
      <c r="M63" s="92">
        <f t="shared" si="25"/>
        <v>0</v>
      </c>
      <c r="N63" s="121">
        <f t="shared" si="0"/>
        <v>100</v>
      </c>
      <c r="O63" s="91">
        <v>36.6</v>
      </c>
      <c r="P63" s="92">
        <v>4.5999999999999996</v>
      </c>
      <c r="Q63" s="92"/>
      <c r="R63" s="93">
        <f t="shared" si="1"/>
        <v>41.2</v>
      </c>
      <c r="S63" s="97">
        <v>5</v>
      </c>
      <c r="T63" s="839"/>
      <c r="U63" s="852"/>
      <c r="V63" s="82" t="s">
        <v>105</v>
      </c>
      <c r="W63" s="73" t="s">
        <v>74</v>
      </c>
      <c r="X63" s="73" t="s">
        <v>11</v>
      </c>
      <c r="Y63" s="83">
        <v>24</v>
      </c>
      <c r="Z63" s="73" t="s">
        <v>72</v>
      </c>
      <c r="AA63" s="73" t="s">
        <v>88</v>
      </c>
      <c r="AB63" s="73" t="s">
        <v>11</v>
      </c>
      <c r="AC63" s="73">
        <v>12.6</v>
      </c>
      <c r="AD63" s="82" t="s">
        <v>106</v>
      </c>
      <c r="AE63" s="73" t="s">
        <v>107</v>
      </c>
      <c r="AF63" s="73" t="s">
        <v>18</v>
      </c>
      <c r="AG63" s="83">
        <v>4.5999999999999996</v>
      </c>
      <c r="AL63" s="82"/>
      <c r="AO63" s="83"/>
      <c r="AP63" s="82"/>
      <c r="AS63" s="83"/>
      <c r="AW63" s="83"/>
      <c r="BA63" s="84"/>
    </row>
    <row r="64" spans="1:53" s="292" customFormat="1">
      <c r="A64" s="338">
        <v>1987</v>
      </c>
      <c r="B64" s="836">
        <v>32030</v>
      </c>
      <c r="C64" s="909" t="s">
        <v>263</v>
      </c>
      <c r="D64" s="909"/>
      <c r="E64" s="292">
        <v>113</v>
      </c>
      <c r="F64" s="292">
        <v>1</v>
      </c>
      <c r="G64" s="366">
        <v>18</v>
      </c>
      <c r="H64" s="292">
        <v>4</v>
      </c>
      <c r="J64" s="377">
        <v>22</v>
      </c>
      <c r="K64" s="336">
        <f t="shared" si="23"/>
        <v>81.818181818181827</v>
      </c>
      <c r="L64" s="336">
        <f t="shared" si="24"/>
        <v>18.181818181818183</v>
      </c>
      <c r="M64" s="336">
        <f t="shared" si="25"/>
        <v>0</v>
      </c>
      <c r="N64" s="368">
        <f t="shared" si="0"/>
        <v>100.00000000000001</v>
      </c>
      <c r="O64" s="335">
        <v>32.6</v>
      </c>
      <c r="P64" s="336">
        <f>5.1+2.4</f>
        <v>7.5</v>
      </c>
      <c r="Q64" s="336"/>
      <c r="R64" s="337">
        <f t="shared" si="1"/>
        <v>40.1</v>
      </c>
      <c r="S64" s="340">
        <v>5</v>
      </c>
      <c r="T64" s="838">
        <v>32028</v>
      </c>
      <c r="U64" s="836">
        <v>32030</v>
      </c>
      <c r="V64" s="299" t="s">
        <v>105</v>
      </c>
      <c r="W64" s="292" t="s">
        <v>74</v>
      </c>
      <c r="X64" s="292" t="s">
        <v>11</v>
      </c>
      <c r="Y64" s="300">
        <v>21.7</v>
      </c>
      <c r="Z64" s="292" t="s">
        <v>72</v>
      </c>
      <c r="AA64" s="292" t="s">
        <v>88</v>
      </c>
      <c r="AB64" s="292" t="s">
        <v>11</v>
      </c>
      <c r="AC64" s="292">
        <v>10.9</v>
      </c>
      <c r="AD64" s="299" t="s">
        <v>106</v>
      </c>
      <c r="AE64" s="292" t="s">
        <v>107</v>
      </c>
      <c r="AF64" s="292" t="s">
        <v>18</v>
      </c>
      <c r="AG64" s="300">
        <v>5.0999999999999996</v>
      </c>
      <c r="AH64" s="292" t="s">
        <v>266</v>
      </c>
      <c r="AI64" s="292" t="s">
        <v>17</v>
      </c>
      <c r="AJ64" s="292" t="s">
        <v>18</v>
      </c>
      <c r="AK64" s="292">
        <v>2.4</v>
      </c>
      <c r="AL64" s="299"/>
      <c r="AO64" s="300"/>
      <c r="AP64" s="299"/>
      <c r="AS64" s="300"/>
      <c r="AW64" s="300"/>
      <c r="BA64" s="301"/>
    </row>
    <row r="65" spans="1:53" s="292" customFormat="1">
      <c r="A65" s="338">
        <v>1988</v>
      </c>
      <c r="B65" s="836"/>
      <c r="C65" s="909" t="s">
        <v>263</v>
      </c>
      <c r="D65" s="909"/>
      <c r="E65" s="292">
        <v>154</v>
      </c>
      <c r="G65" s="366">
        <v>18</v>
      </c>
      <c r="H65" s="292">
        <v>4</v>
      </c>
      <c r="J65" s="377">
        <v>22</v>
      </c>
      <c r="K65" s="336">
        <f t="shared" si="23"/>
        <v>81.818181818181827</v>
      </c>
      <c r="L65" s="336">
        <f t="shared" si="24"/>
        <v>18.181818181818183</v>
      </c>
      <c r="M65" s="336">
        <f t="shared" si="25"/>
        <v>0</v>
      </c>
      <c r="N65" s="368">
        <f t="shared" si="0"/>
        <v>100.00000000000001</v>
      </c>
      <c r="O65" s="335">
        <v>32.6</v>
      </c>
      <c r="P65" s="336">
        <f>5.1+2.4</f>
        <v>7.5</v>
      </c>
      <c r="Q65" s="336"/>
      <c r="R65" s="337">
        <f t="shared" si="1"/>
        <v>40.1</v>
      </c>
      <c r="S65" s="340">
        <v>5</v>
      </c>
      <c r="T65" s="838"/>
      <c r="U65" s="836"/>
      <c r="V65" s="299" t="s">
        <v>105</v>
      </c>
      <c r="W65" s="292" t="s">
        <v>74</v>
      </c>
      <c r="X65" s="292" t="s">
        <v>11</v>
      </c>
      <c r="Y65" s="300">
        <v>21.7</v>
      </c>
      <c r="Z65" s="292" t="s">
        <v>72</v>
      </c>
      <c r="AA65" s="292" t="s">
        <v>88</v>
      </c>
      <c r="AB65" s="292" t="s">
        <v>11</v>
      </c>
      <c r="AC65" s="292">
        <v>10.9</v>
      </c>
      <c r="AD65" s="299" t="s">
        <v>106</v>
      </c>
      <c r="AE65" s="292" t="s">
        <v>107</v>
      </c>
      <c r="AF65" s="292" t="s">
        <v>18</v>
      </c>
      <c r="AG65" s="300">
        <v>5.0999999999999996</v>
      </c>
      <c r="AH65" s="292" t="s">
        <v>266</v>
      </c>
      <c r="AI65" s="292" t="s">
        <v>17</v>
      </c>
      <c r="AJ65" s="292" t="s">
        <v>18</v>
      </c>
      <c r="AK65" s="292">
        <v>2.4</v>
      </c>
      <c r="AL65" s="299"/>
      <c r="AO65" s="300"/>
      <c r="AP65" s="299"/>
      <c r="AS65" s="300"/>
      <c r="AW65" s="300"/>
      <c r="BA65" s="301"/>
    </row>
    <row r="66" spans="1:53" s="73" customFormat="1">
      <c r="A66" s="101">
        <v>1988</v>
      </c>
      <c r="B66" s="852">
        <v>32297</v>
      </c>
      <c r="C66" s="901" t="s">
        <v>264</v>
      </c>
      <c r="D66" s="901"/>
      <c r="E66" s="73">
        <v>212</v>
      </c>
      <c r="F66" s="73">
        <v>5</v>
      </c>
      <c r="G66" s="119">
        <v>21</v>
      </c>
      <c r="J66" s="126">
        <v>21</v>
      </c>
      <c r="K66" s="92">
        <f>G66/J66*100</f>
        <v>100</v>
      </c>
      <c r="L66" s="92">
        <f>H66/J66*100</f>
        <v>0</v>
      </c>
      <c r="M66" s="92">
        <f>I66/J66*100</f>
        <v>0</v>
      </c>
      <c r="N66" s="121">
        <f t="shared" si="0"/>
        <v>100</v>
      </c>
      <c r="O66" s="91">
        <v>38.299999999999997</v>
      </c>
      <c r="P66" s="92"/>
      <c r="Q66" s="92"/>
      <c r="R66" s="93">
        <f t="shared" si="1"/>
        <v>38.299999999999997</v>
      </c>
      <c r="S66" s="97">
        <v>5</v>
      </c>
      <c r="T66" s="839">
        <v>32273</v>
      </c>
      <c r="U66" s="852">
        <v>32297</v>
      </c>
      <c r="V66" s="82" t="s">
        <v>105</v>
      </c>
      <c r="W66" s="73" t="s">
        <v>74</v>
      </c>
      <c r="X66" s="73" t="s">
        <v>11</v>
      </c>
      <c r="Y66" s="83">
        <v>20</v>
      </c>
      <c r="Z66" s="73" t="s">
        <v>72</v>
      </c>
      <c r="AA66" s="73" t="s">
        <v>88</v>
      </c>
      <c r="AB66" s="73" t="s">
        <v>11</v>
      </c>
      <c r="AC66" s="73">
        <v>12.6</v>
      </c>
      <c r="AD66" s="82" t="s">
        <v>103</v>
      </c>
      <c r="AE66" s="73" t="s">
        <v>22</v>
      </c>
      <c r="AF66" s="73" t="s">
        <v>11</v>
      </c>
      <c r="AG66" s="83">
        <v>5.7</v>
      </c>
      <c r="AL66" s="82"/>
      <c r="AO66" s="83"/>
      <c r="AP66" s="82"/>
      <c r="AS66" s="83"/>
      <c r="AW66" s="83"/>
      <c r="BA66" s="84"/>
    </row>
    <row r="67" spans="1:53" s="73" customFormat="1">
      <c r="A67" s="73">
        <v>1989</v>
      </c>
      <c r="B67" s="852"/>
      <c r="C67" s="901" t="s">
        <v>264</v>
      </c>
      <c r="D67" s="901"/>
      <c r="E67" s="73">
        <v>0</v>
      </c>
      <c r="G67" s="119">
        <v>21</v>
      </c>
      <c r="J67" s="126">
        <v>21</v>
      </c>
      <c r="K67" s="92">
        <f>G67/J67*100</f>
        <v>100</v>
      </c>
      <c r="L67" s="92">
        <f>H67/J67*100</f>
        <v>0</v>
      </c>
      <c r="M67" s="92">
        <f>I67/J67*100</f>
        <v>0</v>
      </c>
      <c r="N67" s="121">
        <f t="shared" si="0"/>
        <v>100</v>
      </c>
      <c r="O67" s="91">
        <v>38.299999999999997</v>
      </c>
      <c r="P67" s="92"/>
      <c r="Q67" s="92"/>
      <c r="R67" s="93">
        <f t="shared" si="1"/>
        <v>38.299999999999997</v>
      </c>
      <c r="S67" s="97">
        <v>5</v>
      </c>
      <c r="T67" s="839"/>
      <c r="U67" s="852"/>
      <c r="V67" s="82" t="s">
        <v>105</v>
      </c>
      <c r="W67" s="73" t="s">
        <v>74</v>
      </c>
      <c r="X67" s="73" t="s">
        <v>11</v>
      </c>
      <c r="Y67" s="83">
        <v>20</v>
      </c>
      <c r="Z67" s="73" t="s">
        <v>72</v>
      </c>
      <c r="AA67" s="73" t="s">
        <v>88</v>
      </c>
      <c r="AB67" s="73" t="s">
        <v>11</v>
      </c>
      <c r="AC67" s="73">
        <v>12.6</v>
      </c>
      <c r="AD67" s="82" t="s">
        <v>103</v>
      </c>
      <c r="AE67" s="73" t="s">
        <v>22</v>
      </c>
      <c r="AF67" s="73" t="s">
        <v>11</v>
      </c>
      <c r="AG67" s="83">
        <v>5.7</v>
      </c>
      <c r="AL67" s="82"/>
      <c r="AO67" s="83"/>
      <c r="AP67" s="82"/>
      <c r="AS67" s="83"/>
      <c r="AW67" s="83"/>
      <c r="BA67" s="84"/>
    </row>
    <row r="68" spans="1:53" s="128" customFormat="1">
      <c r="A68" s="128">
        <v>1989</v>
      </c>
      <c r="B68" s="859"/>
      <c r="C68" s="932" t="s">
        <v>264</v>
      </c>
      <c r="D68" s="932"/>
      <c r="E68" s="128">
        <v>365</v>
      </c>
      <c r="G68" s="129">
        <v>21</v>
      </c>
      <c r="J68" s="130">
        <v>21</v>
      </c>
      <c r="K68" s="131">
        <f>G68/J68*100</f>
        <v>100</v>
      </c>
      <c r="L68" s="131">
        <f>H68/J68*100</f>
        <v>0</v>
      </c>
      <c r="M68" s="131">
        <f>I68/J68*100</f>
        <v>0</v>
      </c>
      <c r="N68" s="132">
        <f t="shared" si="0"/>
        <v>100</v>
      </c>
      <c r="O68" s="133">
        <v>38.299999999999997</v>
      </c>
      <c r="P68" s="131"/>
      <c r="Q68" s="131"/>
      <c r="R68" s="134">
        <f t="shared" si="1"/>
        <v>38.299999999999997</v>
      </c>
      <c r="S68" s="135">
        <v>5</v>
      </c>
      <c r="T68" s="861"/>
      <c r="U68" s="859"/>
      <c r="V68" s="136" t="s">
        <v>105</v>
      </c>
      <c r="W68" s="128" t="s">
        <v>74</v>
      </c>
      <c r="X68" s="128" t="s">
        <v>11</v>
      </c>
      <c r="Y68" s="137">
        <v>20</v>
      </c>
      <c r="Z68" s="128" t="s">
        <v>72</v>
      </c>
      <c r="AA68" s="128" t="s">
        <v>88</v>
      </c>
      <c r="AB68" s="128" t="s">
        <v>11</v>
      </c>
      <c r="AC68" s="128">
        <v>12.6</v>
      </c>
      <c r="AD68" s="136" t="s">
        <v>103</v>
      </c>
      <c r="AE68" s="128" t="s">
        <v>22</v>
      </c>
      <c r="AF68" s="128" t="s">
        <v>11</v>
      </c>
      <c r="AG68" s="137">
        <v>5.7</v>
      </c>
      <c r="AL68" s="136"/>
      <c r="AO68" s="137"/>
      <c r="AP68" s="136"/>
      <c r="AS68" s="137"/>
      <c r="AW68" s="137"/>
      <c r="BA68" s="138"/>
    </row>
    <row r="69" spans="1:53" s="73" customFormat="1">
      <c r="A69" s="73">
        <v>1990</v>
      </c>
      <c r="B69" s="852"/>
      <c r="C69" s="901" t="s">
        <v>264</v>
      </c>
      <c r="D69" s="901"/>
      <c r="E69" s="73">
        <v>351</v>
      </c>
      <c r="G69" s="119">
        <v>21</v>
      </c>
      <c r="J69" s="126">
        <v>21</v>
      </c>
      <c r="K69" s="92">
        <v>100</v>
      </c>
      <c r="L69" s="92">
        <v>0</v>
      </c>
      <c r="M69" s="92">
        <v>0</v>
      </c>
      <c r="N69" s="121">
        <f t="shared" si="0"/>
        <v>100</v>
      </c>
      <c r="O69" s="91">
        <v>38.299999999999997</v>
      </c>
      <c r="P69" s="92"/>
      <c r="Q69" s="92"/>
      <c r="R69" s="93">
        <f t="shared" si="1"/>
        <v>38.299999999999997</v>
      </c>
      <c r="S69" s="97">
        <v>5</v>
      </c>
      <c r="T69" s="839"/>
      <c r="U69" s="852"/>
      <c r="V69" s="82" t="s">
        <v>105</v>
      </c>
      <c r="W69" s="73" t="s">
        <v>74</v>
      </c>
      <c r="X69" s="73" t="s">
        <v>11</v>
      </c>
      <c r="Y69" s="83">
        <v>20</v>
      </c>
      <c r="Z69" s="73" t="s">
        <v>72</v>
      </c>
      <c r="AA69" s="73" t="s">
        <v>88</v>
      </c>
      <c r="AB69" s="73" t="s">
        <v>11</v>
      </c>
      <c r="AC69" s="73">
        <v>12.6</v>
      </c>
      <c r="AD69" s="82" t="s">
        <v>103</v>
      </c>
      <c r="AE69" s="73" t="s">
        <v>22</v>
      </c>
      <c r="AF69" s="73" t="s">
        <v>11</v>
      </c>
      <c r="AG69" s="83">
        <v>5.7</v>
      </c>
      <c r="AL69" s="82"/>
      <c r="AO69" s="83"/>
      <c r="AP69" s="82"/>
      <c r="AS69" s="83"/>
      <c r="AW69" s="83"/>
      <c r="BA69" s="84"/>
    </row>
    <row r="70" spans="1:53" s="292" customFormat="1">
      <c r="A70" s="292">
        <v>1990</v>
      </c>
      <c r="B70" s="836">
        <v>33225</v>
      </c>
      <c r="C70" s="909" t="s">
        <v>265</v>
      </c>
      <c r="D70" s="909"/>
      <c r="E70" s="292">
        <f>365-E69</f>
        <v>14</v>
      </c>
      <c r="F70" s="292">
        <v>5</v>
      </c>
      <c r="G70" s="366">
        <v>19</v>
      </c>
      <c r="J70" s="377">
        <v>19</v>
      </c>
      <c r="K70" s="336">
        <f>G70/J70*100</f>
        <v>100</v>
      </c>
      <c r="L70" s="336">
        <f>H70/J70*100</f>
        <v>0</v>
      </c>
      <c r="M70" s="336">
        <f>I70/J70*100</f>
        <v>0</v>
      </c>
      <c r="N70" s="368">
        <f t="shared" si="0"/>
        <v>100</v>
      </c>
      <c r="O70" s="335">
        <v>33.700000000000003</v>
      </c>
      <c r="P70" s="336"/>
      <c r="Q70" s="336"/>
      <c r="R70" s="337">
        <f t="shared" si="1"/>
        <v>33.700000000000003</v>
      </c>
      <c r="S70" s="340">
        <v>5</v>
      </c>
      <c r="T70" s="838">
        <v>33219</v>
      </c>
      <c r="U70" s="836">
        <v>33225</v>
      </c>
      <c r="V70" s="299" t="s">
        <v>105</v>
      </c>
      <c r="W70" s="292" t="s">
        <v>74</v>
      </c>
      <c r="X70" s="292" t="s">
        <v>11</v>
      </c>
      <c r="Y70" s="300">
        <v>17.100000000000001</v>
      </c>
      <c r="Z70" s="292" t="s">
        <v>72</v>
      </c>
      <c r="AA70" s="292" t="s">
        <v>88</v>
      </c>
      <c r="AB70" s="292" t="s">
        <v>11</v>
      </c>
      <c r="AC70" s="292">
        <v>16.600000000000001</v>
      </c>
      <c r="AD70" s="299"/>
      <c r="AG70" s="300"/>
      <c r="AL70" s="299"/>
      <c r="AO70" s="300"/>
      <c r="AP70" s="299"/>
      <c r="AS70" s="300"/>
      <c r="AW70" s="300"/>
      <c r="BA70" s="301"/>
    </row>
    <row r="71" spans="1:53" s="292" customFormat="1">
      <c r="A71" s="292">
        <v>1991</v>
      </c>
      <c r="B71" s="836"/>
      <c r="C71" s="909" t="s">
        <v>265</v>
      </c>
      <c r="D71" s="909"/>
      <c r="E71" s="292">
        <v>0</v>
      </c>
      <c r="G71" s="366">
        <v>19</v>
      </c>
      <c r="J71" s="377">
        <v>19</v>
      </c>
      <c r="K71" s="336">
        <f>G71/J71*100</f>
        <v>100</v>
      </c>
      <c r="L71" s="336">
        <f>H71/J71*100</f>
        <v>0</v>
      </c>
      <c r="M71" s="336">
        <f>I71/J71*100</f>
        <v>0</v>
      </c>
      <c r="N71" s="368">
        <f t="shared" si="0"/>
        <v>100</v>
      </c>
      <c r="O71" s="335">
        <v>33.700000000000003</v>
      </c>
      <c r="P71" s="336"/>
      <c r="Q71" s="336"/>
      <c r="R71" s="337">
        <f t="shared" si="1"/>
        <v>33.700000000000003</v>
      </c>
      <c r="S71" s="340">
        <v>5</v>
      </c>
      <c r="T71" s="838"/>
      <c r="U71" s="836"/>
      <c r="V71" s="299" t="s">
        <v>105</v>
      </c>
      <c r="W71" s="292" t="s">
        <v>74</v>
      </c>
      <c r="X71" s="292" t="s">
        <v>11</v>
      </c>
      <c r="Y71" s="300">
        <v>17.100000000000001</v>
      </c>
      <c r="Z71" s="292" t="s">
        <v>72</v>
      </c>
      <c r="AA71" s="292" t="s">
        <v>88</v>
      </c>
      <c r="AB71" s="292" t="s">
        <v>11</v>
      </c>
      <c r="AC71" s="292">
        <v>16.600000000000001</v>
      </c>
      <c r="AD71" s="299"/>
      <c r="AG71" s="300"/>
      <c r="AL71" s="299"/>
      <c r="AO71" s="300"/>
      <c r="AP71" s="299"/>
      <c r="AS71" s="300"/>
      <c r="AW71" s="300"/>
      <c r="BA71" s="301"/>
    </row>
    <row r="72" spans="1:53" s="292" customFormat="1">
      <c r="A72" s="292">
        <v>1991</v>
      </c>
      <c r="B72" s="836"/>
      <c r="C72" s="909" t="s">
        <v>265</v>
      </c>
      <c r="D72" s="909"/>
      <c r="E72" s="292">
        <f>365-E71</f>
        <v>365</v>
      </c>
      <c r="G72" s="366">
        <v>19</v>
      </c>
      <c r="J72" s="377">
        <v>19</v>
      </c>
      <c r="K72" s="336">
        <f>G72/J72*100</f>
        <v>100</v>
      </c>
      <c r="L72" s="336">
        <f>H72/J72*100</f>
        <v>0</v>
      </c>
      <c r="M72" s="336">
        <f>I72/J72*100</f>
        <v>0</v>
      </c>
      <c r="N72" s="368">
        <f t="shared" si="0"/>
        <v>100</v>
      </c>
      <c r="O72" s="335">
        <v>33.700000000000003</v>
      </c>
      <c r="P72" s="336"/>
      <c r="Q72" s="336"/>
      <c r="R72" s="337">
        <f t="shared" si="1"/>
        <v>33.700000000000003</v>
      </c>
      <c r="S72" s="340">
        <v>5</v>
      </c>
      <c r="T72" s="838"/>
      <c r="U72" s="836"/>
      <c r="V72" s="299" t="s">
        <v>105</v>
      </c>
      <c r="W72" s="292" t="s">
        <v>74</v>
      </c>
      <c r="X72" s="292" t="s">
        <v>11</v>
      </c>
      <c r="Y72" s="300">
        <v>17.100000000000001</v>
      </c>
      <c r="Z72" s="292" t="s">
        <v>72</v>
      </c>
      <c r="AA72" s="292" t="s">
        <v>88</v>
      </c>
      <c r="AB72" s="292" t="s">
        <v>11</v>
      </c>
      <c r="AC72" s="292">
        <v>16.600000000000001</v>
      </c>
      <c r="AD72" s="299"/>
      <c r="AG72" s="300"/>
      <c r="AL72" s="299"/>
      <c r="AO72" s="300"/>
      <c r="AP72" s="299"/>
      <c r="AS72" s="300"/>
      <c r="AW72" s="300"/>
      <c r="BA72" s="301"/>
    </row>
    <row r="73" spans="1:53" s="292" customFormat="1">
      <c r="A73" s="292">
        <v>1992</v>
      </c>
      <c r="B73" s="836"/>
      <c r="C73" s="909" t="s">
        <v>265</v>
      </c>
      <c r="D73" s="909"/>
      <c r="E73" s="292">
        <v>0</v>
      </c>
      <c r="G73" s="366">
        <v>19</v>
      </c>
      <c r="J73" s="377">
        <v>19</v>
      </c>
      <c r="K73" s="336">
        <f>G73/J73*100</f>
        <v>100</v>
      </c>
      <c r="L73" s="336">
        <f>H73/J73*100</f>
        <v>0</v>
      </c>
      <c r="M73" s="336">
        <f>I73/J73*100</f>
        <v>0</v>
      </c>
      <c r="N73" s="368">
        <f t="shared" ref="N73:N116" si="26">SUM(K73:M73)</f>
        <v>100</v>
      </c>
      <c r="O73" s="335">
        <v>33.700000000000003</v>
      </c>
      <c r="P73" s="336"/>
      <c r="Q73" s="336"/>
      <c r="R73" s="337">
        <f t="shared" ref="R73:R116" si="27">SUM(O73:Q73)</f>
        <v>33.700000000000003</v>
      </c>
      <c r="S73" s="340">
        <v>5</v>
      </c>
      <c r="T73" s="838"/>
      <c r="U73" s="836"/>
      <c r="V73" s="299" t="s">
        <v>105</v>
      </c>
      <c r="W73" s="292" t="s">
        <v>74</v>
      </c>
      <c r="X73" s="292" t="s">
        <v>11</v>
      </c>
      <c r="Y73" s="300">
        <v>17.100000000000001</v>
      </c>
      <c r="Z73" s="292" t="s">
        <v>72</v>
      </c>
      <c r="AA73" s="292" t="s">
        <v>88</v>
      </c>
      <c r="AB73" s="292" t="s">
        <v>11</v>
      </c>
      <c r="AC73" s="292">
        <v>16.600000000000001</v>
      </c>
      <c r="AD73" s="299"/>
      <c r="AG73" s="300"/>
      <c r="AL73" s="299"/>
      <c r="AO73" s="300"/>
      <c r="AP73" s="299"/>
      <c r="AS73" s="300"/>
      <c r="AW73" s="300"/>
      <c r="BA73" s="301"/>
    </row>
    <row r="74" spans="1:53" s="292" customFormat="1">
      <c r="A74" s="292">
        <v>1992</v>
      </c>
      <c r="B74" s="836"/>
      <c r="C74" s="909" t="s">
        <v>265</v>
      </c>
      <c r="D74" s="909"/>
      <c r="E74" s="292">
        <v>366</v>
      </c>
      <c r="G74" s="366">
        <v>19</v>
      </c>
      <c r="J74" s="377">
        <v>19</v>
      </c>
      <c r="K74" s="336">
        <f>G74/J74*100</f>
        <v>100</v>
      </c>
      <c r="L74" s="336">
        <f>H74/J74*100</f>
        <v>0</v>
      </c>
      <c r="M74" s="336">
        <f>I74/J74*100</f>
        <v>0</v>
      </c>
      <c r="N74" s="368">
        <f t="shared" si="26"/>
        <v>100</v>
      </c>
      <c r="O74" s="335">
        <v>33.700000000000003</v>
      </c>
      <c r="P74" s="336"/>
      <c r="Q74" s="336"/>
      <c r="R74" s="337">
        <f t="shared" si="27"/>
        <v>33.700000000000003</v>
      </c>
      <c r="S74" s="340">
        <v>5</v>
      </c>
      <c r="T74" s="838"/>
      <c r="U74" s="836"/>
      <c r="V74" s="299" t="s">
        <v>105</v>
      </c>
      <c r="W74" s="292" t="s">
        <v>74</v>
      </c>
      <c r="X74" s="292" t="s">
        <v>11</v>
      </c>
      <c r="Y74" s="300">
        <v>17.100000000000001</v>
      </c>
      <c r="Z74" s="292" t="s">
        <v>72</v>
      </c>
      <c r="AA74" s="292" t="s">
        <v>88</v>
      </c>
      <c r="AB74" s="292" t="s">
        <v>11</v>
      </c>
      <c r="AC74" s="292">
        <v>16.600000000000001</v>
      </c>
      <c r="AD74" s="299"/>
      <c r="AG74" s="300"/>
      <c r="AL74" s="299"/>
      <c r="AO74" s="300"/>
      <c r="AP74" s="299"/>
      <c r="AS74" s="300"/>
      <c r="AW74" s="300"/>
      <c r="BA74" s="301"/>
    </row>
    <row r="75" spans="1:53" s="292" customFormat="1">
      <c r="A75" s="292">
        <v>1993</v>
      </c>
      <c r="B75" s="836"/>
      <c r="C75" s="909" t="s">
        <v>265</v>
      </c>
      <c r="D75" s="909"/>
      <c r="E75" s="292">
        <v>24</v>
      </c>
      <c r="G75" s="366">
        <v>19</v>
      </c>
      <c r="J75" s="377">
        <v>19</v>
      </c>
      <c r="K75" s="336">
        <f t="shared" ref="K75:K100" si="28">G75/J75*100</f>
        <v>100</v>
      </c>
      <c r="L75" s="336">
        <f t="shared" ref="L75:L100" si="29">H75/J75*100</f>
        <v>0</v>
      </c>
      <c r="M75" s="336">
        <f t="shared" ref="M75:M100" si="30">I75/J75*100</f>
        <v>0</v>
      </c>
      <c r="N75" s="368">
        <f t="shared" si="26"/>
        <v>100</v>
      </c>
      <c r="O75" s="335">
        <v>33.700000000000003</v>
      </c>
      <c r="P75" s="336"/>
      <c r="Q75" s="336"/>
      <c r="R75" s="337">
        <f t="shared" si="27"/>
        <v>33.700000000000003</v>
      </c>
      <c r="S75" s="340">
        <v>5</v>
      </c>
      <c r="T75" s="838"/>
      <c r="U75" s="836"/>
      <c r="V75" s="299" t="s">
        <v>105</v>
      </c>
      <c r="W75" s="292" t="s">
        <v>74</v>
      </c>
      <c r="X75" s="292" t="s">
        <v>11</v>
      </c>
      <c r="Y75" s="300">
        <v>17.100000000000001</v>
      </c>
      <c r="Z75" s="292" t="s">
        <v>72</v>
      </c>
      <c r="AA75" s="292" t="s">
        <v>88</v>
      </c>
      <c r="AB75" s="292" t="s">
        <v>11</v>
      </c>
      <c r="AC75" s="292">
        <v>16.600000000000001</v>
      </c>
      <c r="AD75" s="299"/>
      <c r="AG75" s="300"/>
      <c r="AL75" s="299"/>
      <c r="AO75" s="300"/>
      <c r="AP75" s="299"/>
      <c r="AS75" s="300"/>
      <c r="AW75" s="300"/>
      <c r="BA75" s="301"/>
    </row>
    <row r="76" spans="1:53" s="73" customFormat="1">
      <c r="A76" s="73">
        <v>1993</v>
      </c>
      <c r="B76" s="852">
        <v>33994</v>
      </c>
      <c r="C76" s="917" t="s">
        <v>267</v>
      </c>
      <c r="D76" s="917"/>
      <c r="E76" s="73">
        <f>365-E75</f>
        <v>341</v>
      </c>
      <c r="F76" s="73">
        <v>2</v>
      </c>
      <c r="G76" s="119">
        <v>3</v>
      </c>
      <c r="H76" s="73">
        <v>6</v>
      </c>
      <c r="I76" s="73">
        <v>15</v>
      </c>
      <c r="J76" s="126">
        <v>24</v>
      </c>
      <c r="K76" s="92">
        <f t="shared" si="28"/>
        <v>12.5</v>
      </c>
      <c r="L76" s="92">
        <f t="shared" si="29"/>
        <v>25</v>
      </c>
      <c r="M76" s="92">
        <f t="shared" si="30"/>
        <v>62.5</v>
      </c>
      <c r="N76" s="121">
        <f t="shared" si="26"/>
        <v>100</v>
      </c>
      <c r="O76" s="91">
        <v>4</v>
      </c>
      <c r="P76" s="92">
        <v>7.4</v>
      </c>
      <c r="Q76" s="92">
        <v>39.4</v>
      </c>
      <c r="R76" s="93">
        <f t="shared" si="27"/>
        <v>50.8</v>
      </c>
      <c r="S76" s="97">
        <v>2</v>
      </c>
      <c r="T76" s="839"/>
      <c r="U76" s="852">
        <v>33994</v>
      </c>
      <c r="V76" s="82" t="s">
        <v>102</v>
      </c>
      <c r="W76" s="73" t="s">
        <v>20</v>
      </c>
      <c r="X76" s="73" t="s">
        <v>12</v>
      </c>
      <c r="Y76" s="83">
        <v>39.4</v>
      </c>
      <c r="Z76" s="73" t="s">
        <v>103</v>
      </c>
      <c r="AA76" s="73" t="s">
        <v>22</v>
      </c>
      <c r="AB76" s="73" t="s">
        <v>11</v>
      </c>
      <c r="AC76" s="73">
        <v>4</v>
      </c>
      <c r="AD76" s="82" t="s">
        <v>106</v>
      </c>
      <c r="AE76" s="73" t="s">
        <v>107</v>
      </c>
      <c r="AF76" s="73" t="s">
        <v>18</v>
      </c>
      <c r="AG76" s="83">
        <v>5.0999999999999996</v>
      </c>
      <c r="AH76" s="82" t="s">
        <v>266</v>
      </c>
      <c r="AI76" s="73" t="s">
        <v>17</v>
      </c>
      <c r="AJ76" s="73" t="s">
        <v>18</v>
      </c>
      <c r="AK76" s="83">
        <v>2.2999999999999998</v>
      </c>
      <c r="AL76" s="82"/>
      <c r="AO76" s="83"/>
      <c r="AP76" s="82"/>
      <c r="AS76" s="83"/>
      <c r="AW76" s="83"/>
      <c r="BA76" s="84"/>
    </row>
    <row r="77" spans="1:53" s="73" customFormat="1">
      <c r="A77" s="73">
        <v>1994</v>
      </c>
      <c r="B77" s="852"/>
      <c r="C77" s="917" t="s">
        <v>267</v>
      </c>
      <c r="D77" s="917"/>
      <c r="E77" s="73">
        <v>270</v>
      </c>
      <c r="G77" s="119">
        <v>3</v>
      </c>
      <c r="H77" s="73">
        <v>6</v>
      </c>
      <c r="I77" s="73">
        <v>15</v>
      </c>
      <c r="J77" s="126">
        <v>24</v>
      </c>
      <c r="K77" s="92">
        <f t="shared" si="28"/>
        <v>12.5</v>
      </c>
      <c r="L77" s="92">
        <f t="shared" si="29"/>
        <v>25</v>
      </c>
      <c r="M77" s="92">
        <f t="shared" si="30"/>
        <v>62.5</v>
      </c>
      <c r="N77" s="121">
        <f t="shared" si="26"/>
        <v>100</v>
      </c>
      <c r="O77" s="91">
        <v>4</v>
      </c>
      <c r="P77" s="92">
        <v>7.4</v>
      </c>
      <c r="Q77" s="92">
        <v>39.4</v>
      </c>
      <c r="R77" s="93">
        <f t="shared" si="27"/>
        <v>50.8</v>
      </c>
      <c r="S77" s="97">
        <v>2</v>
      </c>
      <c r="T77" s="839"/>
      <c r="U77" s="852"/>
      <c r="V77" s="82" t="s">
        <v>102</v>
      </c>
      <c r="W77" s="73" t="s">
        <v>20</v>
      </c>
      <c r="X77" s="73" t="s">
        <v>12</v>
      </c>
      <c r="Y77" s="83">
        <v>39.4</v>
      </c>
      <c r="Z77" s="73" t="s">
        <v>103</v>
      </c>
      <c r="AA77" s="73" t="s">
        <v>22</v>
      </c>
      <c r="AB77" s="73" t="s">
        <v>11</v>
      </c>
      <c r="AC77" s="73">
        <v>4</v>
      </c>
      <c r="AD77" s="82" t="s">
        <v>106</v>
      </c>
      <c r="AE77" s="73" t="s">
        <v>107</v>
      </c>
      <c r="AF77" s="73" t="s">
        <v>18</v>
      </c>
      <c r="AG77" s="83">
        <v>5.0999999999999996</v>
      </c>
      <c r="AH77" s="82" t="s">
        <v>266</v>
      </c>
      <c r="AI77" s="73" t="s">
        <v>17</v>
      </c>
      <c r="AJ77" s="73" t="s">
        <v>18</v>
      </c>
      <c r="AK77" s="83">
        <v>2.2999999999999998</v>
      </c>
      <c r="AL77" s="82"/>
      <c r="AO77" s="83"/>
      <c r="AP77" s="82"/>
      <c r="AS77" s="83"/>
      <c r="AW77" s="83"/>
      <c r="BA77" s="84"/>
    </row>
    <row r="78" spans="1:53" s="292" customFormat="1">
      <c r="A78" s="292">
        <v>1994</v>
      </c>
      <c r="B78" s="836">
        <v>34604</v>
      </c>
      <c r="C78" s="916" t="s">
        <v>268</v>
      </c>
      <c r="D78" s="916"/>
      <c r="E78" s="292">
        <f>365-E77</f>
        <v>95</v>
      </c>
      <c r="F78" s="292">
        <v>1</v>
      </c>
      <c r="G78" s="366">
        <v>3</v>
      </c>
      <c r="H78" s="292">
        <v>2</v>
      </c>
      <c r="I78" s="292">
        <v>15</v>
      </c>
      <c r="J78" s="377">
        <v>20</v>
      </c>
      <c r="K78" s="336">
        <f t="shared" si="28"/>
        <v>15</v>
      </c>
      <c r="L78" s="336">
        <f t="shared" si="29"/>
        <v>10</v>
      </c>
      <c r="M78" s="336">
        <f t="shared" si="30"/>
        <v>75</v>
      </c>
      <c r="N78" s="368">
        <f t="shared" si="26"/>
        <v>100</v>
      </c>
      <c r="O78" s="335">
        <v>4.5999999999999996</v>
      </c>
      <c r="P78" s="336">
        <v>2.9</v>
      </c>
      <c r="Q78" s="336">
        <v>35.4</v>
      </c>
      <c r="R78" s="337">
        <f t="shared" si="27"/>
        <v>42.9</v>
      </c>
      <c r="S78" s="340">
        <v>5</v>
      </c>
      <c r="T78" s="838">
        <v>34598</v>
      </c>
      <c r="U78" s="836">
        <v>34604</v>
      </c>
      <c r="V78" s="299" t="s">
        <v>102</v>
      </c>
      <c r="W78" s="292" t="s">
        <v>20</v>
      </c>
      <c r="X78" s="292" t="s">
        <v>12</v>
      </c>
      <c r="Y78" s="300">
        <v>35.4</v>
      </c>
      <c r="Z78" s="292" t="s">
        <v>103</v>
      </c>
      <c r="AA78" s="292" t="s">
        <v>22</v>
      </c>
      <c r="AB78" s="292" t="s">
        <v>11</v>
      </c>
      <c r="AC78" s="292">
        <v>4.5999999999999996</v>
      </c>
      <c r="AD78" s="299" t="s">
        <v>106</v>
      </c>
      <c r="AE78" s="292" t="s">
        <v>107</v>
      </c>
      <c r="AF78" s="292" t="s">
        <v>18</v>
      </c>
      <c r="AG78" s="300">
        <v>2.9</v>
      </c>
      <c r="AL78" s="299"/>
      <c r="AO78" s="300"/>
      <c r="AP78" s="299"/>
      <c r="AS78" s="300"/>
      <c r="AW78" s="300"/>
      <c r="BA78" s="301"/>
    </row>
    <row r="79" spans="1:53" s="292" customFormat="1">
      <c r="A79" s="292">
        <v>1995</v>
      </c>
      <c r="B79" s="836"/>
      <c r="C79" s="916" t="s">
        <v>268</v>
      </c>
      <c r="D79" s="916"/>
      <c r="E79" s="292">
        <v>0</v>
      </c>
      <c r="G79" s="366">
        <v>3</v>
      </c>
      <c r="H79" s="292">
        <v>2</v>
      </c>
      <c r="I79" s="292">
        <v>15</v>
      </c>
      <c r="J79" s="377">
        <v>20</v>
      </c>
      <c r="K79" s="336">
        <f t="shared" si="28"/>
        <v>15</v>
      </c>
      <c r="L79" s="336">
        <f t="shared" si="29"/>
        <v>10</v>
      </c>
      <c r="M79" s="336">
        <f t="shared" si="30"/>
        <v>75</v>
      </c>
      <c r="N79" s="368">
        <f t="shared" si="26"/>
        <v>100</v>
      </c>
      <c r="O79" s="335">
        <v>4.5999999999999996</v>
      </c>
      <c r="P79" s="336">
        <v>2.9</v>
      </c>
      <c r="Q79" s="336">
        <v>35.4</v>
      </c>
      <c r="R79" s="337">
        <f t="shared" si="27"/>
        <v>42.9</v>
      </c>
      <c r="S79" s="340">
        <v>5</v>
      </c>
      <c r="T79" s="838"/>
      <c r="U79" s="836"/>
      <c r="V79" s="299" t="s">
        <v>102</v>
      </c>
      <c r="W79" s="292" t="s">
        <v>20</v>
      </c>
      <c r="X79" s="292" t="s">
        <v>12</v>
      </c>
      <c r="Y79" s="300">
        <v>35.4</v>
      </c>
      <c r="Z79" s="292" t="s">
        <v>103</v>
      </c>
      <c r="AA79" s="292" t="s">
        <v>22</v>
      </c>
      <c r="AB79" s="292" t="s">
        <v>11</v>
      </c>
      <c r="AC79" s="292">
        <v>4.5999999999999996</v>
      </c>
      <c r="AD79" s="299" t="s">
        <v>106</v>
      </c>
      <c r="AE79" s="292" t="s">
        <v>107</v>
      </c>
      <c r="AF79" s="292" t="s">
        <v>18</v>
      </c>
      <c r="AG79" s="300">
        <v>2.9</v>
      </c>
      <c r="AL79" s="299"/>
      <c r="AO79" s="300"/>
      <c r="AP79" s="299"/>
      <c r="AS79" s="300"/>
      <c r="AW79" s="300"/>
      <c r="BA79" s="301"/>
    </row>
    <row r="80" spans="1:53" s="292" customFormat="1">
      <c r="A80" s="292">
        <v>1995</v>
      </c>
      <c r="B80" s="836"/>
      <c r="C80" s="916" t="s">
        <v>268</v>
      </c>
      <c r="D80" s="916"/>
      <c r="E80" s="292">
        <f>365-E79</f>
        <v>365</v>
      </c>
      <c r="G80" s="366">
        <v>3</v>
      </c>
      <c r="H80" s="292">
        <v>2</v>
      </c>
      <c r="I80" s="292">
        <v>15</v>
      </c>
      <c r="J80" s="377">
        <v>20</v>
      </c>
      <c r="K80" s="336">
        <f t="shared" si="28"/>
        <v>15</v>
      </c>
      <c r="L80" s="336">
        <f t="shared" si="29"/>
        <v>10</v>
      </c>
      <c r="M80" s="336">
        <f t="shared" si="30"/>
        <v>75</v>
      </c>
      <c r="N80" s="368">
        <f t="shared" si="26"/>
        <v>100</v>
      </c>
      <c r="O80" s="335">
        <v>4.5999999999999996</v>
      </c>
      <c r="P80" s="336">
        <v>2.9</v>
      </c>
      <c r="Q80" s="336">
        <v>35.4</v>
      </c>
      <c r="R80" s="337">
        <f t="shared" si="27"/>
        <v>42.9</v>
      </c>
      <c r="S80" s="340">
        <v>5</v>
      </c>
      <c r="T80" s="838"/>
      <c r="U80" s="836"/>
      <c r="V80" s="299" t="s">
        <v>102</v>
      </c>
      <c r="W80" s="292" t="s">
        <v>20</v>
      </c>
      <c r="X80" s="292" t="s">
        <v>12</v>
      </c>
      <c r="Y80" s="300">
        <v>35.4</v>
      </c>
      <c r="Z80" s="292" t="s">
        <v>103</v>
      </c>
      <c r="AA80" s="292" t="s">
        <v>22</v>
      </c>
      <c r="AB80" s="292" t="s">
        <v>11</v>
      </c>
      <c r="AC80" s="292">
        <v>4.5999999999999996</v>
      </c>
      <c r="AD80" s="299" t="s">
        <v>106</v>
      </c>
      <c r="AE80" s="292" t="s">
        <v>107</v>
      </c>
      <c r="AF80" s="292" t="s">
        <v>18</v>
      </c>
      <c r="AG80" s="300">
        <v>2.9</v>
      </c>
      <c r="AL80" s="299"/>
      <c r="AO80" s="300"/>
      <c r="AP80" s="299"/>
      <c r="AS80" s="300"/>
      <c r="AW80" s="300"/>
      <c r="BA80" s="301"/>
    </row>
    <row r="81" spans="1:53" s="292" customFormat="1">
      <c r="A81" s="292">
        <v>1996</v>
      </c>
      <c r="B81" s="836"/>
      <c r="C81" s="916" t="s">
        <v>268</v>
      </c>
      <c r="D81" s="916"/>
      <c r="E81" s="292">
        <v>364</v>
      </c>
      <c r="G81" s="366">
        <v>3</v>
      </c>
      <c r="H81" s="292">
        <v>2</v>
      </c>
      <c r="I81" s="292">
        <v>15</v>
      </c>
      <c r="J81" s="377">
        <v>20</v>
      </c>
      <c r="K81" s="336">
        <f t="shared" si="28"/>
        <v>15</v>
      </c>
      <c r="L81" s="336">
        <f t="shared" si="29"/>
        <v>10</v>
      </c>
      <c r="M81" s="336">
        <f t="shared" si="30"/>
        <v>75</v>
      </c>
      <c r="N81" s="368">
        <f t="shared" si="26"/>
        <v>100</v>
      </c>
      <c r="O81" s="335">
        <v>4.5999999999999996</v>
      </c>
      <c r="P81" s="336">
        <v>2.9</v>
      </c>
      <c r="Q81" s="336">
        <v>35.4</v>
      </c>
      <c r="R81" s="337">
        <f t="shared" si="27"/>
        <v>42.9</v>
      </c>
      <c r="S81" s="340">
        <v>5</v>
      </c>
      <c r="T81" s="838"/>
      <c r="U81" s="836"/>
      <c r="V81" s="299" t="s">
        <v>102</v>
      </c>
      <c r="W81" s="292" t="s">
        <v>20</v>
      </c>
      <c r="X81" s="292" t="s">
        <v>12</v>
      </c>
      <c r="Y81" s="300">
        <v>35.4</v>
      </c>
      <c r="Z81" s="292" t="s">
        <v>103</v>
      </c>
      <c r="AA81" s="292" t="s">
        <v>22</v>
      </c>
      <c r="AB81" s="292" t="s">
        <v>11</v>
      </c>
      <c r="AC81" s="292">
        <v>4.5999999999999996</v>
      </c>
      <c r="AD81" s="299" t="s">
        <v>106</v>
      </c>
      <c r="AE81" s="292" t="s">
        <v>107</v>
      </c>
      <c r="AF81" s="292" t="s">
        <v>18</v>
      </c>
      <c r="AG81" s="300">
        <v>2.9</v>
      </c>
      <c r="AL81" s="299"/>
      <c r="AO81" s="300"/>
      <c r="AP81" s="299"/>
      <c r="AS81" s="300"/>
      <c r="AW81" s="300"/>
      <c r="BA81" s="301"/>
    </row>
    <row r="82" spans="1:53" s="73" customFormat="1">
      <c r="A82" s="73">
        <v>1996</v>
      </c>
      <c r="B82" s="852">
        <v>35429</v>
      </c>
      <c r="C82" s="917" t="s">
        <v>269</v>
      </c>
      <c r="D82" s="917"/>
      <c r="E82" s="73">
        <v>2</v>
      </c>
      <c r="F82" s="73">
        <v>4</v>
      </c>
      <c r="G82" s="119">
        <v>4</v>
      </c>
      <c r="I82" s="73">
        <v>15</v>
      </c>
      <c r="J82" s="126">
        <v>19</v>
      </c>
      <c r="K82" s="92">
        <f t="shared" si="28"/>
        <v>21.052631578947366</v>
      </c>
      <c r="L82" s="92">
        <f t="shared" si="29"/>
        <v>0</v>
      </c>
      <c r="M82" s="92">
        <f t="shared" si="30"/>
        <v>78.94736842105263</v>
      </c>
      <c r="N82" s="121">
        <f t="shared" si="26"/>
        <v>100</v>
      </c>
      <c r="O82" s="91">
        <v>4.5999999999999996</v>
      </c>
      <c r="P82" s="92"/>
      <c r="Q82" s="92">
        <v>35.4</v>
      </c>
      <c r="R82" s="93">
        <f t="shared" si="27"/>
        <v>40</v>
      </c>
      <c r="S82" s="97">
        <v>5</v>
      </c>
      <c r="T82" s="839"/>
      <c r="U82" s="852">
        <v>35429</v>
      </c>
      <c r="V82" s="82" t="s">
        <v>102</v>
      </c>
      <c r="W82" s="73" t="s">
        <v>20</v>
      </c>
      <c r="X82" s="73" t="s">
        <v>12</v>
      </c>
      <c r="Y82" s="83">
        <v>35.4</v>
      </c>
      <c r="Z82" s="73" t="s">
        <v>103</v>
      </c>
      <c r="AA82" s="73" t="s">
        <v>22</v>
      </c>
      <c r="AB82" s="73" t="s">
        <v>11</v>
      </c>
      <c r="AC82" s="73">
        <v>4.5999999999999996</v>
      </c>
      <c r="AD82" s="82"/>
      <c r="AG82" s="83"/>
      <c r="AL82" s="82"/>
      <c r="AO82" s="83"/>
      <c r="AP82" s="82"/>
      <c r="AS82" s="83"/>
      <c r="AW82" s="83"/>
      <c r="BA82" s="84"/>
    </row>
    <row r="83" spans="1:53" s="73" customFormat="1">
      <c r="A83" s="73">
        <v>1997</v>
      </c>
      <c r="B83" s="852"/>
      <c r="C83" s="917" t="s">
        <v>269</v>
      </c>
      <c r="D83" s="917"/>
      <c r="E83" s="73">
        <v>292</v>
      </c>
      <c r="G83" s="119">
        <v>4</v>
      </c>
      <c r="I83" s="73">
        <v>15</v>
      </c>
      <c r="J83" s="126">
        <v>19</v>
      </c>
      <c r="K83" s="92">
        <f t="shared" si="28"/>
        <v>21.052631578947366</v>
      </c>
      <c r="L83" s="92">
        <f t="shared" si="29"/>
        <v>0</v>
      </c>
      <c r="M83" s="92">
        <f t="shared" si="30"/>
        <v>78.94736842105263</v>
      </c>
      <c r="N83" s="121">
        <f t="shared" si="26"/>
        <v>100</v>
      </c>
      <c r="O83" s="91">
        <v>4.5999999999999996</v>
      </c>
      <c r="P83" s="92"/>
      <c r="Q83" s="92">
        <v>35.4</v>
      </c>
      <c r="R83" s="93">
        <f t="shared" si="27"/>
        <v>40</v>
      </c>
      <c r="S83" s="97">
        <v>5</v>
      </c>
      <c r="T83" s="839"/>
      <c r="U83" s="852"/>
      <c r="V83" s="82" t="s">
        <v>102</v>
      </c>
      <c r="W83" s="73" t="s">
        <v>20</v>
      </c>
      <c r="X83" s="73" t="s">
        <v>12</v>
      </c>
      <c r="Y83" s="83">
        <v>35.4</v>
      </c>
      <c r="Z83" s="73" t="s">
        <v>103</v>
      </c>
      <c r="AA83" s="73" t="s">
        <v>22</v>
      </c>
      <c r="AB83" s="73" t="s">
        <v>11</v>
      </c>
      <c r="AC83" s="73">
        <v>4.5999999999999996</v>
      </c>
      <c r="AD83" s="82"/>
      <c r="AG83" s="83"/>
      <c r="AL83" s="82"/>
      <c r="AO83" s="83"/>
      <c r="AP83" s="82"/>
      <c r="AS83" s="83"/>
      <c r="AW83" s="83"/>
      <c r="BA83" s="84"/>
    </row>
    <row r="84" spans="1:53" s="73" customFormat="1">
      <c r="A84" s="73">
        <v>1997</v>
      </c>
      <c r="B84" s="860">
        <v>35723</v>
      </c>
      <c r="C84" s="917" t="s">
        <v>269</v>
      </c>
      <c r="D84" s="917"/>
      <c r="E84" s="73">
        <f>365-E83</f>
        <v>73</v>
      </c>
      <c r="F84" s="139">
        <v>0</v>
      </c>
      <c r="G84" s="119">
        <v>4</v>
      </c>
      <c r="I84" s="73">
        <v>16</v>
      </c>
      <c r="J84" s="126">
        <v>20</v>
      </c>
      <c r="K84" s="92">
        <f t="shared" si="28"/>
        <v>20</v>
      </c>
      <c r="L84" s="92">
        <f t="shared" si="29"/>
        <v>0</v>
      </c>
      <c r="M84" s="92">
        <f t="shared" si="30"/>
        <v>80</v>
      </c>
      <c r="N84" s="121">
        <f t="shared" si="26"/>
        <v>100</v>
      </c>
      <c r="O84" s="91">
        <v>4.5999999999999996</v>
      </c>
      <c r="P84" s="92"/>
      <c r="Q84" s="92">
        <v>35.4</v>
      </c>
      <c r="R84" s="93">
        <f t="shared" si="27"/>
        <v>40</v>
      </c>
      <c r="S84" s="97">
        <v>5</v>
      </c>
      <c r="T84" s="839"/>
      <c r="U84" s="852"/>
      <c r="V84" s="82" t="s">
        <v>102</v>
      </c>
      <c r="W84" s="73" t="s">
        <v>20</v>
      </c>
      <c r="X84" s="73" t="s">
        <v>12</v>
      </c>
      <c r="Y84" s="83">
        <v>35.4</v>
      </c>
      <c r="Z84" s="73" t="s">
        <v>103</v>
      </c>
      <c r="AA84" s="73" t="s">
        <v>22</v>
      </c>
      <c r="AB84" s="73" t="s">
        <v>11</v>
      </c>
      <c r="AC84" s="73">
        <v>4.5999999999999996</v>
      </c>
      <c r="AD84" s="82"/>
      <c r="AG84" s="83"/>
      <c r="AL84" s="82"/>
      <c r="AO84" s="83"/>
      <c r="AP84" s="82"/>
      <c r="AS84" s="83"/>
      <c r="AW84" s="83"/>
      <c r="BA84" s="84"/>
    </row>
    <row r="85" spans="1:53" s="73" customFormat="1">
      <c r="A85" s="73">
        <v>1998</v>
      </c>
      <c r="B85" s="852"/>
      <c r="C85" s="917" t="s">
        <v>269</v>
      </c>
      <c r="D85" s="917"/>
      <c r="E85" s="73">
        <v>81</v>
      </c>
      <c r="G85" s="119">
        <v>4</v>
      </c>
      <c r="I85" s="73">
        <v>16</v>
      </c>
      <c r="J85" s="126">
        <v>20</v>
      </c>
      <c r="K85" s="92">
        <f t="shared" si="28"/>
        <v>20</v>
      </c>
      <c r="L85" s="92">
        <f t="shared" si="29"/>
        <v>0</v>
      </c>
      <c r="M85" s="92">
        <f t="shared" si="30"/>
        <v>80</v>
      </c>
      <c r="N85" s="121">
        <f t="shared" si="26"/>
        <v>100</v>
      </c>
      <c r="O85" s="91">
        <v>4.5999999999999996</v>
      </c>
      <c r="P85" s="92"/>
      <c r="Q85" s="92">
        <v>35.4</v>
      </c>
      <c r="R85" s="93">
        <f t="shared" si="27"/>
        <v>40</v>
      </c>
      <c r="S85" s="97">
        <v>5</v>
      </c>
      <c r="T85" s="839"/>
      <c r="U85" s="852"/>
      <c r="V85" s="82" t="s">
        <v>102</v>
      </c>
      <c r="W85" s="73" t="s">
        <v>20</v>
      </c>
      <c r="X85" s="73" t="s">
        <v>12</v>
      </c>
      <c r="Y85" s="83">
        <v>35.4</v>
      </c>
      <c r="Z85" s="73" t="s">
        <v>103</v>
      </c>
      <c r="AA85" s="73" t="s">
        <v>22</v>
      </c>
      <c r="AB85" s="73" t="s">
        <v>11</v>
      </c>
      <c r="AC85" s="73">
        <v>4.5999999999999996</v>
      </c>
      <c r="AD85" s="82"/>
      <c r="AG85" s="83"/>
      <c r="AL85" s="82"/>
      <c r="AO85" s="83"/>
      <c r="AP85" s="82"/>
      <c r="AS85" s="83"/>
      <c r="AW85" s="83"/>
      <c r="BA85" s="84"/>
    </row>
    <row r="86" spans="1:53" s="292" customFormat="1">
      <c r="A86" s="292">
        <v>1998</v>
      </c>
      <c r="B86" s="836">
        <v>35877</v>
      </c>
      <c r="C86" s="916" t="s">
        <v>270</v>
      </c>
      <c r="D86" s="916"/>
      <c r="E86" s="292">
        <f>365-E85</f>
        <v>284</v>
      </c>
      <c r="F86" s="292">
        <v>1</v>
      </c>
      <c r="G86" s="366">
        <v>4</v>
      </c>
      <c r="I86" s="292">
        <v>16</v>
      </c>
      <c r="J86" s="377">
        <v>20</v>
      </c>
      <c r="K86" s="336">
        <f t="shared" si="28"/>
        <v>20</v>
      </c>
      <c r="L86" s="336">
        <f t="shared" si="29"/>
        <v>0</v>
      </c>
      <c r="M86" s="336">
        <f t="shared" si="30"/>
        <v>80</v>
      </c>
      <c r="N86" s="368">
        <f t="shared" si="26"/>
        <v>100</v>
      </c>
      <c r="O86" s="335">
        <v>4</v>
      </c>
      <c r="P86" s="336"/>
      <c r="Q86" s="336">
        <v>36</v>
      </c>
      <c r="R86" s="337">
        <f t="shared" si="27"/>
        <v>40</v>
      </c>
      <c r="S86" s="340">
        <v>5</v>
      </c>
      <c r="T86" s="838">
        <v>35865</v>
      </c>
      <c r="U86" s="836">
        <v>35877</v>
      </c>
      <c r="V86" s="299" t="s">
        <v>102</v>
      </c>
      <c r="W86" s="292" t="s">
        <v>20</v>
      </c>
      <c r="X86" s="292" t="s">
        <v>12</v>
      </c>
      <c r="Y86" s="300">
        <v>36</v>
      </c>
      <c r="Z86" s="292" t="s">
        <v>103</v>
      </c>
      <c r="AA86" s="292" t="s">
        <v>22</v>
      </c>
      <c r="AB86" s="292" t="s">
        <v>11</v>
      </c>
      <c r="AC86" s="292">
        <v>4</v>
      </c>
      <c r="AD86" s="299"/>
      <c r="AG86" s="300"/>
      <c r="AL86" s="299"/>
      <c r="AO86" s="300"/>
      <c r="AP86" s="299"/>
      <c r="AS86" s="300"/>
      <c r="AW86" s="300"/>
      <c r="BA86" s="301"/>
    </row>
    <row r="87" spans="1:53" s="292" customFormat="1">
      <c r="A87" s="292">
        <v>1999</v>
      </c>
      <c r="B87" s="836"/>
      <c r="C87" s="916" t="s">
        <v>270</v>
      </c>
      <c r="D87" s="916"/>
      <c r="E87" s="292">
        <v>0</v>
      </c>
      <c r="G87" s="366">
        <v>4</v>
      </c>
      <c r="I87" s="292">
        <v>16</v>
      </c>
      <c r="J87" s="377">
        <v>20</v>
      </c>
      <c r="K87" s="336">
        <f t="shared" si="28"/>
        <v>20</v>
      </c>
      <c r="L87" s="336">
        <f t="shared" si="29"/>
        <v>0</v>
      </c>
      <c r="M87" s="336">
        <f t="shared" si="30"/>
        <v>80</v>
      </c>
      <c r="N87" s="368">
        <f t="shared" si="26"/>
        <v>100</v>
      </c>
      <c r="O87" s="335">
        <v>4</v>
      </c>
      <c r="P87" s="336"/>
      <c r="Q87" s="336">
        <v>36</v>
      </c>
      <c r="R87" s="337">
        <f t="shared" si="27"/>
        <v>40</v>
      </c>
      <c r="S87" s="340">
        <v>5</v>
      </c>
      <c r="T87" s="838"/>
      <c r="U87" s="836"/>
      <c r="V87" s="299" t="s">
        <v>102</v>
      </c>
      <c r="W87" s="292" t="s">
        <v>20</v>
      </c>
      <c r="X87" s="292" t="s">
        <v>12</v>
      </c>
      <c r="Y87" s="300">
        <v>36</v>
      </c>
      <c r="Z87" s="292" t="s">
        <v>103</v>
      </c>
      <c r="AA87" s="292" t="s">
        <v>22</v>
      </c>
      <c r="AB87" s="292" t="s">
        <v>11</v>
      </c>
      <c r="AC87" s="292">
        <v>4</v>
      </c>
      <c r="AD87" s="299"/>
      <c r="AG87" s="300"/>
      <c r="AL87" s="299"/>
      <c r="AO87" s="300"/>
      <c r="AP87" s="299"/>
      <c r="AS87" s="300"/>
      <c r="AW87" s="300"/>
      <c r="BA87" s="301"/>
    </row>
    <row r="88" spans="1:53" s="292" customFormat="1">
      <c r="A88" s="292">
        <v>1999</v>
      </c>
      <c r="B88" s="836"/>
      <c r="C88" s="916" t="s">
        <v>270</v>
      </c>
      <c r="D88" s="916"/>
      <c r="E88" s="292">
        <f>365-E87</f>
        <v>365</v>
      </c>
      <c r="G88" s="366">
        <v>4</v>
      </c>
      <c r="I88" s="292">
        <v>16</v>
      </c>
      <c r="J88" s="377">
        <v>20</v>
      </c>
      <c r="K88" s="336">
        <f t="shared" si="28"/>
        <v>20</v>
      </c>
      <c r="L88" s="336">
        <f t="shared" si="29"/>
        <v>0</v>
      </c>
      <c r="M88" s="336">
        <f t="shared" si="30"/>
        <v>80</v>
      </c>
      <c r="N88" s="368">
        <f t="shared" si="26"/>
        <v>100</v>
      </c>
      <c r="O88" s="335">
        <v>4</v>
      </c>
      <c r="P88" s="336"/>
      <c r="Q88" s="336">
        <v>36</v>
      </c>
      <c r="R88" s="337">
        <f t="shared" si="27"/>
        <v>40</v>
      </c>
      <c r="S88" s="340">
        <v>5</v>
      </c>
      <c r="T88" s="838"/>
      <c r="U88" s="836"/>
      <c r="V88" s="299" t="s">
        <v>102</v>
      </c>
      <c r="W88" s="292" t="s">
        <v>20</v>
      </c>
      <c r="X88" s="292" t="s">
        <v>12</v>
      </c>
      <c r="Y88" s="300">
        <v>36</v>
      </c>
      <c r="Z88" s="292" t="s">
        <v>103</v>
      </c>
      <c r="AA88" s="292" t="s">
        <v>22</v>
      </c>
      <c r="AB88" s="292" t="s">
        <v>11</v>
      </c>
      <c r="AC88" s="292">
        <v>4</v>
      </c>
      <c r="AD88" s="299"/>
      <c r="AG88" s="300"/>
      <c r="AL88" s="299"/>
      <c r="AO88" s="300"/>
      <c r="AP88" s="299"/>
      <c r="AS88" s="300"/>
      <c r="AW88" s="300"/>
      <c r="BA88" s="301"/>
    </row>
    <row r="89" spans="1:53" s="292" customFormat="1">
      <c r="A89" s="292">
        <v>2000</v>
      </c>
      <c r="B89" s="836"/>
      <c r="C89" s="916" t="s">
        <v>270</v>
      </c>
      <c r="D89" s="916"/>
      <c r="E89" s="292">
        <v>0</v>
      </c>
      <c r="G89" s="366">
        <v>4</v>
      </c>
      <c r="I89" s="292">
        <v>16</v>
      </c>
      <c r="J89" s="377">
        <v>20</v>
      </c>
      <c r="K89" s="336">
        <f t="shared" si="28"/>
        <v>20</v>
      </c>
      <c r="L89" s="336">
        <f t="shared" si="29"/>
        <v>0</v>
      </c>
      <c r="M89" s="336">
        <f t="shared" si="30"/>
        <v>80</v>
      </c>
      <c r="N89" s="368">
        <f t="shared" si="26"/>
        <v>100</v>
      </c>
      <c r="O89" s="335">
        <v>4</v>
      </c>
      <c r="P89" s="336"/>
      <c r="Q89" s="336">
        <v>36</v>
      </c>
      <c r="R89" s="337">
        <f t="shared" si="27"/>
        <v>40</v>
      </c>
      <c r="S89" s="340">
        <v>5</v>
      </c>
      <c r="T89" s="838"/>
      <c r="U89" s="836"/>
      <c r="V89" s="299" t="s">
        <v>102</v>
      </c>
      <c r="W89" s="292" t="s">
        <v>20</v>
      </c>
      <c r="X89" s="292" t="s">
        <v>12</v>
      </c>
      <c r="Y89" s="300">
        <v>36</v>
      </c>
      <c r="Z89" s="292" t="s">
        <v>103</v>
      </c>
      <c r="AA89" s="292" t="s">
        <v>22</v>
      </c>
      <c r="AB89" s="292" t="s">
        <v>11</v>
      </c>
      <c r="AC89" s="292">
        <v>4</v>
      </c>
      <c r="AD89" s="299"/>
      <c r="AG89" s="300"/>
      <c r="AL89" s="299"/>
      <c r="AO89" s="300"/>
      <c r="AP89" s="299"/>
      <c r="AS89" s="300"/>
      <c r="AW89" s="300"/>
      <c r="BA89" s="301"/>
    </row>
    <row r="90" spans="1:53" s="292" customFormat="1">
      <c r="A90" s="292">
        <v>2000</v>
      </c>
      <c r="B90" s="836"/>
      <c r="C90" s="916" t="s">
        <v>270</v>
      </c>
      <c r="D90" s="916"/>
      <c r="E90" s="292">
        <v>366</v>
      </c>
      <c r="G90" s="366">
        <v>4</v>
      </c>
      <c r="I90" s="292">
        <v>16</v>
      </c>
      <c r="J90" s="377">
        <v>20</v>
      </c>
      <c r="K90" s="336">
        <f t="shared" si="28"/>
        <v>20</v>
      </c>
      <c r="L90" s="336">
        <f t="shared" si="29"/>
        <v>0</v>
      </c>
      <c r="M90" s="336">
        <f t="shared" si="30"/>
        <v>80</v>
      </c>
      <c r="N90" s="368">
        <f t="shared" si="26"/>
        <v>100</v>
      </c>
      <c r="O90" s="335">
        <v>4</v>
      </c>
      <c r="P90" s="336"/>
      <c r="Q90" s="336">
        <v>36</v>
      </c>
      <c r="R90" s="337">
        <f t="shared" si="27"/>
        <v>40</v>
      </c>
      <c r="S90" s="340">
        <v>5</v>
      </c>
      <c r="T90" s="838"/>
      <c r="U90" s="836"/>
      <c r="V90" s="299" t="s">
        <v>102</v>
      </c>
      <c r="W90" s="292" t="s">
        <v>20</v>
      </c>
      <c r="X90" s="292" t="s">
        <v>12</v>
      </c>
      <c r="Y90" s="300">
        <v>36</v>
      </c>
      <c r="Z90" s="292" t="s">
        <v>103</v>
      </c>
      <c r="AA90" s="292" t="s">
        <v>22</v>
      </c>
      <c r="AB90" s="292" t="s">
        <v>11</v>
      </c>
      <c r="AC90" s="292">
        <v>4</v>
      </c>
      <c r="AD90" s="299"/>
      <c r="AG90" s="300"/>
      <c r="AL90" s="299"/>
      <c r="AO90" s="300"/>
      <c r="AP90" s="299"/>
      <c r="AS90" s="300"/>
      <c r="AW90" s="300"/>
      <c r="BA90" s="301"/>
    </row>
    <row r="91" spans="1:53" s="292" customFormat="1">
      <c r="A91" s="292">
        <v>2001</v>
      </c>
      <c r="B91" s="836"/>
      <c r="C91" s="916" t="s">
        <v>270</v>
      </c>
      <c r="D91" s="916"/>
      <c r="E91" s="292">
        <v>330</v>
      </c>
      <c r="G91" s="366">
        <v>4</v>
      </c>
      <c r="I91" s="292">
        <v>16</v>
      </c>
      <c r="J91" s="377">
        <v>20</v>
      </c>
      <c r="K91" s="336">
        <f t="shared" si="28"/>
        <v>20</v>
      </c>
      <c r="L91" s="336">
        <f t="shared" si="29"/>
        <v>0</v>
      </c>
      <c r="M91" s="336">
        <f t="shared" si="30"/>
        <v>80</v>
      </c>
      <c r="N91" s="368">
        <f t="shared" si="26"/>
        <v>100</v>
      </c>
      <c r="O91" s="335">
        <v>4</v>
      </c>
      <c r="P91" s="336"/>
      <c r="Q91" s="336">
        <v>36</v>
      </c>
      <c r="R91" s="337">
        <f t="shared" si="27"/>
        <v>40</v>
      </c>
      <c r="S91" s="340">
        <v>5</v>
      </c>
      <c r="T91" s="838"/>
      <c r="U91" s="836"/>
      <c r="V91" s="299" t="s">
        <v>102</v>
      </c>
      <c r="W91" s="292" t="s">
        <v>20</v>
      </c>
      <c r="X91" s="292" t="s">
        <v>12</v>
      </c>
      <c r="Y91" s="300">
        <v>36</v>
      </c>
      <c r="Z91" s="292" t="s">
        <v>103</v>
      </c>
      <c r="AA91" s="292" t="s">
        <v>22</v>
      </c>
      <c r="AB91" s="292" t="s">
        <v>11</v>
      </c>
      <c r="AC91" s="292">
        <v>4</v>
      </c>
      <c r="AD91" s="299"/>
      <c r="AG91" s="300"/>
      <c r="AL91" s="299"/>
      <c r="AO91" s="300"/>
      <c r="AP91" s="299"/>
      <c r="AS91" s="300"/>
      <c r="AW91" s="300"/>
      <c r="BA91" s="301"/>
    </row>
    <row r="92" spans="1:53" s="73" customFormat="1">
      <c r="A92" s="73">
        <v>2001</v>
      </c>
      <c r="B92" s="852">
        <v>37222</v>
      </c>
      <c r="C92" s="917" t="s">
        <v>271</v>
      </c>
      <c r="D92" s="917"/>
      <c r="E92" s="73">
        <f>365-E91</f>
        <v>35</v>
      </c>
      <c r="F92" s="73">
        <v>1</v>
      </c>
      <c r="G92" s="119">
        <v>18</v>
      </c>
      <c r="J92" s="126">
        <v>18</v>
      </c>
      <c r="K92" s="92">
        <f t="shared" si="28"/>
        <v>100</v>
      </c>
      <c r="L92" s="92">
        <f t="shared" si="29"/>
        <v>0</v>
      </c>
      <c r="M92" s="92">
        <f t="shared" si="30"/>
        <v>0</v>
      </c>
      <c r="N92" s="121">
        <f t="shared" si="26"/>
        <v>100</v>
      </c>
      <c r="O92" s="91">
        <v>41.1</v>
      </c>
      <c r="P92" s="92"/>
      <c r="Q92" s="92"/>
      <c r="R92" s="93">
        <f t="shared" si="27"/>
        <v>41.1</v>
      </c>
      <c r="S92" s="97">
        <v>5</v>
      </c>
      <c r="T92" s="839">
        <v>37215</v>
      </c>
      <c r="U92" s="852">
        <v>37222</v>
      </c>
      <c r="V92" s="82" t="s">
        <v>72</v>
      </c>
      <c r="W92" s="73" t="s">
        <v>88</v>
      </c>
      <c r="X92" s="73" t="s">
        <v>11</v>
      </c>
      <c r="Y92" s="83">
        <v>32</v>
      </c>
      <c r="Z92" s="73" t="s">
        <v>105</v>
      </c>
      <c r="AA92" s="73" t="s">
        <v>74</v>
      </c>
      <c r="AB92" s="73" t="s">
        <v>11</v>
      </c>
      <c r="AC92" s="73">
        <v>9.1</v>
      </c>
      <c r="AD92" s="82"/>
      <c r="AG92" s="83"/>
      <c r="AL92" s="82"/>
      <c r="AO92" s="83"/>
      <c r="AP92" s="82"/>
      <c r="AS92" s="83"/>
      <c r="AW92" s="83"/>
      <c r="BA92" s="84"/>
    </row>
    <row r="93" spans="1:53" s="73" customFormat="1">
      <c r="A93" s="73">
        <v>2002</v>
      </c>
      <c r="B93" s="852"/>
      <c r="C93" s="917" t="s">
        <v>271</v>
      </c>
      <c r="D93" s="917"/>
      <c r="E93" s="73">
        <v>0</v>
      </c>
      <c r="G93" s="119">
        <v>18</v>
      </c>
      <c r="J93" s="126">
        <v>18</v>
      </c>
      <c r="K93" s="92">
        <f t="shared" si="28"/>
        <v>100</v>
      </c>
      <c r="L93" s="92">
        <f t="shared" si="29"/>
        <v>0</v>
      </c>
      <c r="M93" s="92">
        <f t="shared" si="30"/>
        <v>0</v>
      </c>
      <c r="N93" s="121">
        <f t="shared" si="26"/>
        <v>100</v>
      </c>
      <c r="O93" s="91">
        <v>41.1</v>
      </c>
      <c r="P93" s="92"/>
      <c r="Q93" s="92"/>
      <c r="R93" s="93">
        <f t="shared" si="27"/>
        <v>41.1</v>
      </c>
      <c r="S93" s="97">
        <v>5</v>
      </c>
      <c r="T93" s="839"/>
      <c r="U93" s="852"/>
      <c r="V93" s="82" t="s">
        <v>72</v>
      </c>
      <c r="W93" s="73" t="s">
        <v>88</v>
      </c>
      <c r="X93" s="73" t="s">
        <v>11</v>
      </c>
      <c r="Y93" s="83">
        <v>32</v>
      </c>
      <c r="Z93" s="73" t="s">
        <v>105</v>
      </c>
      <c r="AA93" s="73" t="s">
        <v>74</v>
      </c>
      <c r="AB93" s="73" t="s">
        <v>11</v>
      </c>
      <c r="AC93" s="73">
        <v>9.1</v>
      </c>
      <c r="AD93" s="82"/>
      <c r="AG93" s="83"/>
      <c r="AL93" s="82"/>
      <c r="AO93" s="83"/>
      <c r="AP93" s="82"/>
      <c r="AS93" s="83"/>
      <c r="AW93" s="83"/>
      <c r="BA93" s="84"/>
    </row>
    <row r="94" spans="1:53" s="73" customFormat="1">
      <c r="A94" s="73">
        <v>2002</v>
      </c>
      <c r="B94" s="852"/>
      <c r="C94" s="917" t="s">
        <v>271</v>
      </c>
      <c r="D94" s="917"/>
      <c r="E94" s="73">
        <f>365-E93</f>
        <v>365</v>
      </c>
      <c r="G94" s="119">
        <v>18</v>
      </c>
      <c r="J94" s="126">
        <v>18</v>
      </c>
      <c r="K94" s="92">
        <f t="shared" si="28"/>
        <v>100</v>
      </c>
      <c r="L94" s="92">
        <f t="shared" si="29"/>
        <v>0</v>
      </c>
      <c r="M94" s="92">
        <f t="shared" si="30"/>
        <v>0</v>
      </c>
      <c r="N94" s="121">
        <f t="shared" si="26"/>
        <v>100</v>
      </c>
      <c r="O94" s="91">
        <v>41.1</v>
      </c>
      <c r="P94" s="92"/>
      <c r="Q94" s="92"/>
      <c r="R94" s="93">
        <f t="shared" si="27"/>
        <v>41.1</v>
      </c>
      <c r="S94" s="97">
        <v>5</v>
      </c>
      <c r="T94" s="839"/>
      <c r="U94" s="852"/>
      <c r="V94" s="82" t="s">
        <v>72</v>
      </c>
      <c r="W94" s="73" t="s">
        <v>88</v>
      </c>
      <c r="X94" s="73" t="s">
        <v>11</v>
      </c>
      <c r="Y94" s="83">
        <v>32</v>
      </c>
      <c r="Z94" s="73" t="s">
        <v>105</v>
      </c>
      <c r="AA94" s="73" t="s">
        <v>74</v>
      </c>
      <c r="AB94" s="73" t="s">
        <v>11</v>
      </c>
      <c r="AC94" s="73">
        <v>9.1</v>
      </c>
      <c r="AD94" s="82"/>
      <c r="AG94" s="83"/>
      <c r="AL94" s="82"/>
      <c r="AO94" s="83"/>
      <c r="AP94" s="82"/>
      <c r="AS94" s="83"/>
      <c r="AW94" s="83"/>
      <c r="BA94" s="84"/>
    </row>
    <row r="95" spans="1:53" s="73" customFormat="1">
      <c r="A95" s="73">
        <v>2003</v>
      </c>
      <c r="B95" s="852"/>
      <c r="C95" s="917" t="s">
        <v>271</v>
      </c>
      <c r="D95" s="917"/>
      <c r="E95" s="73">
        <v>0</v>
      </c>
      <c r="G95" s="119">
        <v>18</v>
      </c>
      <c r="J95" s="126">
        <v>18</v>
      </c>
      <c r="K95" s="92">
        <f t="shared" si="28"/>
        <v>100</v>
      </c>
      <c r="L95" s="92">
        <f t="shared" si="29"/>
        <v>0</v>
      </c>
      <c r="M95" s="92">
        <f t="shared" si="30"/>
        <v>0</v>
      </c>
      <c r="N95" s="121">
        <f t="shared" si="26"/>
        <v>100</v>
      </c>
      <c r="O95" s="91">
        <v>41.1</v>
      </c>
      <c r="P95" s="92"/>
      <c r="Q95" s="92"/>
      <c r="R95" s="93">
        <f t="shared" si="27"/>
        <v>41.1</v>
      </c>
      <c r="S95" s="97">
        <v>5</v>
      </c>
      <c r="T95" s="839"/>
      <c r="U95" s="852"/>
      <c r="V95" s="82" t="s">
        <v>72</v>
      </c>
      <c r="W95" s="73" t="s">
        <v>88</v>
      </c>
      <c r="X95" s="73" t="s">
        <v>11</v>
      </c>
      <c r="Y95" s="83">
        <v>32</v>
      </c>
      <c r="Z95" s="73" t="s">
        <v>105</v>
      </c>
      <c r="AA95" s="73" t="s">
        <v>74</v>
      </c>
      <c r="AB95" s="73" t="s">
        <v>11</v>
      </c>
      <c r="AC95" s="73">
        <v>9.1</v>
      </c>
      <c r="AD95" s="82"/>
      <c r="AG95" s="83"/>
      <c r="AL95" s="82"/>
      <c r="AO95" s="83"/>
      <c r="AP95" s="82"/>
      <c r="AS95" s="83"/>
      <c r="AW95" s="83"/>
      <c r="BA95" s="84"/>
    </row>
    <row r="96" spans="1:53" s="73" customFormat="1">
      <c r="A96" s="73">
        <v>2003</v>
      </c>
      <c r="B96" s="852"/>
      <c r="C96" s="917" t="s">
        <v>271</v>
      </c>
      <c r="D96" s="917"/>
      <c r="E96" s="73">
        <f>365-E95</f>
        <v>365</v>
      </c>
      <c r="G96" s="119">
        <v>18</v>
      </c>
      <c r="J96" s="126">
        <v>18</v>
      </c>
      <c r="K96" s="92">
        <f t="shared" si="28"/>
        <v>100</v>
      </c>
      <c r="L96" s="92">
        <f t="shared" si="29"/>
        <v>0</v>
      </c>
      <c r="M96" s="92">
        <f t="shared" si="30"/>
        <v>0</v>
      </c>
      <c r="N96" s="121">
        <f t="shared" si="26"/>
        <v>100</v>
      </c>
      <c r="O96" s="91">
        <v>41.1</v>
      </c>
      <c r="P96" s="92"/>
      <c r="Q96" s="92"/>
      <c r="R96" s="93">
        <f t="shared" si="27"/>
        <v>41.1</v>
      </c>
      <c r="S96" s="97">
        <v>5</v>
      </c>
      <c r="T96" s="839"/>
      <c r="U96" s="852"/>
      <c r="V96" s="82" t="s">
        <v>72</v>
      </c>
      <c r="W96" s="73" t="s">
        <v>88</v>
      </c>
      <c r="X96" s="73" t="s">
        <v>11</v>
      </c>
      <c r="Y96" s="83">
        <v>32</v>
      </c>
      <c r="Z96" s="73" t="s">
        <v>105</v>
      </c>
      <c r="AA96" s="73" t="s">
        <v>74</v>
      </c>
      <c r="AB96" s="73" t="s">
        <v>11</v>
      </c>
      <c r="AC96" s="73">
        <v>9.1</v>
      </c>
      <c r="AD96" s="82"/>
      <c r="AG96" s="83"/>
      <c r="AL96" s="82"/>
      <c r="AO96" s="83"/>
      <c r="AP96" s="82"/>
      <c r="AS96" s="83"/>
      <c r="AW96" s="83"/>
      <c r="BA96" s="84"/>
    </row>
    <row r="97" spans="1:53" s="73" customFormat="1">
      <c r="A97" s="73">
        <v>2004</v>
      </c>
      <c r="B97" s="852"/>
      <c r="C97" s="917" t="s">
        <v>271</v>
      </c>
      <c r="D97" s="917"/>
      <c r="E97" s="73">
        <v>214</v>
      </c>
      <c r="G97" s="119">
        <v>18</v>
      </c>
      <c r="J97" s="126">
        <v>18</v>
      </c>
      <c r="K97" s="92">
        <f t="shared" si="28"/>
        <v>100</v>
      </c>
      <c r="L97" s="92">
        <f t="shared" si="29"/>
        <v>0</v>
      </c>
      <c r="M97" s="92">
        <f t="shared" si="30"/>
        <v>0</v>
      </c>
      <c r="N97" s="121">
        <f t="shared" si="26"/>
        <v>100</v>
      </c>
      <c r="O97" s="91">
        <v>41.1</v>
      </c>
      <c r="P97" s="92"/>
      <c r="Q97" s="92"/>
      <c r="R97" s="93">
        <f t="shared" si="27"/>
        <v>41.1</v>
      </c>
      <c r="S97" s="97">
        <v>5</v>
      </c>
      <c r="T97" s="839"/>
      <c r="U97" s="852"/>
      <c r="V97" s="82" t="s">
        <v>72</v>
      </c>
      <c r="W97" s="73" t="s">
        <v>88</v>
      </c>
      <c r="X97" s="73" t="s">
        <v>11</v>
      </c>
      <c r="Y97" s="83">
        <v>32</v>
      </c>
      <c r="Z97" s="73" t="s">
        <v>105</v>
      </c>
      <c r="AA97" s="73" t="s">
        <v>74</v>
      </c>
      <c r="AB97" s="73" t="s">
        <v>11</v>
      </c>
      <c r="AC97" s="73">
        <v>9.1</v>
      </c>
      <c r="AD97" s="82"/>
      <c r="AG97" s="83"/>
      <c r="AL97" s="82"/>
      <c r="AO97" s="83"/>
      <c r="AP97" s="82"/>
      <c r="AS97" s="83"/>
      <c r="AW97" s="83"/>
      <c r="BA97" s="84"/>
    </row>
    <row r="98" spans="1:53" s="73" customFormat="1">
      <c r="A98" s="73">
        <v>2004</v>
      </c>
      <c r="B98" s="860">
        <v>38201</v>
      </c>
      <c r="C98" s="917" t="s">
        <v>271</v>
      </c>
      <c r="D98" s="917"/>
      <c r="E98" s="73">
        <v>152</v>
      </c>
      <c r="F98" s="139">
        <v>0</v>
      </c>
      <c r="G98" s="119">
        <v>19</v>
      </c>
      <c r="J98" s="126">
        <v>19</v>
      </c>
      <c r="K98" s="92">
        <f t="shared" si="28"/>
        <v>100</v>
      </c>
      <c r="L98" s="92">
        <f t="shared" si="29"/>
        <v>0</v>
      </c>
      <c r="M98" s="92">
        <f t="shared" si="30"/>
        <v>0</v>
      </c>
      <c r="N98" s="121">
        <f t="shared" si="26"/>
        <v>100</v>
      </c>
      <c r="O98" s="91">
        <v>41.1</v>
      </c>
      <c r="P98" s="92"/>
      <c r="Q98" s="92"/>
      <c r="R98" s="93">
        <f t="shared" si="27"/>
        <v>41.1</v>
      </c>
      <c r="S98" s="97">
        <v>5</v>
      </c>
      <c r="T98" s="839"/>
      <c r="U98" s="852"/>
      <c r="V98" s="82" t="s">
        <v>72</v>
      </c>
      <c r="W98" s="73" t="s">
        <v>88</v>
      </c>
      <c r="X98" s="73" t="s">
        <v>11</v>
      </c>
      <c r="Y98" s="83">
        <v>32</v>
      </c>
      <c r="Z98" s="73" t="s">
        <v>105</v>
      </c>
      <c r="AA98" s="73" t="s">
        <v>74</v>
      </c>
      <c r="AB98" s="73" t="s">
        <v>11</v>
      </c>
      <c r="AC98" s="73">
        <v>9.1</v>
      </c>
      <c r="AD98" s="82"/>
      <c r="AG98" s="83"/>
      <c r="AL98" s="82"/>
      <c r="AO98" s="83"/>
      <c r="AP98" s="82"/>
      <c r="AS98" s="83"/>
      <c r="AW98" s="83"/>
      <c r="BA98" s="84"/>
    </row>
    <row r="99" spans="1:53" s="73" customFormat="1">
      <c r="A99" s="73">
        <v>2005</v>
      </c>
      <c r="B99" s="852"/>
      <c r="C99" s="917" t="s">
        <v>271</v>
      </c>
      <c r="D99" s="917"/>
      <c r="E99" s="73">
        <v>48</v>
      </c>
      <c r="G99" s="119">
        <v>19</v>
      </c>
      <c r="J99" s="126">
        <v>19</v>
      </c>
      <c r="K99" s="92">
        <f t="shared" si="28"/>
        <v>100</v>
      </c>
      <c r="L99" s="92">
        <f t="shared" si="29"/>
        <v>0</v>
      </c>
      <c r="M99" s="92">
        <f t="shared" si="30"/>
        <v>0</v>
      </c>
      <c r="N99" s="121">
        <f t="shared" si="26"/>
        <v>100</v>
      </c>
      <c r="O99" s="91">
        <v>41.1</v>
      </c>
      <c r="P99" s="92"/>
      <c r="Q99" s="92"/>
      <c r="R99" s="93">
        <f t="shared" si="27"/>
        <v>41.1</v>
      </c>
      <c r="S99" s="97">
        <v>5</v>
      </c>
      <c r="T99" s="839"/>
      <c r="U99" s="852"/>
      <c r="V99" s="82" t="s">
        <v>72</v>
      </c>
      <c r="W99" s="73" t="s">
        <v>88</v>
      </c>
      <c r="X99" s="73" t="s">
        <v>11</v>
      </c>
      <c r="Y99" s="83">
        <v>32</v>
      </c>
      <c r="Z99" s="73" t="s">
        <v>105</v>
      </c>
      <c r="AA99" s="73" t="s">
        <v>74</v>
      </c>
      <c r="AB99" s="73" t="s">
        <v>11</v>
      </c>
      <c r="AC99" s="73">
        <v>9.1</v>
      </c>
      <c r="AD99" s="82"/>
      <c r="AG99" s="83"/>
      <c r="AL99" s="82"/>
      <c r="AO99" s="83"/>
      <c r="AP99" s="82"/>
      <c r="AS99" s="83"/>
      <c r="AW99" s="83"/>
      <c r="BA99" s="84"/>
    </row>
    <row r="100" spans="1:53" s="292" customFormat="1">
      <c r="A100" s="292">
        <v>2005</v>
      </c>
      <c r="B100" s="836">
        <v>38401</v>
      </c>
      <c r="C100" s="916" t="s">
        <v>272</v>
      </c>
      <c r="D100" s="916"/>
      <c r="E100" s="292">
        <f>365-E99</f>
        <v>317</v>
      </c>
      <c r="F100" s="292">
        <v>1</v>
      </c>
      <c r="G100" s="366">
        <v>19</v>
      </c>
      <c r="J100" s="377">
        <v>19</v>
      </c>
      <c r="K100" s="336">
        <f t="shared" si="28"/>
        <v>100</v>
      </c>
      <c r="L100" s="336">
        <f t="shared" si="29"/>
        <v>0</v>
      </c>
      <c r="M100" s="336">
        <f t="shared" si="30"/>
        <v>0</v>
      </c>
      <c r="N100" s="368">
        <f t="shared" si="26"/>
        <v>100</v>
      </c>
      <c r="O100" s="335">
        <v>40</v>
      </c>
      <c r="P100" s="336"/>
      <c r="Q100" s="336"/>
      <c r="R100" s="337">
        <f t="shared" si="27"/>
        <v>40</v>
      </c>
      <c r="S100" s="340">
        <v>5</v>
      </c>
      <c r="T100" s="838">
        <v>38391</v>
      </c>
      <c r="U100" s="836">
        <v>38401</v>
      </c>
      <c r="V100" s="299" t="s">
        <v>72</v>
      </c>
      <c r="W100" s="292" t="s">
        <v>88</v>
      </c>
      <c r="X100" s="292" t="s">
        <v>11</v>
      </c>
      <c r="Y100" s="300">
        <v>29.7</v>
      </c>
      <c r="Z100" s="292" t="s">
        <v>105</v>
      </c>
      <c r="AA100" s="292" t="s">
        <v>74</v>
      </c>
      <c r="AB100" s="292" t="s">
        <v>11</v>
      </c>
      <c r="AC100" s="292">
        <v>10.3</v>
      </c>
      <c r="AD100" s="299"/>
      <c r="AG100" s="300"/>
      <c r="AL100" s="299"/>
      <c r="AO100" s="300"/>
      <c r="AP100" s="299"/>
      <c r="AS100" s="300"/>
      <c r="AW100" s="300"/>
      <c r="BA100" s="301"/>
    </row>
    <row r="101" spans="1:53" s="292" customFormat="1">
      <c r="A101" s="292">
        <v>2006</v>
      </c>
      <c r="B101" s="836"/>
      <c r="C101" s="916" t="s">
        <v>272</v>
      </c>
      <c r="D101" s="916"/>
      <c r="E101" s="292">
        <v>0</v>
      </c>
      <c r="G101" s="366">
        <v>19</v>
      </c>
      <c r="J101" s="377">
        <v>19</v>
      </c>
      <c r="K101" s="336">
        <f t="shared" ref="K101:K110" si="31">G101/J101*100</f>
        <v>100</v>
      </c>
      <c r="L101" s="336">
        <f t="shared" ref="L101:L110" si="32">H101/J101*100</f>
        <v>0</v>
      </c>
      <c r="M101" s="336">
        <f t="shared" ref="M101:M110" si="33">I101/J101*100</f>
        <v>0</v>
      </c>
      <c r="N101" s="368">
        <f t="shared" si="26"/>
        <v>100</v>
      </c>
      <c r="O101" s="335">
        <v>40</v>
      </c>
      <c r="P101" s="336"/>
      <c r="Q101" s="336"/>
      <c r="R101" s="337">
        <f t="shared" si="27"/>
        <v>40</v>
      </c>
      <c r="S101" s="340">
        <v>5</v>
      </c>
      <c r="T101" s="838"/>
      <c r="U101" s="836"/>
      <c r="V101" s="299" t="s">
        <v>72</v>
      </c>
      <c r="W101" s="292" t="s">
        <v>88</v>
      </c>
      <c r="X101" s="292" t="s">
        <v>11</v>
      </c>
      <c r="Y101" s="300">
        <v>29.7</v>
      </c>
      <c r="Z101" s="292" t="s">
        <v>105</v>
      </c>
      <c r="AA101" s="292" t="s">
        <v>74</v>
      </c>
      <c r="AB101" s="292" t="s">
        <v>11</v>
      </c>
      <c r="AC101" s="292">
        <v>10.3</v>
      </c>
      <c r="AD101" s="299"/>
      <c r="AG101" s="300"/>
      <c r="AL101" s="299"/>
      <c r="AO101" s="300"/>
      <c r="AP101" s="299"/>
      <c r="AS101" s="300"/>
      <c r="AW101" s="300"/>
      <c r="BA101" s="301"/>
    </row>
    <row r="102" spans="1:53" s="292" customFormat="1">
      <c r="A102" s="292">
        <v>2006</v>
      </c>
      <c r="B102" s="836"/>
      <c r="C102" s="916" t="s">
        <v>272</v>
      </c>
      <c r="D102" s="916"/>
      <c r="E102" s="292">
        <v>365</v>
      </c>
      <c r="G102" s="366">
        <v>19</v>
      </c>
      <c r="J102" s="377">
        <v>19</v>
      </c>
      <c r="K102" s="336">
        <f t="shared" si="31"/>
        <v>100</v>
      </c>
      <c r="L102" s="336">
        <f t="shared" si="32"/>
        <v>0</v>
      </c>
      <c r="M102" s="336">
        <f t="shared" si="33"/>
        <v>0</v>
      </c>
      <c r="N102" s="368">
        <f t="shared" si="26"/>
        <v>100</v>
      </c>
      <c r="O102" s="335">
        <v>40</v>
      </c>
      <c r="P102" s="336"/>
      <c r="Q102" s="336"/>
      <c r="R102" s="337">
        <f t="shared" si="27"/>
        <v>40</v>
      </c>
      <c r="S102" s="340">
        <v>5</v>
      </c>
      <c r="T102" s="838"/>
      <c r="U102" s="836"/>
      <c r="V102" s="299" t="s">
        <v>72</v>
      </c>
      <c r="W102" s="292" t="s">
        <v>88</v>
      </c>
      <c r="X102" s="292" t="s">
        <v>11</v>
      </c>
      <c r="Y102" s="300">
        <v>29.7</v>
      </c>
      <c r="Z102" s="292" t="s">
        <v>105</v>
      </c>
      <c r="AA102" s="292" t="s">
        <v>74</v>
      </c>
      <c r="AB102" s="292" t="s">
        <v>11</v>
      </c>
      <c r="AC102" s="292">
        <v>10.3</v>
      </c>
      <c r="AD102" s="299"/>
      <c r="AG102" s="300"/>
      <c r="AL102" s="299"/>
      <c r="AO102" s="300"/>
      <c r="AP102" s="299"/>
      <c r="AS102" s="300"/>
      <c r="AW102" s="300"/>
      <c r="BA102" s="301"/>
    </row>
    <row r="103" spans="1:53" s="292" customFormat="1">
      <c r="A103" s="292">
        <v>2007</v>
      </c>
      <c r="B103" s="836"/>
      <c r="C103" s="916" t="s">
        <v>272</v>
      </c>
      <c r="D103" s="916"/>
      <c r="E103" s="292">
        <f>365-E104</f>
        <v>326</v>
      </c>
      <c r="G103" s="366">
        <v>19</v>
      </c>
      <c r="J103" s="377">
        <v>19</v>
      </c>
      <c r="K103" s="336">
        <f t="shared" si="31"/>
        <v>100</v>
      </c>
      <c r="L103" s="336">
        <f t="shared" si="32"/>
        <v>0</v>
      </c>
      <c r="M103" s="336">
        <f t="shared" si="33"/>
        <v>0</v>
      </c>
      <c r="N103" s="368">
        <f t="shared" si="26"/>
        <v>100</v>
      </c>
      <c r="O103" s="335">
        <v>40</v>
      </c>
      <c r="P103" s="336"/>
      <c r="Q103" s="336"/>
      <c r="R103" s="337">
        <f t="shared" si="27"/>
        <v>40</v>
      </c>
      <c r="S103" s="340">
        <v>5</v>
      </c>
      <c r="T103" s="838"/>
      <c r="U103" s="836"/>
      <c r="V103" s="299" t="s">
        <v>72</v>
      </c>
      <c r="W103" s="292" t="s">
        <v>88</v>
      </c>
      <c r="X103" s="292" t="s">
        <v>11</v>
      </c>
      <c r="Y103" s="300">
        <v>29.7</v>
      </c>
      <c r="Z103" s="292" t="s">
        <v>105</v>
      </c>
      <c r="AA103" s="292" t="s">
        <v>74</v>
      </c>
      <c r="AB103" s="292" t="s">
        <v>11</v>
      </c>
      <c r="AC103" s="292">
        <v>10.3</v>
      </c>
      <c r="AD103" s="299"/>
      <c r="AG103" s="300"/>
      <c r="AL103" s="299"/>
      <c r="AO103" s="300"/>
      <c r="AP103" s="299"/>
      <c r="AS103" s="300"/>
      <c r="AW103" s="300"/>
      <c r="BA103" s="301"/>
    </row>
    <row r="104" spans="1:53" s="73" customFormat="1">
      <c r="A104" s="73">
        <v>2007</v>
      </c>
      <c r="B104" s="852">
        <v>39409</v>
      </c>
      <c r="C104" s="917" t="s">
        <v>273</v>
      </c>
      <c r="D104" s="917"/>
      <c r="E104" s="73">
        <v>39</v>
      </c>
      <c r="F104" s="73">
        <v>1</v>
      </c>
      <c r="G104" s="119">
        <v>19</v>
      </c>
      <c r="J104" s="126">
        <v>19</v>
      </c>
      <c r="K104" s="92">
        <f t="shared" si="31"/>
        <v>100</v>
      </c>
      <c r="L104" s="92">
        <f t="shared" si="32"/>
        <v>0</v>
      </c>
      <c r="M104" s="92">
        <f t="shared" si="33"/>
        <v>0</v>
      </c>
      <c r="N104" s="121">
        <f t="shared" si="26"/>
        <v>100</v>
      </c>
      <c r="O104" s="91">
        <v>36.6</v>
      </c>
      <c r="P104" s="92"/>
      <c r="Q104" s="92"/>
      <c r="R104" s="93">
        <f t="shared" si="27"/>
        <v>36.6</v>
      </c>
      <c r="S104" s="97">
        <v>5</v>
      </c>
      <c r="T104" s="839">
        <v>39399</v>
      </c>
      <c r="U104" s="852">
        <v>39409</v>
      </c>
      <c r="V104" s="82" t="s">
        <v>72</v>
      </c>
      <c r="W104" s="73" t="s">
        <v>88</v>
      </c>
      <c r="X104" s="73" t="s">
        <v>11</v>
      </c>
      <c r="Y104" s="83">
        <v>26.3</v>
      </c>
      <c r="Z104" s="73" t="s">
        <v>105</v>
      </c>
      <c r="AA104" s="73" t="s">
        <v>74</v>
      </c>
      <c r="AB104" s="73" t="s">
        <v>11</v>
      </c>
      <c r="AC104" s="73">
        <v>10.3</v>
      </c>
      <c r="AD104" s="82"/>
      <c r="AG104" s="83"/>
      <c r="AL104" s="82"/>
      <c r="AO104" s="83"/>
      <c r="AP104" s="82"/>
      <c r="AS104" s="83"/>
      <c r="AW104" s="83"/>
      <c r="BA104" s="84"/>
    </row>
    <row r="105" spans="1:53" s="73" customFormat="1">
      <c r="A105" s="73">
        <v>2008</v>
      </c>
      <c r="B105" s="852"/>
      <c r="C105" s="917" t="s">
        <v>273</v>
      </c>
      <c r="D105" s="917"/>
      <c r="E105" s="73">
        <v>0</v>
      </c>
      <c r="G105" s="119">
        <v>19</v>
      </c>
      <c r="J105" s="126">
        <v>19</v>
      </c>
      <c r="K105" s="92">
        <f t="shared" si="31"/>
        <v>100</v>
      </c>
      <c r="L105" s="92">
        <f t="shared" si="32"/>
        <v>0</v>
      </c>
      <c r="M105" s="92">
        <f t="shared" si="33"/>
        <v>0</v>
      </c>
      <c r="N105" s="121">
        <f t="shared" si="26"/>
        <v>100</v>
      </c>
      <c r="O105" s="91">
        <v>36.6</v>
      </c>
      <c r="P105" s="92"/>
      <c r="Q105" s="92"/>
      <c r="R105" s="93">
        <f t="shared" si="27"/>
        <v>36.6</v>
      </c>
      <c r="S105" s="97">
        <v>5</v>
      </c>
      <c r="T105" s="839"/>
      <c r="U105" s="852"/>
      <c r="V105" s="82" t="s">
        <v>72</v>
      </c>
      <c r="W105" s="73" t="s">
        <v>88</v>
      </c>
      <c r="X105" s="73" t="s">
        <v>11</v>
      </c>
      <c r="Y105" s="83">
        <v>26.3</v>
      </c>
      <c r="Z105" s="73" t="s">
        <v>105</v>
      </c>
      <c r="AA105" s="73" t="s">
        <v>74</v>
      </c>
      <c r="AB105" s="73" t="s">
        <v>11</v>
      </c>
      <c r="AC105" s="73">
        <v>10.3</v>
      </c>
      <c r="AD105" s="82"/>
      <c r="AG105" s="83"/>
      <c r="AL105" s="82"/>
      <c r="AO105" s="83"/>
      <c r="AP105" s="82"/>
      <c r="AS105" s="83"/>
      <c r="AW105" s="83"/>
      <c r="BA105" s="84"/>
    </row>
    <row r="106" spans="1:53" s="73" customFormat="1">
      <c r="A106" s="73">
        <v>2008</v>
      </c>
      <c r="B106" s="852"/>
      <c r="C106" s="917" t="s">
        <v>273</v>
      </c>
      <c r="D106" s="917"/>
      <c r="E106" s="73">
        <v>366</v>
      </c>
      <c r="G106" s="119">
        <v>19</v>
      </c>
      <c r="J106" s="126">
        <v>19</v>
      </c>
      <c r="K106" s="92">
        <f t="shared" si="31"/>
        <v>100</v>
      </c>
      <c r="L106" s="92">
        <f t="shared" si="32"/>
        <v>0</v>
      </c>
      <c r="M106" s="92">
        <f t="shared" si="33"/>
        <v>0</v>
      </c>
      <c r="N106" s="121">
        <f t="shared" si="26"/>
        <v>100</v>
      </c>
      <c r="O106" s="91">
        <v>36.6</v>
      </c>
      <c r="P106" s="92"/>
      <c r="Q106" s="92"/>
      <c r="R106" s="93">
        <f t="shared" si="27"/>
        <v>36.6</v>
      </c>
      <c r="S106" s="97">
        <v>5</v>
      </c>
      <c r="T106" s="839"/>
      <c r="U106" s="852"/>
      <c r="V106" s="82" t="s">
        <v>72</v>
      </c>
      <c r="W106" s="73" t="s">
        <v>88</v>
      </c>
      <c r="X106" s="73" t="s">
        <v>11</v>
      </c>
      <c r="Y106" s="83">
        <v>26.3</v>
      </c>
      <c r="Z106" s="73" t="s">
        <v>105</v>
      </c>
      <c r="AA106" s="73" t="s">
        <v>74</v>
      </c>
      <c r="AB106" s="73" t="s">
        <v>11</v>
      </c>
      <c r="AC106" s="73">
        <v>10.3</v>
      </c>
      <c r="AD106" s="82"/>
      <c r="AG106" s="83"/>
      <c r="AL106" s="82"/>
      <c r="AO106" s="83"/>
      <c r="AP106" s="82"/>
      <c r="AS106" s="83"/>
      <c r="AW106" s="83"/>
      <c r="BA106" s="84"/>
    </row>
    <row r="107" spans="1:53" s="73" customFormat="1">
      <c r="A107" s="73">
        <v>2009</v>
      </c>
      <c r="B107" s="852"/>
      <c r="C107" s="917" t="s">
        <v>273</v>
      </c>
      <c r="D107" s="917"/>
      <c r="E107" s="73">
        <v>94</v>
      </c>
      <c r="G107" s="119">
        <v>19</v>
      </c>
      <c r="J107" s="126">
        <v>19</v>
      </c>
      <c r="K107" s="92">
        <f t="shared" si="31"/>
        <v>100</v>
      </c>
      <c r="L107" s="92">
        <f t="shared" si="32"/>
        <v>0</v>
      </c>
      <c r="M107" s="92">
        <f t="shared" si="33"/>
        <v>0</v>
      </c>
      <c r="N107" s="121">
        <f t="shared" si="26"/>
        <v>100</v>
      </c>
      <c r="O107" s="91">
        <v>36.6</v>
      </c>
      <c r="P107" s="92"/>
      <c r="Q107" s="92"/>
      <c r="R107" s="93">
        <f t="shared" si="27"/>
        <v>36.6</v>
      </c>
      <c r="S107" s="97">
        <v>5</v>
      </c>
      <c r="T107" s="839"/>
      <c r="U107" s="852"/>
      <c r="V107" s="82" t="s">
        <v>72</v>
      </c>
      <c r="W107" s="73" t="s">
        <v>88</v>
      </c>
      <c r="X107" s="73" t="s">
        <v>11</v>
      </c>
      <c r="Y107" s="83">
        <v>26.3</v>
      </c>
      <c r="Z107" s="73" t="s">
        <v>105</v>
      </c>
      <c r="AA107" s="73" t="s">
        <v>74</v>
      </c>
      <c r="AB107" s="73" t="s">
        <v>11</v>
      </c>
      <c r="AC107" s="73">
        <v>10.3</v>
      </c>
      <c r="AD107" s="82"/>
      <c r="AG107" s="83"/>
      <c r="AL107" s="82"/>
      <c r="AO107" s="83"/>
      <c r="AP107" s="82"/>
      <c r="AS107" s="83"/>
      <c r="AW107" s="83"/>
      <c r="BA107" s="84"/>
    </row>
    <row r="108" spans="1:53" s="292" customFormat="1">
      <c r="A108" s="292">
        <v>2009</v>
      </c>
      <c r="B108" s="836">
        <v>39908</v>
      </c>
      <c r="C108" s="916" t="s">
        <v>274</v>
      </c>
      <c r="D108" s="916"/>
      <c r="E108" s="292">
        <v>271</v>
      </c>
      <c r="F108" s="292">
        <v>2</v>
      </c>
      <c r="G108" s="366">
        <v>19</v>
      </c>
      <c r="J108" s="377">
        <v>19</v>
      </c>
      <c r="K108" s="336">
        <f t="shared" si="31"/>
        <v>100</v>
      </c>
      <c r="L108" s="336">
        <f t="shared" si="32"/>
        <v>0</v>
      </c>
      <c r="M108" s="336">
        <f t="shared" si="33"/>
        <v>0</v>
      </c>
      <c r="N108" s="368">
        <f t="shared" si="26"/>
        <v>100</v>
      </c>
      <c r="O108" s="335">
        <v>36.6</v>
      </c>
      <c r="P108" s="336"/>
      <c r="Q108" s="336"/>
      <c r="R108" s="337">
        <f t="shared" si="27"/>
        <v>36.6</v>
      </c>
      <c r="S108" s="340">
        <v>5</v>
      </c>
      <c r="T108" s="838"/>
      <c r="U108" s="836">
        <v>39908</v>
      </c>
      <c r="V108" s="299" t="s">
        <v>72</v>
      </c>
      <c r="W108" s="292" t="s">
        <v>88</v>
      </c>
      <c r="X108" s="292" t="s">
        <v>11</v>
      </c>
      <c r="Y108" s="300">
        <v>26.3</v>
      </c>
      <c r="Z108" s="292" t="s">
        <v>105</v>
      </c>
      <c r="AA108" s="292" t="s">
        <v>74</v>
      </c>
      <c r="AB108" s="292" t="s">
        <v>11</v>
      </c>
      <c r="AC108" s="292">
        <v>10.3</v>
      </c>
      <c r="AD108" s="299"/>
      <c r="AG108" s="300"/>
      <c r="AL108" s="299"/>
      <c r="AO108" s="300"/>
      <c r="AP108" s="299"/>
      <c r="AS108" s="300"/>
      <c r="AW108" s="300"/>
      <c r="BA108" s="301"/>
    </row>
    <row r="109" spans="1:53" s="292" customFormat="1">
      <c r="A109" s="292">
        <v>2010</v>
      </c>
      <c r="B109" s="836"/>
      <c r="C109" s="916" t="s">
        <v>274</v>
      </c>
      <c r="D109" s="916"/>
      <c r="E109" s="292">
        <v>0</v>
      </c>
      <c r="G109" s="366">
        <v>19</v>
      </c>
      <c r="J109" s="377">
        <v>19</v>
      </c>
      <c r="K109" s="336">
        <f t="shared" si="31"/>
        <v>100</v>
      </c>
      <c r="L109" s="336">
        <f t="shared" si="32"/>
        <v>0</v>
      </c>
      <c r="M109" s="336">
        <f t="shared" si="33"/>
        <v>0</v>
      </c>
      <c r="N109" s="368">
        <f t="shared" si="26"/>
        <v>100</v>
      </c>
      <c r="O109" s="335">
        <v>36.6</v>
      </c>
      <c r="P109" s="336"/>
      <c r="Q109" s="336"/>
      <c r="R109" s="337">
        <f t="shared" si="27"/>
        <v>36.6</v>
      </c>
      <c r="S109" s="340">
        <v>5</v>
      </c>
      <c r="T109" s="838"/>
      <c r="U109" s="836"/>
      <c r="V109" s="299" t="s">
        <v>72</v>
      </c>
      <c r="W109" s="292" t="s">
        <v>88</v>
      </c>
      <c r="X109" s="292" t="s">
        <v>11</v>
      </c>
      <c r="Y109" s="300">
        <v>26.3</v>
      </c>
      <c r="Z109" s="292" t="s">
        <v>105</v>
      </c>
      <c r="AA109" s="292" t="s">
        <v>74</v>
      </c>
      <c r="AB109" s="292" t="s">
        <v>11</v>
      </c>
      <c r="AC109" s="292">
        <v>10.3</v>
      </c>
      <c r="AD109" s="299"/>
      <c r="AG109" s="300"/>
      <c r="AL109" s="299"/>
      <c r="AO109" s="300"/>
      <c r="AP109" s="299"/>
      <c r="AS109" s="300"/>
      <c r="AW109" s="300"/>
      <c r="BA109" s="301"/>
    </row>
    <row r="110" spans="1:53" s="292" customFormat="1">
      <c r="A110" s="292">
        <v>2010</v>
      </c>
      <c r="B110" s="836"/>
      <c r="C110" s="916" t="s">
        <v>274</v>
      </c>
      <c r="D110" s="916"/>
      <c r="E110" s="292">
        <v>365</v>
      </c>
      <c r="G110" s="366">
        <v>19</v>
      </c>
      <c r="J110" s="377">
        <v>19</v>
      </c>
      <c r="K110" s="336">
        <f t="shared" si="31"/>
        <v>100</v>
      </c>
      <c r="L110" s="336">
        <f t="shared" si="32"/>
        <v>0</v>
      </c>
      <c r="M110" s="336">
        <f t="shared" si="33"/>
        <v>0</v>
      </c>
      <c r="N110" s="368">
        <f t="shared" si="26"/>
        <v>100</v>
      </c>
      <c r="O110" s="335">
        <v>36.6</v>
      </c>
      <c r="P110" s="336"/>
      <c r="Q110" s="336"/>
      <c r="R110" s="337">
        <f t="shared" si="27"/>
        <v>36.6</v>
      </c>
      <c r="S110" s="340">
        <v>5</v>
      </c>
      <c r="T110" s="838"/>
      <c r="U110" s="836"/>
      <c r="V110" s="299" t="s">
        <v>72</v>
      </c>
      <c r="W110" s="292" t="s">
        <v>88</v>
      </c>
      <c r="X110" s="292" t="s">
        <v>11</v>
      </c>
      <c r="Y110" s="300">
        <v>26.3</v>
      </c>
      <c r="Z110" s="292" t="s">
        <v>105</v>
      </c>
      <c r="AA110" s="292" t="s">
        <v>74</v>
      </c>
      <c r="AB110" s="292" t="s">
        <v>11</v>
      </c>
      <c r="AC110" s="292">
        <v>10.3</v>
      </c>
      <c r="AD110" s="299"/>
      <c r="AG110" s="300"/>
      <c r="AL110" s="299"/>
      <c r="AO110" s="300"/>
      <c r="AP110" s="299"/>
      <c r="AS110" s="300"/>
      <c r="AW110" s="300"/>
      <c r="BA110" s="301"/>
    </row>
    <row r="111" spans="1:53" s="292" customFormat="1">
      <c r="A111" s="292">
        <v>2011</v>
      </c>
      <c r="B111" s="836"/>
      <c r="C111" s="916" t="s">
        <v>274</v>
      </c>
      <c r="D111" s="916"/>
      <c r="E111" s="292">
        <v>275</v>
      </c>
      <c r="G111" s="366">
        <v>19</v>
      </c>
      <c r="J111" s="377">
        <v>19</v>
      </c>
      <c r="K111" s="336">
        <f t="shared" ref="K111:K116" si="34">G111/J111*100</f>
        <v>100</v>
      </c>
      <c r="L111" s="336">
        <f t="shared" ref="L111:L116" si="35">H111/J111*100</f>
        <v>0</v>
      </c>
      <c r="M111" s="336">
        <f t="shared" ref="M111:M116" si="36">I111/J111*100</f>
        <v>0</v>
      </c>
      <c r="N111" s="368">
        <f t="shared" si="26"/>
        <v>100</v>
      </c>
      <c r="O111" s="335">
        <v>36.6</v>
      </c>
      <c r="P111" s="336"/>
      <c r="Q111" s="336"/>
      <c r="R111" s="337">
        <f t="shared" si="27"/>
        <v>36.6</v>
      </c>
      <c r="S111" s="340">
        <v>5</v>
      </c>
      <c r="T111" s="838"/>
      <c r="U111" s="836"/>
      <c r="V111" s="299" t="s">
        <v>72</v>
      </c>
      <c r="W111" s="292" t="s">
        <v>88</v>
      </c>
      <c r="X111" s="292" t="s">
        <v>11</v>
      </c>
      <c r="Y111" s="300">
        <v>26.3</v>
      </c>
      <c r="Z111" s="292" t="s">
        <v>105</v>
      </c>
      <c r="AA111" s="292" t="s">
        <v>74</v>
      </c>
      <c r="AB111" s="292" t="s">
        <v>11</v>
      </c>
      <c r="AC111" s="292">
        <v>10.3</v>
      </c>
      <c r="AD111" s="299"/>
      <c r="AG111" s="300"/>
      <c r="AL111" s="299"/>
      <c r="AO111" s="300"/>
      <c r="AP111" s="299"/>
      <c r="AS111" s="300"/>
      <c r="AW111" s="300"/>
      <c r="BA111" s="301"/>
    </row>
    <row r="112" spans="1:53" s="73" customFormat="1">
      <c r="A112" s="73">
        <v>2011</v>
      </c>
      <c r="B112" s="852">
        <v>40819</v>
      </c>
      <c r="C112" s="917" t="s">
        <v>275</v>
      </c>
      <c r="D112" s="917"/>
      <c r="E112" s="73">
        <v>90</v>
      </c>
      <c r="F112" s="73">
        <v>1</v>
      </c>
      <c r="G112" s="119">
        <v>6</v>
      </c>
      <c r="I112" s="73">
        <v>17</v>
      </c>
      <c r="J112" s="126">
        <v>23</v>
      </c>
      <c r="K112" s="92">
        <f t="shared" si="34"/>
        <v>26.086956521739129</v>
      </c>
      <c r="L112" s="92">
        <f t="shared" si="35"/>
        <v>0</v>
      </c>
      <c r="M112" s="92">
        <f t="shared" si="36"/>
        <v>73.91304347826086</v>
      </c>
      <c r="N112" s="121">
        <f t="shared" si="26"/>
        <v>99.999999999999986</v>
      </c>
      <c r="O112" s="91">
        <v>9.6999999999999993</v>
      </c>
      <c r="P112" s="92"/>
      <c r="Q112" s="92">
        <v>34.200000000000003</v>
      </c>
      <c r="R112" s="93">
        <f t="shared" si="27"/>
        <v>43.900000000000006</v>
      </c>
      <c r="S112" s="97">
        <v>5</v>
      </c>
      <c r="T112" s="839">
        <v>40801</v>
      </c>
      <c r="U112" s="852">
        <v>40819</v>
      </c>
      <c r="V112" s="82" t="s">
        <v>102</v>
      </c>
      <c r="W112" s="73" t="s">
        <v>20</v>
      </c>
      <c r="X112" s="73" t="s">
        <v>12</v>
      </c>
      <c r="Y112" s="83">
        <v>25.1</v>
      </c>
      <c r="Z112" s="73" t="s">
        <v>103</v>
      </c>
      <c r="AA112" s="73" t="s">
        <v>22</v>
      </c>
      <c r="AB112" s="73" t="s">
        <v>11</v>
      </c>
      <c r="AC112" s="73">
        <v>9.6999999999999993</v>
      </c>
      <c r="AD112" s="82" t="s">
        <v>276</v>
      </c>
      <c r="AE112" s="73" t="s">
        <v>116</v>
      </c>
      <c r="AF112" s="73" t="s">
        <v>12</v>
      </c>
      <c r="AG112" s="83">
        <v>9.1</v>
      </c>
      <c r="AL112" s="82"/>
      <c r="AO112" s="83"/>
      <c r="AP112" s="82"/>
      <c r="AS112" s="83"/>
      <c r="AW112" s="83"/>
      <c r="BA112" s="84"/>
    </row>
    <row r="113" spans="1:53" s="73" customFormat="1">
      <c r="A113" s="73">
        <v>2012</v>
      </c>
      <c r="B113" s="852"/>
      <c r="C113" s="917" t="s">
        <v>275</v>
      </c>
      <c r="D113" s="917"/>
      <c r="E113" s="73">
        <v>0</v>
      </c>
      <c r="G113" s="119">
        <v>6</v>
      </c>
      <c r="I113" s="73">
        <v>17</v>
      </c>
      <c r="J113" s="126">
        <v>23</v>
      </c>
      <c r="K113" s="92">
        <f t="shared" si="34"/>
        <v>26.086956521739129</v>
      </c>
      <c r="L113" s="92">
        <f t="shared" si="35"/>
        <v>0</v>
      </c>
      <c r="M113" s="92">
        <f t="shared" si="36"/>
        <v>73.91304347826086</v>
      </c>
      <c r="N113" s="121">
        <f t="shared" si="26"/>
        <v>99.999999999999986</v>
      </c>
      <c r="O113" s="91">
        <v>9.6999999999999993</v>
      </c>
      <c r="P113" s="92"/>
      <c r="Q113" s="92">
        <v>34.200000000000003</v>
      </c>
      <c r="R113" s="93">
        <f t="shared" si="27"/>
        <v>43.900000000000006</v>
      </c>
      <c r="S113" s="97">
        <v>5</v>
      </c>
      <c r="T113" s="839"/>
      <c r="U113" s="852"/>
      <c r="V113" s="82" t="s">
        <v>102</v>
      </c>
      <c r="W113" s="73" t="s">
        <v>20</v>
      </c>
      <c r="X113" s="73" t="s">
        <v>12</v>
      </c>
      <c r="Y113" s="83">
        <v>25.1</v>
      </c>
      <c r="Z113" s="73" t="s">
        <v>103</v>
      </c>
      <c r="AA113" s="73" t="s">
        <v>22</v>
      </c>
      <c r="AB113" s="73" t="s">
        <v>11</v>
      </c>
      <c r="AC113" s="73">
        <v>9.6999999999999993</v>
      </c>
      <c r="AD113" s="82" t="s">
        <v>276</v>
      </c>
      <c r="AE113" s="73" t="s">
        <v>116</v>
      </c>
      <c r="AF113" s="73" t="s">
        <v>12</v>
      </c>
      <c r="AG113" s="83">
        <v>9.1</v>
      </c>
      <c r="AL113" s="82"/>
      <c r="AO113" s="83"/>
      <c r="AP113" s="82"/>
      <c r="AS113" s="83"/>
      <c r="AW113" s="83"/>
      <c r="BA113" s="84"/>
    </row>
    <row r="114" spans="1:53" s="73" customFormat="1">
      <c r="A114" s="73">
        <v>2012</v>
      </c>
      <c r="B114" s="852"/>
      <c r="C114" s="917" t="s">
        <v>275</v>
      </c>
      <c r="D114" s="917"/>
      <c r="E114" s="73">
        <v>366</v>
      </c>
      <c r="G114" s="119">
        <v>6</v>
      </c>
      <c r="I114" s="73">
        <v>17</v>
      </c>
      <c r="J114" s="126">
        <v>23</v>
      </c>
      <c r="K114" s="92">
        <f t="shared" si="34"/>
        <v>26.086956521739129</v>
      </c>
      <c r="L114" s="92">
        <f t="shared" si="35"/>
        <v>0</v>
      </c>
      <c r="M114" s="92">
        <f t="shared" si="36"/>
        <v>73.91304347826086</v>
      </c>
      <c r="N114" s="121">
        <f t="shared" si="26"/>
        <v>99.999999999999986</v>
      </c>
      <c r="O114" s="91">
        <v>9.6999999999999993</v>
      </c>
      <c r="P114" s="92"/>
      <c r="Q114" s="92">
        <v>34.200000000000003</v>
      </c>
      <c r="R114" s="93">
        <f t="shared" si="27"/>
        <v>43.900000000000006</v>
      </c>
      <c r="S114" s="97">
        <v>5</v>
      </c>
      <c r="T114" s="839"/>
      <c r="U114" s="852"/>
      <c r="V114" s="82" t="s">
        <v>102</v>
      </c>
      <c r="W114" s="73" t="s">
        <v>20</v>
      </c>
      <c r="X114" s="73" t="s">
        <v>12</v>
      </c>
      <c r="Y114" s="83">
        <v>25.1</v>
      </c>
      <c r="Z114" s="73" t="s">
        <v>103</v>
      </c>
      <c r="AA114" s="73" t="s">
        <v>22</v>
      </c>
      <c r="AB114" s="73" t="s">
        <v>11</v>
      </c>
      <c r="AC114" s="73">
        <v>9.6999999999999993</v>
      </c>
      <c r="AD114" s="82" t="s">
        <v>276</v>
      </c>
      <c r="AE114" s="73" t="s">
        <v>116</v>
      </c>
      <c r="AF114" s="73" t="s">
        <v>12</v>
      </c>
      <c r="AG114" s="83">
        <v>9.1</v>
      </c>
      <c r="AL114" s="82"/>
      <c r="AO114" s="83"/>
      <c r="AP114" s="82"/>
      <c r="AS114" s="83"/>
      <c r="AW114" s="83"/>
      <c r="BA114" s="84"/>
    </row>
    <row r="115" spans="1:53" s="265" customFormat="1">
      <c r="A115" s="265">
        <v>2013</v>
      </c>
      <c r="B115" s="852"/>
      <c r="C115" s="917" t="s">
        <v>275</v>
      </c>
      <c r="D115" s="917"/>
      <c r="E115" s="265">
        <v>220</v>
      </c>
      <c r="G115" s="119">
        <v>6</v>
      </c>
      <c r="I115" s="265">
        <v>17</v>
      </c>
      <c r="J115" s="126">
        <v>23</v>
      </c>
      <c r="K115" s="92">
        <f t="shared" si="34"/>
        <v>26.086956521739129</v>
      </c>
      <c r="L115" s="92">
        <f t="shared" si="35"/>
        <v>0</v>
      </c>
      <c r="M115" s="92">
        <f t="shared" si="36"/>
        <v>73.91304347826086</v>
      </c>
      <c r="N115" s="121">
        <f t="shared" si="26"/>
        <v>99.999999999999986</v>
      </c>
      <c r="O115" s="91">
        <v>9.6999999999999993</v>
      </c>
      <c r="P115" s="92"/>
      <c r="Q115" s="92">
        <v>34.200000000000003</v>
      </c>
      <c r="R115" s="93">
        <f t="shared" si="27"/>
        <v>43.900000000000006</v>
      </c>
      <c r="S115" s="97">
        <v>5</v>
      </c>
      <c r="T115" s="839"/>
      <c r="U115" s="852"/>
      <c r="V115" s="82" t="s">
        <v>102</v>
      </c>
      <c r="W115" s="265" t="s">
        <v>20</v>
      </c>
      <c r="X115" s="265" t="s">
        <v>12</v>
      </c>
      <c r="Y115" s="83">
        <v>25.1</v>
      </c>
      <c r="Z115" s="265" t="s">
        <v>103</v>
      </c>
      <c r="AA115" s="265" t="s">
        <v>22</v>
      </c>
      <c r="AB115" s="265" t="s">
        <v>11</v>
      </c>
      <c r="AC115" s="265">
        <v>9.6999999999999993</v>
      </c>
      <c r="AD115" s="82" t="s">
        <v>276</v>
      </c>
      <c r="AE115" s="265" t="s">
        <v>116</v>
      </c>
      <c r="AF115" s="265" t="s">
        <v>12</v>
      </c>
      <c r="AG115" s="83">
        <v>9.1</v>
      </c>
      <c r="AL115" s="82"/>
      <c r="AO115" s="83"/>
      <c r="AP115" s="82"/>
      <c r="AS115" s="83"/>
      <c r="AW115" s="83"/>
      <c r="BA115" s="84"/>
    </row>
    <row r="116" spans="1:53" s="265" customFormat="1">
      <c r="A116" s="265">
        <v>2013</v>
      </c>
      <c r="B116" s="860">
        <v>41495</v>
      </c>
      <c r="C116" s="917" t="s">
        <v>275</v>
      </c>
      <c r="D116" s="917"/>
      <c r="E116" s="265">
        <f>365-E115</f>
        <v>145</v>
      </c>
      <c r="F116" s="139">
        <v>0</v>
      </c>
      <c r="G116" s="119">
        <v>6</v>
      </c>
      <c r="I116" s="265">
        <v>16</v>
      </c>
      <c r="J116" s="126">
        <v>22</v>
      </c>
      <c r="K116" s="92">
        <f t="shared" si="34"/>
        <v>27.27272727272727</v>
      </c>
      <c r="L116" s="92">
        <f t="shared" si="35"/>
        <v>0</v>
      </c>
      <c r="M116" s="92">
        <f t="shared" si="36"/>
        <v>72.727272727272734</v>
      </c>
      <c r="N116" s="121">
        <f t="shared" si="26"/>
        <v>100</v>
      </c>
      <c r="O116" s="91">
        <v>9.6999999999999993</v>
      </c>
      <c r="P116" s="92"/>
      <c r="Q116" s="92">
        <v>34.200000000000003</v>
      </c>
      <c r="R116" s="93">
        <f t="shared" si="27"/>
        <v>43.900000000000006</v>
      </c>
      <c r="S116" s="97">
        <v>5</v>
      </c>
      <c r="T116" s="839"/>
      <c r="U116" s="852"/>
      <c r="V116" s="82" t="s">
        <v>102</v>
      </c>
      <c r="W116" s="265" t="s">
        <v>20</v>
      </c>
      <c r="X116" s="265" t="s">
        <v>12</v>
      </c>
      <c r="Y116" s="83">
        <v>25.1</v>
      </c>
      <c r="Z116" s="265" t="s">
        <v>103</v>
      </c>
      <c r="AA116" s="265" t="s">
        <v>22</v>
      </c>
      <c r="AB116" s="265" t="s">
        <v>11</v>
      </c>
      <c r="AC116" s="265">
        <v>9.6999999999999993</v>
      </c>
      <c r="AD116" s="82" t="s">
        <v>276</v>
      </c>
      <c r="AE116" s="265" t="s">
        <v>116</v>
      </c>
      <c r="AF116" s="265" t="s">
        <v>12</v>
      </c>
      <c r="AG116" s="83">
        <v>9.1</v>
      </c>
      <c r="AL116" s="82"/>
      <c r="AO116" s="83"/>
      <c r="AP116" s="82"/>
      <c r="AS116" s="83"/>
      <c r="AW116" s="83"/>
      <c r="BA116" s="84"/>
    </row>
    <row r="117" spans="1:53" s="448" customFormat="1">
      <c r="A117" s="448">
        <v>2014</v>
      </c>
      <c r="B117" s="860"/>
      <c r="C117" s="917" t="s">
        <v>275</v>
      </c>
      <c r="D117" s="917"/>
      <c r="E117" s="448">
        <v>33</v>
      </c>
      <c r="F117" s="414"/>
      <c r="G117" s="411">
        <v>6</v>
      </c>
      <c r="I117" s="448">
        <v>16</v>
      </c>
      <c r="J117" s="413">
        <v>22</v>
      </c>
      <c r="K117" s="409">
        <f>G117/J117*100</f>
        <v>27.27272727272727</v>
      </c>
      <c r="L117" s="409">
        <f>H117/J117*100</f>
        <v>0</v>
      </c>
      <c r="M117" s="409">
        <f>I117/J117*100</f>
        <v>72.727272727272734</v>
      </c>
      <c r="N117" s="412">
        <f>SUM(K117:M117)</f>
        <v>100</v>
      </c>
      <c r="O117" s="408">
        <v>9.6999999999999993</v>
      </c>
      <c r="P117" s="409"/>
      <c r="Q117" s="409">
        <v>34.200000000000003</v>
      </c>
      <c r="R117" s="410">
        <f t="shared" ref="R117:R123" si="37">SUM(O117:Q117)</f>
        <v>43.900000000000006</v>
      </c>
      <c r="S117" s="97">
        <v>5</v>
      </c>
      <c r="T117" s="839"/>
      <c r="U117" s="852"/>
      <c r="V117" s="405" t="s">
        <v>102</v>
      </c>
      <c r="W117" s="448" t="s">
        <v>20</v>
      </c>
      <c r="X117" s="448" t="s">
        <v>12</v>
      </c>
      <c r="Y117" s="406">
        <v>25.1</v>
      </c>
      <c r="Z117" s="448" t="s">
        <v>103</v>
      </c>
      <c r="AA117" s="448" t="s">
        <v>22</v>
      </c>
      <c r="AB117" s="448" t="s">
        <v>11</v>
      </c>
      <c r="AC117" s="448">
        <v>9.6999999999999993</v>
      </c>
      <c r="AD117" s="405" t="s">
        <v>276</v>
      </c>
      <c r="AE117" s="448" t="s">
        <v>116</v>
      </c>
      <c r="AF117" s="448" t="s">
        <v>12</v>
      </c>
      <c r="AG117" s="406">
        <v>9.1</v>
      </c>
      <c r="AL117" s="405"/>
      <c r="AO117" s="406"/>
      <c r="AP117" s="405"/>
      <c r="AS117" s="406"/>
      <c r="AW117" s="406"/>
      <c r="BA117" s="407"/>
    </row>
    <row r="118" spans="1:53" s="449" customFormat="1">
      <c r="A118" s="449">
        <v>2014</v>
      </c>
      <c r="B118" s="836">
        <v>41673</v>
      </c>
      <c r="C118" s="916" t="s">
        <v>1290</v>
      </c>
      <c r="D118" s="916"/>
      <c r="E118" s="449">
        <v>211</v>
      </c>
      <c r="F118" s="449">
        <v>4</v>
      </c>
      <c r="G118" s="425">
        <v>7</v>
      </c>
      <c r="I118" s="449">
        <v>13</v>
      </c>
      <c r="J118" s="427">
        <v>20</v>
      </c>
      <c r="K118" s="423">
        <f>G118/J118*100</f>
        <v>35</v>
      </c>
      <c r="L118" s="423">
        <f>H118/J118*100</f>
        <v>0</v>
      </c>
      <c r="M118" s="423">
        <f>I118/J118*100</f>
        <v>65</v>
      </c>
      <c r="N118" s="426">
        <f>SUM(K118:M118)</f>
        <v>100</v>
      </c>
      <c r="O118" s="422">
        <v>9.1</v>
      </c>
      <c r="P118" s="423"/>
      <c r="Q118" s="423">
        <v>26.9</v>
      </c>
      <c r="R118" s="424">
        <f t="shared" si="37"/>
        <v>36</v>
      </c>
      <c r="S118" s="340">
        <v>5</v>
      </c>
      <c r="T118" s="838"/>
      <c r="U118" s="836">
        <v>41673</v>
      </c>
      <c r="V118" s="417" t="s">
        <v>102</v>
      </c>
      <c r="W118" s="449" t="s">
        <v>20</v>
      </c>
      <c r="X118" s="449" t="s">
        <v>12</v>
      </c>
      <c r="Y118" s="418">
        <v>26.9</v>
      </c>
      <c r="Z118" s="449" t="s">
        <v>103</v>
      </c>
      <c r="AA118" s="449" t="s">
        <v>22</v>
      </c>
      <c r="AB118" s="449" t="s">
        <v>11</v>
      </c>
      <c r="AC118" s="449">
        <v>9.1</v>
      </c>
      <c r="AD118" s="417"/>
      <c r="AG118" s="418"/>
      <c r="AL118" s="417"/>
      <c r="AO118" s="418"/>
      <c r="AP118" s="417"/>
      <c r="AS118" s="418"/>
      <c r="AW118" s="418"/>
      <c r="BA118" s="419"/>
    </row>
    <row r="119" spans="1:53" s="449" customFormat="1">
      <c r="A119" s="449">
        <v>2014</v>
      </c>
      <c r="B119" s="865">
        <v>41884</v>
      </c>
      <c r="C119" s="916" t="s">
        <v>1290</v>
      </c>
      <c r="D119" s="916"/>
      <c r="E119" s="449">
        <v>121</v>
      </c>
      <c r="F119" s="428">
        <v>0</v>
      </c>
      <c r="G119" s="425">
        <v>6</v>
      </c>
      <c r="I119" s="449">
        <v>14</v>
      </c>
      <c r="J119" s="427">
        <v>20</v>
      </c>
      <c r="K119" s="423">
        <f>G119/J119*100</f>
        <v>30</v>
      </c>
      <c r="L119" s="423">
        <f>H119/J119*100</f>
        <v>0</v>
      </c>
      <c r="M119" s="423">
        <f>I119/J119*100</f>
        <v>70</v>
      </c>
      <c r="N119" s="426">
        <f>SUM(K119:M119)</f>
        <v>100</v>
      </c>
      <c r="O119" s="422">
        <v>9.1</v>
      </c>
      <c r="P119" s="423"/>
      <c r="Q119" s="423">
        <v>26.9</v>
      </c>
      <c r="R119" s="424">
        <f t="shared" si="37"/>
        <v>36</v>
      </c>
      <c r="S119" s="449">
        <v>5</v>
      </c>
      <c r="T119" s="838"/>
      <c r="U119" s="836"/>
      <c r="V119" s="417" t="s">
        <v>102</v>
      </c>
      <c r="W119" s="449" t="s">
        <v>20</v>
      </c>
      <c r="X119" s="449" t="s">
        <v>12</v>
      </c>
      <c r="Y119" s="418">
        <v>26.9</v>
      </c>
      <c r="Z119" s="449" t="s">
        <v>103</v>
      </c>
      <c r="AA119" s="449" t="s">
        <v>22</v>
      </c>
      <c r="AB119" s="449" t="s">
        <v>11</v>
      </c>
      <c r="AC119" s="449">
        <v>9.1</v>
      </c>
      <c r="AD119" s="417"/>
      <c r="AG119" s="418"/>
      <c r="AL119" s="417"/>
      <c r="AO119" s="418"/>
      <c r="AP119" s="417"/>
      <c r="AS119" s="418"/>
      <c r="AW119" s="418"/>
      <c r="BA119" s="419"/>
    </row>
    <row r="120" spans="1:53" s="582" customFormat="1">
      <c r="A120" s="582">
        <v>2015</v>
      </c>
      <c r="B120" s="865"/>
      <c r="C120" s="916" t="s">
        <v>1290</v>
      </c>
      <c r="D120" s="916"/>
      <c r="E120" s="582">
        <v>178</v>
      </c>
      <c r="F120" s="428"/>
      <c r="G120" s="539">
        <v>6</v>
      </c>
      <c r="I120" s="582">
        <v>14</v>
      </c>
      <c r="J120" s="541">
        <v>20</v>
      </c>
      <c r="K120" s="537">
        <f t="shared" ref="K120:K123" si="38">G120/J120*100</f>
        <v>30</v>
      </c>
      <c r="L120" s="537">
        <f t="shared" ref="L120:L123" si="39">H120/J120*100</f>
        <v>0</v>
      </c>
      <c r="M120" s="537">
        <f t="shared" ref="M120:M123" si="40">I120/J120*100</f>
        <v>70</v>
      </c>
      <c r="N120" s="540">
        <f t="shared" ref="N120:N123" si="41">SUM(K120:M120)</f>
        <v>100</v>
      </c>
      <c r="O120" s="536">
        <v>9.1</v>
      </c>
      <c r="P120" s="537"/>
      <c r="Q120" s="537">
        <v>26.9</v>
      </c>
      <c r="R120" s="538">
        <f t="shared" si="37"/>
        <v>36</v>
      </c>
      <c r="S120" s="582">
        <v>5</v>
      </c>
      <c r="T120" s="838"/>
      <c r="U120" s="836"/>
      <c r="V120" s="532" t="s">
        <v>102</v>
      </c>
      <c r="W120" s="582" t="s">
        <v>20</v>
      </c>
      <c r="X120" s="582" t="s">
        <v>12</v>
      </c>
      <c r="Y120" s="533">
        <v>26.9</v>
      </c>
      <c r="Z120" s="582" t="s">
        <v>103</v>
      </c>
      <c r="AA120" s="582" t="s">
        <v>22</v>
      </c>
      <c r="AB120" s="582" t="s">
        <v>11</v>
      </c>
      <c r="AC120" s="582">
        <v>9.1</v>
      </c>
      <c r="AD120" s="532"/>
      <c r="AG120" s="533"/>
      <c r="AL120" s="532"/>
      <c r="AO120" s="533"/>
      <c r="AP120" s="532"/>
      <c r="AS120" s="533"/>
      <c r="AW120" s="533"/>
      <c r="BA120" s="534"/>
    </row>
    <row r="121" spans="1:53" s="633" customFormat="1">
      <c r="A121" s="633">
        <v>2015</v>
      </c>
      <c r="B121" s="852">
        <v>42183</v>
      </c>
      <c r="C121" s="917" t="s">
        <v>1320</v>
      </c>
      <c r="D121" s="917"/>
      <c r="E121" s="633">
        <v>187</v>
      </c>
      <c r="F121" s="633">
        <v>1</v>
      </c>
      <c r="G121" s="498">
        <v>17</v>
      </c>
      <c r="J121" s="500">
        <v>17</v>
      </c>
      <c r="K121" s="496">
        <f t="shared" si="38"/>
        <v>100</v>
      </c>
      <c r="L121" s="496">
        <f t="shared" si="39"/>
        <v>0</v>
      </c>
      <c r="M121" s="496">
        <f t="shared" si="40"/>
        <v>0</v>
      </c>
      <c r="N121" s="499">
        <f t="shared" si="41"/>
        <v>100</v>
      </c>
      <c r="O121" s="495">
        <v>19.399999999999999</v>
      </c>
      <c r="P121" s="496"/>
      <c r="Q121" s="496"/>
      <c r="R121" s="497">
        <f t="shared" si="37"/>
        <v>19.399999999999999</v>
      </c>
      <c r="S121" s="97">
        <v>4</v>
      </c>
      <c r="T121" s="839">
        <v>42173</v>
      </c>
      <c r="U121" s="852">
        <v>42183</v>
      </c>
      <c r="V121" s="492" t="s">
        <v>72</v>
      </c>
      <c r="W121" s="633" t="s">
        <v>88</v>
      </c>
      <c r="X121" s="633" t="s">
        <v>11</v>
      </c>
      <c r="Y121" s="493">
        <v>19.399999999999999</v>
      </c>
      <c r="AG121" s="493"/>
      <c r="AL121" s="492"/>
      <c r="AO121" s="493"/>
      <c r="AP121" s="492"/>
      <c r="AS121" s="493"/>
      <c r="AW121" s="493"/>
      <c r="BA121" s="494"/>
    </row>
    <row r="122" spans="1:53" s="659" customFormat="1">
      <c r="A122" s="659">
        <v>2016</v>
      </c>
      <c r="B122" s="852"/>
      <c r="C122" s="917" t="s">
        <v>1320</v>
      </c>
      <c r="D122" s="917"/>
      <c r="E122" s="659">
        <v>332</v>
      </c>
      <c r="G122" s="498">
        <v>17</v>
      </c>
      <c r="J122" s="500">
        <v>17</v>
      </c>
      <c r="K122" s="496">
        <f t="shared" si="38"/>
        <v>100</v>
      </c>
      <c r="L122" s="496">
        <f t="shared" si="39"/>
        <v>0</v>
      </c>
      <c r="M122" s="496">
        <f t="shared" si="40"/>
        <v>0</v>
      </c>
      <c r="N122" s="499">
        <f t="shared" si="41"/>
        <v>100</v>
      </c>
      <c r="O122" s="495">
        <v>19.399999999999999</v>
      </c>
      <c r="P122" s="496"/>
      <c r="Q122" s="496"/>
      <c r="R122" s="497">
        <f t="shared" si="37"/>
        <v>19.399999999999999</v>
      </c>
      <c r="S122" s="97">
        <v>4</v>
      </c>
      <c r="T122" s="839"/>
      <c r="U122" s="852"/>
      <c r="V122" s="492" t="s">
        <v>72</v>
      </c>
      <c r="W122" s="659" t="s">
        <v>88</v>
      </c>
      <c r="X122" s="659" t="s">
        <v>11</v>
      </c>
      <c r="Y122" s="493">
        <v>19.399999999999999</v>
      </c>
      <c r="AD122" s="492"/>
      <c r="AG122" s="493"/>
      <c r="AL122" s="492"/>
      <c r="AO122" s="493"/>
      <c r="AP122" s="492"/>
      <c r="AS122" s="493"/>
      <c r="AW122" s="493"/>
      <c r="BA122" s="494"/>
    </row>
    <row r="123" spans="1:53" s="673" customFormat="1">
      <c r="A123" s="673">
        <v>2016</v>
      </c>
      <c r="B123" s="836">
        <v>42702</v>
      </c>
      <c r="C123" s="916" t="s">
        <v>1343</v>
      </c>
      <c r="D123" s="916"/>
      <c r="E123" s="673">
        <v>34</v>
      </c>
      <c r="F123" s="673">
        <v>7</v>
      </c>
      <c r="G123" s="539">
        <v>22</v>
      </c>
      <c r="J123" s="541">
        <v>22</v>
      </c>
      <c r="K123" s="537">
        <f t="shared" si="38"/>
        <v>100</v>
      </c>
      <c r="L123" s="537">
        <f t="shared" si="39"/>
        <v>0</v>
      </c>
      <c r="M123" s="537">
        <f t="shared" si="40"/>
        <v>0</v>
      </c>
      <c r="N123" s="540">
        <f t="shared" si="41"/>
        <v>100</v>
      </c>
      <c r="O123" s="536">
        <v>30.3</v>
      </c>
      <c r="P123" s="537"/>
      <c r="Q123" s="537"/>
      <c r="R123" s="538">
        <f t="shared" si="37"/>
        <v>30.3</v>
      </c>
      <c r="S123" s="340">
        <v>5</v>
      </c>
      <c r="T123" s="838"/>
      <c r="U123" s="836">
        <v>42702</v>
      </c>
      <c r="V123" s="532" t="s">
        <v>72</v>
      </c>
      <c r="W123" s="673" t="s">
        <v>88</v>
      </c>
      <c r="X123" s="673" t="s">
        <v>11</v>
      </c>
      <c r="Y123" s="533">
        <v>19.399999999999999</v>
      </c>
      <c r="Z123" s="673" t="s">
        <v>1344</v>
      </c>
      <c r="AA123" s="673" t="s">
        <v>897</v>
      </c>
      <c r="AB123" s="711" t="s">
        <v>11</v>
      </c>
      <c r="AC123" s="673">
        <v>7.4</v>
      </c>
      <c r="AD123" s="532" t="s">
        <v>105</v>
      </c>
      <c r="AE123" s="673" t="s">
        <v>74</v>
      </c>
      <c r="AF123" s="673" t="s">
        <v>11</v>
      </c>
      <c r="AG123" s="533">
        <v>3.4</v>
      </c>
      <c r="AL123" s="532"/>
      <c r="AO123" s="533"/>
      <c r="AP123" s="532"/>
      <c r="AS123" s="533"/>
      <c r="AW123" s="533"/>
      <c r="BA123" s="534"/>
    </row>
    <row r="124" spans="1:53" s="726" customFormat="1">
      <c r="A124" s="726">
        <v>2017</v>
      </c>
      <c r="B124" s="836"/>
      <c r="C124" s="916" t="s">
        <v>1343</v>
      </c>
      <c r="D124" s="916"/>
      <c r="E124" s="726">
        <v>0</v>
      </c>
      <c r="G124" s="539">
        <v>22</v>
      </c>
      <c r="J124" s="541">
        <v>22</v>
      </c>
      <c r="K124" s="537">
        <f t="shared" ref="K124:K127" si="42">G124/J124*100</f>
        <v>100</v>
      </c>
      <c r="L124" s="537">
        <f t="shared" ref="L124:L127" si="43">H124/J124*100</f>
        <v>0</v>
      </c>
      <c r="M124" s="537">
        <f t="shared" ref="M124:M127" si="44">I124/J124*100</f>
        <v>0</v>
      </c>
      <c r="N124" s="540">
        <f t="shared" ref="N124:N127" si="45">SUM(K124:M124)</f>
        <v>100</v>
      </c>
      <c r="O124" s="536">
        <v>30.3</v>
      </c>
      <c r="P124" s="537"/>
      <c r="Q124" s="537"/>
      <c r="R124" s="538">
        <f t="shared" ref="R124:R127" si="46">SUM(O124:Q124)</f>
        <v>30.3</v>
      </c>
      <c r="S124" s="340">
        <v>5</v>
      </c>
      <c r="T124" s="838"/>
      <c r="U124" s="836"/>
      <c r="V124" s="532" t="s">
        <v>72</v>
      </c>
      <c r="W124" s="726" t="s">
        <v>88</v>
      </c>
      <c r="X124" s="726" t="s">
        <v>11</v>
      </c>
      <c r="Y124" s="533">
        <v>19.399999999999999</v>
      </c>
      <c r="Z124" s="726" t="s">
        <v>1344</v>
      </c>
      <c r="AA124" s="726" t="s">
        <v>897</v>
      </c>
      <c r="AB124" s="726" t="s">
        <v>11</v>
      </c>
      <c r="AC124" s="726">
        <v>7.4</v>
      </c>
      <c r="AD124" s="532" t="s">
        <v>105</v>
      </c>
      <c r="AE124" s="726" t="s">
        <v>74</v>
      </c>
      <c r="AF124" s="726" t="s">
        <v>11</v>
      </c>
      <c r="AG124" s="533">
        <v>3.4</v>
      </c>
    </row>
    <row r="125" spans="1:53" s="726" customFormat="1">
      <c r="A125" s="726">
        <v>2017</v>
      </c>
      <c r="B125" s="836"/>
      <c r="C125" s="916" t="s">
        <v>1343</v>
      </c>
      <c r="D125" s="916"/>
      <c r="E125" s="726">
        <v>365</v>
      </c>
      <c r="G125" s="539">
        <v>22</v>
      </c>
      <c r="J125" s="541">
        <v>22</v>
      </c>
      <c r="K125" s="537">
        <f t="shared" si="42"/>
        <v>100</v>
      </c>
      <c r="L125" s="537">
        <f t="shared" si="43"/>
        <v>0</v>
      </c>
      <c r="M125" s="537">
        <f t="shared" si="44"/>
        <v>0</v>
      </c>
      <c r="N125" s="540">
        <f t="shared" si="45"/>
        <v>100</v>
      </c>
      <c r="O125" s="536">
        <v>30.3</v>
      </c>
      <c r="P125" s="537"/>
      <c r="Q125" s="537"/>
      <c r="R125" s="538">
        <f t="shared" si="46"/>
        <v>30.3</v>
      </c>
      <c r="S125" s="340">
        <v>5</v>
      </c>
      <c r="T125" s="838"/>
      <c r="U125" s="836"/>
      <c r="V125" s="532" t="s">
        <v>72</v>
      </c>
      <c r="W125" s="726" t="s">
        <v>88</v>
      </c>
      <c r="X125" s="726" t="s">
        <v>11</v>
      </c>
      <c r="Y125" s="533">
        <v>19.399999999999999</v>
      </c>
      <c r="Z125" s="726" t="s">
        <v>1344</v>
      </c>
      <c r="AA125" s="726" t="s">
        <v>897</v>
      </c>
      <c r="AB125" s="726" t="s">
        <v>11</v>
      </c>
      <c r="AC125" s="726">
        <v>7.4</v>
      </c>
      <c r="AD125" s="532" t="s">
        <v>105</v>
      </c>
      <c r="AE125" s="726" t="s">
        <v>74</v>
      </c>
      <c r="AF125" s="726" t="s">
        <v>11</v>
      </c>
      <c r="AG125" s="533">
        <v>3.4</v>
      </c>
    </row>
    <row r="126" spans="1:53" s="759" customFormat="1">
      <c r="A126" s="759">
        <v>2018</v>
      </c>
      <c r="B126" s="836"/>
      <c r="C126" s="916" t="s">
        <v>1343</v>
      </c>
      <c r="D126" s="916"/>
      <c r="E126" s="759">
        <v>0</v>
      </c>
      <c r="G126" s="539">
        <v>22</v>
      </c>
      <c r="J126" s="541">
        <v>22</v>
      </c>
      <c r="K126" s="537">
        <f t="shared" si="42"/>
        <v>100</v>
      </c>
      <c r="L126" s="537">
        <f t="shared" si="43"/>
        <v>0</v>
      </c>
      <c r="M126" s="537">
        <f t="shared" si="44"/>
        <v>0</v>
      </c>
      <c r="N126" s="540">
        <f t="shared" si="45"/>
        <v>100</v>
      </c>
      <c r="O126" s="536">
        <v>30.3</v>
      </c>
      <c r="P126" s="537"/>
      <c r="Q126" s="537"/>
      <c r="R126" s="538">
        <f t="shared" si="46"/>
        <v>30.3</v>
      </c>
      <c r="S126" s="340">
        <v>5</v>
      </c>
      <c r="T126" s="838"/>
      <c r="U126" s="836"/>
      <c r="V126" s="532" t="s">
        <v>72</v>
      </c>
      <c r="W126" s="759" t="s">
        <v>88</v>
      </c>
      <c r="X126" s="759" t="s">
        <v>11</v>
      </c>
      <c r="Y126" s="533">
        <v>19.399999999999999</v>
      </c>
      <c r="Z126" s="759" t="s">
        <v>1344</v>
      </c>
      <c r="AA126" s="759" t="s">
        <v>897</v>
      </c>
      <c r="AB126" s="759" t="s">
        <v>11</v>
      </c>
      <c r="AC126" s="759">
        <v>7.4</v>
      </c>
      <c r="AD126" s="532" t="s">
        <v>105</v>
      </c>
      <c r="AE126" s="759" t="s">
        <v>74</v>
      </c>
      <c r="AF126" s="759" t="s">
        <v>11</v>
      </c>
      <c r="AG126" s="533">
        <v>3.4</v>
      </c>
    </row>
    <row r="127" spans="1:53" s="759" customFormat="1">
      <c r="A127" s="759">
        <v>2018</v>
      </c>
      <c r="B127" s="836"/>
      <c r="C127" s="916" t="s">
        <v>1343</v>
      </c>
      <c r="D127" s="916"/>
      <c r="E127" s="759">
        <v>365</v>
      </c>
      <c r="G127" s="539">
        <v>22</v>
      </c>
      <c r="J127" s="541">
        <v>22</v>
      </c>
      <c r="K127" s="537">
        <f t="shared" si="42"/>
        <v>100</v>
      </c>
      <c r="L127" s="537">
        <f t="shared" si="43"/>
        <v>0</v>
      </c>
      <c r="M127" s="537">
        <f t="shared" si="44"/>
        <v>0</v>
      </c>
      <c r="N127" s="540">
        <f t="shared" si="45"/>
        <v>100</v>
      </c>
      <c r="O127" s="536">
        <v>30.3</v>
      </c>
      <c r="P127" s="537"/>
      <c r="Q127" s="537"/>
      <c r="R127" s="538">
        <f t="shared" si="46"/>
        <v>30.3</v>
      </c>
      <c r="S127" s="340">
        <v>5</v>
      </c>
      <c r="T127" s="838"/>
      <c r="U127" s="836"/>
      <c r="V127" s="532" t="s">
        <v>72</v>
      </c>
      <c r="W127" s="759" t="s">
        <v>88</v>
      </c>
      <c r="X127" s="759" t="s">
        <v>11</v>
      </c>
      <c r="Y127" s="533">
        <v>19.399999999999999</v>
      </c>
      <c r="Z127" s="759" t="s">
        <v>1344</v>
      </c>
      <c r="AA127" s="759" t="s">
        <v>897</v>
      </c>
      <c r="AB127" s="759" t="s">
        <v>11</v>
      </c>
      <c r="AC127" s="759">
        <v>7.4</v>
      </c>
      <c r="AD127" s="532" t="s">
        <v>105</v>
      </c>
      <c r="AE127" s="759" t="s">
        <v>74</v>
      </c>
      <c r="AF127" s="759" t="s">
        <v>11</v>
      </c>
      <c r="AG127" s="533">
        <v>3.4</v>
      </c>
    </row>
    <row r="128" spans="1:53" s="786" customFormat="1">
      <c r="A128" s="786">
        <v>2019</v>
      </c>
      <c r="B128" s="836"/>
      <c r="C128" s="916" t="s">
        <v>1343</v>
      </c>
      <c r="D128" s="916"/>
      <c r="E128" s="786">
        <v>177</v>
      </c>
      <c r="G128" s="539">
        <v>22</v>
      </c>
      <c r="J128" s="541">
        <v>22</v>
      </c>
      <c r="K128" s="537">
        <f t="shared" ref="K128" si="47">G128/J128*100</f>
        <v>100</v>
      </c>
      <c r="L128" s="537">
        <f t="shared" ref="L128" si="48">H128/J128*100</f>
        <v>0</v>
      </c>
      <c r="M128" s="537">
        <f t="shared" ref="M128" si="49">I128/J128*100</f>
        <v>0</v>
      </c>
      <c r="N128" s="540">
        <f t="shared" ref="N128" si="50">SUM(K128:M128)</f>
        <v>100</v>
      </c>
      <c r="O128" s="536">
        <v>30.3</v>
      </c>
      <c r="P128" s="537"/>
      <c r="Q128" s="537"/>
      <c r="R128" s="538">
        <f t="shared" ref="R128:R129" si="51">SUM(O128:Q128)</f>
        <v>30.3</v>
      </c>
      <c r="S128" s="340">
        <v>5</v>
      </c>
      <c r="T128" s="838"/>
      <c r="U128" s="836"/>
      <c r="V128" s="532" t="s">
        <v>72</v>
      </c>
      <c r="W128" s="786" t="s">
        <v>88</v>
      </c>
      <c r="X128" s="786" t="s">
        <v>11</v>
      </c>
      <c r="Y128" s="533">
        <v>19.399999999999999</v>
      </c>
      <c r="Z128" s="786" t="s">
        <v>1344</v>
      </c>
      <c r="AA128" s="786" t="s">
        <v>897</v>
      </c>
      <c r="AB128" s="786" t="s">
        <v>11</v>
      </c>
      <c r="AC128" s="786">
        <v>7.4</v>
      </c>
      <c r="AD128" s="532" t="s">
        <v>105</v>
      </c>
      <c r="AE128" s="786" t="s">
        <v>74</v>
      </c>
      <c r="AF128" s="786" t="s">
        <v>11</v>
      </c>
      <c r="AG128" s="533">
        <v>3.4</v>
      </c>
    </row>
    <row r="129" spans="1:53" s="787" customFormat="1">
      <c r="A129" s="787">
        <v>2019</v>
      </c>
      <c r="B129" s="852">
        <v>43643</v>
      </c>
      <c r="C129" s="917" t="s">
        <v>1441</v>
      </c>
      <c r="D129" s="917"/>
      <c r="E129" s="787">
        <v>188</v>
      </c>
      <c r="F129" s="787">
        <v>1</v>
      </c>
      <c r="G129" s="498"/>
      <c r="I129" s="787">
        <v>20</v>
      </c>
      <c r="J129" s="500">
        <v>20</v>
      </c>
      <c r="K129" s="496">
        <f t="shared" ref="K129" si="52">G129/J129*100</f>
        <v>0</v>
      </c>
      <c r="L129" s="496">
        <f t="shared" ref="L129" si="53">H129/J129*100</f>
        <v>0</v>
      </c>
      <c r="M129" s="496">
        <f t="shared" ref="M129" si="54">I129/J129*100</f>
        <v>100</v>
      </c>
      <c r="N129" s="496">
        <f t="shared" ref="N129" si="55">SUM(K129:M129)</f>
        <v>100</v>
      </c>
      <c r="O129" s="495"/>
      <c r="P129" s="496"/>
      <c r="Q129" s="787">
        <v>27.4</v>
      </c>
      <c r="R129" s="497">
        <f t="shared" si="51"/>
        <v>27.4</v>
      </c>
      <c r="S129" s="97">
        <v>4</v>
      </c>
      <c r="T129" s="839">
        <v>43621</v>
      </c>
      <c r="U129" s="852">
        <v>43643</v>
      </c>
      <c r="V129" s="492" t="s">
        <v>102</v>
      </c>
      <c r="W129" s="787" t="s">
        <v>20</v>
      </c>
      <c r="X129" s="787" t="s">
        <v>12</v>
      </c>
      <c r="Y129" s="493">
        <v>27.4</v>
      </c>
      <c r="AD129" s="492"/>
      <c r="AG129" s="493"/>
      <c r="AL129" s="492"/>
      <c r="AO129" s="493"/>
      <c r="AP129" s="492"/>
      <c r="AS129" s="493"/>
      <c r="AW129" s="493"/>
      <c r="BA129" s="494"/>
    </row>
    <row r="131" spans="1:53" s="2" customFormat="1" ht="18" customHeight="1">
      <c r="B131" s="22" t="s">
        <v>1269</v>
      </c>
    </row>
    <row r="132" spans="1:53" s="2" customFormat="1" ht="9" customHeight="1"/>
    <row r="133" spans="1:53" s="317" customFormat="1" ht="9" customHeight="1">
      <c r="A133" s="315"/>
      <c r="B133" s="316" t="s">
        <v>1220</v>
      </c>
      <c r="C133" s="316"/>
      <c r="D133" s="316"/>
      <c r="E133" s="316"/>
      <c r="F133" s="316"/>
      <c r="G133" s="316" t="s">
        <v>1221</v>
      </c>
      <c r="H133" s="316"/>
      <c r="I133" s="316"/>
      <c r="J133" s="316"/>
      <c r="K133" s="316"/>
      <c r="L133" s="316"/>
      <c r="M133" s="316"/>
      <c r="N133" s="316"/>
      <c r="R133" s="895" t="s">
        <v>1222</v>
      </c>
      <c r="S133" s="895"/>
      <c r="T133" s="895"/>
      <c r="U133" s="895"/>
      <c r="V133" s="895"/>
      <c r="W133" s="895"/>
      <c r="X133" s="318"/>
      <c r="Y133" s="318"/>
      <c r="AA133" s="318"/>
      <c r="AB133" s="318"/>
      <c r="AC133" s="318"/>
      <c r="AD133" s="318"/>
    </row>
    <row r="134" spans="1:53" s="322" customFormat="1" ht="9" customHeight="1">
      <c r="A134" s="319"/>
      <c r="B134" s="320" t="s">
        <v>1224</v>
      </c>
      <c r="C134" s="321"/>
      <c r="D134" s="321"/>
      <c r="E134" s="321"/>
      <c r="F134" s="321"/>
      <c r="G134" s="320" t="s">
        <v>1223</v>
      </c>
      <c r="H134" s="321"/>
      <c r="I134" s="321"/>
      <c r="J134" s="321"/>
      <c r="K134" s="321"/>
      <c r="L134" s="321"/>
      <c r="M134" s="321"/>
      <c r="N134" s="321"/>
      <c r="R134" s="323" t="s">
        <v>1225</v>
      </c>
      <c r="S134" s="324"/>
      <c r="T134" s="325"/>
      <c r="U134" s="325"/>
      <c r="V134" s="325"/>
      <c r="W134" s="323" t="s">
        <v>1226</v>
      </c>
      <c r="X134" s="325"/>
      <c r="Y134" s="325"/>
      <c r="AA134" s="325"/>
      <c r="AB134" s="325"/>
      <c r="AC134" s="325"/>
      <c r="AD134" s="325"/>
    </row>
    <row r="135" spans="1:53" s="307" customFormat="1" ht="12" customHeight="1">
      <c r="A135" s="326" t="s">
        <v>3</v>
      </c>
      <c r="B135" s="327" t="s">
        <v>8</v>
      </c>
      <c r="C135" s="327" t="s">
        <v>9</v>
      </c>
      <c r="D135" s="327" t="s">
        <v>10</v>
      </c>
      <c r="E135" s="328" t="s">
        <v>1200</v>
      </c>
      <c r="F135" s="327"/>
      <c r="G135" s="307" t="s">
        <v>3</v>
      </c>
      <c r="H135" s="896" t="s">
        <v>0</v>
      </c>
      <c r="I135" s="896"/>
      <c r="J135" s="896" t="s">
        <v>1</v>
      </c>
      <c r="K135" s="896"/>
      <c r="L135" s="896" t="s">
        <v>2</v>
      </c>
      <c r="M135" s="896"/>
      <c r="N135" s="897" t="s">
        <v>1200</v>
      </c>
      <c r="O135" s="897"/>
      <c r="P135" s="329"/>
      <c r="Q135" s="329"/>
      <c r="R135" s="330" t="s">
        <v>3</v>
      </c>
      <c r="S135" s="331" t="s">
        <v>136</v>
      </c>
      <c r="T135" s="329" t="s">
        <v>134</v>
      </c>
      <c r="U135" s="327" t="s">
        <v>135</v>
      </c>
      <c r="V135" s="329"/>
      <c r="W135" s="332" t="s">
        <v>26</v>
      </c>
    </row>
    <row r="136" spans="1:53" s="243" customFormat="1">
      <c r="A136" s="243">
        <v>1959</v>
      </c>
      <c r="B136" s="244">
        <f>(K6*($E6/365))+(K7*($E7/365))</f>
        <v>43.75</v>
      </c>
      <c r="C136" s="244">
        <f>(L6*($E6/365))+(L7*($E7/365))</f>
        <v>0</v>
      </c>
      <c r="D136" s="244">
        <f>(M6*($E6/365))+(M7*($E7/365))</f>
        <v>56.25</v>
      </c>
      <c r="E136" s="231">
        <f>B136+C136+D136</f>
        <v>100</v>
      </c>
      <c r="G136" s="243">
        <v>1959</v>
      </c>
      <c r="H136" s="898">
        <f>(O6/$R6*100*($E6/365))+(O7/$R7*100*($E7/365))</f>
        <v>24.670433145009415</v>
      </c>
      <c r="I136" s="898"/>
      <c r="J136" s="898">
        <f>(P6/$R6*100*($E6/365))+(P7/$R7*100*($E7/365))</f>
        <v>0</v>
      </c>
      <c r="K136" s="898"/>
      <c r="L136" s="898">
        <f>(Q6/$R6*100*($E6/365))+(Q7/$R7*100*($E7/365))</f>
        <v>75.329566854990588</v>
      </c>
      <c r="M136" s="898"/>
      <c r="N136" s="946">
        <f>H136+J136+K136</f>
        <v>24.670433145009415</v>
      </c>
      <c r="O136" s="946"/>
      <c r="R136" s="243">
        <v>1959</v>
      </c>
      <c r="S136" s="244">
        <f>(O6*($E6/365))+(O7*($E7/365))</f>
        <v>13.1</v>
      </c>
      <c r="T136" s="244">
        <f>(P6*($E6/365))+(P7*($E7/365))</f>
        <v>0</v>
      </c>
      <c r="U136" s="244">
        <f>(Q6*($E6/365))+(Q7*($E7/365))</f>
        <v>40</v>
      </c>
      <c r="V136" s="245"/>
      <c r="W136" s="244">
        <f>S136+T136+U136</f>
        <v>53.1</v>
      </c>
      <c r="X136" s="232"/>
      <c r="Z136" s="232"/>
    </row>
    <row r="137" spans="1:53">
      <c r="A137" s="1">
        <v>1960</v>
      </c>
      <c r="B137" s="7">
        <f>(K8*($E8/366))+(K9*($E9/366))+(K10*($E10/366))</f>
        <v>44.185886103075106</v>
      </c>
      <c r="C137" s="7">
        <f>(L8*($E8/366))+(L9*($E9/366))+(L10*($E10/366))</f>
        <v>0</v>
      </c>
      <c r="D137" s="7">
        <f>(M8*($E8/366))+(M9*($E9/366))+(M10*($E10/366))</f>
        <v>55.106945783777995</v>
      </c>
      <c r="E137" s="33">
        <f t="shared" ref="E137:E166" si="56">SUM(B137:D137)</f>
        <v>99.292831886853094</v>
      </c>
      <c r="G137" s="1">
        <v>1960</v>
      </c>
      <c r="H137" s="886">
        <f>(O8/$R8*100*($E8/366))+(O9/$R9*100*($E9/366))+(O10/$R10*100*($E10/366))</f>
        <v>23.228486206465224</v>
      </c>
      <c r="I137" s="886"/>
      <c r="J137" s="886">
        <f>(P8/$R8*100*($E8/366))+(P9/$R9*100*($E9/366))+(P10/$R10*100*($E10/366))</f>
        <v>0</v>
      </c>
      <c r="K137" s="886"/>
      <c r="L137" s="886">
        <f>(Q8/$R8*100*($E8/366))+(Q9/$R9*100*($E9/366))+(Q10/$R10*100*($E10/366))</f>
        <v>76.77151379353478</v>
      </c>
      <c r="M137" s="886"/>
      <c r="N137" s="887">
        <f t="shared" ref="N137:N177" si="57">SUM(H137:M137)</f>
        <v>100</v>
      </c>
      <c r="O137" s="887"/>
      <c r="R137" s="1">
        <v>1960</v>
      </c>
      <c r="S137" s="7">
        <f>(O8*($E8/366))+(O9*($E9/366))+(O10*($E10/366))</f>
        <v>12.282513661202184</v>
      </c>
      <c r="T137" s="7">
        <f>(P8*($E8/366))+(P9*($E9/366))+(P10*($E10/366))</f>
        <v>0</v>
      </c>
      <c r="U137" s="7">
        <f>(Q8*($E8/366))+(Q9*($E9/366))+(Q10*($E10/366))</f>
        <v>40.40874316939891</v>
      </c>
      <c r="V137" s="12"/>
      <c r="W137" s="7">
        <f>R8*(E8/366) + R9*(E9/366) + R10*(E10/366)</f>
        <v>52.691256830601098</v>
      </c>
      <c r="X137" s="5"/>
      <c r="Z137" s="5"/>
    </row>
    <row r="138" spans="1:53">
      <c r="A138" s="1">
        <v>1961</v>
      </c>
      <c r="B138" s="7">
        <f>(K11*($E11/365))+(K12*($E12/365))</f>
        <v>29.411764705882355</v>
      </c>
      <c r="C138" s="7">
        <f>(L11*($E11/365))+(L12*($E12/365))</f>
        <v>0</v>
      </c>
      <c r="D138" s="7">
        <f>(M11*($E11/365))+(M12*($E12/365))</f>
        <v>64.705882352941174</v>
      </c>
      <c r="E138" s="33">
        <f t="shared" si="56"/>
        <v>94.117647058823536</v>
      </c>
      <c r="G138" s="1">
        <v>1961</v>
      </c>
      <c r="H138" s="886">
        <f>(O11/$R11*100*($E11/365))+(O12/$R12*100*($E12/365))</f>
        <v>12.676056338028168</v>
      </c>
      <c r="I138" s="886"/>
      <c r="J138" s="886">
        <f>(P11/$R11*100*($E11/365))+(P12/$R12*100*($E12/365))</f>
        <v>0</v>
      </c>
      <c r="K138" s="886"/>
      <c r="L138" s="886">
        <f>(Q11/$R11*100*($E11/365))+(Q12/$R12*100*($E12/365))</f>
        <v>87.323943661971839</v>
      </c>
      <c r="M138" s="886"/>
      <c r="N138" s="887">
        <f t="shared" si="57"/>
        <v>100</v>
      </c>
      <c r="O138" s="887"/>
      <c r="R138" s="1">
        <v>1961</v>
      </c>
      <c r="S138" s="7">
        <f>(O11*($E11/365))+(O12*($E12/365))</f>
        <v>6.3</v>
      </c>
      <c r="T138" s="7">
        <f>(P11*($E11/365))+(P12*($E12/365))</f>
        <v>0</v>
      </c>
      <c r="U138" s="7">
        <f>(Q11*($E11/365))+(Q12*($E12/365))</f>
        <v>43.4</v>
      </c>
      <c r="V138" s="12"/>
      <c r="W138" s="7">
        <f>R11*(E11/365) + R12*(E12/365)</f>
        <v>49.699999999999996</v>
      </c>
      <c r="X138" s="5"/>
      <c r="Z138" s="5"/>
    </row>
    <row r="139" spans="1:53">
      <c r="A139" s="1">
        <v>1962</v>
      </c>
      <c r="B139" s="7">
        <f>(K13*($E13/365))+(K14*($E14/365))</f>
        <v>29.411764705882355</v>
      </c>
      <c r="C139" s="7">
        <f>(L13*($E13/365))+(L14*($E14/365))</f>
        <v>0</v>
      </c>
      <c r="D139" s="7">
        <f>(M13*($E13/365))+(M14*($E14/365))</f>
        <v>64.705882352941174</v>
      </c>
      <c r="E139" s="33">
        <f t="shared" si="56"/>
        <v>94.117647058823536</v>
      </c>
      <c r="G139" s="1">
        <v>1962</v>
      </c>
      <c r="H139" s="886">
        <f>(O13/$R13*100*($E13/365))+(O14/$R14*100*($E14/365))</f>
        <v>12.676056338028168</v>
      </c>
      <c r="I139" s="886"/>
      <c r="J139" s="886">
        <f>(P13/$R13*100*($E13/365))+(P14/$R14*100*($E14/365))</f>
        <v>0</v>
      </c>
      <c r="K139" s="886"/>
      <c r="L139" s="886">
        <f>(Q13/$R13*100*($E13/365))+(Q14/$R14*100*($E14/365))</f>
        <v>87.323943661971839</v>
      </c>
      <c r="M139" s="886"/>
      <c r="N139" s="887">
        <f t="shared" si="57"/>
        <v>100</v>
      </c>
      <c r="O139" s="887"/>
      <c r="R139" s="1">
        <v>1962</v>
      </c>
      <c r="S139" s="7">
        <f>(O13*($E13/365))+(O14*($E14/365))</f>
        <v>6.3000000000000007</v>
      </c>
      <c r="T139" s="7">
        <f>(P13*($E13/365))+(P14*($E14/365))</f>
        <v>0</v>
      </c>
      <c r="U139" s="7">
        <f>(Q13*($E13/365))+(Q14*($E14/365))</f>
        <v>43.4</v>
      </c>
      <c r="V139" s="12"/>
      <c r="W139" s="7">
        <f>R13*(E13/365) + R14*(E14/365)</f>
        <v>49.699999999999996</v>
      </c>
      <c r="X139" s="5"/>
      <c r="Z139" s="5"/>
    </row>
    <row r="140" spans="1:53">
      <c r="A140" s="1">
        <v>1963</v>
      </c>
      <c r="B140" s="7">
        <f>(K15*($E15/365))+(K16*($E16/365))</f>
        <v>29.411764705882355</v>
      </c>
      <c r="C140" s="7">
        <f>(L15*($E15/365))+(L16*($E16/365))</f>
        <v>0</v>
      </c>
      <c r="D140" s="7">
        <f>(M15*($E15/365))+(M16*($E16/365))</f>
        <v>64.705882352941174</v>
      </c>
      <c r="E140" s="33">
        <f t="shared" si="56"/>
        <v>94.117647058823536</v>
      </c>
      <c r="G140" s="1">
        <v>1963</v>
      </c>
      <c r="H140" s="886">
        <f>(O15/$R15*100*($E15/365))+(O16/$R16*100*($E16/365))</f>
        <v>12.676056338028168</v>
      </c>
      <c r="I140" s="886"/>
      <c r="J140" s="886">
        <f>(P15/$R15*100*($E15/365))+(P16/$R16*100*($E16/365))</f>
        <v>0</v>
      </c>
      <c r="K140" s="886"/>
      <c r="L140" s="886">
        <f>(Q15/$R15*100*($E15/365))+(Q16/$R16*100*($E16/365))</f>
        <v>87.323943661971839</v>
      </c>
      <c r="M140" s="886"/>
      <c r="N140" s="887">
        <f t="shared" si="57"/>
        <v>100</v>
      </c>
      <c r="O140" s="887"/>
      <c r="R140" s="1">
        <v>1963</v>
      </c>
      <c r="S140" s="7">
        <f>(O15*($E15/365))+(O16*($E16/365))</f>
        <v>6.3</v>
      </c>
      <c r="T140" s="7">
        <f>(P15*($E15/365))+(P16*($E16/365))</f>
        <v>0</v>
      </c>
      <c r="U140" s="7">
        <f>(Q15*($E15/365))+(Q16*($E16/365))</f>
        <v>43.4</v>
      </c>
      <c r="V140" s="12"/>
      <c r="W140" s="7">
        <f>R15*(E15/365) + R16*(E16/365)</f>
        <v>49.699999999999996</v>
      </c>
      <c r="X140" s="5"/>
      <c r="Z140" s="5"/>
    </row>
    <row r="141" spans="1:53">
      <c r="A141" s="1">
        <v>1964</v>
      </c>
      <c r="B141" s="7">
        <f>(K17*($E17/366))+(K18*($E18/366))</f>
        <v>21.616843458694955</v>
      </c>
      <c r="C141" s="7">
        <f>(L17*($E17/366))+(L18*($E18/366))</f>
        <v>0</v>
      </c>
      <c r="D141" s="7">
        <f>(M17*($E17/366))+(M18*($E18/366))</f>
        <v>74.05978784956605</v>
      </c>
      <c r="E141" s="33">
        <f t="shared" si="56"/>
        <v>95.676631308261008</v>
      </c>
      <c r="G141" s="1">
        <v>1964</v>
      </c>
      <c r="H141" s="886">
        <f>(O17/$R17*100*($E17/366))+(O18/$R18*100*($E18/366))</f>
        <v>9.3165550681135993</v>
      </c>
      <c r="I141" s="886"/>
      <c r="J141" s="886">
        <f>(P17/$R17*100*($E17/366))+(P18/$R18*100*($E18/366))</f>
        <v>0</v>
      </c>
      <c r="K141" s="886"/>
      <c r="L141" s="886">
        <f>(Q17/$R17*100*($E17/366))+(Q18/$R18*100*($E18/366))</f>
        <v>90.683444931886413</v>
      </c>
      <c r="M141" s="886"/>
      <c r="N141" s="887">
        <f t="shared" si="57"/>
        <v>100.00000000000001</v>
      </c>
      <c r="O141" s="887"/>
      <c r="R141" s="1">
        <v>1964</v>
      </c>
      <c r="S141" s="7">
        <f>(O17*($E17/366))+(O18*($E18/366))</f>
        <v>4.6303278688524587</v>
      </c>
      <c r="T141" s="7">
        <f>(P17*($E17/366))+(P18*($E18/366))</f>
        <v>0</v>
      </c>
      <c r="U141" s="7">
        <f>(Q17*($E17/366))+(Q18*($E18/366))</f>
        <v>43.400000000000006</v>
      </c>
      <c r="V141" s="12"/>
      <c r="W141" s="7">
        <f>R17*(E17/366) + R18*(E18/366)</f>
        <v>48.03032786885246</v>
      </c>
      <c r="X141" s="5"/>
      <c r="Z141" s="5"/>
    </row>
    <row r="142" spans="1:53">
      <c r="A142" s="1">
        <v>1965</v>
      </c>
      <c r="B142" s="7">
        <f>(K19*($E19/365))+(K20*($E20/365))</f>
        <v>0</v>
      </c>
      <c r="C142" s="7">
        <f>(L19*($E19/365))+(L20*($E20/365))</f>
        <v>0</v>
      </c>
      <c r="D142" s="7">
        <f>(M19*($E19/365))+(M20*($E20/365))</f>
        <v>100</v>
      </c>
      <c r="E142" s="33">
        <f t="shared" si="56"/>
        <v>100</v>
      </c>
      <c r="G142" s="1">
        <v>1965</v>
      </c>
      <c r="H142" s="886">
        <f>(O19/$R19*100*($E19/365))+(O20/$R20*100*($E20/365))</f>
        <v>0</v>
      </c>
      <c r="I142" s="886"/>
      <c r="J142" s="886">
        <f>(P19/$R19*100*($E19/365))+(P20/$R20*100*($E20/365))</f>
        <v>0</v>
      </c>
      <c r="K142" s="886"/>
      <c r="L142" s="886">
        <f>(Q19/$R19*100*($E19/365))+(Q20/$R20*100*($E20/365))</f>
        <v>100</v>
      </c>
      <c r="M142" s="886"/>
      <c r="N142" s="887">
        <f t="shared" si="57"/>
        <v>100</v>
      </c>
      <c r="O142" s="887"/>
      <c r="R142" s="1">
        <v>1965</v>
      </c>
      <c r="S142" s="7">
        <f>(O19*($E19/365))+(O20*($E20/365))</f>
        <v>0</v>
      </c>
      <c r="T142" s="7">
        <f>(P19*($E19/365))+(P20*($E20/365))</f>
        <v>0</v>
      </c>
      <c r="U142" s="7">
        <f>(Q19*($E19/365))+(Q20*($E20/365))</f>
        <v>43.4</v>
      </c>
      <c r="V142" s="12"/>
      <c r="W142" s="7">
        <f>R19*(E19/365) + R20*(E20/365)</f>
        <v>43.4</v>
      </c>
      <c r="X142" s="5"/>
      <c r="Z142" s="5"/>
    </row>
    <row r="143" spans="1:53">
      <c r="A143" s="1">
        <v>1966</v>
      </c>
      <c r="B143" s="7">
        <f>(K21*($E21/365))+(K22*($E22/365))</f>
        <v>0</v>
      </c>
      <c r="C143" s="7">
        <f>(L21*($E21/365))+(L22*($E22/365))</f>
        <v>0</v>
      </c>
      <c r="D143" s="7">
        <f>(M21*($E21/365))+(M22*($E22/365))</f>
        <v>100.00000000000001</v>
      </c>
      <c r="E143" s="33">
        <f t="shared" si="56"/>
        <v>100.00000000000001</v>
      </c>
      <c r="G143" s="1">
        <v>1966</v>
      </c>
      <c r="H143" s="886">
        <f>(O21/$R21*100*($E21/365))+(O22/$R22*100*($E22/365))</f>
        <v>0</v>
      </c>
      <c r="I143" s="886"/>
      <c r="J143" s="886">
        <f>(P21/$R21*100*($E21/365))+(P22/$R22*100*($E22/365))</f>
        <v>0</v>
      </c>
      <c r="K143" s="886"/>
      <c r="L143" s="886">
        <f>(Q21/$R21*100*($E21/365))+(Q22/$R22*100*($E22/365))</f>
        <v>100.00000000000001</v>
      </c>
      <c r="M143" s="886"/>
      <c r="N143" s="887">
        <f t="shared" si="57"/>
        <v>100.00000000000001</v>
      </c>
      <c r="O143" s="887"/>
      <c r="R143" s="1">
        <v>1966</v>
      </c>
      <c r="S143" s="7">
        <f>(O21*($E21/365))+(O22*($E22/365))</f>
        <v>0</v>
      </c>
      <c r="T143" s="7">
        <f>(P21*($E21/365))+(P22*($E22/365))</f>
        <v>0</v>
      </c>
      <c r="U143" s="7">
        <f>(Q21*($E21/365))+(Q22*($E22/365))</f>
        <v>43.027397260273979</v>
      </c>
      <c r="V143" s="12"/>
      <c r="W143" s="7">
        <f>R21*(E21/365) + R22*(E22/365)</f>
        <v>43.027397260273979</v>
      </c>
      <c r="X143" s="5"/>
      <c r="Z143" s="5"/>
    </row>
    <row r="144" spans="1:53">
      <c r="A144" s="1">
        <v>1967</v>
      </c>
      <c r="B144" s="7">
        <f>(K23*($E23/365))+(K24*($E24/365))</f>
        <v>0</v>
      </c>
      <c r="C144" s="7">
        <f>(L23*($E23/365))+(L24*($E24/365))</f>
        <v>0</v>
      </c>
      <c r="D144" s="7">
        <f>(M23*($E23/365))+(M24*($E24/365))</f>
        <v>100</v>
      </c>
      <c r="E144" s="33">
        <f t="shared" si="56"/>
        <v>100</v>
      </c>
      <c r="G144" s="1">
        <v>1967</v>
      </c>
      <c r="H144" s="886">
        <f>(O23/$R23*100*($E23/365))+(O24/$R24*100*($E24/365))</f>
        <v>0</v>
      </c>
      <c r="I144" s="886"/>
      <c r="J144" s="886">
        <f>(P23/$R23*100*($E23/365))+(P24/$R24*100*($E24/365))</f>
        <v>0</v>
      </c>
      <c r="K144" s="886"/>
      <c r="L144" s="886">
        <f>(Q23/$R23*100*($E23/365))+(Q24/$R24*100*($E24/365))</f>
        <v>100</v>
      </c>
      <c r="M144" s="886"/>
      <c r="N144" s="887">
        <f t="shared" si="57"/>
        <v>100</v>
      </c>
      <c r="O144" s="887"/>
      <c r="R144" s="1">
        <v>1967</v>
      </c>
      <c r="S144" s="7">
        <f>(O23*($E23/365))+(O24*($E24/365))</f>
        <v>0</v>
      </c>
      <c r="T144" s="7">
        <f>(P23*($E23/365))+(P24*($E24/365))</f>
        <v>0</v>
      </c>
      <c r="U144" s="7">
        <f>(Q23*($E23/365))+(Q24*($E24/365))</f>
        <v>39.4</v>
      </c>
      <c r="V144" s="12"/>
      <c r="W144" s="7">
        <f>R23*(E23/365) + R24*(E24/365)</f>
        <v>39.4</v>
      </c>
      <c r="X144" s="5"/>
      <c r="Z144" s="5"/>
    </row>
    <row r="145" spans="1:26">
      <c r="A145" s="1">
        <v>1968</v>
      </c>
      <c r="B145" s="7">
        <f>(K25*($E25/366))+(K26*($E26/366))</f>
        <v>91.530054644808743</v>
      </c>
      <c r="C145" s="7">
        <f>(L25*($E25/366))+(L26*($E26/366))</f>
        <v>0</v>
      </c>
      <c r="D145" s="7">
        <f>(M25*($E25/366))+(M26*($E26/366))</f>
        <v>8.4699453551912569</v>
      </c>
      <c r="E145" s="33">
        <f t="shared" si="56"/>
        <v>100</v>
      </c>
      <c r="G145" s="1">
        <v>1968</v>
      </c>
      <c r="H145" s="886">
        <f>(O25/$R25*100*($E25/366))+(O26/$R26*100*($E26/366))</f>
        <v>91.530054644808743</v>
      </c>
      <c r="I145" s="886"/>
      <c r="J145" s="886">
        <f>(P25/$R25*100*($E25/366))+(P26/$R26*100*($E26/366))</f>
        <v>0</v>
      </c>
      <c r="K145" s="886"/>
      <c r="L145" s="886">
        <f>(Q25/$R25*100*($E25/366))+(Q26/$R26*100*($E26/366))</f>
        <v>8.4699453551912569</v>
      </c>
      <c r="M145" s="886"/>
      <c r="N145" s="887">
        <f t="shared" si="57"/>
        <v>100</v>
      </c>
      <c r="O145" s="887"/>
      <c r="R145" s="1">
        <v>1968</v>
      </c>
      <c r="S145" s="7">
        <f>(O25*($E25/366))+(O26*($E26/366))</f>
        <v>51.165300546448087</v>
      </c>
      <c r="T145" s="7">
        <f>(P25*($E25/366))+(P26*($E26/366))</f>
        <v>0</v>
      </c>
      <c r="U145" s="7">
        <f>(Q25*($E25/366))+(Q26*($E26/366))</f>
        <v>3.3371584699453551</v>
      </c>
      <c r="V145" s="12"/>
      <c r="W145" s="7">
        <f>R25*(E25/366) + R26*(E26/366)</f>
        <v>54.502459016393445</v>
      </c>
      <c r="X145" s="5"/>
      <c r="Z145" s="5"/>
    </row>
    <row r="146" spans="1:26">
      <c r="A146" s="1">
        <v>1969</v>
      </c>
      <c r="B146" s="7">
        <f>(K27*($E27/365))+(K28*($E28/365))</f>
        <v>100</v>
      </c>
      <c r="C146" s="7">
        <f>(L27*($E27/365))+(L28*($E28/365))</f>
        <v>0</v>
      </c>
      <c r="D146" s="7">
        <f>(M27*($E27/365))+(M28*($E28/365))</f>
        <v>0</v>
      </c>
      <c r="E146" s="33">
        <f t="shared" si="56"/>
        <v>100</v>
      </c>
      <c r="G146" s="1">
        <v>1969</v>
      </c>
      <c r="H146" s="886">
        <f>(O27/$R27*100*($E27/365))+(O28/$R28*100*($E28/365))</f>
        <v>100</v>
      </c>
      <c r="I146" s="886"/>
      <c r="J146" s="886">
        <f>(P27/$R27*100*($E27/365))+(P28/$R28*100*($E28/365))</f>
        <v>0</v>
      </c>
      <c r="K146" s="886"/>
      <c r="L146" s="886">
        <f>(Q27/$R27*100*($E27/365))+(Q28/$R28*100*($E28/365))</f>
        <v>0</v>
      </c>
      <c r="M146" s="886"/>
      <c r="N146" s="887">
        <f t="shared" si="57"/>
        <v>100</v>
      </c>
      <c r="O146" s="887"/>
      <c r="R146" s="1">
        <v>1969</v>
      </c>
      <c r="S146" s="7">
        <f>(O27*($E27/365))+(O28*($E28/365))</f>
        <v>55.9</v>
      </c>
      <c r="T146" s="7">
        <f>(P27*($E27/365))+(P28*($E28/365))</f>
        <v>0</v>
      </c>
      <c r="U146" s="7">
        <f>(Q27*($E27/365))+(Q28*($E28/365))</f>
        <v>0</v>
      </c>
      <c r="V146" s="12"/>
      <c r="W146" s="7">
        <f>R27*(E27/365) + R28*(E28/365)</f>
        <v>55.9</v>
      </c>
      <c r="X146" s="5"/>
      <c r="Z146" s="5"/>
    </row>
    <row r="147" spans="1:26">
      <c r="A147" s="1">
        <v>1970</v>
      </c>
      <c r="B147" s="7">
        <f>(K29*($E29/365))+(K30*($E30/365))</f>
        <v>100</v>
      </c>
      <c r="C147" s="7">
        <f>(L29*($E29/365))+(L30*($E30/365))</f>
        <v>0</v>
      </c>
      <c r="D147" s="7">
        <f>(M29*($E29/365))+(M30*($E30/365))</f>
        <v>0</v>
      </c>
      <c r="E147" s="33">
        <f t="shared" si="56"/>
        <v>100</v>
      </c>
      <c r="G147" s="1">
        <v>1970</v>
      </c>
      <c r="H147" s="886">
        <f>(O29/$R29*100*($E29/365))+(O30/$R30*100*($E30/365))</f>
        <v>100</v>
      </c>
      <c r="I147" s="886"/>
      <c r="J147" s="886">
        <f>(P29/$R29*100*($E29/365))+(P30/$R30*100*($E30/365))</f>
        <v>0</v>
      </c>
      <c r="K147" s="886"/>
      <c r="L147" s="886">
        <f>(Q29/$R29*100*($E29/365))+(Q30/$R30*100*($E30/365))</f>
        <v>0</v>
      </c>
      <c r="M147" s="886"/>
      <c r="N147" s="887">
        <f t="shared" si="57"/>
        <v>100</v>
      </c>
      <c r="O147" s="887"/>
      <c r="R147" s="1">
        <v>1970</v>
      </c>
      <c r="S147" s="7">
        <f>(O29*($E29/365))+(O30*($E30/365))</f>
        <v>55.9</v>
      </c>
      <c r="T147" s="7">
        <f>(P29*($E29/365))+(P30*($E30/365))</f>
        <v>0</v>
      </c>
      <c r="U147" s="7">
        <f>(Q29*($E29/365))+(Q30*($E30/365))</f>
        <v>0</v>
      </c>
      <c r="V147" s="12"/>
      <c r="W147" s="7">
        <f>R29*(E29/365) + R30*(E30/365)</f>
        <v>55.9</v>
      </c>
      <c r="X147" s="5"/>
      <c r="Z147" s="5"/>
    </row>
    <row r="148" spans="1:26">
      <c r="A148" s="1">
        <v>1971</v>
      </c>
      <c r="B148" s="7">
        <f>(K31*($E31/365))+(K32*($E32/365))</f>
        <v>77.534246575342465</v>
      </c>
      <c r="C148" s="7">
        <f>(L31*($E31/365))+(L32*($E32/365))</f>
        <v>0</v>
      </c>
      <c r="D148" s="7">
        <f>(M31*($E31/365))+(M32*($E32/365))</f>
        <v>21.217656012176558</v>
      </c>
      <c r="E148" s="33">
        <f t="shared" si="56"/>
        <v>98.751902587519027</v>
      </c>
      <c r="G148" s="1">
        <v>1971</v>
      </c>
      <c r="H148" s="886">
        <f>(O31/$R31*100*($E31/365))+(O32/$R32*100*($E32/365))</f>
        <v>77.534246575342465</v>
      </c>
      <c r="I148" s="886"/>
      <c r="J148" s="886">
        <f>(P31/$R31*100*($E31/365))+(P32/$R32*100*($E32/365))</f>
        <v>0</v>
      </c>
      <c r="K148" s="886"/>
      <c r="L148" s="886">
        <f>(Q31/$R31*100*($E31/365))+(Q32/$R32*100*($E32/365))</f>
        <v>22.465753424657535</v>
      </c>
      <c r="M148" s="886"/>
      <c r="N148" s="887">
        <f t="shared" si="57"/>
        <v>100</v>
      </c>
      <c r="O148" s="887"/>
      <c r="R148" s="1">
        <v>1971</v>
      </c>
      <c r="S148" s="7">
        <f>(O31*($E31/365))+(O32*($E32/365))</f>
        <v>43.341643835616438</v>
      </c>
      <c r="T148" s="7">
        <f>(P31*($E31/365))+(P32*($E32/365))</f>
        <v>0</v>
      </c>
      <c r="U148" s="7">
        <f>(Q31*($E31/365))+(Q32*($E32/365))</f>
        <v>8.9863013698630141</v>
      </c>
      <c r="V148" s="12"/>
      <c r="W148" s="7">
        <f>R31*(E31/365) + R32*(E32/365)</f>
        <v>52.327945205479452</v>
      </c>
      <c r="X148" s="5"/>
      <c r="Z148" s="5"/>
    </row>
    <row r="149" spans="1:26">
      <c r="A149" s="1">
        <v>1972</v>
      </c>
      <c r="B149" s="7">
        <f>(K33*($E33/366))+(K34*($E34/366))</f>
        <v>0</v>
      </c>
      <c r="C149" s="7">
        <f>(L33*($E33/366))+(L34*($E34/366))</f>
        <v>0</v>
      </c>
      <c r="D149" s="7">
        <f>(M33*($E33/366))+(M34*($E34/366))</f>
        <v>94.444444444444429</v>
      </c>
      <c r="E149" s="33">
        <f t="shared" si="56"/>
        <v>94.444444444444429</v>
      </c>
      <c r="G149" s="1">
        <v>1972</v>
      </c>
      <c r="H149" s="886">
        <f>(O33/$R33*100*($E33/366))+(O34/$R34*100*($E34/366))</f>
        <v>0</v>
      </c>
      <c r="I149" s="886"/>
      <c r="J149" s="886">
        <f>(P33/$R33*100*($E33/366))+(P34/$R34*100*($E34/366))</f>
        <v>0</v>
      </c>
      <c r="K149" s="886"/>
      <c r="L149" s="886">
        <f>(Q33/$R33*100*($E33/366))+(Q34/$R34*100*($E34/366))</f>
        <v>99.999999999999986</v>
      </c>
      <c r="M149" s="886"/>
      <c r="N149" s="887">
        <f t="shared" si="57"/>
        <v>99.999999999999986</v>
      </c>
      <c r="O149" s="887"/>
      <c r="R149" s="1">
        <v>1972</v>
      </c>
      <c r="S149" s="7">
        <f>(O33*($E33/366))+(O34*($E34/366))</f>
        <v>0</v>
      </c>
      <c r="T149" s="7">
        <f>(P33*($E33/366))+(P34*($E34/366))</f>
        <v>0</v>
      </c>
      <c r="U149" s="7">
        <f>(Q33*($E33/366))+(Q34*($E34/366))</f>
        <v>40</v>
      </c>
      <c r="V149" s="12"/>
      <c r="W149" s="7">
        <f>R33*(E33/366) + R34*(E34/366)</f>
        <v>40</v>
      </c>
      <c r="X149" s="5"/>
      <c r="Z149" s="5"/>
    </row>
    <row r="150" spans="1:26">
      <c r="A150" s="1">
        <v>1973</v>
      </c>
      <c r="B150" s="7">
        <f>(K35*($E35/365))+(K36*($E36/365))</f>
        <v>3.5616438356164384</v>
      </c>
      <c r="C150" s="7">
        <f>(L35*($E35/365))+(L36*($E36/365))</f>
        <v>0</v>
      </c>
      <c r="D150" s="7">
        <f>(M35*($E35/365))+(M36*($E36/365))</f>
        <v>91.080669710806703</v>
      </c>
      <c r="E150" s="33">
        <f t="shared" si="56"/>
        <v>94.642313546423139</v>
      </c>
      <c r="G150" s="1">
        <v>1973</v>
      </c>
      <c r="H150" s="886">
        <f>(O35/$R35*100*($E35/365))+(O36/$R36*100*($E36/365))</f>
        <v>3.5616438356164384</v>
      </c>
      <c r="I150" s="886"/>
      <c r="J150" s="886">
        <f>(P35/$R35*100*($E35/365))+(P36/$R36*100*($E36/365))</f>
        <v>0</v>
      </c>
      <c r="K150" s="886"/>
      <c r="L150" s="886">
        <f>(Q35/$R35*100*($E35/365))+(Q36/$R36*100*($E36/365))</f>
        <v>96.438356164383563</v>
      </c>
      <c r="M150" s="886"/>
      <c r="N150" s="887">
        <f t="shared" si="57"/>
        <v>100</v>
      </c>
      <c r="O150" s="887"/>
      <c r="R150" s="1">
        <v>1973</v>
      </c>
      <c r="S150" s="7">
        <f>(O35*($E35/365))+(O36*($E36/365))</f>
        <v>0.44876712328767121</v>
      </c>
      <c r="T150" s="7">
        <f>(P35*($E35/365))+(P36*($E36/365))</f>
        <v>0</v>
      </c>
      <c r="U150" s="7">
        <f>(Q35*($E35/365))+(Q36*($E36/365))</f>
        <v>38.575342465753423</v>
      </c>
      <c r="V150" s="12"/>
      <c r="W150" s="7">
        <f>R35*(E35/365) + R36*(E36/365)</f>
        <v>39.024109589041096</v>
      </c>
      <c r="X150" s="5"/>
      <c r="Z150" s="5"/>
    </row>
    <row r="151" spans="1:26">
      <c r="A151" s="1">
        <v>1974</v>
      </c>
      <c r="B151" s="7">
        <f>(K37*($E37/365))+(K38*($E38/365))</f>
        <v>100</v>
      </c>
      <c r="C151" s="7">
        <f>(L37*($E37/365))+(L38*($E38/365))</f>
        <v>0</v>
      </c>
      <c r="D151" s="7">
        <f>(M37*($E37/365))+(M38*($E38/365))</f>
        <v>0</v>
      </c>
      <c r="E151" s="33">
        <f t="shared" si="56"/>
        <v>100</v>
      </c>
      <c r="G151" s="1">
        <v>1974</v>
      </c>
      <c r="H151" s="886">
        <f>(O37/$R37*100*($E37/365))+(O38/$R38*100*($E38/365))</f>
        <v>100</v>
      </c>
      <c r="I151" s="886"/>
      <c r="J151" s="886">
        <f>(P37/$R37*100*($E37/365))+(P38/$R38*100*($E38/365))</f>
        <v>0</v>
      </c>
      <c r="K151" s="886"/>
      <c r="L151" s="886">
        <f>(Q37/$R37*100*($E37/365))+(Q38/$R38*100*($E38/365))</f>
        <v>0</v>
      </c>
      <c r="M151" s="886"/>
      <c r="N151" s="887">
        <f t="shared" si="57"/>
        <v>100</v>
      </c>
      <c r="O151" s="887"/>
      <c r="R151" s="1">
        <v>1974</v>
      </c>
      <c r="S151" s="7">
        <f>(O37*($E37/365))+(O38*($E38/365))</f>
        <v>12.6</v>
      </c>
      <c r="T151" s="7">
        <f>(P37*($E37/365))+(P38*($E38/365))</f>
        <v>0</v>
      </c>
      <c r="U151" s="7">
        <f>(Q37*($E37/365))+(Q38*($E38/365))</f>
        <v>0</v>
      </c>
      <c r="V151" s="12"/>
      <c r="W151" s="7">
        <f>R37*(E37/365) + R38*(E38/365)</f>
        <v>12.6</v>
      </c>
      <c r="X151" s="5"/>
      <c r="Z151" s="5"/>
    </row>
    <row r="152" spans="1:26">
      <c r="A152" s="1">
        <v>1975</v>
      </c>
      <c r="B152" s="7">
        <f>(K39*($E39/365))+(K40*($E40/365))</f>
        <v>11.78082191780822</v>
      </c>
      <c r="C152" s="7">
        <f>(L39*($E39/365))+(L40*($E40/365))</f>
        <v>0</v>
      </c>
      <c r="D152" s="7">
        <f>(M39*($E39/365))+(M40*($E40/365))</f>
        <v>88.219178082191789</v>
      </c>
      <c r="E152" s="33">
        <f t="shared" si="56"/>
        <v>100.00000000000001</v>
      </c>
      <c r="G152" s="1">
        <v>1975</v>
      </c>
      <c r="H152" s="886">
        <f>(O39/$R39*100*($E39/365))+(O40/$R40*100*($E40/365))</f>
        <v>11.78082191780822</v>
      </c>
      <c r="I152" s="886"/>
      <c r="J152" s="886">
        <f>(P39/$R39*100*($E39/365))+(P40/$R40*100*($E40/365))</f>
        <v>0</v>
      </c>
      <c r="K152" s="886"/>
      <c r="L152" s="886">
        <f>(Q39/$R39*100*($E39/365))+(Q40/$R40*100*($E40/365))</f>
        <v>88.219178082191789</v>
      </c>
      <c r="M152" s="886"/>
      <c r="N152" s="887">
        <f t="shared" si="57"/>
        <v>100.00000000000001</v>
      </c>
      <c r="O152" s="887"/>
      <c r="R152" s="1">
        <v>1975</v>
      </c>
      <c r="S152" s="7">
        <f>(O39*($E39/365))+(O40*($E40/365))</f>
        <v>1.4843835616438357</v>
      </c>
      <c r="T152" s="7">
        <f>(P39*($E39/365))+(P40*($E40/365))</f>
        <v>0</v>
      </c>
      <c r="U152" s="7">
        <f>(Q39*($E39/365))+(Q40*($E40/365))</f>
        <v>26.730410958904113</v>
      </c>
      <c r="V152" s="12"/>
      <c r="W152" s="7">
        <f>R39*(E39/365) + R40*(E40/365)</f>
        <v>28.214794520547947</v>
      </c>
      <c r="X152" s="5"/>
      <c r="Z152" s="5"/>
    </row>
    <row r="153" spans="1:26">
      <c r="A153" s="1">
        <v>1976</v>
      </c>
      <c r="B153" s="7">
        <f>(K41*($E41/366))+(K42*($E42/366))</f>
        <v>0</v>
      </c>
      <c r="C153" s="7">
        <f>(L41*($E41/366))+(L42*($E42/366))</f>
        <v>0</v>
      </c>
      <c r="D153" s="7">
        <f>(M41*($E41/366))+(M42*($E42/366))</f>
        <v>100</v>
      </c>
      <c r="E153" s="33">
        <f t="shared" si="56"/>
        <v>100</v>
      </c>
      <c r="G153" s="1">
        <v>1976</v>
      </c>
      <c r="H153" s="886">
        <f>(O41/$R41*100*($E41/366))+(O42/$R42*100*($E42/366))</f>
        <v>0</v>
      </c>
      <c r="I153" s="886"/>
      <c r="J153" s="886">
        <f>(P41/$R41*100*($E41/366))+(P42/$R42*100*($E42/366))</f>
        <v>0</v>
      </c>
      <c r="K153" s="886"/>
      <c r="L153" s="886">
        <f>(Q41/$R41*100*($E41/366))+(Q42/$R42*100*($E42/366))</f>
        <v>100</v>
      </c>
      <c r="M153" s="886"/>
      <c r="N153" s="887">
        <f t="shared" si="57"/>
        <v>100</v>
      </c>
      <c r="O153" s="887"/>
      <c r="R153" s="1">
        <v>1976</v>
      </c>
      <c r="S153" s="7">
        <f>(O41*($E41/366))+(O42*($E42/366))</f>
        <v>0</v>
      </c>
      <c r="T153" s="7">
        <f>(P41*($E41/366))+(P42*($E42/366))</f>
        <v>0</v>
      </c>
      <c r="U153" s="7">
        <f>(Q41*($E41/366))+(Q42*($E42/366))</f>
        <v>30.3</v>
      </c>
      <c r="V153" s="12"/>
      <c r="W153" s="7">
        <f>R41*(E41/366) + R42*(E42/366)</f>
        <v>30.3</v>
      </c>
      <c r="X153" s="5"/>
      <c r="Z153" s="5"/>
    </row>
    <row r="154" spans="1:26">
      <c r="A154" s="1">
        <v>1977</v>
      </c>
      <c r="B154" s="7">
        <f>(K43*($E43/365))+(K44*($E44/365))</f>
        <v>0</v>
      </c>
      <c r="C154" s="7">
        <f>(L43*($E43/365))+(L44*($E44/365))</f>
        <v>0</v>
      </c>
      <c r="D154" s="7">
        <f>(M43*($E43/365))+(M44*($E44/365))</f>
        <v>100</v>
      </c>
      <c r="E154" s="33">
        <f t="shared" si="56"/>
        <v>100</v>
      </c>
      <c r="G154" s="1">
        <v>1977</v>
      </c>
      <c r="H154" s="886">
        <f>(O43/$R43*100*($E43/365))+(O44/$R44*100*($E44/365))</f>
        <v>0</v>
      </c>
      <c r="I154" s="886"/>
      <c r="J154" s="886">
        <f>(P43/$R43*100*($E43/365))+(P44/$R44*100*($E44/365))</f>
        <v>0</v>
      </c>
      <c r="K154" s="886"/>
      <c r="L154" s="886">
        <f>(Q43/$R43*100*($E43/365))+(Q44/$R44*100*($E44/365))</f>
        <v>100</v>
      </c>
      <c r="M154" s="886"/>
      <c r="N154" s="887">
        <f t="shared" si="57"/>
        <v>100</v>
      </c>
      <c r="O154" s="887"/>
      <c r="R154" s="1">
        <v>1977</v>
      </c>
      <c r="S154" s="7">
        <f>(O43*($E43/365))+(O44*($E44/365))</f>
        <v>0</v>
      </c>
      <c r="T154" s="7">
        <f>(P43*($E43/365))+(P44*($E44/365))</f>
        <v>0</v>
      </c>
      <c r="U154" s="7">
        <f>(Q43*($E43/365))+(Q44*($E44/365))</f>
        <v>36.075342465753423</v>
      </c>
      <c r="V154" s="12"/>
      <c r="W154" s="7">
        <f>R43*(E43/365) + R44*(E44/365)</f>
        <v>36.075342465753423</v>
      </c>
      <c r="X154" s="5"/>
      <c r="Z154" s="5"/>
    </row>
    <row r="155" spans="1:26">
      <c r="A155" s="1">
        <v>1978</v>
      </c>
      <c r="B155" s="7">
        <f>(K45*($E45/365))+(K46*($E46/365))</f>
        <v>11.324200913242008</v>
      </c>
      <c r="C155" s="7">
        <f>(L45*($E45/365))+(L46*($E46/365))</f>
        <v>0</v>
      </c>
      <c r="D155" s="7">
        <f>(M45*($E45/365))+(M46*($E46/365))</f>
        <v>88.675799086757991</v>
      </c>
      <c r="E155" s="33">
        <f t="shared" si="56"/>
        <v>100</v>
      </c>
      <c r="G155" s="1">
        <v>1978</v>
      </c>
      <c r="H155" s="886">
        <f>(O45/$R45*100*($E45/365))+(O46/$R46*100*($E46/365))</f>
        <v>8.302876433334264</v>
      </c>
      <c r="I155" s="886"/>
      <c r="J155" s="886">
        <f>(P45/$R45*100*($E45/365))+(P46/$R46*100*($E46/365))</f>
        <v>0</v>
      </c>
      <c r="K155" s="886"/>
      <c r="L155" s="886">
        <f>(Q45/$R45*100*($E45/365))+(Q46/$R46*100*($E46/365))</f>
        <v>91.697123566665738</v>
      </c>
      <c r="M155" s="886"/>
      <c r="N155" s="887">
        <f t="shared" si="57"/>
        <v>100</v>
      </c>
      <c r="O155" s="887"/>
      <c r="R155" s="1">
        <v>1978</v>
      </c>
      <c r="S155" s="7">
        <f>(O45*($E45/365))+(O46*($E46/365))</f>
        <v>4.0767123287671234</v>
      </c>
      <c r="T155" s="7">
        <f>(P45*($E45/365))+(P46*($E46/365))</f>
        <v>0</v>
      </c>
      <c r="U155" s="7">
        <f>(Q45*($E45/365))+(Q46*($E46/365))</f>
        <v>37.099999999999994</v>
      </c>
      <c r="V155" s="12"/>
      <c r="W155" s="7">
        <f>R45*(E45/365) + R46*(E46/365)</f>
        <v>41.176712328767124</v>
      </c>
      <c r="X155" s="5"/>
      <c r="Z155" s="5"/>
    </row>
    <row r="156" spans="1:26">
      <c r="A156" s="1">
        <v>1979</v>
      </c>
      <c r="B156" s="7">
        <f>(K47*($E47/365))+(K48*($E48/365))</f>
        <v>27.214611872146115</v>
      </c>
      <c r="C156" s="7">
        <f>(L47*($E47/365))+(L48*($E48/365))</f>
        <v>0</v>
      </c>
      <c r="D156" s="7">
        <f>(M47*($E47/365))+(M48*($E48/365))</f>
        <v>72.785388127853878</v>
      </c>
      <c r="E156" s="33">
        <f t="shared" si="56"/>
        <v>100</v>
      </c>
      <c r="G156" s="1">
        <v>1979</v>
      </c>
      <c r="H156" s="886">
        <f>(O47/$R47*100*($E47/365))+(O48/$R48*100*($E48/365))</f>
        <v>19.953686912367825</v>
      </c>
      <c r="I156" s="886"/>
      <c r="J156" s="886">
        <f>(P47/$R47*100*($E47/365))+(P48/$R48*100*($E48/365))</f>
        <v>0</v>
      </c>
      <c r="K156" s="886"/>
      <c r="L156" s="886">
        <f>(Q47/$R47*100*($E47/365))+(Q48/$R48*100*($E48/365))</f>
        <v>80.046313087632171</v>
      </c>
      <c r="M156" s="886"/>
      <c r="N156" s="887">
        <f t="shared" si="57"/>
        <v>100</v>
      </c>
      <c r="O156" s="887"/>
      <c r="R156" s="1">
        <v>1979</v>
      </c>
      <c r="S156" s="7">
        <f>(O47*($E47/365))+(O48*($E48/365))</f>
        <v>9.7972602739726025</v>
      </c>
      <c r="T156" s="7">
        <f>(P47*($E47/365))+(P48*($E48/365))</f>
        <v>0</v>
      </c>
      <c r="U156" s="7">
        <f>(Q47*($E47/365))+(Q48*($E48/365))</f>
        <v>37.430410958904112</v>
      </c>
      <c r="V156" s="12"/>
      <c r="W156" s="7">
        <f>R47*(E47/365) + R48*(E48/365)</f>
        <v>47.227671232876709</v>
      </c>
      <c r="X156" s="5"/>
      <c r="Z156" s="5"/>
    </row>
    <row r="157" spans="1:26">
      <c r="A157" s="1">
        <v>1980</v>
      </c>
      <c r="B157" s="7">
        <f>(K49*($E49/366))+(K50*($E50/366))</f>
        <v>0</v>
      </c>
      <c r="C157" s="7">
        <f>(L49*($E49/366))+(L50*($E50/366))</f>
        <v>0</v>
      </c>
      <c r="D157" s="7">
        <f>(M49*($E49/366))+(M50*($E50/366))</f>
        <v>100</v>
      </c>
      <c r="E157" s="33">
        <f t="shared" si="56"/>
        <v>100</v>
      </c>
      <c r="G157" s="1">
        <v>1980</v>
      </c>
      <c r="H157" s="886">
        <f>(O49/$R49*100*($E49/366))+(O50/$R50*100*($E50/366))</f>
        <v>0</v>
      </c>
      <c r="I157" s="886"/>
      <c r="J157" s="886">
        <f>(P49/$R49*100*($E49/366))+(P50/$R50*100*($E50/366))</f>
        <v>0</v>
      </c>
      <c r="K157" s="886"/>
      <c r="L157" s="886">
        <f>(Q49/$R49*100*($E49/366))+(Q50/$R50*100*($E50/366))</f>
        <v>100</v>
      </c>
      <c r="M157" s="886"/>
      <c r="N157" s="887">
        <f t="shared" si="57"/>
        <v>100</v>
      </c>
      <c r="O157" s="887"/>
      <c r="R157" s="1">
        <v>1980</v>
      </c>
      <c r="S157" s="7">
        <f>(O49*($E49/366))+(O50*($E50/366))</f>
        <v>0</v>
      </c>
      <c r="T157" s="7">
        <f>(P49*($E49/366))+(P50*($E50/366))</f>
        <v>0</v>
      </c>
      <c r="U157" s="7">
        <f>(Q49*($E49/366))+(Q50*($E50/366))</f>
        <v>38.9</v>
      </c>
      <c r="V157" s="12"/>
      <c r="W157" s="7">
        <f>R49*(E49/366) + R50*(E50/366)</f>
        <v>38.9</v>
      </c>
      <c r="X157" s="5"/>
      <c r="Z157" s="5"/>
    </row>
    <row r="158" spans="1:26">
      <c r="A158" s="1">
        <v>1981</v>
      </c>
      <c r="B158" s="7">
        <f>(K51*($E51/365))+(K52*($E52/365))</f>
        <v>0</v>
      </c>
      <c r="C158" s="7">
        <f>(L51*($E51/365))+(L52*($E52/365))</f>
        <v>0</v>
      </c>
      <c r="D158" s="7">
        <f>(M51*($E51/365))+(M52*($E52/365))</f>
        <v>100.00000000000001</v>
      </c>
      <c r="E158" s="33">
        <f t="shared" si="56"/>
        <v>100.00000000000001</v>
      </c>
      <c r="G158" s="1">
        <v>1981</v>
      </c>
      <c r="H158" s="886">
        <f>(O51/$R51*100*($E51/365))+(O52/$R52*100*($E52/365))</f>
        <v>0</v>
      </c>
      <c r="I158" s="886"/>
      <c r="J158" s="886">
        <f>(P51/$R51*100*($E51/365))+(P52/$R52*100*($E52/365))</f>
        <v>0</v>
      </c>
      <c r="K158" s="886"/>
      <c r="L158" s="886">
        <f>(Q51/$R51*100*($E51/365))+(Q52/$R52*100*($E52/365))</f>
        <v>100.00000000000001</v>
      </c>
      <c r="M158" s="886"/>
      <c r="N158" s="887">
        <f t="shared" si="57"/>
        <v>100.00000000000001</v>
      </c>
      <c r="O158" s="887"/>
      <c r="R158" s="1">
        <v>1981</v>
      </c>
      <c r="S158" s="7">
        <f>(O51*($E51/365))+(O52*($E52/365))</f>
        <v>0</v>
      </c>
      <c r="T158" s="7">
        <f>(P51*($E51/365))+(P52*($E52/365))</f>
        <v>0</v>
      </c>
      <c r="U158" s="7">
        <f>(Q51*($E51/365))+(Q52*($E52/365))</f>
        <v>38.88575342465753</v>
      </c>
      <c r="V158" s="12"/>
      <c r="W158" s="7">
        <f>R51*(E51/365) + R52*(E52/365)</f>
        <v>38.88575342465753</v>
      </c>
      <c r="X158" s="5"/>
      <c r="Z158" s="5"/>
    </row>
    <row r="159" spans="1:26">
      <c r="A159" s="1">
        <v>1982</v>
      </c>
      <c r="B159" s="7">
        <f>(K53*($E53/365))+(K54*($E54/365))</f>
        <v>23.587736464448792</v>
      </c>
      <c r="C159" s="7">
        <f>(L53*($E53/365))+(L54*($E54/365))</f>
        <v>7.3711676451402468</v>
      </c>
      <c r="D159" s="7">
        <f>(M53*($E53/365))+(M54*($E54/365))</f>
        <v>69.041095890410958</v>
      </c>
      <c r="E159" s="33">
        <f t="shared" si="56"/>
        <v>100</v>
      </c>
      <c r="G159" s="1">
        <v>1982</v>
      </c>
      <c r="H159" s="886">
        <f>(O53/$R53*100*($E53/365))+(O54/$R54*100*($E54/365))</f>
        <v>23.459000578815356</v>
      </c>
      <c r="I159" s="886"/>
      <c r="J159" s="886">
        <f>(P53/$R53*100*($E53/365))+(P54/$R54*100*($E54/365))</f>
        <v>7.4999035307736834</v>
      </c>
      <c r="K159" s="886"/>
      <c r="L159" s="886">
        <f>(Q53/$R53*100*($E53/365))+(Q54/$R54*100*($E54/365))</f>
        <v>69.041095890410958</v>
      </c>
      <c r="M159" s="886"/>
      <c r="N159" s="887">
        <f t="shared" si="57"/>
        <v>100</v>
      </c>
      <c r="O159" s="887"/>
      <c r="R159" s="1">
        <v>1982</v>
      </c>
      <c r="S159" s="7">
        <f>(O53*($E53/365))+(O54*($E54/365))</f>
        <v>8.3279452054794518</v>
      </c>
      <c r="T159" s="7">
        <f>(P53*($E53/365))+(P54*($E54/365))</f>
        <v>2.6624657534246574</v>
      </c>
      <c r="U159" s="7">
        <f>(Q53*($E53/365))+(Q54*($E54/365))</f>
        <v>23.266849315068498</v>
      </c>
      <c r="V159" s="12"/>
      <c r="W159" s="7">
        <f>R53*(E53/365) + R54*(E54/365)</f>
        <v>34.257260273972605</v>
      </c>
      <c r="X159" s="5"/>
      <c r="Z159" s="5"/>
    </row>
    <row r="160" spans="1:26">
      <c r="A160" s="1">
        <v>1983</v>
      </c>
      <c r="B160" s="7">
        <f>(K55*($E55/365))+(K56*($E56/365))</f>
        <v>76.19047619047619</v>
      </c>
      <c r="C160" s="7">
        <f>(L55*($E55/365))+(L56*($E56/365))</f>
        <v>23.809523809523807</v>
      </c>
      <c r="D160" s="7">
        <f>(M55*($E55/365))+(M56*($E56/365))</f>
        <v>0</v>
      </c>
      <c r="E160" s="33">
        <f t="shared" si="56"/>
        <v>100</v>
      </c>
      <c r="G160" s="1">
        <v>1983</v>
      </c>
      <c r="H160" s="886">
        <f>(O55/$R55*100*($E55/365))+(O56/$R56*100*($E56/365))</f>
        <v>75.774647887323937</v>
      </c>
      <c r="I160" s="886"/>
      <c r="J160" s="886">
        <f>(P55/$R55*100*($E55/365))+(P56/$R56*100*($E56/365))</f>
        <v>24.225352112676056</v>
      </c>
      <c r="K160" s="886"/>
      <c r="L160" s="886">
        <f>(Q55/$R55*100*($E55/365))+(Q56/$R56*100*($E56/365))</f>
        <v>0</v>
      </c>
      <c r="M160" s="886"/>
      <c r="N160" s="887">
        <f t="shared" si="57"/>
        <v>100</v>
      </c>
      <c r="O160" s="887"/>
      <c r="R160" s="1">
        <v>1983</v>
      </c>
      <c r="S160" s="7">
        <f>(O55*($E55/365))+(O56*($E56/365))</f>
        <v>26.9</v>
      </c>
      <c r="T160" s="7">
        <f>(P55*($E55/365))+(P56*($E56/365))</f>
        <v>8.6</v>
      </c>
      <c r="U160" s="7">
        <f>(Q55*($E55/365))+(Q56*($E56/365))</f>
        <v>0</v>
      </c>
      <c r="V160" s="12"/>
      <c r="W160" s="7">
        <f>R55*(E55/365) + R56*(E56/365)</f>
        <v>35.5</v>
      </c>
      <c r="X160" s="5"/>
      <c r="Z160" s="5"/>
    </row>
    <row r="161" spans="1:26">
      <c r="A161" s="1">
        <v>1984</v>
      </c>
      <c r="B161" s="7">
        <f>(K57*($E57/366))+(K58*($E58/366))</f>
        <v>76.19047619047619</v>
      </c>
      <c r="C161" s="7">
        <f>(L57*($E57/366))+(L58*($E58/366))</f>
        <v>23.80952380952381</v>
      </c>
      <c r="D161" s="7">
        <f>(M57*($E57/366))+(M58*($E58/366))</f>
        <v>0</v>
      </c>
      <c r="E161" s="33">
        <f t="shared" si="56"/>
        <v>100</v>
      </c>
      <c r="G161" s="1">
        <v>1984</v>
      </c>
      <c r="H161" s="886">
        <f>(O57/$R57*100*($E57/366))+(O58/$R58*100*($E58/366))</f>
        <v>88.121273665655679</v>
      </c>
      <c r="I161" s="886"/>
      <c r="J161" s="886">
        <f>(P57/$R57*100*($E57/366))+(P58/$R58*100*($E58/366))</f>
        <v>11.878726334344332</v>
      </c>
      <c r="K161" s="886"/>
      <c r="L161" s="886">
        <f>(Q57/$R57*100*($E57/366))+(Q58/$R58*100*($E58/366))</f>
        <v>0</v>
      </c>
      <c r="M161" s="886"/>
      <c r="N161" s="887">
        <f t="shared" si="57"/>
        <v>100.00000000000001</v>
      </c>
      <c r="O161" s="887"/>
      <c r="R161" s="1">
        <v>1984</v>
      </c>
      <c r="S161" s="7">
        <f>(O57*($E57/366))+(O58*($E58/366))</f>
        <v>36.069945355191258</v>
      </c>
      <c r="T161" s="7">
        <f>(P57*($E57/366))+(P58*($E58/366))</f>
        <v>4.8185792349726775</v>
      </c>
      <c r="U161" s="7">
        <f>(Q57*($E57/366))+(Q58*($E58/366))</f>
        <v>0</v>
      </c>
      <c r="V161" s="12"/>
      <c r="W161" s="7">
        <f>R57*(E57/366) + R58*(E58/366)</f>
        <v>40.888524590163939</v>
      </c>
      <c r="X161" s="5"/>
      <c r="Z161" s="5"/>
    </row>
    <row r="162" spans="1:26">
      <c r="A162" s="1">
        <v>1985</v>
      </c>
      <c r="B162" s="7">
        <f>(K59*($E59/365))+(K60*($E60/365))</f>
        <v>76.19047619047619</v>
      </c>
      <c r="C162" s="7">
        <f>(L59*($E59/365))+(L60*($E60/365))</f>
        <v>23.809523809523807</v>
      </c>
      <c r="D162" s="7">
        <f>(M59*($E59/365))+(M60*($E60/365))</f>
        <v>0</v>
      </c>
      <c r="E162" s="33">
        <f t="shared" si="56"/>
        <v>100</v>
      </c>
      <c r="G162" s="1">
        <v>1985</v>
      </c>
      <c r="H162" s="886">
        <f>(O59/$R59*100*($E59/365))+(O60/$R60*100*($E60/365))</f>
        <v>88.834951456310677</v>
      </c>
      <c r="I162" s="886"/>
      <c r="J162" s="886">
        <f>(P59/$R59*100*($E59/365))+(P60/$R60*100*($E60/365))</f>
        <v>11.165048543689318</v>
      </c>
      <c r="K162" s="886"/>
      <c r="L162" s="886">
        <f>(Q59/$R59*100*($E59/365))+(Q60/$R60*100*($E60/365))</f>
        <v>0</v>
      </c>
      <c r="M162" s="886"/>
      <c r="N162" s="887">
        <f t="shared" si="57"/>
        <v>100</v>
      </c>
      <c r="O162" s="887"/>
      <c r="R162" s="1">
        <v>1985</v>
      </c>
      <c r="S162" s="7">
        <f>(O59*($E59/365))+(O60*($E60/365))</f>
        <v>36.6</v>
      </c>
      <c r="T162" s="7">
        <f>(P59*($E59/365))+(P60*($E60/365))</f>
        <v>4.5999999999999996</v>
      </c>
      <c r="U162" s="7">
        <f>(Q59*($E59/365))+(Q60*($E60/365))</f>
        <v>0</v>
      </c>
      <c r="V162" s="12"/>
      <c r="W162" s="7">
        <f>R59*(E59/365) + R60*(E60/365)</f>
        <v>41.2</v>
      </c>
      <c r="X162" s="5"/>
      <c r="Z162" s="5"/>
    </row>
    <row r="163" spans="1:26">
      <c r="A163" s="1">
        <v>1986</v>
      </c>
      <c r="B163" s="7">
        <f>(K61*($E61/365))+(K62*($E62/365))</f>
        <v>76.19047619047619</v>
      </c>
      <c r="C163" s="7">
        <f>(L61*($E61/365))+(L62*($E62/365))</f>
        <v>23.809523809523807</v>
      </c>
      <c r="D163" s="7">
        <f>(M61*($E61/365))+(M62*($E62/365))</f>
        <v>0</v>
      </c>
      <c r="E163" s="33">
        <f t="shared" si="56"/>
        <v>100</v>
      </c>
      <c r="G163" s="1">
        <v>1986</v>
      </c>
      <c r="H163" s="886">
        <f>(O61/$R61*100*($E61/365))+(O62/$R62*100*($E62/365))</f>
        <v>88.834951456310677</v>
      </c>
      <c r="I163" s="886"/>
      <c r="J163" s="886">
        <f>(P61/$R61*100*($E61/365))+(P62/$R62*100*($E62/365))</f>
        <v>11.165048543689318</v>
      </c>
      <c r="K163" s="886"/>
      <c r="L163" s="886">
        <f>(Q61/$R61*100*($E61/365))+(Q62/$R62*100*($E62/365))</f>
        <v>0</v>
      </c>
      <c r="M163" s="886"/>
      <c r="N163" s="887">
        <f t="shared" si="57"/>
        <v>100</v>
      </c>
      <c r="O163" s="887"/>
      <c r="R163" s="1">
        <v>1986</v>
      </c>
      <c r="S163" s="7">
        <f>(O61*($E61/365))+(O62*($E62/365))</f>
        <v>36.6</v>
      </c>
      <c r="T163" s="7">
        <f>(P61*($E61/365))+(P62*($E62/365))</f>
        <v>4.5999999999999996</v>
      </c>
      <c r="U163" s="7">
        <f>(Q61*($E61/365))+(Q62*($E62/365))</f>
        <v>0</v>
      </c>
      <c r="V163" s="12"/>
      <c r="W163" s="7">
        <f>R61*(E61/365) + R62*(E62/365)</f>
        <v>41.2</v>
      </c>
      <c r="X163" s="5"/>
      <c r="Z163" s="5"/>
    </row>
    <row r="164" spans="1:26" ht="9" customHeight="1">
      <c r="A164" s="1">
        <v>1987</v>
      </c>
      <c r="B164" s="7">
        <f>(K63*($E63/365))+(K64*($E64/365))</f>
        <v>77.932752179327537</v>
      </c>
      <c r="C164" s="7">
        <f>(L63*($E63/365))+(L64*($E64/365))</f>
        <v>22.067247820672478</v>
      </c>
      <c r="D164" s="7">
        <f>(M63*($E63/365))+(M64*($E64/365))</f>
        <v>0</v>
      </c>
      <c r="E164" s="33">
        <f t="shared" si="56"/>
        <v>100.00000000000001</v>
      </c>
      <c r="G164" s="2">
        <v>1987</v>
      </c>
      <c r="H164" s="886">
        <f>(O63/$R63*100*($E63/365))+(O64/$R64*100*($E64/365))</f>
        <v>86.50120940500193</v>
      </c>
      <c r="I164" s="886"/>
      <c r="J164" s="886">
        <f>(P63/$R63*100*($E63/365))+(P64/$R64*100*($E64/365))</f>
        <v>13.498790594998074</v>
      </c>
      <c r="K164" s="886"/>
      <c r="L164" s="886">
        <f>(Q63/$R63*100*($E63/365))+(Q64/$R64*100*($E64/365))</f>
        <v>0</v>
      </c>
      <c r="M164" s="886"/>
      <c r="N164" s="887">
        <f t="shared" si="57"/>
        <v>100</v>
      </c>
      <c r="O164" s="887"/>
      <c r="R164" s="1">
        <v>1987</v>
      </c>
      <c r="S164" s="7">
        <f>(O63*($E63/365))+(O64*($E64/365))</f>
        <v>35.361643835616441</v>
      </c>
      <c r="T164" s="7">
        <f>(P63*($E63/365))+(P64*($E64/365))</f>
        <v>5.4978082191780828</v>
      </c>
      <c r="U164" s="7">
        <f>(Q63*($E63/365))+(Q64*($E64/365))</f>
        <v>0</v>
      </c>
      <c r="V164" s="12"/>
      <c r="W164" s="7">
        <f>R63*(E63/365) + R64*(E64/365)</f>
        <v>40.859452054794524</v>
      </c>
      <c r="X164" s="5"/>
      <c r="Z164" s="5"/>
    </row>
    <row r="165" spans="1:26" ht="9" customHeight="1">
      <c r="A165" s="1">
        <v>1988</v>
      </c>
      <c r="B165" s="7">
        <f>(K65*($E65/366))+(K66*($E66/366))</f>
        <v>92.349726775956285</v>
      </c>
      <c r="C165" s="7">
        <f>(L65*($E65/366))+(L66*($E66/366))</f>
        <v>7.6502732240437172</v>
      </c>
      <c r="D165" s="7">
        <f>(M65*($E65/366))+(M66*($E66/366))</f>
        <v>0</v>
      </c>
      <c r="E165" s="33">
        <f t="shared" si="56"/>
        <v>100</v>
      </c>
      <c r="G165" s="2">
        <v>1988</v>
      </c>
      <c r="H165" s="886">
        <f>(O65/$R65*100*($E65/366))+(O66/$R66*100*($E66/366))</f>
        <v>92.130329912922605</v>
      </c>
      <c r="I165" s="886"/>
      <c r="J165" s="886">
        <f>(P65/$R65*100*($E65/366))+(P66/$R66*100*($E66/366))</f>
        <v>7.8696700870773881</v>
      </c>
      <c r="K165" s="886"/>
      <c r="L165" s="886">
        <f>(Q65/$R65*100*($E65/366))+(Q66/$R66*100*($E66/366))</f>
        <v>0</v>
      </c>
      <c r="M165" s="886"/>
      <c r="N165" s="887">
        <f t="shared" si="57"/>
        <v>100</v>
      </c>
      <c r="O165" s="887"/>
      <c r="R165" s="1">
        <v>1988</v>
      </c>
      <c r="S165" s="7">
        <f>(O65*($E65/366))+(O66*($E66/366))</f>
        <v>35.901639344262293</v>
      </c>
      <c r="T165" s="7">
        <f>(P65*($E65/366))+(P66*($E66/366))</f>
        <v>3.1557377049180331</v>
      </c>
      <c r="U165" s="7">
        <f>(Q65*($E65/366))+(Q66*($E66/366))</f>
        <v>0</v>
      </c>
      <c r="V165" s="12"/>
      <c r="W165" s="7">
        <f>R65*(E65/366) + R66*(E66/366)</f>
        <v>39.057377049180332</v>
      </c>
      <c r="X165" s="5"/>
      <c r="Z165" s="5"/>
    </row>
    <row r="166" spans="1:26" s="4" customFormat="1" ht="9" customHeight="1">
      <c r="A166" s="4">
        <v>1989</v>
      </c>
      <c r="B166" s="11">
        <f>(K67*($E67/365))+(K68*($E68/365))</f>
        <v>100</v>
      </c>
      <c r="C166" s="11">
        <f>(L67*($E67/365))+(L68*($E68/365))</f>
        <v>0</v>
      </c>
      <c r="D166" s="11">
        <f>(M67*($E67/365))+(M68*($E68/365))</f>
        <v>0</v>
      </c>
      <c r="E166" s="32">
        <f t="shared" si="56"/>
        <v>100</v>
      </c>
      <c r="G166" s="4">
        <v>1989</v>
      </c>
      <c r="H166" s="892">
        <f>(O67/$R67*100*($E67/365))+(O68/$R68*100*($E68/365))</f>
        <v>100</v>
      </c>
      <c r="I166" s="892"/>
      <c r="J166" s="892">
        <f>(P67/$R67*100*($E67/365))+(P68/$R68*100*($E68/365))</f>
        <v>0</v>
      </c>
      <c r="K166" s="892"/>
      <c r="L166" s="892">
        <f>(Q67/$R67*100*($E67/365))+(Q68/$R68*100*($E68/365))</f>
        <v>0</v>
      </c>
      <c r="M166" s="892"/>
      <c r="N166" s="893">
        <f t="shared" si="57"/>
        <v>100</v>
      </c>
      <c r="O166" s="893"/>
      <c r="R166" s="4">
        <v>1989</v>
      </c>
      <c r="S166" s="11">
        <f>(O67*($E67/365))+(O68*($E68/365))</f>
        <v>38.299999999999997</v>
      </c>
      <c r="T166" s="11">
        <f>(P67*($E67/365))+(P68*($E68/365))</f>
        <v>0</v>
      </c>
      <c r="U166" s="11">
        <f>(Q67*($E67/365))+(Q68*($E68/365))</f>
        <v>0</v>
      </c>
      <c r="V166" s="27"/>
      <c r="W166" s="11">
        <f>R67*(E67/365) + R68*(E68/365)</f>
        <v>38.299999999999997</v>
      </c>
      <c r="X166" s="19"/>
      <c r="Z166" s="19"/>
    </row>
    <row r="167" spans="1:26" ht="9" customHeight="1">
      <c r="A167" s="1">
        <v>1990</v>
      </c>
      <c r="B167" s="8">
        <f>(K69*($E69/365))+(K70*($E70/365))</f>
        <v>100.00000000000001</v>
      </c>
      <c r="C167" s="8">
        <f>(L69*($E69/365))+(L70*($E70/365))</f>
        <v>0</v>
      </c>
      <c r="D167" s="8">
        <f>(M69*($E69/365))+(M70*($E70/365))</f>
        <v>0</v>
      </c>
      <c r="E167" s="33">
        <f>SUM(B167:D167)</f>
        <v>100.00000000000001</v>
      </c>
      <c r="G167" s="1">
        <v>1990</v>
      </c>
      <c r="H167" s="886">
        <f>(O69/$R69*100*($E69/365))+(O70/$R70*100*($E70/365))</f>
        <v>100.00000000000001</v>
      </c>
      <c r="I167" s="886"/>
      <c r="J167" s="886">
        <f>(P69/$R69*100*($E69/365))+(P70/$R70*100*($E70/365))</f>
        <v>0</v>
      </c>
      <c r="K167" s="886"/>
      <c r="L167" s="886">
        <f>(Q69/$R69*100*($E69/365))+(Q70/$R70*100*($E70/365))</f>
        <v>0</v>
      </c>
      <c r="M167" s="886"/>
      <c r="N167" s="887">
        <f t="shared" si="57"/>
        <v>100.00000000000001</v>
      </c>
      <c r="O167" s="887"/>
      <c r="R167" s="1">
        <v>1990</v>
      </c>
      <c r="S167" s="8">
        <f>(O69*($E69/365))+(O70*($E70/365))</f>
        <v>38.123561643835615</v>
      </c>
      <c r="T167" s="8">
        <f>(P69*($E69/365))+(P70*($E70/365))</f>
        <v>0</v>
      </c>
      <c r="U167" s="8">
        <f>(Q69*($E69/365))+(Q70*($E70/365))</f>
        <v>0</v>
      </c>
      <c r="V167" s="12"/>
      <c r="W167" s="7">
        <f>R69*(E69/365) + R70*(E70/365)</f>
        <v>38.123561643835615</v>
      </c>
      <c r="X167" s="5"/>
      <c r="Z167" s="5"/>
    </row>
    <row r="168" spans="1:26" ht="9" customHeight="1">
      <c r="A168" s="1">
        <v>1991</v>
      </c>
      <c r="B168" s="8">
        <f>(K71*($E71/365))+(K72*($E72/365))</f>
        <v>100</v>
      </c>
      <c r="C168" s="8">
        <f>(L71*($E71/365))+(L72*($E72/365))</f>
        <v>0</v>
      </c>
      <c r="D168" s="8">
        <f>(M71*($E71/365))+(M72*($E72/365))</f>
        <v>0</v>
      </c>
      <c r="E168" s="33">
        <f t="shared" ref="E168:E189" si="58">SUM(B168:D168)</f>
        <v>100</v>
      </c>
      <c r="G168" s="1">
        <v>1991</v>
      </c>
      <c r="H168" s="886">
        <f>(O71/$R71*100*($E71/365))+(O72/$R72*100*($E72/365))</f>
        <v>100</v>
      </c>
      <c r="I168" s="886"/>
      <c r="J168" s="886">
        <f>(P71/$R71*100*($E71/365))+(P72/$R72*100*($E72/365))</f>
        <v>0</v>
      </c>
      <c r="K168" s="886"/>
      <c r="L168" s="886">
        <f>(Q71/$R71*100*($E71/365))+(Q72/$R72*100*($E72/365))</f>
        <v>0</v>
      </c>
      <c r="M168" s="886"/>
      <c r="N168" s="887">
        <f t="shared" si="57"/>
        <v>100</v>
      </c>
      <c r="O168" s="887"/>
      <c r="R168" s="1">
        <v>1991</v>
      </c>
      <c r="S168" s="8">
        <f>(O71*($E71/365))+(O72*($E72/365))</f>
        <v>33.700000000000003</v>
      </c>
      <c r="T168" s="8">
        <f>(P71*($E71/365))+(P72*($E72/365))</f>
        <v>0</v>
      </c>
      <c r="U168" s="8">
        <f>(Q71*($E71/365))+(Q72*($E72/365))</f>
        <v>0</v>
      </c>
      <c r="V168" s="12"/>
      <c r="W168" s="7">
        <f>R71*(E71/365) + R72*(E72/365)</f>
        <v>33.700000000000003</v>
      </c>
      <c r="X168" s="5"/>
      <c r="Z168" s="5"/>
    </row>
    <row r="169" spans="1:26" ht="9" customHeight="1">
      <c r="A169" s="1">
        <v>1992</v>
      </c>
      <c r="B169" s="8">
        <f>(K73*($E73/366))+(K74*($E74/366))</f>
        <v>100</v>
      </c>
      <c r="C169" s="8">
        <f>(L73*($E73/366))+(L74*($E74/366))</f>
        <v>0</v>
      </c>
      <c r="D169" s="8">
        <f>(M73*($E73/366))+(M74*($E74/366))</f>
        <v>0</v>
      </c>
      <c r="E169" s="33">
        <f t="shared" si="58"/>
        <v>100</v>
      </c>
      <c r="G169" s="1">
        <v>1992</v>
      </c>
      <c r="H169" s="886">
        <f>(O73/$R73*100*($E73/366))+(O74/$R74*100*($E74/366))</f>
        <v>100</v>
      </c>
      <c r="I169" s="886"/>
      <c r="J169" s="886">
        <f>(P73/$R73*100*($E73/366))+(P74/$R74*100*($E74/366))</f>
        <v>0</v>
      </c>
      <c r="K169" s="886"/>
      <c r="L169" s="886">
        <f>(Q73/$R73*100*($E73/366))+(Q74/$R74*100*($E74/366))</f>
        <v>0</v>
      </c>
      <c r="M169" s="886"/>
      <c r="N169" s="887">
        <f t="shared" si="57"/>
        <v>100</v>
      </c>
      <c r="O169" s="887"/>
      <c r="R169" s="1">
        <v>1992</v>
      </c>
      <c r="S169" s="8">
        <f>(O73*($E73/366))+(O74*($E74/366))</f>
        <v>33.700000000000003</v>
      </c>
      <c r="T169" s="8">
        <f>(P73*($E73/366))+(P74*($E74/366))</f>
        <v>0</v>
      </c>
      <c r="U169" s="8">
        <f>(Q73*($E73/366))+(Q74*($E74/366))</f>
        <v>0</v>
      </c>
      <c r="V169" s="12"/>
      <c r="W169" s="7">
        <f>R73*(E73/366) + R74*(E74/366)</f>
        <v>33.700000000000003</v>
      </c>
      <c r="X169" s="5"/>
      <c r="Z169" s="5"/>
    </row>
    <row r="170" spans="1:26" ht="9" customHeight="1">
      <c r="A170" s="1">
        <v>1993</v>
      </c>
      <c r="B170" s="8">
        <f>(K75*($E75/365))+(K76*($E76/365))</f>
        <v>18.253424657534246</v>
      </c>
      <c r="C170" s="8">
        <f>(L75*($E75/365))+(L76*($E76/365))</f>
        <v>23.356164383561644</v>
      </c>
      <c r="D170" s="8">
        <f>(M75*($E75/365))+(M76*($E76/365))</f>
        <v>58.390410958904113</v>
      </c>
      <c r="E170" s="33">
        <f t="shared" si="58"/>
        <v>100</v>
      </c>
      <c r="G170" s="1">
        <v>1993</v>
      </c>
      <c r="H170" s="886">
        <f>(O75/$R75*100*($E75/365))+(O76/$R76*100*($E76/365))</f>
        <v>13.931614712544494</v>
      </c>
      <c r="I170" s="886"/>
      <c r="J170" s="886">
        <f>(P75/$R75*100*($E75/365))+(P76/$R76*100*($E76/365))</f>
        <v>13.60910365656348</v>
      </c>
      <c r="K170" s="886"/>
      <c r="L170" s="886">
        <f>(Q75/$R75*100*($E75/365))+(Q76/$R76*100*($E76/365))</f>
        <v>72.459281630892036</v>
      </c>
      <c r="M170" s="886"/>
      <c r="N170" s="887">
        <f t="shared" si="57"/>
        <v>100.00000000000001</v>
      </c>
      <c r="O170" s="887"/>
      <c r="R170" s="1">
        <v>1993</v>
      </c>
      <c r="S170" s="8">
        <f>(O75*($E75/365))+(O76*($E76/365))</f>
        <v>5.9528767123287674</v>
      </c>
      <c r="T170" s="8">
        <f>(P75*($E75/365))+(P76*($E76/365))</f>
        <v>6.9134246575342475</v>
      </c>
      <c r="U170" s="8">
        <f>(Q75*($E75/365))+(Q76*($E76/365))</f>
        <v>36.809315068493149</v>
      </c>
      <c r="V170" s="12"/>
      <c r="W170" s="7">
        <f>R75*(E75/365) + R76*(E76/365)</f>
        <v>49.675616438356165</v>
      </c>
      <c r="X170" s="5"/>
      <c r="Z170" s="5"/>
    </row>
    <row r="171" spans="1:26" ht="9" customHeight="1">
      <c r="A171" s="1">
        <v>1994</v>
      </c>
      <c r="B171" s="8">
        <f>(K77*($E77/365))+(K78*($E78/365))</f>
        <v>13.150684931506849</v>
      </c>
      <c r="C171" s="8">
        <f>(L77*($E77/365))+(L78*($E78/365))</f>
        <v>21.095890410958905</v>
      </c>
      <c r="D171" s="8">
        <f>(M77*($E77/365))+(M78*($E78/365))</f>
        <v>65.753424657534254</v>
      </c>
      <c r="E171" s="33">
        <f t="shared" si="58"/>
        <v>100</v>
      </c>
      <c r="G171" s="1">
        <v>1994</v>
      </c>
      <c r="H171" s="886">
        <f>(O77/$R77*100*($E77/365))+(O78/$R78*100*($E78/365))</f>
        <v>8.6154308784014297</v>
      </c>
      <c r="I171" s="886"/>
      <c r="J171" s="886">
        <f>(P77/$R77*100*($E77/365))+(P78/$R78*100*($E78/365))</f>
        <v>12.534964406391438</v>
      </c>
      <c r="K171" s="886"/>
      <c r="L171" s="886">
        <f>(Q77/$R77*100*($E77/365))+(Q78/$R78*100*($E78/365))</f>
        <v>78.849604715207121</v>
      </c>
      <c r="M171" s="886"/>
      <c r="N171" s="887">
        <f t="shared" si="57"/>
        <v>99.999999999999986</v>
      </c>
      <c r="O171" s="887"/>
      <c r="R171" s="1">
        <v>1994</v>
      </c>
      <c r="S171" s="8">
        <f>(O77*($E77/365))+(O78*($E78/365))</f>
        <v>4.1561643835616433</v>
      </c>
      <c r="T171" s="8">
        <f>(P77*($E77/365))+(P78*($E78/365))</f>
        <v>6.2287671232876711</v>
      </c>
      <c r="U171" s="8">
        <f>(Q77*($E77/365))+(Q78*($E78/365))</f>
        <v>38.358904109589034</v>
      </c>
      <c r="V171" s="12"/>
      <c r="W171" s="7">
        <f>R77*(E77/365) + R78*(E78/365)</f>
        <v>48.743835616438346</v>
      </c>
      <c r="X171" s="5"/>
      <c r="Z171" s="5"/>
    </row>
    <row r="172" spans="1:26" ht="9" customHeight="1">
      <c r="A172" s="1">
        <v>1995</v>
      </c>
      <c r="B172" s="8">
        <f>(K79*($E79/365))+(K80*($E80/365))</f>
        <v>15</v>
      </c>
      <c r="C172" s="8">
        <f>(L79*($E79/365))+(L80*($E80/365))</f>
        <v>10</v>
      </c>
      <c r="D172" s="8">
        <f>(M79*($E79/365))+(M80*($E80/365))</f>
        <v>75</v>
      </c>
      <c r="E172" s="33">
        <f t="shared" si="58"/>
        <v>100</v>
      </c>
      <c r="G172" s="1">
        <v>1995</v>
      </c>
      <c r="H172" s="886">
        <f>(O79/$R79*100*($E79/365))+(O80/$R80*100*($E80/365))</f>
        <v>10.722610722610721</v>
      </c>
      <c r="I172" s="886"/>
      <c r="J172" s="886">
        <f>(P79/$R79*100*($E79/365))+(P80/$R80*100*($E80/365))</f>
        <v>6.7599067599067597</v>
      </c>
      <c r="K172" s="886"/>
      <c r="L172" s="886">
        <f>(Q79/$R79*100*($E79/365))+(Q80/$R80*100*($E80/365))</f>
        <v>82.51748251748252</v>
      </c>
      <c r="M172" s="886"/>
      <c r="N172" s="887">
        <f t="shared" si="57"/>
        <v>100</v>
      </c>
      <c r="O172" s="887"/>
      <c r="R172" s="1">
        <v>1995</v>
      </c>
      <c r="S172" s="8">
        <f>(O79*($E79/365))+(O80*($E80/365))</f>
        <v>4.5999999999999996</v>
      </c>
      <c r="T172" s="8">
        <f>(P79*($E79/365))+(P80*($E80/365))</f>
        <v>2.9</v>
      </c>
      <c r="U172" s="8">
        <f>(Q79*($E79/365))+(Q80*($E80/365))</f>
        <v>35.4</v>
      </c>
      <c r="V172" s="12"/>
      <c r="W172" s="7">
        <f>R79*(E79/365) + R80*(E80/365)</f>
        <v>42.9</v>
      </c>
      <c r="X172" s="5"/>
      <c r="Z172" s="5"/>
    </row>
    <row r="173" spans="1:26" ht="9" customHeight="1">
      <c r="A173" s="1">
        <v>1996</v>
      </c>
      <c r="B173" s="8">
        <f>(K81*($E81/366))+(K82*($E82/366))</f>
        <v>15.033074489502443</v>
      </c>
      <c r="C173" s="8">
        <f>(L81*($E81/366))+(L82*($E82/366))</f>
        <v>9.9453551912568301</v>
      </c>
      <c r="D173" s="8">
        <f>(M81*($E81/366))+(M82*($E82/366))</f>
        <v>75.021570319240723</v>
      </c>
      <c r="E173" s="33">
        <f t="shared" si="58"/>
        <v>100</v>
      </c>
      <c r="G173" s="1">
        <v>1996</v>
      </c>
      <c r="H173" s="886">
        <f>(O81/$R81*100*($E81/366))+(O82/$R82*100*($E82/366))</f>
        <v>10.726858751448914</v>
      </c>
      <c r="I173" s="886"/>
      <c r="J173" s="886">
        <f>(P81/$R81*100*($E81/366))+(P82/$R82*100*($E82/366))</f>
        <v>6.722967378705083</v>
      </c>
      <c r="K173" s="886"/>
      <c r="L173" s="886">
        <f>(Q81/$R81*100*($E81/366))+(Q82/$R82*100*($E82/366))</f>
        <v>82.550173869845992</v>
      </c>
      <c r="M173" s="886"/>
      <c r="N173" s="887">
        <f t="shared" si="57"/>
        <v>99.999999999999986</v>
      </c>
      <c r="O173" s="887"/>
      <c r="R173" s="1">
        <v>1996</v>
      </c>
      <c r="S173" s="8">
        <f>(O81*($E81/366))+(O82*($E82/366))</f>
        <v>4.5999999999999996</v>
      </c>
      <c r="T173" s="8">
        <f>(P81*($E81/366))+(P82*($E82/366))</f>
        <v>2.8841530054644808</v>
      </c>
      <c r="U173" s="8">
        <f>(Q81*($E81/366))+(Q82*($E82/366))</f>
        <v>35.4</v>
      </c>
      <c r="V173" s="12"/>
      <c r="W173" s="7">
        <f>R81*(E81/366) + R82*(E82/366)</f>
        <v>42.884153005464483</v>
      </c>
      <c r="X173" s="5"/>
      <c r="Z173" s="5"/>
    </row>
    <row r="174" spans="1:26" ht="9" customHeight="1">
      <c r="A174" s="1">
        <v>1997</v>
      </c>
      <c r="B174" s="8">
        <f>(K83*($E83/365))+(K84*($E84/365))</f>
        <v>20.842105263157894</v>
      </c>
      <c r="C174" s="8">
        <f>(L83*($E83/365))+(L84*($E84/365))</f>
        <v>0</v>
      </c>
      <c r="D174" s="8">
        <f>(M83*($E83/365))+(M84*($E84/365))</f>
        <v>79.15789473684211</v>
      </c>
      <c r="E174" s="33">
        <f t="shared" si="58"/>
        <v>100</v>
      </c>
      <c r="G174" s="1">
        <v>1997</v>
      </c>
      <c r="H174" s="886">
        <f>(O83/$R83*100*($E83/365))+(O84/$R84*100*($E84/365))</f>
        <v>11.500000000000002</v>
      </c>
      <c r="I174" s="886"/>
      <c r="J174" s="886">
        <f>(P83/$R83*100*($E83/365))+(P84/$R84*100*($E84/365))</f>
        <v>0</v>
      </c>
      <c r="K174" s="886"/>
      <c r="L174" s="886">
        <f>(Q83/$R83*100*($E83/365))+(Q84/$R84*100*($E84/365))</f>
        <v>88.5</v>
      </c>
      <c r="M174" s="886"/>
      <c r="N174" s="887">
        <f t="shared" si="57"/>
        <v>100</v>
      </c>
      <c r="O174" s="887"/>
      <c r="R174" s="1">
        <v>1997</v>
      </c>
      <c r="S174" s="8">
        <f>(O83*($E83/365))+(O84*($E84/365))</f>
        <v>4.5999999999999996</v>
      </c>
      <c r="T174" s="8">
        <f>(P83*($E83/365))+(P84*($E84/365))</f>
        <v>0</v>
      </c>
      <c r="U174" s="8">
        <f>(Q83*($E83/365))+(Q84*($E84/365))</f>
        <v>35.4</v>
      </c>
      <c r="V174" s="12"/>
      <c r="W174" s="7">
        <f>R83*(E83/365) + R84*(E84/365)</f>
        <v>40</v>
      </c>
      <c r="X174" s="5"/>
      <c r="Z174" s="5"/>
    </row>
    <row r="175" spans="1:26" ht="9" customHeight="1">
      <c r="A175" s="1">
        <v>1998</v>
      </c>
      <c r="B175" s="8">
        <f>(K85*($E85/365))+(K86*($E86/365))</f>
        <v>20</v>
      </c>
      <c r="C175" s="8">
        <f>(L85*($E85/365))+(L86*($E86/365))</f>
        <v>0</v>
      </c>
      <c r="D175" s="8">
        <f>(M85*($E85/365))+(M86*($E86/365))</f>
        <v>80</v>
      </c>
      <c r="E175" s="33">
        <f t="shared" si="58"/>
        <v>100</v>
      </c>
      <c r="G175" s="1">
        <v>1998</v>
      </c>
      <c r="H175" s="886">
        <f>(O85/$R85*100*($E85/365))+(O86/$R86*100*($E86/365))</f>
        <v>10.332876712328767</v>
      </c>
      <c r="I175" s="886"/>
      <c r="J175" s="886">
        <f>(P85/$R85*100*($E85/365))+(P86/$R86*100*($E86/365))</f>
        <v>0</v>
      </c>
      <c r="K175" s="886"/>
      <c r="L175" s="886">
        <f>(Q85/$R85*100*($E85/365))+(Q86/$R86*100*($E86/365))</f>
        <v>89.667123287671231</v>
      </c>
      <c r="M175" s="886"/>
      <c r="N175" s="887">
        <f t="shared" si="57"/>
        <v>100</v>
      </c>
      <c r="O175" s="887"/>
      <c r="R175" s="1">
        <v>1998</v>
      </c>
      <c r="S175" s="8">
        <f>(O85*($E85/365))+(O86*($E86/365))</f>
        <v>4.1331506849315067</v>
      </c>
      <c r="T175" s="8">
        <f>(P85*($E85/365))+(P86*($E86/365))</f>
        <v>0</v>
      </c>
      <c r="U175" s="8">
        <f>(Q85*($E85/365))+(Q86*($E86/365))</f>
        <v>35.866849315068492</v>
      </c>
      <c r="V175" s="12"/>
      <c r="W175" s="7">
        <f>R85*(E85/365) + R86*(E86/365)</f>
        <v>40</v>
      </c>
      <c r="X175" s="5"/>
      <c r="Z175" s="5"/>
    </row>
    <row r="176" spans="1:26" ht="9" customHeight="1">
      <c r="A176" s="1">
        <v>1999</v>
      </c>
      <c r="B176" s="8">
        <f>(K87*($E87/365))+(K88*($E88/365))</f>
        <v>20</v>
      </c>
      <c r="C176" s="8">
        <f>(L87*($E87/365))+(L88*($E88/365))</f>
        <v>0</v>
      </c>
      <c r="D176" s="8">
        <f>(M87*($E87/365))+(M88*($E88/365))</f>
        <v>80</v>
      </c>
      <c r="E176" s="33">
        <f t="shared" si="58"/>
        <v>100</v>
      </c>
      <c r="G176" s="1">
        <v>1999</v>
      </c>
      <c r="H176" s="886">
        <f>(O87/$R87*100*($E87/365))+(O88/$R88*100*($E88/365))</f>
        <v>10</v>
      </c>
      <c r="I176" s="886"/>
      <c r="J176" s="886">
        <f>(P87/$R87*100*($E87/365))+(P88/$R88*100*($E88/365))</f>
        <v>0</v>
      </c>
      <c r="K176" s="886"/>
      <c r="L176" s="886">
        <f>(Q87/$R87*100*($E87/365))+(Q88/$R88*100*($E88/365))</f>
        <v>90</v>
      </c>
      <c r="M176" s="886"/>
      <c r="N176" s="887">
        <f t="shared" si="57"/>
        <v>100</v>
      </c>
      <c r="O176" s="887"/>
      <c r="R176" s="1">
        <v>1999</v>
      </c>
      <c r="S176" s="8">
        <f>(O87*($E87/365))+(O88*($E88/365))</f>
        <v>4</v>
      </c>
      <c r="T176" s="8">
        <f>(P87*($E87/365))+(P88*($E88/365))</f>
        <v>0</v>
      </c>
      <c r="U176" s="8">
        <f>(Q87*($E87/365))+(Q88*($E88/365))</f>
        <v>36</v>
      </c>
      <c r="V176" s="12"/>
      <c r="W176" s="7">
        <f>R87*(E87/365) + R88*(E88/365)</f>
        <v>40</v>
      </c>
      <c r="X176" s="5"/>
      <c r="Z176" s="5"/>
    </row>
    <row r="177" spans="1:26" ht="9" customHeight="1">
      <c r="A177" s="1">
        <v>2000</v>
      </c>
      <c r="B177" s="8">
        <f>(K89*($E89/366))+(K90*($E90/366))</f>
        <v>20</v>
      </c>
      <c r="C177" s="8">
        <f>(L89*($E89/366))+(L90*($E90/366))</f>
        <v>0</v>
      </c>
      <c r="D177" s="8">
        <f>(M89*($E89/366))+(M90*($E90/366))</f>
        <v>80</v>
      </c>
      <c r="E177" s="33">
        <f t="shared" si="58"/>
        <v>100</v>
      </c>
      <c r="G177" s="1">
        <v>2000</v>
      </c>
      <c r="H177" s="886">
        <f>(O89/$R89*100*($E89/366))+(O90/$R90*100*($E90/366))</f>
        <v>10</v>
      </c>
      <c r="I177" s="886"/>
      <c r="J177" s="886">
        <f>(P89/$R89*100*($E89/366))+(P90/$R90*100*($E90/366))</f>
        <v>0</v>
      </c>
      <c r="K177" s="886"/>
      <c r="L177" s="886">
        <f>(Q89/$R89*100*($E89/366))+(Q90/$R90*100*($E90/366))</f>
        <v>90</v>
      </c>
      <c r="M177" s="886"/>
      <c r="N177" s="887">
        <f t="shared" si="57"/>
        <v>100</v>
      </c>
      <c r="O177" s="887"/>
      <c r="R177" s="1">
        <v>2000</v>
      </c>
      <c r="S177" s="8">
        <f>(O89*($E89/366))+(O90*($E90/366))</f>
        <v>4</v>
      </c>
      <c r="T177" s="8">
        <f>(P89*($E89/366))+(P90*($E90/366))</f>
        <v>0</v>
      </c>
      <c r="U177" s="8">
        <f>(Q89*($E89/366))+(Q90*($E90/366))</f>
        <v>36</v>
      </c>
      <c r="V177" s="12"/>
      <c r="W177" s="7">
        <f>R89*(E89/366) + R90*(E90/366)</f>
        <v>40</v>
      </c>
      <c r="X177" s="5"/>
      <c r="Z177" s="5"/>
    </row>
    <row r="178" spans="1:26" ht="9" customHeight="1">
      <c r="A178" s="1">
        <v>2001</v>
      </c>
      <c r="B178" s="8">
        <f>(K91*($E91/365))+(K92*($E92/365))</f>
        <v>27.671232876712324</v>
      </c>
      <c r="C178" s="8">
        <f>(L91*($E91/365))+(L92*($E92/365))</f>
        <v>0</v>
      </c>
      <c r="D178" s="8">
        <f>(M91*($E91/365))+(M92*($E92/365))</f>
        <v>72.328767123287662</v>
      </c>
      <c r="E178" s="33">
        <f t="shared" si="58"/>
        <v>99.999999999999986</v>
      </c>
      <c r="G178" s="1">
        <v>2001</v>
      </c>
      <c r="H178" s="886">
        <f>(O91/$R91*100*($E91/365))+(O92/$R92*100*($E92/365))</f>
        <v>18.630136986301366</v>
      </c>
      <c r="I178" s="886"/>
      <c r="J178" s="886">
        <f>(P91/$R91*100*($E91/365))+(P92/$R92*100*($E92/365))</f>
        <v>0</v>
      </c>
      <c r="K178" s="886"/>
      <c r="L178" s="886">
        <f>(Q91/$R91*100*($E91/365))+(Q92/$R92*100*($E92/365))</f>
        <v>81.36986301369862</v>
      </c>
      <c r="M178" s="886"/>
      <c r="N178" s="887">
        <f>SUM(H178:M178)</f>
        <v>99.999999999999986</v>
      </c>
      <c r="O178" s="887"/>
      <c r="R178" s="1">
        <v>2001</v>
      </c>
      <c r="S178" s="8">
        <f>(O91*($E91/365))+(O92*($E92/365))</f>
        <v>7.5575342465753419</v>
      </c>
      <c r="T178" s="8">
        <f>(P91*($E91/365))+(P92*($E92/365))</f>
        <v>0</v>
      </c>
      <c r="U178" s="8">
        <f>(Q91*($E91/365))+(Q92*($E92/365))</f>
        <v>32.547945205479451</v>
      </c>
      <c r="V178" s="12"/>
      <c r="W178" s="7">
        <f>R91*(E91/365) + R92*(E92/365)</f>
        <v>40.105479452054787</v>
      </c>
      <c r="X178" s="5"/>
      <c r="Z178" s="5"/>
    </row>
    <row r="179" spans="1:26" ht="9" customHeight="1">
      <c r="A179" s="1">
        <v>2002</v>
      </c>
      <c r="B179" s="8">
        <f>(K93*($E93/365))+(K94*($E94/365))</f>
        <v>100</v>
      </c>
      <c r="C179" s="8">
        <f>(L93*($E93/365))+(L94*($E94/365))</f>
        <v>0</v>
      </c>
      <c r="D179" s="8">
        <f>(M93*($E93/365))+(M94*($E94/365))</f>
        <v>0</v>
      </c>
      <c r="E179" s="33">
        <f t="shared" si="58"/>
        <v>100</v>
      </c>
      <c r="G179" s="1">
        <v>2002</v>
      </c>
      <c r="H179" s="886">
        <f>(O93/$R93*100*($E93/365))+(O94/$R94*100*($E94/365))</f>
        <v>100</v>
      </c>
      <c r="I179" s="886"/>
      <c r="J179" s="886">
        <f>(P93/$R93*100*($E93/365))+(P94/$R94*100*($E94/365))</f>
        <v>0</v>
      </c>
      <c r="K179" s="886"/>
      <c r="L179" s="886">
        <f>(Q93/$R93*100*($E93/365))+(Q94/$R94*100*($E94/365))</f>
        <v>0</v>
      </c>
      <c r="M179" s="886"/>
      <c r="N179" s="887">
        <f t="shared" ref="N179:N189" si="59">SUM(H179:M179)</f>
        <v>100</v>
      </c>
      <c r="O179" s="887"/>
      <c r="R179" s="1">
        <v>2002</v>
      </c>
      <c r="S179" s="8">
        <f>(O93*($E93/365))+(O94*($E94/365))</f>
        <v>41.1</v>
      </c>
      <c r="T179" s="8">
        <f>(P93*($E93/365))+(P94*($E94/365))</f>
        <v>0</v>
      </c>
      <c r="U179" s="8">
        <f>(Q93*($E93/365))+(Q94*($E94/365))</f>
        <v>0</v>
      </c>
      <c r="V179" s="12"/>
      <c r="W179" s="7">
        <f>R93*(E93/365) + R94*(E94/365)</f>
        <v>41.1</v>
      </c>
      <c r="X179" s="5"/>
      <c r="Z179" s="5"/>
    </row>
    <row r="180" spans="1:26" ht="9" customHeight="1">
      <c r="A180" s="1">
        <v>2003</v>
      </c>
      <c r="B180" s="8">
        <f>(K95*($E95/365))+(K96*($E96/365))</f>
        <v>100</v>
      </c>
      <c r="C180" s="8">
        <f>(L95*($E95/365))+(L96*($E96/365))</f>
        <v>0</v>
      </c>
      <c r="D180" s="8">
        <f>(M95*($E95/365))+(M96*($E96/365))</f>
        <v>0</v>
      </c>
      <c r="E180" s="33">
        <f t="shared" si="58"/>
        <v>100</v>
      </c>
      <c r="G180" s="1">
        <v>2003</v>
      </c>
      <c r="H180" s="886">
        <f>(O95/$R95*100*($E95/365))+(O96/$R96*100*($E96/365))</f>
        <v>100</v>
      </c>
      <c r="I180" s="886"/>
      <c r="J180" s="886">
        <f>(P95/$R95*100*($E95/365))+(P96/$R96*100*($E96/365))</f>
        <v>0</v>
      </c>
      <c r="K180" s="886"/>
      <c r="L180" s="886">
        <f>(Q95/$R95*100*($E95/365))+(Q96/$R96*100*($E96/365))</f>
        <v>0</v>
      </c>
      <c r="M180" s="886"/>
      <c r="N180" s="887">
        <f t="shared" si="59"/>
        <v>100</v>
      </c>
      <c r="O180" s="887"/>
      <c r="R180" s="1">
        <v>2003</v>
      </c>
      <c r="S180" s="8">
        <f>(O95*($E95/365))+(O96*($E96/365))</f>
        <v>41.1</v>
      </c>
      <c r="T180" s="8">
        <f>(P95*($E95/365))+(P96*($E96/365))</f>
        <v>0</v>
      </c>
      <c r="U180" s="8">
        <f>(Q95*($E95/365))+(Q96*($E96/365))</f>
        <v>0</v>
      </c>
      <c r="V180" s="12"/>
      <c r="W180" s="7">
        <f>R95*(E95/365) + R96*(E96/365)</f>
        <v>41.1</v>
      </c>
      <c r="X180" s="5"/>
      <c r="Z180" s="5"/>
    </row>
    <row r="181" spans="1:26" ht="9" customHeight="1">
      <c r="A181" s="1">
        <v>2004</v>
      </c>
      <c r="B181" s="8">
        <f>(K97*($E97/366))+(K98*($E98/366))</f>
        <v>100</v>
      </c>
      <c r="C181" s="8">
        <f>(L97*($E97/366))+(L98*($E98/366))</f>
        <v>0</v>
      </c>
      <c r="D181" s="8">
        <f>(M97*($E97/366))+(M98*($E98/366))</f>
        <v>0</v>
      </c>
      <c r="E181" s="33">
        <f t="shared" si="58"/>
        <v>100</v>
      </c>
      <c r="G181" s="1">
        <v>2004</v>
      </c>
      <c r="H181" s="886">
        <f>(O97/$R97*100*($E97/366))+(O98/$R98*100*($E98/366))</f>
        <v>100</v>
      </c>
      <c r="I181" s="886"/>
      <c r="J181" s="886">
        <f>(P97/$R97*100*($E97/366))+(P98/$R98*100*($E98/366))</f>
        <v>0</v>
      </c>
      <c r="K181" s="886"/>
      <c r="L181" s="886">
        <f>(Q97/$R97*100*($E97/366))+(Q98/$R98*100*($E98/366))</f>
        <v>0</v>
      </c>
      <c r="M181" s="886"/>
      <c r="N181" s="887">
        <f t="shared" si="59"/>
        <v>100</v>
      </c>
      <c r="O181" s="887"/>
      <c r="R181" s="1">
        <v>2004</v>
      </c>
      <c r="S181" s="8">
        <f>(O97*($E97/366))+(O98*($E98/366))</f>
        <v>41.1</v>
      </c>
      <c r="T181" s="8">
        <f>(P97*($E97/366))+(P98*($E98/366))</f>
        <v>0</v>
      </c>
      <c r="U181" s="8">
        <f>(Q97*($E97/366))+(Q98*($E98/366))</f>
        <v>0</v>
      </c>
      <c r="V181" s="12"/>
      <c r="W181" s="7">
        <f>R97*(E97/366) + R98*(E98/366)</f>
        <v>41.1</v>
      </c>
      <c r="X181" s="5"/>
      <c r="Z181" s="5"/>
    </row>
    <row r="182" spans="1:26" ht="9" customHeight="1">
      <c r="A182" s="1">
        <v>2005</v>
      </c>
      <c r="B182" s="8">
        <f>(K99*($E99/365))+(K100*($E100/365))</f>
        <v>100</v>
      </c>
      <c r="C182" s="8">
        <f>(L99*($E99/365))+(L100*($E100/365))</f>
        <v>0</v>
      </c>
      <c r="D182" s="8">
        <f>(M99*($E99/365))+(M100*($E100/365))</f>
        <v>0</v>
      </c>
      <c r="E182" s="33">
        <f t="shared" si="58"/>
        <v>100</v>
      </c>
      <c r="G182" s="1">
        <v>2005</v>
      </c>
      <c r="H182" s="886">
        <f>(O99/$R99*100*($E99/365))+(O100/$R100*100*($E100/365))</f>
        <v>100</v>
      </c>
      <c r="I182" s="886"/>
      <c r="J182" s="886">
        <f>(P99/$R99*100*($E99/365))+(P100/$R100*100*($E100/365))</f>
        <v>0</v>
      </c>
      <c r="K182" s="886"/>
      <c r="L182" s="886">
        <f>(Q99/$R99*100*($E99/365))+(Q100/$R100*100*($E100/365))</f>
        <v>0</v>
      </c>
      <c r="M182" s="886"/>
      <c r="N182" s="887">
        <f t="shared" si="59"/>
        <v>100</v>
      </c>
      <c r="O182" s="887"/>
      <c r="R182" s="1">
        <v>2005</v>
      </c>
      <c r="S182" s="8">
        <f>(O99*($E99/365))+(O100*($E100/365))</f>
        <v>40.144657534246576</v>
      </c>
      <c r="T182" s="8">
        <f>(P99*($E99/365))+(P100*($E100/365))</f>
        <v>0</v>
      </c>
      <c r="U182" s="8">
        <f>(Q99*($E99/365))+(Q100*($E100/365))</f>
        <v>0</v>
      </c>
      <c r="V182" s="12"/>
      <c r="W182" s="7">
        <f>R99*(E99/365) + R100*(E100/365)</f>
        <v>40.144657534246576</v>
      </c>
      <c r="X182" s="5"/>
      <c r="Z182" s="5"/>
    </row>
    <row r="183" spans="1:26" ht="9" customHeight="1">
      <c r="A183" s="1">
        <v>2006</v>
      </c>
      <c r="B183" s="8">
        <f>(K101*($E101/365))+(K102*($E102/365))</f>
        <v>100</v>
      </c>
      <c r="C183" s="8">
        <f>(L101*($E101/365))+(L102*($E102/365))</f>
        <v>0</v>
      </c>
      <c r="D183" s="8">
        <f>(M101*($E101/365))+(M102*($E102/365))</f>
        <v>0</v>
      </c>
      <c r="E183" s="33">
        <f t="shared" si="58"/>
        <v>100</v>
      </c>
      <c r="G183" s="1">
        <v>2006</v>
      </c>
      <c r="H183" s="886">
        <f>(O101/$R101*100*($E101/365))+(O102/$R102*100*($E102/365))</f>
        <v>100</v>
      </c>
      <c r="I183" s="886"/>
      <c r="J183" s="886">
        <f>(P101/$R101*100*($E101/365))+(P102/$R102*100*($E102/365))</f>
        <v>0</v>
      </c>
      <c r="K183" s="886"/>
      <c r="L183" s="886">
        <f>(Q101/$R101*100*($E101/365))+(Q102/$R102*100*($E102/365))</f>
        <v>0</v>
      </c>
      <c r="M183" s="886"/>
      <c r="N183" s="887">
        <f t="shared" si="59"/>
        <v>100</v>
      </c>
      <c r="O183" s="887"/>
      <c r="R183" s="1">
        <v>2006</v>
      </c>
      <c r="S183" s="8">
        <f>(O101*($E101/365))+(O102*($E102/365))</f>
        <v>40</v>
      </c>
      <c r="T183" s="8">
        <f>(P101*($E101/365))+(P102*($E102/365))</f>
        <v>0</v>
      </c>
      <c r="U183" s="8">
        <f>(Q101*($E101/365))+(Q102*($E102/365))</f>
        <v>0</v>
      </c>
      <c r="V183" s="12"/>
      <c r="W183" s="7">
        <f>R101*(E101/365) + R102*(E102/365)</f>
        <v>40</v>
      </c>
      <c r="X183" s="5"/>
      <c r="Z183" s="5"/>
    </row>
    <row r="184" spans="1:26" ht="9" customHeight="1">
      <c r="A184" s="1">
        <v>2007</v>
      </c>
      <c r="B184" s="8">
        <f>(K103*($E103/365))+(K104*($E104/365))</f>
        <v>100</v>
      </c>
      <c r="C184" s="8">
        <f>(L103*($E103/365))+(L104*($E104/365))</f>
        <v>0</v>
      </c>
      <c r="D184" s="8">
        <f>(M103*($E103/365))+(M104*($E104/365))</f>
        <v>0</v>
      </c>
      <c r="E184" s="33">
        <f t="shared" si="58"/>
        <v>100</v>
      </c>
      <c r="G184" s="1">
        <v>2007</v>
      </c>
      <c r="H184" s="886">
        <f>(O103/$R103*100*($E103/365))+(O104/$R104*100*($E104/365))</f>
        <v>100</v>
      </c>
      <c r="I184" s="886"/>
      <c r="J184" s="886">
        <f>(P103/$R103*100*($E103/365))+(P104/$R104*100*($E104/365))</f>
        <v>0</v>
      </c>
      <c r="K184" s="886"/>
      <c r="L184" s="886">
        <f>(Q103/$R103*100*($E103/365))+(Q104/$R104*100*($E104/365))</f>
        <v>0</v>
      </c>
      <c r="M184" s="886"/>
      <c r="N184" s="887">
        <f t="shared" si="59"/>
        <v>100</v>
      </c>
      <c r="O184" s="887"/>
      <c r="R184" s="1">
        <v>2007</v>
      </c>
      <c r="S184" s="8">
        <f>(O103*($E103/365))+(O104*($E104/365))</f>
        <v>39.636712328767125</v>
      </c>
      <c r="T184" s="8">
        <f>(P103*($E103/365))+(P104*($E104/365))</f>
        <v>0</v>
      </c>
      <c r="U184" s="8">
        <f>(Q103*($E103/365))+(Q104*($E104/365))</f>
        <v>0</v>
      </c>
      <c r="V184" s="12"/>
      <c r="W184" s="7">
        <f>R103*(E103/365) + R104*(E104/365)</f>
        <v>39.636712328767125</v>
      </c>
      <c r="X184" s="5"/>
      <c r="Z184" s="5"/>
    </row>
    <row r="185" spans="1:26" ht="9" customHeight="1">
      <c r="A185" s="1">
        <v>2008</v>
      </c>
      <c r="B185" s="7">
        <f>(K105*($E105/366))+(K106*($E106/366))</f>
        <v>100</v>
      </c>
      <c r="C185" s="7">
        <f>(L105*($E105/366))+(L106*($E106/366))</f>
        <v>0</v>
      </c>
      <c r="D185" s="7">
        <f>(M105*($E105/366))+(M106*($E106/366))</f>
        <v>0</v>
      </c>
      <c r="E185" s="33">
        <f t="shared" si="58"/>
        <v>100</v>
      </c>
      <c r="G185" s="1">
        <v>2008</v>
      </c>
      <c r="H185" s="886">
        <f>(O105/$R105*100*($E105/366))+(O106/$R106*100*($E106/366))</f>
        <v>100</v>
      </c>
      <c r="I185" s="886"/>
      <c r="J185" s="886">
        <f>(P105/$R105*100*($E105/366))+(P106/$R106*100*($E106/366))</f>
        <v>0</v>
      </c>
      <c r="K185" s="886"/>
      <c r="L185" s="886">
        <f>(Q105/$R105*100*($E105/366))+(Q106/$R106*100*($E106/366))</f>
        <v>0</v>
      </c>
      <c r="M185" s="886"/>
      <c r="N185" s="887">
        <f t="shared" si="59"/>
        <v>100</v>
      </c>
      <c r="O185" s="887"/>
      <c r="R185" s="1">
        <v>2008</v>
      </c>
      <c r="S185" s="7">
        <f>(O105*($E105/366))+(O106*($E106/366))</f>
        <v>36.6</v>
      </c>
      <c r="T185" s="7">
        <f>(P105*($E105/366))+(P106*($E106/366))</f>
        <v>0</v>
      </c>
      <c r="U185" s="7">
        <f>(Q105*($E105/366))+(Q106*($E106/366))</f>
        <v>0</v>
      </c>
      <c r="V185" s="12"/>
      <c r="W185" s="7">
        <f>R105*(E105/366) + R106*(E106/366)</f>
        <v>36.6</v>
      </c>
      <c r="X185" s="5"/>
      <c r="Z185" s="5"/>
    </row>
    <row r="186" spans="1:26" ht="9" customHeight="1">
      <c r="A186" s="1">
        <v>2009</v>
      </c>
      <c r="B186" s="7">
        <f>(K107*($E107/365))+(K108*($E108/365))</f>
        <v>100</v>
      </c>
      <c r="C186" s="7">
        <f>(L107*($E107/365))+(L108*($E108/365))</f>
        <v>0</v>
      </c>
      <c r="D186" s="7">
        <f>(M107*($E107/365))+(M108*($E108/365))</f>
        <v>0</v>
      </c>
      <c r="E186" s="33">
        <f t="shared" si="58"/>
        <v>100</v>
      </c>
      <c r="G186" s="1">
        <v>2009</v>
      </c>
      <c r="H186" s="886">
        <f>(O107/$R107*100*($E107/365))+(O108/$R108*100*($E108/365))</f>
        <v>100</v>
      </c>
      <c r="I186" s="886"/>
      <c r="J186" s="886">
        <f>(P107/$R107*100*($E107/365))+(P108/$R108*100*($E108/365))</f>
        <v>0</v>
      </c>
      <c r="K186" s="886"/>
      <c r="L186" s="886">
        <f>(Q107/$R107*100*($E107/365))+(Q108/$R108*100*($E108/365))</f>
        <v>0</v>
      </c>
      <c r="M186" s="886"/>
      <c r="N186" s="887">
        <f t="shared" si="59"/>
        <v>100</v>
      </c>
      <c r="O186" s="887"/>
      <c r="R186" s="1">
        <v>2009</v>
      </c>
      <c r="S186" s="7">
        <f>(O107*($E107/365))+(O108*($E108/365))</f>
        <v>36.6</v>
      </c>
      <c r="T186" s="7">
        <f>(P107*($E107/365))+(P108*($E108/365))</f>
        <v>0</v>
      </c>
      <c r="U186" s="7">
        <f>(Q107*($E107/365))+(Q108*($E108/365))</f>
        <v>0</v>
      </c>
      <c r="V186" s="12"/>
      <c r="W186" s="7">
        <f>R107*(E107/365) + R108*(E108/365)</f>
        <v>36.6</v>
      </c>
      <c r="X186" s="5"/>
      <c r="Z186" s="5"/>
    </row>
    <row r="187" spans="1:26" ht="9" customHeight="1">
      <c r="A187" s="1">
        <v>2010</v>
      </c>
      <c r="B187" s="7">
        <f>(K109*($E109/365))+(K110*($E110/365))</f>
        <v>100</v>
      </c>
      <c r="C187" s="7">
        <f>(L109*($E109/365))+(L110*($E110/365))</f>
        <v>0</v>
      </c>
      <c r="D187" s="7">
        <f>(M109*($E109/365))+(M110*($E110/365))</f>
        <v>0</v>
      </c>
      <c r="E187" s="33">
        <f t="shared" si="58"/>
        <v>100</v>
      </c>
      <c r="G187" s="1">
        <v>2010</v>
      </c>
      <c r="H187" s="886">
        <f>(O109/$R109*100*($E109/365))+(O110/$R110*100*($E110/365))</f>
        <v>100</v>
      </c>
      <c r="I187" s="886"/>
      <c r="J187" s="886">
        <f>(P109/$R109*100*($E109/365))+(P110/$R110*100*($E110/365))</f>
        <v>0</v>
      </c>
      <c r="K187" s="886"/>
      <c r="L187" s="886">
        <f>(Q109/$R109*100*($E109/365))+(Q110/$R110*100*($E110/365))</f>
        <v>0</v>
      </c>
      <c r="M187" s="886"/>
      <c r="N187" s="887">
        <f t="shared" si="59"/>
        <v>100</v>
      </c>
      <c r="O187" s="887"/>
      <c r="R187" s="1">
        <v>2010</v>
      </c>
      <c r="S187" s="7">
        <f>(O109*($E109/365))+(O110*($E110/365))</f>
        <v>36.6</v>
      </c>
      <c r="T187" s="7">
        <f>(P109*($E109/365))+(P110*($E110/365))</f>
        <v>0</v>
      </c>
      <c r="U187" s="7">
        <f>(Q109*($E109/365))+(Q110*($E110/365))</f>
        <v>0</v>
      </c>
      <c r="V187" s="12"/>
      <c r="W187" s="7">
        <f>R109*(E109/365) + R110*(E110/365)</f>
        <v>36.6</v>
      </c>
      <c r="X187" s="5"/>
      <c r="Z187" s="5"/>
    </row>
    <row r="188" spans="1:26" ht="9" customHeight="1">
      <c r="A188" s="1">
        <v>2011</v>
      </c>
      <c r="B188" s="7">
        <f>(K111*($E111/365))+(K112*($E112/365))</f>
        <v>81.774865991661713</v>
      </c>
      <c r="C188" s="7">
        <f>(L111*($E111/365))+(L112*($E112/365))</f>
        <v>0</v>
      </c>
      <c r="D188" s="7">
        <f>(M111*($E111/365))+(M112*($E112/365))</f>
        <v>18.225134008338294</v>
      </c>
      <c r="E188" s="33">
        <f t="shared" si="58"/>
        <v>100</v>
      </c>
      <c r="G188" s="1">
        <v>2011</v>
      </c>
      <c r="H188" s="886">
        <f>(O111/$R111*100*($E111/365))+(O112/$R112*100*($E112/365))</f>
        <v>80.790713639342215</v>
      </c>
      <c r="I188" s="886"/>
      <c r="J188" s="886">
        <f>(P111/$R111*100*($E111/365))+(P112/$R112*100*($E112/365))</f>
        <v>0</v>
      </c>
      <c r="K188" s="886"/>
      <c r="L188" s="886">
        <f>(Q111/$R111*100*($E111/365))+(Q112/$R112*100*($E112/365))</f>
        <v>19.209286360657785</v>
      </c>
      <c r="M188" s="886"/>
      <c r="N188" s="887">
        <f t="shared" si="59"/>
        <v>100</v>
      </c>
      <c r="O188" s="887"/>
      <c r="R188" s="1">
        <v>2011</v>
      </c>
      <c r="S188" s="7">
        <f>(O111*($E111/365))+(O112*($E112/365))</f>
        <v>29.967123287671235</v>
      </c>
      <c r="T188" s="7">
        <f>(P111*($E111/365))+(P112*($E112/365))</f>
        <v>0</v>
      </c>
      <c r="U188" s="7">
        <f>(Q111*($E111/365))+(Q112*($E112/365))</f>
        <v>8.4328767123287669</v>
      </c>
      <c r="V188" s="12"/>
      <c r="W188" s="7">
        <f>R111*(E111/365) + R112*(E112/365)</f>
        <v>38.400000000000006</v>
      </c>
      <c r="X188" s="5"/>
      <c r="Z188" s="5"/>
    </row>
    <row r="189" spans="1:26" ht="9" customHeight="1">
      <c r="A189" s="1">
        <v>2012</v>
      </c>
      <c r="B189" s="7">
        <f>(K113*($E113/366))+(K114*($E114/366))</f>
        <v>26.086956521739129</v>
      </c>
      <c r="C189" s="7">
        <f>(L113*($E113/366))+(L114*($E114/366))</f>
        <v>0</v>
      </c>
      <c r="D189" s="7">
        <f>(M113*($E113/366))+(M114*($E114/366))</f>
        <v>73.91304347826086</v>
      </c>
      <c r="E189" s="33">
        <f t="shared" si="58"/>
        <v>99.999999999999986</v>
      </c>
      <c r="G189" s="1">
        <v>2012</v>
      </c>
      <c r="H189" s="886">
        <f>(O113/$R113*100*($E113/366))+(O114/$R114*100*($E114/366))</f>
        <v>22.095671981776761</v>
      </c>
      <c r="I189" s="886"/>
      <c r="J189" s="886">
        <f>(P113/$R113*100*($E113/366))+(P114/$R114*100*($E114/366))</f>
        <v>0</v>
      </c>
      <c r="K189" s="886"/>
      <c r="L189" s="886">
        <f>(Q113/$R113*100*($E113/366))+(Q114/$R114*100*($E114/366))</f>
        <v>77.904328018223239</v>
      </c>
      <c r="M189" s="886"/>
      <c r="N189" s="887">
        <f t="shared" si="59"/>
        <v>100</v>
      </c>
      <c r="O189" s="887"/>
      <c r="R189" s="1">
        <v>2012</v>
      </c>
      <c r="S189" s="7">
        <f>(O113*($E113/366))+(O114*($E114/366))</f>
        <v>9.6999999999999993</v>
      </c>
      <c r="T189" s="7">
        <f>(P113*($E113/366))+(P114*($E114/366))</f>
        <v>0</v>
      </c>
      <c r="U189" s="7">
        <f>(Q113*($E113/366))+(Q114*($E114/366))</f>
        <v>34.200000000000003</v>
      </c>
      <c r="V189" s="12"/>
      <c r="W189" s="7">
        <f>R113*(E113/366) + R114*(E114/366)</f>
        <v>43.900000000000006</v>
      </c>
      <c r="X189" s="5"/>
      <c r="Z189" s="5"/>
    </row>
    <row r="190" spans="1:26">
      <c r="A190" s="1">
        <v>2013</v>
      </c>
      <c r="B190" s="7">
        <f>(K115*($E115/365))+(K116*($E116/365))</f>
        <v>26.558016135145376</v>
      </c>
      <c r="C190" s="7">
        <f>(L115*($E115/365))+(L116*($E116/365))</f>
        <v>0</v>
      </c>
      <c r="D190" s="7">
        <f>(M115*($E115/365))+(M116*($E116/365))</f>
        <v>73.44198386485462</v>
      </c>
      <c r="E190" s="264">
        <f>SUM(B190:D190)</f>
        <v>100</v>
      </c>
      <c r="G190" s="1">
        <v>2013</v>
      </c>
      <c r="H190" s="886">
        <f>(O115/$R115*100*($E115/365))+(O116/$R116*100*($E116/365))</f>
        <v>22.095671981776761</v>
      </c>
      <c r="I190" s="886"/>
      <c r="J190" s="886">
        <f>(P115/$R115*100*($E115/365))+(P116/$R116*100*($E116/365))</f>
        <v>0</v>
      </c>
      <c r="K190" s="886"/>
      <c r="L190" s="886">
        <f>(Q115/$R115*100*($E115/365))+(Q116/$R116*100*($E116/365))</f>
        <v>77.904328018223239</v>
      </c>
      <c r="M190" s="886"/>
      <c r="N190" s="887">
        <f>SUM(H190:M190)</f>
        <v>100</v>
      </c>
      <c r="O190" s="887"/>
      <c r="R190" s="1">
        <v>2013</v>
      </c>
      <c r="S190" s="7">
        <f>(O115*($E115/365))+(O116*($E116/365))</f>
        <v>9.6999999999999993</v>
      </c>
      <c r="T190" s="7">
        <f>(P115*($E115/365))+(P116*($E116/365))</f>
        <v>0</v>
      </c>
      <c r="U190" s="7">
        <f>(Q115*($E115/365))+(Q116*($E116/365))</f>
        <v>34.200000000000003</v>
      </c>
      <c r="W190" s="7">
        <f>R115*(E115/365) + R116*(E116/365)</f>
        <v>43.900000000000006</v>
      </c>
    </row>
    <row r="191" spans="1:26">
      <c r="A191" s="1">
        <v>2014</v>
      </c>
      <c r="B191" s="7">
        <f>(K117*($E117/365))+(K118*($E118/365))+(K119*($E119/365))</f>
        <v>32.643835616438352</v>
      </c>
      <c r="C191" s="7">
        <f>(L117*($E117/365))+(L118*($E118/365))+(L119*($E119/365))</f>
        <v>0</v>
      </c>
      <c r="D191" s="7">
        <f>(M117*($E117/365))+(M118*($E118/365))+(M119*($E119/365))</f>
        <v>67.356164383561634</v>
      </c>
      <c r="E191" s="447">
        <f>SUM(B191:D191)</f>
        <v>99.999999999999986</v>
      </c>
      <c r="G191" s="1">
        <v>2014</v>
      </c>
      <c r="H191" s="886">
        <f>(O117/$R117*100*($E117/365))+(O118/$R118*100*($E118/365))+(O119/$R119*100*($E119/365))</f>
        <v>24.990080541426998</v>
      </c>
      <c r="I191" s="886"/>
      <c r="J191" s="886">
        <f>(P117/$R117*100*($E117/365))+(P118/$R118*100*($E118/365))+(P119/$R119*100*($E119/365))</f>
        <v>0</v>
      </c>
      <c r="K191" s="886"/>
      <c r="L191" s="886">
        <f>(Q117/$R117*100*($E117/365))+(Q118/$R118*100*($E118/365))+(Q119/$R119*100*($E119/365))</f>
        <v>75.009919458573009</v>
      </c>
      <c r="M191" s="886"/>
      <c r="N191" s="887">
        <f>SUM(H191:M191)</f>
        <v>100</v>
      </c>
      <c r="O191" s="887"/>
      <c r="R191" s="1">
        <v>2014</v>
      </c>
      <c r="S191" s="7">
        <f>(O117*($E117/365))+(O118*($E118/365))+(O119*($E119/365))</f>
        <v>9.1542465753424658</v>
      </c>
      <c r="T191" s="7">
        <f>(P117*($E117/365))+(P118*($E118/365))+(P119*($E119/365))</f>
        <v>0</v>
      </c>
      <c r="U191" s="7">
        <f>(Q117*($E117/365))+(Q118*($E118/365))+(Q119*($E119/365))</f>
        <v>27.56</v>
      </c>
      <c r="W191" s="7">
        <f>R117*(E117/365) + R118*(E118/365) + R119*(E119/365)</f>
        <v>36.714246575342464</v>
      </c>
    </row>
    <row r="192" spans="1:26" s="585" customFormat="1">
      <c r="A192" s="585">
        <v>2015</v>
      </c>
      <c r="B192" s="583">
        <f>(K120*($E120/365))+(K121*($E121/365))</f>
        <v>65.863013698630141</v>
      </c>
      <c r="C192" s="583">
        <f>(L120*($E120/365))+(L121*($E121/365))</f>
        <v>0</v>
      </c>
      <c r="D192" s="583">
        <f>(M120*($E120/365))+(M121*($E121/365))</f>
        <v>34.136986301369859</v>
      </c>
      <c r="E192" s="580">
        <f>SUM(B192:D192)</f>
        <v>100</v>
      </c>
      <c r="G192" s="585">
        <v>2015</v>
      </c>
      <c r="H192" s="886">
        <f>(O120/$R120*100*($E120/365))+(O121/$R121*100*($E121/365))</f>
        <v>63.560121765601217</v>
      </c>
      <c r="I192" s="886"/>
      <c r="J192" s="886">
        <f>(P120/$R120*100*($E120/365))+(P121/$R121*100*($E121/365))</f>
        <v>0</v>
      </c>
      <c r="K192" s="886"/>
      <c r="L192" s="886">
        <f>(Q120/$R120*100*($E120/365))+(Q121/$R121*100*($E121/365))</f>
        <v>36.439878234398783</v>
      </c>
      <c r="M192" s="886"/>
      <c r="N192" s="887">
        <f>SUM(H192:M192)</f>
        <v>100</v>
      </c>
      <c r="O192" s="887"/>
      <c r="R192" s="585">
        <v>2015</v>
      </c>
      <c r="S192" s="583">
        <f>(O120*($E120/365))+(O121*($E121/365))</f>
        <v>14.376986301369863</v>
      </c>
      <c r="T192" s="583">
        <f>(P120*($E120/365))+(P121*($E121/365))</f>
        <v>0</v>
      </c>
      <c r="U192" s="583">
        <f>(Q120*($E120/365))+(Q121*($E121/365))</f>
        <v>13.118356164383561</v>
      </c>
      <c r="W192" s="583">
        <f xml:space="preserve"> R120*(E120/365) + R121*(E121/365)</f>
        <v>27.495342465753424</v>
      </c>
    </row>
    <row r="193" spans="1:23" s="585" customFormat="1">
      <c r="A193" s="713">
        <v>2016</v>
      </c>
      <c r="B193" s="712">
        <f>(K122*($E122/366))+(K123*($E123/366))</f>
        <v>100</v>
      </c>
      <c r="C193" s="712">
        <f t="shared" ref="C193:D193" si="60">(L122*($E122/366))+(L123*($E123/366))</f>
        <v>0</v>
      </c>
      <c r="D193" s="712">
        <f t="shared" si="60"/>
        <v>0</v>
      </c>
      <c r="E193" s="709">
        <f>SUM(B193:D193)</f>
        <v>100</v>
      </c>
      <c r="F193" s="713"/>
      <c r="G193" s="713">
        <v>2016</v>
      </c>
      <c r="H193" s="886">
        <f>(O122/$R122*100*($E122/366))+(O123/$R123*100*($E123/366))</f>
        <v>100</v>
      </c>
      <c r="I193" s="886"/>
      <c r="J193" s="886">
        <f>(P122/$R122*100*($E122/366))+(P123/$R123*100*($E123/366))</f>
        <v>0</v>
      </c>
      <c r="K193" s="886"/>
      <c r="L193" s="886">
        <f>(Q122/$R122*100*($E122/366))+(Q123/$R123*100*($E123/366))</f>
        <v>0</v>
      </c>
      <c r="M193" s="886"/>
      <c r="N193" s="887">
        <f>SUM(H193:M193)</f>
        <v>100</v>
      </c>
      <c r="O193" s="887"/>
      <c r="P193" s="713"/>
      <c r="Q193" s="713"/>
      <c r="R193" s="713">
        <v>2016</v>
      </c>
      <c r="S193" s="712">
        <f>(O122*($E122/366))+(O123*($E123/366))</f>
        <v>20.412568306010929</v>
      </c>
      <c r="T193" s="712">
        <f t="shared" ref="T193:U193" si="61">(P122*($E122/366))+(P123*($E123/366))</f>
        <v>0</v>
      </c>
      <c r="U193" s="712">
        <f t="shared" si="61"/>
        <v>0</v>
      </c>
      <c r="V193" s="713"/>
      <c r="W193" s="712">
        <f xml:space="preserve"> R122*(E122/366) + R123*(E123/366)</f>
        <v>20.412568306010929</v>
      </c>
    </row>
    <row r="194" spans="1:23">
      <c r="A194" s="1">
        <v>2017</v>
      </c>
      <c r="B194" s="746">
        <f>(K124*($E124/365))+(K125*($E125/365))</f>
        <v>100</v>
      </c>
      <c r="C194" s="746">
        <f t="shared" ref="C194:D194" si="62">(L124*($E124/365))+(L125*($E125/365))</f>
        <v>0</v>
      </c>
      <c r="D194" s="746">
        <f t="shared" si="62"/>
        <v>0</v>
      </c>
      <c r="E194" s="745">
        <f>SUM(B194:D194)</f>
        <v>100</v>
      </c>
      <c r="F194" s="749"/>
      <c r="G194" s="749">
        <v>2017</v>
      </c>
      <c r="H194" s="886">
        <f>(O124/$R124*100*($E124/365))+(O125/$R125*100*($E125/365))</f>
        <v>100</v>
      </c>
      <c r="I194" s="886"/>
      <c r="J194" s="886">
        <f>(P124/$R124*100*($E124/365))+(P125/$R125*100*($E125/365))</f>
        <v>0</v>
      </c>
      <c r="K194" s="886"/>
      <c r="L194" s="886">
        <f>(Q124/$R124*100*($E124/365))+(Q125/$R125*100*($E125/365))</f>
        <v>0</v>
      </c>
      <c r="M194" s="886"/>
      <c r="N194" s="887">
        <f>SUM(H194:M194)</f>
        <v>100</v>
      </c>
      <c r="O194" s="887"/>
      <c r="P194" s="749"/>
      <c r="Q194" s="749"/>
      <c r="R194" s="749">
        <v>2017</v>
      </c>
      <c r="S194" s="746">
        <f>(O124*($E124/365))+(O125*($E125/365))</f>
        <v>30.3</v>
      </c>
      <c r="T194" s="746">
        <f t="shared" ref="T194:U194" si="63">(P124*($E124/365))+(P125*($E125/365))</f>
        <v>0</v>
      </c>
      <c r="U194" s="746">
        <f t="shared" si="63"/>
        <v>0</v>
      </c>
      <c r="V194" s="749"/>
      <c r="W194" s="746">
        <f xml:space="preserve"> R124*(E124/365) + R125*(E125/365)</f>
        <v>30.3</v>
      </c>
    </row>
    <row r="195" spans="1:23">
      <c r="A195" s="766">
        <v>2018</v>
      </c>
      <c r="B195" s="762">
        <f>(K126*($E126/365))+(K127*($E127/365))</f>
        <v>100</v>
      </c>
      <c r="C195" s="762">
        <f>(L126*($E126/365))+(L127*($E127/365))</f>
        <v>0</v>
      </c>
      <c r="D195" s="762">
        <f>(M126*($E126/365))+(M127*($E127/365))</f>
        <v>0</v>
      </c>
      <c r="E195" s="758">
        <f t="shared" ref="E195" si="64">SUM(B195:D195)</f>
        <v>100</v>
      </c>
      <c r="F195" s="766"/>
      <c r="G195" s="766">
        <v>2018</v>
      </c>
      <c r="H195" s="886">
        <f>(O126/$R126*100*($E126/365))+(O127/$R127*100*($E127/365))</f>
        <v>100</v>
      </c>
      <c r="I195" s="886"/>
      <c r="J195" s="886">
        <f>(P126/$R126*100*($E126/365))+(P127/$R127*100*($E127/365))</f>
        <v>0</v>
      </c>
      <c r="K195" s="886"/>
      <c r="L195" s="886">
        <f>(Q126/$R126*100*($E126/365))+(Q127/$R127*100*($E127/365))</f>
        <v>0</v>
      </c>
      <c r="M195" s="886"/>
      <c r="N195" s="887">
        <f t="shared" ref="N195" si="65">SUM(H195:M195)</f>
        <v>100</v>
      </c>
      <c r="O195" s="887"/>
      <c r="P195" s="766"/>
      <c r="Q195" s="766"/>
      <c r="R195" s="766">
        <v>2018</v>
      </c>
      <c r="S195" s="762">
        <f>(O126*($E126/365))+(O127*($E127/365))</f>
        <v>30.3</v>
      </c>
      <c r="T195" s="762">
        <f>(P126*($E126/365))+(P127*($E127/365))</f>
        <v>0</v>
      </c>
      <c r="U195" s="762">
        <f>(Q126*($E126/365))+(Q127*($E127/365))</f>
        <v>0</v>
      </c>
      <c r="V195" s="766"/>
      <c r="W195" s="762">
        <f xml:space="preserve"> R126*(E126/365) + R127*(E127/365)</f>
        <v>30.3</v>
      </c>
    </row>
    <row r="196" spans="1:23">
      <c r="A196" s="1">
        <v>2019</v>
      </c>
      <c r="B196" s="791">
        <f>(K128*($E128/365))+(K129*($E129/365))</f>
        <v>48.493150684931507</v>
      </c>
      <c r="C196" s="791">
        <f>(L128*($E128/365))+(L129*($E129/365))</f>
        <v>0</v>
      </c>
      <c r="D196" s="791">
        <f>(M128*($E128/365))+(M129*($E129/365))</f>
        <v>51.506849315068493</v>
      </c>
      <c r="E196" s="789">
        <f t="shared" ref="E196" si="66">SUM(B196:D196)</f>
        <v>100</v>
      </c>
      <c r="F196" s="794"/>
      <c r="G196" s="794">
        <v>2019</v>
      </c>
      <c r="H196" s="886">
        <f>(O128/$R128*100*($E128/365))+(O129/$R129*100*($E129/365))</f>
        <v>48.493150684931507</v>
      </c>
      <c r="I196" s="886"/>
      <c r="J196" s="886">
        <f>(P128/$R128*100*($E128/365))+(P129/$R129*100*($E129/365))</f>
        <v>0</v>
      </c>
      <c r="K196" s="886"/>
      <c r="L196" s="886">
        <f>(Q128/$R128*100*($E128/365))+(Q129/$R129*100*($E129/365))</f>
        <v>51.506849315068493</v>
      </c>
      <c r="M196" s="886"/>
      <c r="N196" s="887">
        <f t="shared" ref="N196" si="67">SUM(H196:M196)</f>
        <v>100</v>
      </c>
      <c r="O196" s="887"/>
      <c r="P196" s="794"/>
      <c r="Q196" s="794"/>
      <c r="R196" s="794">
        <v>2019</v>
      </c>
      <c r="S196" s="791">
        <f>(O128*($E128/365))+(O129*($E129/365))</f>
        <v>14.693424657534248</v>
      </c>
      <c r="T196" s="791">
        <f>(P128*($E128/365))+(P129*($E129/365))</f>
        <v>0</v>
      </c>
      <c r="U196" s="791">
        <f>(Q128*($E128/365))+(Q129*($E129/365))</f>
        <v>14.112876712328767</v>
      </c>
      <c r="V196" s="794"/>
      <c r="W196" s="791">
        <f xml:space="preserve"> R128*(E128/365) + R129*(E129/365)</f>
        <v>28.806301369863014</v>
      </c>
    </row>
  </sheetData>
  <mergeCells count="394">
    <mergeCell ref="N190:O190"/>
    <mergeCell ref="N136:O136"/>
    <mergeCell ref="C126:D126"/>
    <mergeCell ref="C127:D127"/>
    <mergeCell ref="H195:I195"/>
    <mergeCell ref="J195:K195"/>
    <mergeCell ref="L195:M195"/>
    <mergeCell ref="N195:O195"/>
    <mergeCell ref="H194:I194"/>
    <mergeCell ref="J194:K194"/>
    <mergeCell ref="L194:M194"/>
    <mergeCell ref="N194:O194"/>
    <mergeCell ref="N138:O138"/>
    <mergeCell ref="H168:I168"/>
    <mergeCell ref="H169:I169"/>
    <mergeCell ref="H158:I158"/>
    <mergeCell ref="H159:I159"/>
    <mergeCell ref="H160:I160"/>
    <mergeCell ref="H161:I161"/>
    <mergeCell ref="H162:I162"/>
    <mergeCell ref="H163:I163"/>
    <mergeCell ref="H178:I178"/>
    <mergeCell ref="L154:M154"/>
    <mergeCell ref="J144:K144"/>
    <mergeCell ref="C124:D124"/>
    <mergeCell ref="C125:D125"/>
    <mergeCell ref="H193:I193"/>
    <mergeCell ref="J193:K193"/>
    <mergeCell ref="L193:M193"/>
    <mergeCell ref="J136:K136"/>
    <mergeCell ref="L136:M136"/>
    <mergeCell ref="J138:K138"/>
    <mergeCell ref="L138:M138"/>
    <mergeCell ref="J153:K153"/>
    <mergeCell ref="J154:K154"/>
    <mergeCell ref="J155:K155"/>
    <mergeCell ref="J156:K156"/>
    <mergeCell ref="H172:I172"/>
    <mergeCell ref="H173:I173"/>
    <mergeCell ref="H174:I174"/>
    <mergeCell ref="H175:I175"/>
    <mergeCell ref="J182:K182"/>
    <mergeCell ref="J176:K176"/>
    <mergeCell ref="H182:I182"/>
    <mergeCell ref="H181:I181"/>
    <mergeCell ref="H144:I144"/>
    <mergeCell ref="J164:K164"/>
    <mergeCell ref="J181:K181"/>
    <mergeCell ref="N193:O193"/>
    <mergeCell ref="H191:I191"/>
    <mergeCell ref="J191:K191"/>
    <mergeCell ref="L191:M191"/>
    <mergeCell ref="N191:O191"/>
    <mergeCell ref="H157:I157"/>
    <mergeCell ref="H164:I164"/>
    <mergeCell ref="H165:I165"/>
    <mergeCell ref="H166:I166"/>
    <mergeCell ref="H170:I170"/>
    <mergeCell ref="H167:I167"/>
    <mergeCell ref="J190:K190"/>
    <mergeCell ref="L190:M190"/>
    <mergeCell ref="J157:K157"/>
    <mergeCell ref="H187:I187"/>
    <mergeCell ref="H176:I176"/>
    <mergeCell ref="H177:I177"/>
    <mergeCell ref="J158:K158"/>
    <mergeCell ref="J159:K159"/>
    <mergeCell ref="J160:K160"/>
    <mergeCell ref="J161:K161"/>
    <mergeCell ref="J162:K162"/>
    <mergeCell ref="J163:K163"/>
    <mergeCell ref="H171:I171"/>
    <mergeCell ref="C122:D122"/>
    <mergeCell ref="C118:D118"/>
    <mergeCell ref="H145:I145"/>
    <mergeCell ref="H154:I154"/>
    <mergeCell ref="H143:I143"/>
    <mergeCell ref="H138:I138"/>
    <mergeCell ref="L137:M137"/>
    <mergeCell ref="L139:M139"/>
    <mergeCell ref="L140:M140"/>
    <mergeCell ref="L141:M141"/>
    <mergeCell ref="L142:M142"/>
    <mergeCell ref="L143:M143"/>
    <mergeCell ref="J137:K137"/>
    <mergeCell ref="J139:K139"/>
    <mergeCell ref="J140:K140"/>
    <mergeCell ref="J141:K141"/>
    <mergeCell ref="J142:K142"/>
    <mergeCell ref="J143:K143"/>
    <mergeCell ref="H139:I139"/>
    <mergeCell ref="H140:I140"/>
    <mergeCell ref="H141:I141"/>
    <mergeCell ref="H142:I142"/>
    <mergeCell ref="L152:M152"/>
    <mergeCell ref="L153:M153"/>
    <mergeCell ref="C91:D91"/>
    <mergeCell ref="C92:D92"/>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20:D120"/>
    <mergeCell ref="C121:D121"/>
    <mergeCell ref="C76:D76"/>
    <mergeCell ref="C73:D73"/>
    <mergeCell ref="C74:D74"/>
    <mergeCell ref="C77:D77"/>
    <mergeCell ref="C78:D78"/>
    <mergeCell ref="C81:D81"/>
    <mergeCell ref="C119:D119"/>
    <mergeCell ref="C82:D82"/>
    <mergeCell ref="C79:D79"/>
    <mergeCell ref="C80:D80"/>
    <mergeCell ref="C83:D83"/>
    <mergeCell ref="C84:D84"/>
    <mergeCell ref="C87:D87"/>
    <mergeCell ref="C88:D88"/>
    <mergeCell ref="C85:D85"/>
    <mergeCell ref="C86:D86"/>
    <mergeCell ref="C110:D110"/>
    <mergeCell ref="C117:D117"/>
    <mergeCell ref="C115:D115"/>
    <mergeCell ref="C116:D116"/>
    <mergeCell ref="C89:D89"/>
    <mergeCell ref="C90:D90"/>
    <mergeCell ref="C93:D93"/>
    <mergeCell ref="C94:D94"/>
    <mergeCell ref="C65:D65"/>
    <mergeCell ref="C66:D66"/>
    <mergeCell ref="C69:D69"/>
    <mergeCell ref="C70:D70"/>
    <mergeCell ref="C67:D67"/>
    <mergeCell ref="C68:D68"/>
    <mergeCell ref="C71:D71"/>
    <mergeCell ref="C72:D72"/>
    <mergeCell ref="C75:D75"/>
    <mergeCell ref="C58:D58"/>
    <mergeCell ref="C55:D55"/>
    <mergeCell ref="C56:D56"/>
    <mergeCell ref="C59:D59"/>
    <mergeCell ref="C60:D60"/>
    <mergeCell ref="C63:D63"/>
    <mergeCell ref="C64:D64"/>
    <mergeCell ref="C61:D61"/>
    <mergeCell ref="C62:D62"/>
    <mergeCell ref="C47:D47"/>
    <mergeCell ref="C48:D48"/>
    <mergeCell ref="C51:D51"/>
    <mergeCell ref="C52:D52"/>
    <mergeCell ref="C49:D49"/>
    <mergeCell ref="C50:D50"/>
    <mergeCell ref="C53:D53"/>
    <mergeCell ref="C54:D54"/>
    <mergeCell ref="C57:D57"/>
    <mergeCell ref="C39:D39"/>
    <mergeCell ref="C40:D40"/>
    <mergeCell ref="C37:D37"/>
    <mergeCell ref="C38:D38"/>
    <mergeCell ref="C41:D41"/>
    <mergeCell ref="C42:D42"/>
    <mergeCell ref="C45:D45"/>
    <mergeCell ref="C46:D46"/>
    <mergeCell ref="C43:D43"/>
    <mergeCell ref="C44:D4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35:D35"/>
    <mergeCell ref="C36:D36"/>
    <mergeCell ref="A4:A5"/>
    <mergeCell ref="B4:B5"/>
    <mergeCell ref="C4:D5"/>
    <mergeCell ref="E4:E5"/>
    <mergeCell ref="F4:F5"/>
    <mergeCell ref="G4:J4"/>
    <mergeCell ref="Z4:AC4"/>
    <mergeCell ref="C28:D28"/>
    <mergeCell ref="C25:D25"/>
    <mergeCell ref="C26:D26"/>
    <mergeCell ref="C29:D29"/>
    <mergeCell ref="C30:D30"/>
    <mergeCell ref="C33:D33"/>
    <mergeCell ref="C34:D34"/>
    <mergeCell ref="C31:D31"/>
    <mergeCell ref="C32:D32"/>
    <mergeCell ref="G3:M3"/>
    <mergeCell ref="O3:Q3"/>
    <mergeCell ref="C9:D9"/>
    <mergeCell ref="C10:D10"/>
    <mergeCell ref="C21:D21"/>
    <mergeCell ref="C22:D22"/>
    <mergeCell ref="C23:D23"/>
    <mergeCell ref="C24:D24"/>
    <mergeCell ref="C27:D27"/>
    <mergeCell ref="J165:K165"/>
    <mergeCell ref="J166:K166"/>
    <mergeCell ref="R133:W133"/>
    <mergeCell ref="H135:I135"/>
    <mergeCell ref="J135:K135"/>
    <mergeCell ref="L135:M135"/>
    <mergeCell ref="N135:O135"/>
    <mergeCell ref="H137:I137"/>
    <mergeCell ref="H136:I136"/>
    <mergeCell ref="H152:I152"/>
    <mergeCell ref="H153:I153"/>
    <mergeCell ref="H146:I146"/>
    <mergeCell ref="H147:I147"/>
    <mergeCell ref="H148:I148"/>
    <mergeCell ref="H149:I149"/>
    <mergeCell ref="H150:I150"/>
    <mergeCell ref="H151:I151"/>
    <mergeCell ref="L146:M146"/>
    <mergeCell ref="L147:M147"/>
    <mergeCell ref="L148:M148"/>
    <mergeCell ref="N148:O148"/>
    <mergeCell ref="L144:M144"/>
    <mergeCell ref="L145:M145"/>
    <mergeCell ref="N137:O137"/>
    <mergeCell ref="L169:M169"/>
    <mergeCell ref="L178:M178"/>
    <mergeCell ref="L179:M179"/>
    <mergeCell ref="L180:M180"/>
    <mergeCell ref="J167:K167"/>
    <mergeCell ref="J168:K168"/>
    <mergeCell ref="J169:K169"/>
    <mergeCell ref="J173:K173"/>
    <mergeCell ref="J174:K174"/>
    <mergeCell ref="J175:K175"/>
    <mergeCell ref="L170:M170"/>
    <mergeCell ref="L171:M171"/>
    <mergeCell ref="L172:M172"/>
    <mergeCell ref="J177:K177"/>
    <mergeCell ref="J170:K170"/>
    <mergeCell ref="J171:K171"/>
    <mergeCell ref="L167:M167"/>
    <mergeCell ref="L168:M168"/>
    <mergeCell ref="H192:I192"/>
    <mergeCell ref="J192:K192"/>
    <mergeCell ref="L192:M192"/>
    <mergeCell ref="N192:O192"/>
    <mergeCell ref="L188:M188"/>
    <mergeCell ref="L189:M189"/>
    <mergeCell ref="L183:M183"/>
    <mergeCell ref="L184:M184"/>
    <mergeCell ref="L185:M185"/>
    <mergeCell ref="L186:M186"/>
    <mergeCell ref="L187:M187"/>
    <mergeCell ref="N188:O188"/>
    <mergeCell ref="N189:O189"/>
    <mergeCell ref="N183:O183"/>
    <mergeCell ref="J188:K188"/>
    <mergeCell ref="J189:K189"/>
    <mergeCell ref="J183:K183"/>
    <mergeCell ref="J184:K184"/>
    <mergeCell ref="J185:K185"/>
    <mergeCell ref="H183:I183"/>
    <mergeCell ref="J186:K186"/>
    <mergeCell ref="N187:O187"/>
    <mergeCell ref="N184:O184"/>
    <mergeCell ref="N185:O185"/>
    <mergeCell ref="H186:I186"/>
    <mergeCell ref="J178:K178"/>
    <mergeCell ref="J179:K179"/>
    <mergeCell ref="J180:K180"/>
    <mergeCell ref="J172:K172"/>
    <mergeCell ref="N186:O186"/>
    <mergeCell ref="J187:K187"/>
    <mergeCell ref="N180:O180"/>
    <mergeCell ref="N181:O181"/>
    <mergeCell ref="N182:O182"/>
    <mergeCell ref="L181:M181"/>
    <mergeCell ref="H184:I184"/>
    <mergeCell ref="H185:I185"/>
    <mergeCell ref="H179:I179"/>
    <mergeCell ref="H180:I180"/>
    <mergeCell ref="L182:M182"/>
    <mergeCell ref="L176:M176"/>
    <mergeCell ref="L177:M177"/>
    <mergeCell ref="L173:M173"/>
    <mergeCell ref="L174:M174"/>
    <mergeCell ref="L175:M175"/>
    <mergeCell ref="N178:O178"/>
    <mergeCell ref="L163:M163"/>
    <mergeCell ref="N155:O155"/>
    <mergeCell ref="N156:O156"/>
    <mergeCell ref="N157:O157"/>
    <mergeCell ref="N164:O164"/>
    <mergeCell ref="L166:M166"/>
    <mergeCell ref="L158:M158"/>
    <mergeCell ref="L159:M159"/>
    <mergeCell ref="N160:O160"/>
    <mergeCell ref="N161:O161"/>
    <mergeCell ref="N162:O162"/>
    <mergeCell ref="N163:O163"/>
    <mergeCell ref="L155:M155"/>
    <mergeCell ref="L156:M156"/>
    <mergeCell ref="L157:M157"/>
    <mergeCell ref="L164:M164"/>
    <mergeCell ref="L165:M165"/>
    <mergeCell ref="L160:M160"/>
    <mergeCell ref="L161:M161"/>
    <mergeCell ref="L162:M162"/>
    <mergeCell ref="N171:O171"/>
    <mergeCell ref="N149:O149"/>
    <mergeCell ref="N150:O150"/>
    <mergeCell ref="N151:O151"/>
    <mergeCell ref="N152:O152"/>
    <mergeCell ref="N153:O153"/>
    <mergeCell ref="N158:O158"/>
    <mergeCell ref="N159:O159"/>
    <mergeCell ref="N166:O166"/>
    <mergeCell ref="AT4:AW4"/>
    <mergeCell ref="AX4:BA4"/>
    <mergeCell ref="C7:D7"/>
    <mergeCell ref="C6:D6"/>
    <mergeCell ref="N154:O154"/>
    <mergeCell ref="J145:K145"/>
    <mergeCell ref="L149:M149"/>
    <mergeCell ref="L150:M150"/>
    <mergeCell ref="L151:M151"/>
    <mergeCell ref="J146:K146"/>
    <mergeCell ref="J147:K147"/>
    <mergeCell ref="J148:K148"/>
    <mergeCell ref="J149:K149"/>
    <mergeCell ref="C128:D128"/>
    <mergeCell ref="C129:D129"/>
    <mergeCell ref="N139:O139"/>
    <mergeCell ref="N140:O140"/>
    <mergeCell ref="N141:O141"/>
    <mergeCell ref="N142:O142"/>
    <mergeCell ref="N143:O143"/>
    <mergeCell ref="N144:O144"/>
    <mergeCell ref="N145:O145"/>
    <mergeCell ref="N146:O146"/>
    <mergeCell ref="N147:O147"/>
    <mergeCell ref="H196:I196"/>
    <mergeCell ref="J196:K196"/>
    <mergeCell ref="L196:M196"/>
    <mergeCell ref="N196:O196"/>
    <mergeCell ref="H155:I155"/>
    <mergeCell ref="H156:I156"/>
    <mergeCell ref="J150:K150"/>
    <mergeCell ref="J151:K151"/>
    <mergeCell ref="J152:K152"/>
    <mergeCell ref="N179:O179"/>
    <mergeCell ref="N168:O168"/>
    <mergeCell ref="N169:O169"/>
    <mergeCell ref="N170:O170"/>
    <mergeCell ref="N167:O167"/>
    <mergeCell ref="N165:O165"/>
    <mergeCell ref="N174:O174"/>
    <mergeCell ref="N175:O175"/>
    <mergeCell ref="N176:O176"/>
    <mergeCell ref="N177:O177"/>
    <mergeCell ref="N172:O172"/>
    <mergeCell ref="N173:O173"/>
    <mergeCell ref="H188:I188"/>
    <mergeCell ref="H189:I189"/>
    <mergeCell ref="H190:I190"/>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A100"/>
  <sheetViews>
    <sheetView zoomScale="159" zoomScaleNormal="120" workbookViewId="0">
      <pane xSplit="1" ySplit="5" topLeftCell="B6" activePane="bottomRight" state="frozen"/>
      <selection pane="topRight" activeCell="B1" sqref="B1"/>
      <selection pane="bottomLeft" activeCell="A6" sqref="A6"/>
      <selection pane="bottomRight" activeCell="N43" sqref="N4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140</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73" customFormat="1">
      <c r="A6" s="73">
        <v>1992</v>
      </c>
      <c r="B6" s="852"/>
      <c r="C6" s="935" t="s">
        <v>1268</v>
      </c>
      <c r="D6" s="935"/>
      <c r="E6" s="73">
        <v>294</v>
      </c>
      <c r="G6" s="411"/>
      <c r="H6" s="448"/>
      <c r="I6" s="448"/>
      <c r="J6" s="413"/>
      <c r="K6" s="409"/>
      <c r="L6" s="409"/>
      <c r="M6" s="409"/>
      <c r="N6" s="412"/>
      <c r="O6" s="408"/>
      <c r="P6" s="409"/>
      <c r="Q6" s="409"/>
      <c r="R6" s="410"/>
      <c r="T6" s="839"/>
      <c r="U6" s="852"/>
      <c r="V6" s="82"/>
      <c r="Y6" s="83"/>
      <c r="AD6" s="82"/>
      <c r="AG6" s="83"/>
      <c r="AL6" s="82"/>
      <c r="AO6" s="83"/>
      <c r="AP6" s="82"/>
      <c r="AS6" s="83"/>
      <c r="AW6" s="83"/>
      <c r="BA6" s="84"/>
    </row>
    <row r="7" spans="1:53" s="292" customFormat="1">
      <c r="A7" s="292">
        <v>1992</v>
      </c>
      <c r="B7" s="836">
        <v>33898</v>
      </c>
      <c r="C7" s="916" t="s">
        <v>1098</v>
      </c>
      <c r="D7" s="916"/>
      <c r="E7" s="292">
        <v>72</v>
      </c>
      <c r="F7" s="292" t="s">
        <v>338</v>
      </c>
      <c r="G7" s="425">
        <v>7</v>
      </c>
      <c r="H7" s="449"/>
      <c r="I7" s="449">
        <v>3</v>
      </c>
      <c r="J7" s="427">
        <v>14</v>
      </c>
      <c r="K7" s="423">
        <f t="shared" ref="K7:K44" si="0">G7/J7*100</f>
        <v>50</v>
      </c>
      <c r="L7" s="423">
        <f t="shared" ref="L7:L44" si="1">H7/J7*100</f>
        <v>0</v>
      </c>
      <c r="M7" s="423">
        <f t="shared" ref="M7:M44" si="2">I7/J7*100</f>
        <v>21.428571428571427</v>
      </c>
      <c r="N7" s="426">
        <f t="shared" ref="N7:N52" si="3">SUM(K7:M7)</f>
        <v>71.428571428571431</v>
      </c>
      <c r="O7" s="422">
        <v>38.6</v>
      </c>
      <c r="P7" s="423"/>
      <c r="Q7" s="423">
        <v>11.9</v>
      </c>
      <c r="R7" s="424">
        <f>SUM(O7:Q7)</f>
        <v>50.5</v>
      </c>
      <c r="S7" s="292">
        <v>2</v>
      </c>
      <c r="T7" s="838">
        <v>33867</v>
      </c>
      <c r="U7" s="836">
        <v>33898</v>
      </c>
      <c r="V7" s="299" t="s">
        <v>1097</v>
      </c>
      <c r="W7" s="292" t="s">
        <v>74</v>
      </c>
      <c r="X7" s="292" t="s">
        <v>11</v>
      </c>
      <c r="Y7" s="300">
        <v>28.7</v>
      </c>
      <c r="Z7" s="292" t="s">
        <v>475</v>
      </c>
      <c r="AA7" s="292" t="s">
        <v>98</v>
      </c>
      <c r="AB7" s="292" t="s">
        <v>12</v>
      </c>
      <c r="AC7" s="292">
        <v>11.9</v>
      </c>
      <c r="AD7" s="299" t="s">
        <v>1091</v>
      </c>
      <c r="AE7" s="292" t="s">
        <v>297</v>
      </c>
      <c r="AF7" s="292" t="s">
        <v>11</v>
      </c>
      <c r="AG7" s="300">
        <v>9.9</v>
      </c>
      <c r="AL7" s="299"/>
      <c r="AO7" s="300"/>
      <c r="AP7" s="299"/>
      <c r="AS7" s="300"/>
      <c r="AW7" s="300"/>
      <c r="BA7" s="301"/>
    </row>
    <row r="8" spans="1:53" s="292" customFormat="1">
      <c r="A8" s="292">
        <v>1993</v>
      </c>
      <c r="B8" s="836"/>
      <c r="C8" s="916" t="s">
        <v>1098</v>
      </c>
      <c r="D8" s="916"/>
      <c r="E8" s="292">
        <v>0</v>
      </c>
      <c r="G8" s="425">
        <v>7</v>
      </c>
      <c r="H8" s="449"/>
      <c r="I8" s="449">
        <v>3</v>
      </c>
      <c r="J8" s="427">
        <v>14</v>
      </c>
      <c r="K8" s="423">
        <f t="shared" si="0"/>
        <v>50</v>
      </c>
      <c r="L8" s="423">
        <f t="shared" si="1"/>
        <v>0</v>
      </c>
      <c r="M8" s="423">
        <f t="shared" si="2"/>
        <v>21.428571428571427</v>
      </c>
      <c r="N8" s="426">
        <f t="shared" si="3"/>
        <v>71.428571428571431</v>
      </c>
      <c r="O8" s="422">
        <v>38.6</v>
      </c>
      <c r="P8" s="423"/>
      <c r="Q8" s="423">
        <v>11.9</v>
      </c>
      <c r="R8" s="424">
        <f t="shared" ref="R8:R29" si="4">SUM(O8:Q8)</f>
        <v>50.5</v>
      </c>
      <c r="S8" s="292">
        <v>2</v>
      </c>
      <c r="T8" s="838"/>
      <c r="U8" s="836"/>
      <c r="V8" s="299" t="s">
        <v>1097</v>
      </c>
      <c r="W8" s="292" t="s">
        <v>74</v>
      </c>
      <c r="X8" s="292" t="s">
        <v>11</v>
      </c>
      <c r="Y8" s="300">
        <v>28.7</v>
      </c>
      <c r="Z8" s="292" t="s">
        <v>475</v>
      </c>
      <c r="AA8" s="292" t="s">
        <v>98</v>
      </c>
      <c r="AB8" s="292" t="s">
        <v>12</v>
      </c>
      <c r="AC8" s="292">
        <v>11.9</v>
      </c>
      <c r="AD8" s="299" t="s">
        <v>1091</v>
      </c>
      <c r="AE8" s="292" t="s">
        <v>297</v>
      </c>
      <c r="AF8" s="292" t="s">
        <v>11</v>
      </c>
      <c r="AG8" s="300">
        <v>9.9</v>
      </c>
      <c r="AL8" s="299"/>
      <c r="AO8" s="300"/>
      <c r="AP8" s="299"/>
      <c r="AS8" s="300"/>
      <c r="AW8" s="300"/>
      <c r="BA8" s="301"/>
    </row>
    <row r="9" spans="1:53" s="292" customFormat="1">
      <c r="A9" s="292">
        <v>1993</v>
      </c>
      <c r="B9" s="836"/>
      <c r="C9" s="916" t="s">
        <v>1098</v>
      </c>
      <c r="D9" s="916"/>
      <c r="E9" s="292">
        <v>365</v>
      </c>
      <c r="G9" s="425">
        <v>7</v>
      </c>
      <c r="H9" s="449"/>
      <c r="I9" s="449">
        <v>3</v>
      </c>
      <c r="J9" s="427">
        <v>14</v>
      </c>
      <c r="K9" s="423">
        <f t="shared" si="0"/>
        <v>50</v>
      </c>
      <c r="L9" s="423">
        <f t="shared" si="1"/>
        <v>0</v>
      </c>
      <c r="M9" s="423">
        <f t="shared" si="2"/>
        <v>21.428571428571427</v>
      </c>
      <c r="N9" s="426">
        <f t="shared" si="3"/>
        <v>71.428571428571431</v>
      </c>
      <c r="O9" s="422">
        <v>38.6</v>
      </c>
      <c r="P9" s="423"/>
      <c r="Q9" s="423">
        <v>11.9</v>
      </c>
      <c r="R9" s="424">
        <f t="shared" si="4"/>
        <v>50.5</v>
      </c>
      <c r="S9" s="292">
        <v>2</v>
      </c>
      <c r="T9" s="838"/>
      <c r="U9" s="836"/>
      <c r="V9" s="299" t="s">
        <v>1097</v>
      </c>
      <c r="W9" s="292" t="s">
        <v>74</v>
      </c>
      <c r="X9" s="292" t="s">
        <v>11</v>
      </c>
      <c r="Y9" s="300">
        <v>28.7</v>
      </c>
      <c r="Z9" s="292" t="s">
        <v>475</v>
      </c>
      <c r="AA9" s="292" t="s">
        <v>98</v>
      </c>
      <c r="AB9" s="292" t="s">
        <v>12</v>
      </c>
      <c r="AC9" s="292">
        <v>11.9</v>
      </c>
      <c r="AD9" s="299" t="s">
        <v>1091</v>
      </c>
      <c r="AE9" s="292" t="s">
        <v>297</v>
      </c>
      <c r="AF9" s="292" t="s">
        <v>11</v>
      </c>
      <c r="AG9" s="300">
        <v>9.9</v>
      </c>
      <c r="AL9" s="299"/>
      <c r="AO9" s="300"/>
      <c r="AP9" s="299"/>
      <c r="AS9" s="300"/>
      <c r="AW9" s="300"/>
      <c r="BA9" s="301"/>
    </row>
    <row r="10" spans="1:53" s="292" customFormat="1">
      <c r="A10" s="292">
        <v>1994</v>
      </c>
      <c r="B10" s="836"/>
      <c r="C10" s="916" t="s">
        <v>1098</v>
      </c>
      <c r="D10" s="916"/>
      <c r="E10" s="292">
        <v>311</v>
      </c>
      <c r="G10" s="425">
        <v>7</v>
      </c>
      <c r="H10" s="449"/>
      <c r="I10" s="449">
        <v>3</v>
      </c>
      <c r="J10" s="427">
        <v>14</v>
      </c>
      <c r="K10" s="423">
        <f t="shared" si="0"/>
        <v>50</v>
      </c>
      <c r="L10" s="423">
        <f t="shared" si="1"/>
        <v>0</v>
      </c>
      <c r="M10" s="423">
        <f t="shared" si="2"/>
        <v>21.428571428571427</v>
      </c>
      <c r="N10" s="426">
        <f t="shared" si="3"/>
        <v>71.428571428571431</v>
      </c>
      <c r="O10" s="422">
        <v>38.6</v>
      </c>
      <c r="P10" s="423"/>
      <c r="Q10" s="423">
        <v>11.9</v>
      </c>
      <c r="R10" s="424">
        <f t="shared" si="4"/>
        <v>50.5</v>
      </c>
      <c r="S10" s="292">
        <v>2</v>
      </c>
      <c r="T10" s="838"/>
      <c r="U10" s="836"/>
      <c r="V10" s="299" t="s">
        <v>1097</v>
      </c>
      <c r="W10" s="292" t="s">
        <v>74</v>
      </c>
      <c r="X10" s="292" t="s">
        <v>11</v>
      </c>
      <c r="Y10" s="300">
        <v>28.7</v>
      </c>
      <c r="Z10" s="292" t="s">
        <v>475</v>
      </c>
      <c r="AA10" s="292" t="s">
        <v>98</v>
      </c>
      <c r="AB10" s="292" t="s">
        <v>12</v>
      </c>
      <c r="AC10" s="292">
        <v>11.9</v>
      </c>
      <c r="AD10" s="299" t="s">
        <v>1091</v>
      </c>
      <c r="AE10" s="292" t="s">
        <v>297</v>
      </c>
      <c r="AF10" s="292" t="s">
        <v>11</v>
      </c>
      <c r="AG10" s="300">
        <v>9.9</v>
      </c>
      <c r="AL10" s="299"/>
      <c r="AO10" s="300"/>
      <c r="AP10" s="299"/>
      <c r="AS10" s="300"/>
      <c r="AW10" s="300"/>
      <c r="BA10" s="301"/>
    </row>
    <row r="11" spans="1:53" s="73" customFormat="1">
      <c r="A11" s="73">
        <v>1994</v>
      </c>
      <c r="B11" s="830">
        <v>34646</v>
      </c>
      <c r="C11" s="917" t="s">
        <v>1085</v>
      </c>
      <c r="D11" s="917"/>
      <c r="E11" s="73">
        <v>54</v>
      </c>
      <c r="F11" s="73">
        <v>5</v>
      </c>
      <c r="G11" s="411">
        <v>7</v>
      </c>
      <c r="H11" s="448"/>
      <c r="I11" s="448">
        <v>3</v>
      </c>
      <c r="J11" s="413">
        <v>14</v>
      </c>
      <c r="K11" s="409">
        <f t="shared" si="0"/>
        <v>50</v>
      </c>
      <c r="L11" s="409">
        <f t="shared" si="1"/>
        <v>0</v>
      </c>
      <c r="M11" s="409">
        <f t="shared" si="2"/>
        <v>21.428571428571427</v>
      </c>
      <c r="N11" s="412">
        <f t="shared" si="3"/>
        <v>71.428571428571431</v>
      </c>
      <c r="O11" s="408">
        <v>38.6</v>
      </c>
      <c r="P11" s="409"/>
      <c r="Q11" s="409">
        <v>11.9</v>
      </c>
      <c r="R11" s="410">
        <f t="shared" si="4"/>
        <v>50.5</v>
      </c>
      <c r="S11" s="73">
        <v>6</v>
      </c>
      <c r="T11" s="839"/>
      <c r="U11" s="852">
        <v>34646</v>
      </c>
      <c r="V11" s="82" t="s">
        <v>1097</v>
      </c>
      <c r="W11" s="73" t="s">
        <v>74</v>
      </c>
      <c r="X11" s="73" t="s">
        <v>11</v>
      </c>
      <c r="Y11" s="83">
        <v>28.7</v>
      </c>
      <c r="Z11" s="73" t="s">
        <v>475</v>
      </c>
      <c r="AA11" s="73" t="s">
        <v>98</v>
      </c>
      <c r="AB11" s="73" t="s">
        <v>12</v>
      </c>
      <c r="AC11" s="73">
        <v>11.9</v>
      </c>
      <c r="AD11" s="82" t="s">
        <v>1091</v>
      </c>
      <c r="AE11" s="73" t="s">
        <v>297</v>
      </c>
      <c r="AF11" s="73" t="s">
        <v>11</v>
      </c>
      <c r="AG11" s="83">
        <v>9.9</v>
      </c>
      <c r="AL11" s="82"/>
      <c r="AO11" s="83"/>
      <c r="AP11" s="82"/>
      <c r="AS11" s="83"/>
      <c r="AW11" s="83"/>
      <c r="BA11" s="84"/>
    </row>
    <row r="12" spans="1:53" s="73" customFormat="1">
      <c r="A12" s="73">
        <v>1995</v>
      </c>
      <c r="B12" s="830"/>
      <c r="C12" s="917" t="s">
        <v>1085</v>
      </c>
      <c r="D12" s="917"/>
      <c r="E12" s="73">
        <v>106</v>
      </c>
      <c r="G12" s="411">
        <v>7</v>
      </c>
      <c r="H12" s="448"/>
      <c r="I12" s="448">
        <v>3</v>
      </c>
      <c r="J12" s="413">
        <v>14</v>
      </c>
      <c r="K12" s="409">
        <f t="shared" si="0"/>
        <v>50</v>
      </c>
      <c r="L12" s="409">
        <f t="shared" si="1"/>
        <v>0</v>
      </c>
      <c r="M12" s="409">
        <f t="shared" si="2"/>
        <v>21.428571428571427</v>
      </c>
      <c r="N12" s="412">
        <f t="shared" si="3"/>
        <v>71.428571428571431</v>
      </c>
      <c r="O12" s="408">
        <v>38.6</v>
      </c>
      <c r="P12" s="409"/>
      <c r="Q12" s="409">
        <v>11.9</v>
      </c>
      <c r="R12" s="410">
        <f t="shared" si="4"/>
        <v>50.5</v>
      </c>
      <c r="S12" s="73">
        <v>6</v>
      </c>
      <c r="T12" s="839"/>
      <c r="U12" s="852"/>
      <c r="V12" s="82" t="s">
        <v>1097</v>
      </c>
      <c r="W12" s="73" t="s">
        <v>74</v>
      </c>
      <c r="X12" s="73" t="s">
        <v>11</v>
      </c>
      <c r="Y12" s="83">
        <v>28.7</v>
      </c>
      <c r="Z12" s="73" t="s">
        <v>475</v>
      </c>
      <c r="AA12" s="73" t="s">
        <v>98</v>
      </c>
      <c r="AB12" s="73" t="s">
        <v>12</v>
      </c>
      <c r="AC12" s="73">
        <v>11.9</v>
      </c>
      <c r="AD12" s="82" t="s">
        <v>1091</v>
      </c>
      <c r="AE12" s="73" t="s">
        <v>297</v>
      </c>
      <c r="AF12" s="73" t="s">
        <v>11</v>
      </c>
      <c r="AG12" s="83">
        <v>9.9</v>
      </c>
      <c r="AL12" s="82"/>
      <c r="AO12" s="83"/>
      <c r="AP12" s="82"/>
      <c r="AS12" s="83"/>
      <c r="AW12" s="83"/>
      <c r="BA12" s="84"/>
    </row>
    <row r="13" spans="1:53" s="292" customFormat="1">
      <c r="A13" s="292">
        <v>1995</v>
      </c>
      <c r="B13" s="863">
        <v>34806</v>
      </c>
      <c r="C13" s="916" t="s">
        <v>1092</v>
      </c>
      <c r="D13" s="916"/>
      <c r="E13" s="292">
        <v>200</v>
      </c>
      <c r="F13" s="292">
        <v>1</v>
      </c>
      <c r="G13" s="425"/>
      <c r="H13" s="449">
        <v>5</v>
      </c>
      <c r="I13" s="449">
        <v>9</v>
      </c>
      <c r="J13" s="427">
        <v>14</v>
      </c>
      <c r="K13" s="423">
        <f>G13/J13*100</f>
        <v>0</v>
      </c>
      <c r="L13" s="423">
        <f>H13/J13*100</f>
        <v>35.714285714285715</v>
      </c>
      <c r="M13" s="423">
        <f>I13/J13*100</f>
        <v>64.285714285714292</v>
      </c>
      <c r="N13" s="426">
        <f t="shared" si="3"/>
        <v>100</v>
      </c>
      <c r="O13" s="422"/>
      <c r="P13" s="423">
        <v>15.8</v>
      </c>
      <c r="Q13" s="423">
        <v>40.6</v>
      </c>
      <c r="R13" s="424">
        <f t="shared" si="4"/>
        <v>56.400000000000006</v>
      </c>
      <c r="S13" s="292">
        <v>2</v>
      </c>
      <c r="T13" s="838">
        <v>34763</v>
      </c>
      <c r="U13" s="836">
        <v>34806</v>
      </c>
      <c r="V13" s="299" t="s">
        <v>1095</v>
      </c>
      <c r="W13" s="292" t="s">
        <v>872</v>
      </c>
      <c r="X13" s="292" t="s">
        <v>12</v>
      </c>
      <c r="Y13" s="300">
        <v>40.6</v>
      </c>
      <c r="Z13" s="292" t="s">
        <v>1338</v>
      </c>
      <c r="AA13" s="292" t="s">
        <v>100</v>
      </c>
      <c r="AB13" s="292" t="s">
        <v>18</v>
      </c>
      <c r="AC13" s="292">
        <v>15.8</v>
      </c>
      <c r="AD13" s="299"/>
      <c r="AG13" s="300"/>
      <c r="AL13" s="299"/>
      <c r="AO13" s="300"/>
      <c r="AP13" s="299"/>
      <c r="AS13" s="300"/>
      <c r="AW13" s="300"/>
      <c r="BA13" s="301"/>
    </row>
    <row r="14" spans="1:53" s="73" customFormat="1">
      <c r="A14" s="73">
        <v>1995</v>
      </c>
      <c r="B14" s="830">
        <v>35006</v>
      </c>
      <c r="C14" s="917" t="s">
        <v>1093</v>
      </c>
      <c r="D14" s="917"/>
      <c r="E14" s="73">
        <v>59</v>
      </c>
      <c r="F14" s="73">
        <v>2</v>
      </c>
      <c r="G14" s="411">
        <v>6</v>
      </c>
      <c r="H14" s="448"/>
      <c r="I14" s="448">
        <v>9</v>
      </c>
      <c r="J14" s="413">
        <v>15</v>
      </c>
      <c r="K14" s="409">
        <f t="shared" si="0"/>
        <v>40</v>
      </c>
      <c r="L14" s="409">
        <f t="shared" si="1"/>
        <v>0</v>
      </c>
      <c r="M14" s="409">
        <f t="shared" si="2"/>
        <v>60</v>
      </c>
      <c r="N14" s="412">
        <f t="shared" si="3"/>
        <v>100</v>
      </c>
      <c r="O14" s="408">
        <v>18.8</v>
      </c>
      <c r="P14" s="409"/>
      <c r="Q14" s="409">
        <v>40.6</v>
      </c>
      <c r="R14" s="410">
        <f t="shared" si="4"/>
        <v>59.400000000000006</v>
      </c>
      <c r="S14" s="73">
        <v>2</v>
      </c>
      <c r="T14" s="839"/>
      <c r="U14" s="852">
        <v>35006</v>
      </c>
      <c r="V14" s="82" t="s">
        <v>1095</v>
      </c>
      <c r="W14" s="73" t="s">
        <v>872</v>
      </c>
      <c r="X14" s="73" t="s">
        <v>12</v>
      </c>
      <c r="Y14" s="83">
        <v>40.6</v>
      </c>
      <c r="Z14" s="73" t="s">
        <v>1096</v>
      </c>
      <c r="AA14" s="73" t="s">
        <v>88</v>
      </c>
      <c r="AB14" s="73" t="s">
        <v>11</v>
      </c>
      <c r="AC14" s="73">
        <v>18.8</v>
      </c>
      <c r="AD14" s="82"/>
      <c r="AG14" s="83"/>
      <c r="AL14" s="82"/>
      <c r="AO14" s="83"/>
      <c r="AP14" s="82"/>
      <c r="AS14" s="83"/>
      <c r="AW14" s="83"/>
      <c r="BA14" s="84"/>
    </row>
    <row r="15" spans="1:53" s="73" customFormat="1">
      <c r="A15" s="73">
        <v>1996</v>
      </c>
      <c r="B15" s="852"/>
      <c r="C15" s="917" t="s">
        <v>1093</v>
      </c>
      <c r="D15" s="917"/>
      <c r="E15" s="73">
        <v>0</v>
      </c>
      <c r="G15" s="411">
        <v>6</v>
      </c>
      <c r="H15" s="448"/>
      <c r="I15" s="448">
        <v>9</v>
      </c>
      <c r="J15" s="413">
        <v>15</v>
      </c>
      <c r="K15" s="409">
        <f t="shared" si="0"/>
        <v>40</v>
      </c>
      <c r="L15" s="409">
        <f t="shared" si="1"/>
        <v>0</v>
      </c>
      <c r="M15" s="409">
        <f t="shared" si="2"/>
        <v>60</v>
      </c>
      <c r="N15" s="412">
        <f t="shared" si="3"/>
        <v>100</v>
      </c>
      <c r="O15" s="408">
        <v>18.8</v>
      </c>
      <c r="P15" s="409"/>
      <c r="Q15" s="409">
        <v>40.6</v>
      </c>
      <c r="R15" s="410">
        <f t="shared" si="4"/>
        <v>59.400000000000006</v>
      </c>
      <c r="S15" s="73">
        <v>2</v>
      </c>
      <c r="T15" s="839"/>
      <c r="U15" s="852"/>
      <c r="V15" s="82" t="s">
        <v>1095</v>
      </c>
      <c r="W15" s="73" t="s">
        <v>872</v>
      </c>
      <c r="X15" s="73" t="s">
        <v>12</v>
      </c>
      <c r="Y15" s="83">
        <v>40.6</v>
      </c>
      <c r="Z15" s="73" t="s">
        <v>1096</v>
      </c>
      <c r="AA15" s="73" t="s">
        <v>88</v>
      </c>
      <c r="AB15" s="73" t="s">
        <v>11</v>
      </c>
      <c r="AC15" s="73">
        <v>18.8</v>
      </c>
      <c r="AD15" s="82"/>
      <c r="AG15" s="83"/>
      <c r="AL15" s="82"/>
      <c r="AO15" s="83"/>
      <c r="AP15" s="82"/>
      <c r="AS15" s="83"/>
      <c r="AW15" s="83"/>
      <c r="BA15" s="84"/>
    </row>
    <row r="16" spans="1:53" s="73" customFormat="1">
      <c r="A16" s="73">
        <v>1996</v>
      </c>
      <c r="B16" s="852"/>
      <c r="C16" s="917" t="s">
        <v>1093</v>
      </c>
      <c r="D16" s="917"/>
      <c r="E16" s="73">
        <v>366</v>
      </c>
      <c r="G16" s="411">
        <v>6</v>
      </c>
      <c r="H16" s="448"/>
      <c r="I16" s="448">
        <v>9</v>
      </c>
      <c r="J16" s="413">
        <v>15</v>
      </c>
      <c r="K16" s="409">
        <f t="shared" si="0"/>
        <v>40</v>
      </c>
      <c r="L16" s="409">
        <f t="shared" si="1"/>
        <v>0</v>
      </c>
      <c r="M16" s="409">
        <f t="shared" si="2"/>
        <v>60</v>
      </c>
      <c r="N16" s="412">
        <f t="shared" si="3"/>
        <v>100</v>
      </c>
      <c r="O16" s="408">
        <v>18.8</v>
      </c>
      <c r="P16" s="409"/>
      <c r="Q16" s="409">
        <v>40.6</v>
      </c>
      <c r="R16" s="410">
        <f t="shared" si="4"/>
        <v>59.400000000000006</v>
      </c>
      <c r="S16" s="73">
        <v>2</v>
      </c>
      <c r="T16" s="839"/>
      <c r="U16" s="852"/>
      <c r="V16" s="82" t="s">
        <v>1095</v>
      </c>
      <c r="W16" s="73" t="s">
        <v>872</v>
      </c>
      <c r="X16" s="73" t="s">
        <v>12</v>
      </c>
      <c r="Y16" s="83">
        <v>40.6</v>
      </c>
      <c r="Z16" s="73" t="s">
        <v>1096</v>
      </c>
      <c r="AA16" s="73" t="s">
        <v>88</v>
      </c>
      <c r="AB16" s="73" t="s">
        <v>11</v>
      </c>
      <c r="AC16" s="73">
        <v>18.8</v>
      </c>
      <c r="AD16" s="82"/>
      <c r="AG16" s="83"/>
      <c r="AL16" s="82"/>
      <c r="AO16" s="83"/>
      <c r="AP16" s="82"/>
      <c r="AS16" s="83"/>
      <c r="AW16" s="83"/>
      <c r="BA16" s="84"/>
    </row>
    <row r="17" spans="1:53" s="73" customFormat="1">
      <c r="A17" s="73">
        <v>1997</v>
      </c>
      <c r="B17" s="852"/>
      <c r="C17" s="917" t="s">
        <v>1093</v>
      </c>
      <c r="D17" s="917"/>
      <c r="E17" s="73">
        <v>75</v>
      </c>
      <c r="G17" s="411">
        <v>6</v>
      </c>
      <c r="H17" s="448"/>
      <c r="I17" s="448">
        <v>9</v>
      </c>
      <c r="J17" s="413">
        <v>15</v>
      </c>
      <c r="K17" s="409">
        <f t="shared" si="0"/>
        <v>40</v>
      </c>
      <c r="L17" s="409">
        <f t="shared" si="1"/>
        <v>0</v>
      </c>
      <c r="M17" s="409">
        <f t="shared" si="2"/>
        <v>60</v>
      </c>
      <c r="N17" s="412">
        <f t="shared" si="3"/>
        <v>100</v>
      </c>
      <c r="O17" s="408">
        <v>18.8</v>
      </c>
      <c r="P17" s="409"/>
      <c r="Q17" s="409">
        <v>40.6</v>
      </c>
      <c r="R17" s="410">
        <f t="shared" si="4"/>
        <v>59.400000000000006</v>
      </c>
      <c r="S17" s="73">
        <v>2</v>
      </c>
      <c r="T17" s="839"/>
      <c r="U17" s="852"/>
      <c r="V17" s="82" t="s">
        <v>1095</v>
      </c>
      <c r="W17" s="73" t="s">
        <v>872</v>
      </c>
      <c r="X17" s="73" t="s">
        <v>12</v>
      </c>
      <c r="Y17" s="83">
        <v>40.6</v>
      </c>
      <c r="Z17" s="73" t="s">
        <v>1096</v>
      </c>
      <c r="AA17" s="73" t="s">
        <v>88</v>
      </c>
      <c r="AB17" s="73" t="s">
        <v>11</v>
      </c>
      <c r="AC17" s="73">
        <v>18.8</v>
      </c>
      <c r="AD17" s="82"/>
      <c r="AG17" s="83"/>
      <c r="AL17" s="82"/>
      <c r="AO17" s="83"/>
      <c r="AP17" s="82"/>
      <c r="AS17" s="83"/>
      <c r="AW17" s="83"/>
      <c r="BA17" s="84"/>
    </row>
    <row r="18" spans="1:53" s="292" customFormat="1">
      <c r="A18" s="292">
        <v>1997</v>
      </c>
      <c r="B18" s="836">
        <v>35506</v>
      </c>
      <c r="C18" s="916" t="s">
        <v>1094</v>
      </c>
      <c r="D18" s="916"/>
      <c r="E18" s="292">
        <v>290</v>
      </c>
      <c r="F18" s="292">
        <v>2</v>
      </c>
      <c r="G18" s="425"/>
      <c r="H18" s="449"/>
      <c r="I18" s="449">
        <v>11</v>
      </c>
      <c r="J18" s="427">
        <v>14</v>
      </c>
      <c r="K18" s="423">
        <f t="shared" si="0"/>
        <v>0</v>
      </c>
      <c r="L18" s="423">
        <f t="shared" si="1"/>
        <v>0</v>
      </c>
      <c r="M18" s="423">
        <f t="shared" si="2"/>
        <v>78.571428571428569</v>
      </c>
      <c r="N18" s="426">
        <f t="shared" si="3"/>
        <v>78.571428571428569</v>
      </c>
      <c r="O18" s="422"/>
      <c r="P18" s="423"/>
      <c r="Q18" s="423">
        <v>40.6</v>
      </c>
      <c r="R18" s="424">
        <f t="shared" si="4"/>
        <v>40.6</v>
      </c>
      <c r="S18" s="292">
        <v>4</v>
      </c>
      <c r="T18" s="838"/>
      <c r="U18" s="836">
        <v>35506</v>
      </c>
      <c r="V18" s="299" t="s">
        <v>1095</v>
      </c>
      <c r="W18" s="292" t="s">
        <v>872</v>
      </c>
      <c r="X18" s="292" t="s">
        <v>12</v>
      </c>
      <c r="Y18" s="300">
        <v>40.6</v>
      </c>
      <c r="AD18" s="299"/>
      <c r="AG18" s="300"/>
      <c r="AL18" s="299"/>
      <c r="AO18" s="300"/>
      <c r="AP18" s="299"/>
      <c r="AS18" s="300"/>
      <c r="AW18" s="300"/>
      <c r="BA18" s="301"/>
    </row>
    <row r="19" spans="1:53" s="292" customFormat="1">
      <c r="A19" s="292">
        <v>1998</v>
      </c>
      <c r="B19" s="836"/>
      <c r="C19" s="916" t="s">
        <v>1094</v>
      </c>
      <c r="D19" s="916"/>
      <c r="E19" s="292">
        <v>0</v>
      </c>
      <c r="G19" s="425"/>
      <c r="H19" s="449"/>
      <c r="I19" s="449">
        <v>11</v>
      </c>
      <c r="J19" s="427">
        <v>14</v>
      </c>
      <c r="K19" s="423">
        <f t="shared" si="0"/>
        <v>0</v>
      </c>
      <c r="L19" s="423">
        <f t="shared" si="1"/>
        <v>0</v>
      </c>
      <c r="M19" s="423">
        <f t="shared" si="2"/>
        <v>78.571428571428569</v>
      </c>
      <c r="N19" s="426">
        <f t="shared" si="3"/>
        <v>78.571428571428569</v>
      </c>
      <c r="O19" s="422"/>
      <c r="P19" s="423"/>
      <c r="Q19" s="423">
        <v>40.6</v>
      </c>
      <c r="R19" s="424">
        <f t="shared" si="4"/>
        <v>40.6</v>
      </c>
      <c r="S19" s="292">
        <v>4</v>
      </c>
      <c r="T19" s="838"/>
      <c r="U19" s="836"/>
      <c r="V19" s="299" t="s">
        <v>1095</v>
      </c>
      <c r="W19" s="292" t="s">
        <v>872</v>
      </c>
      <c r="X19" s="292" t="s">
        <v>12</v>
      </c>
      <c r="Y19" s="300">
        <v>40.6</v>
      </c>
      <c r="AD19" s="299"/>
      <c r="AG19" s="300"/>
      <c r="AL19" s="299"/>
      <c r="AO19" s="300"/>
      <c r="AP19" s="299"/>
      <c r="AS19" s="300"/>
      <c r="AW19" s="300"/>
      <c r="BA19" s="301"/>
    </row>
    <row r="20" spans="1:53" s="292" customFormat="1">
      <c r="A20" s="292">
        <v>1998</v>
      </c>
      <c r="B20" s="836"/>
      <c r="C20" s="916" t="s">
        <v>1094</v>
      </c>
      <c r="D20" s="916"/>
      <c r="E20" s="292">
        <v>365</v>
      </c>
      <c r="G20" s="425"/>
      <c r="H20" s="449"/>
      <c r="I20" s="449">
        <v>11</v>
      </c>
      <c r="J20" s="427">
        <v>14</v>
      </c>
      <c r="K20" s="423">
        <f t="shared" si="0"/>
        <v>0</v>
      </c>
      <c r="L20" s="423">
        <f t="shared" si="1"/>
        <v>0</v>
      </c>
      <c r="M20" s="423">
        <f t="shared" si="2"/>
        <v>78.571428571428569</v>
      </c>
      <c r="N20" s="426">
        <f t="shared" si="3"/>
        <v>78.571428571428569</v>
      </c>
      <c r="O20" s="422"/>
      <c r="P20" s="423"/>
      <c r="Q20" s="423">
        <v>40.6</v>
      </c>
      <c r="R20" s="424">
        <f t="shared" si="4"/>
        <v>40.6</v>
      </c>
      <c r="S20" s="292">
        <v>4</v>
      </c>
      <c r="T20" s="838"/>
      <c r="U20" s="836"/>
      <c r="V20" s="299" t="s">
        <v>1095</v>
      </c>
      <c r="W20" s="292" t="s">
        <v>872</v>
      </c>
      <c r="X20" s="292" t="s">
        <v>12</v>
      </c>
      <c r="Y20" s="300">
        <v>40.6</v>
      </c>
      <c r="AD20" s="299"/>
      <c r="AG20" s="300"/>
      <c r="AL20" s="299"/>
      <c r="AO20" s="300"/>
      <c r="AP20" s="299"/>
      <c r="AS20" s="300"/>
      <c r="AW20" s="300"/>
      <c r="BA20" s="301"/>
    </row>
    <row r="21" spans="1:53" s="292" customFormat="1">
      <c r="A21" s="292">
        <v>1999</v>
      </c>
      <c r="B21" s="836"/>
      <c r="C21" s="916" t="s">
        <v>1094</v>
      </c>
      <c r="D21" s="916"/>
      <c r="E21" s="292">
        <v>83</v>
      </c>
      <c r="G21" s="425"/>
      <c r="H21" s="449"/>
      <c r="I21" s="449">
        <v>11</v>
      </c>
      <c r="J21" s="427">
        <v>14</v>
      </c>
      <c r="K21" s="423">
        <f t="shared" si="0"/>
        <v>0</v>
      </c>
      <c r="L21" s="423">
        <f t="shared" si="1"/>
        <v>0</v>
      </c>
      <c r="M21" s="423">
        <f t="shared" si="2"/>
        <v>78.571428571428569</v>
      </c>
      <c r="N21" s="426">
        <f t="shared" si="3"/>
        <v>78.571428571428569</v>
      </c>
      <c r="O21" s="422"/>
      <c r="P21" s="423"/>
      <c r="Q21" s="423">
        <v>40.6</v>
      </c>
      <c r="R21" s="424">
        <f t="shared" si="4"/>
        <v>40.6</v>
      </c>
      <c r="S21" s="292">
        <v>4</v>
      </c>
      <c r="T21" s="838"/>
      <c r="U21" s="836"/>
      <c r="V21" s="299" t="s">
        <v>1095</v>
      </c>
      <c r="W21" s="292" t="s">
        <v>872</v>
      </c>
      <c r="X21" s="292" t="s">
        <v>12</v>
      </c>
      <c r="Y21" s="300">
        <v>40.6</v>
      </c>
      <c r="AD21" s="299"/>
      <c r="AG21" s="300"/>
      <c r="AL21" s="299"/>
      <c r="AO21" s="300"/>
      <c r="AP21" s="299"/>
      <c r="AS21" s="300"/>
      <c r="AW21" s="300"/>
      <c r="BA21" s="301"/>
    </row>
    <row r="22" spans="1:53" s="73" customFormat="1">
      <c r="A22" s="73">
        <v>1999</v>
      </c>
      <c r="B22" s="852">
        <v>36244</v>
      </c>
      <c r="C22" s="917" t="s">
        <v>1099</v>
      </c>
      <c r="D22" s="917"/>
      <c r="E22" s="73">
        <v>282</v>
      </c>
      <c r="F22" s="73">
        <v>1</v>
      </c>
      <c r="G22" s="411">
        <v>10</v>
      </c>
      <c r="H22" s="448"/>
      <c r="I22" s="448">
        <v>5</v>
      </c>
      <c r="J22" s="413">
        <v>15</v>
      </c>
      <c r="K22" s="409">
        <f t="shared" si="0"/>
        <v>66.666666666666657</v>
      </c>
      <c r="L22" s="409">
        <f t="shared" si="1"/>
        <v>0</v>
      </c>
      <c r="M22" s="409">
        <f t="shared" si="2"/>
        <v>33.333333333333329</v>
      </c>
      <c r="N22" s="412">
        <f t="shared" si="3"/>
        <v>99.999999999999986</v>
      </c>
      <c r="O22" s="408">
        <v>35.6</v>
      </c>
      <c r="P22" s="409"/>
      <c r="Q22" s="409">
        <v>16.8</v>
      </c>
      <c r="R22" s="410">
        <f t="shared" si="4"/>
        <v>52.400000000000006</v>
      </c>
      <c r="S22" s="73">
        <v>2</v>
      </c>
      <c r="T22" s="839">
        <v>36226</v>
      </c>
      <c r="U22" s="852">
        <v>36244</v>
      </c>
      <c r="V22" s="82" t="s">
        <v>1097</v>
      </c>
      <c r="W22" s="73" t="s">
        <v>74</v>
      </c>
      <c r="X22" s="73" t="s">
        <v>11</v>
      </c>
      <c r="Y22" s="83">
        <v>17.8</v>
      </c>
      <c r="Z22" s="73" t="s">
        <v>1096</v>
      </c>
      <c r="AA22" s="73" t="s">
        <v>88</v>
      </c>
      <c r="AB22" s="73" t="s">
        <v>11</v>
      </c>
      <c r="AC22" s="73">
        <v>17.8</v>
      </c>
      <c r="AD22" s="82" t="s">
        <v>475</v>
      </c>
      <c r="AE22" s="73" t="s">
        <v>98</v>
      </c>
      <c r="AF22" s="73" t="s">
        <v>12</v>
      </c>
      <c r="AG22" s="83">
        <v>16.8</v>
      </c>
      <c r="AL22" s="82"/>
      <c r="AO22" s="83"/>
      <c r="AP22" s="82"/>
      <c r="AS22" s="83"/>
      <c r="AW22" s="83"/>
      <c r="BA22" s="84"/>
    </row>
    <row r="23" spans="1:53" s="73" customFormat="1">
      <c r="A23" s="73">
        <v>2000</v>
      </c>
      <c r="B23" s="852"/>
      <c r="C23" s="917" t="s">
        <v>1099</v>
      </c>
      <c r="D23" s="917"/>
      <c r="E23" s="73">
        <v>0</v>
      </c>
      <c r="G23" s="411">
        <v>10</v>
      </c>
      <c r="H23" s="448"/>
      <c r="I23" s="448">
        <v>5</v>
      </c>
      <c r="J23" s="413">
        <v>15</v>
      </c>
      <c r="K23" s="409">
        <f t="shared" si="0"/>
        <v>66.666666666666657</v>
      </c>
      <c r="L23" s="409">
        <f t="shared" si="1"/>
        <v>0</v>
      </c>
      <c r="M23" s="409">
        <f t="shared" si="2"/>
        <v>33.333333333333329</v>
      </c>
      <c r="N23" s="412">
        <f t="shared" si="3"/>
        <v>99.999999999999986</v>
      </c>
      <c r="O23" s="408">
        <v>35.6</v>
      </c>
      <c r="P23" s="409"/>
      <c r="Q23" s="409">
        <v>16.8</v>
      </c>
      <c r="R23" s="410">
        <f t="shared" si="4"/>
        <v>52.400000000000006</v>
      </c>
      <c r="S23" s="73">
        <v>2</v>
      </c>
      <c r="T23" s="839"/>
      <c r="U23" s="852"/>
      <c r="V23" s="82" t="s">
        <v>1097</v>
      </c>
      <c r="W23" s="73" t="s">
        <v>74</v>
      </c>
      <c r="X23" s="73" t="s">
        <v>11</v>
      </c>
      <c r="Y23" s="83">
        <v>17.8</v>
      </c>
      <c r="Z23" s="73" t="s">
        <v>1096</v>
      </c>
      <c r="AA23" s="73" t="s">
        <v>88</v>
      </c>
      <c r="AB23" s="73" t="s">
        <v>11</v>
      </c>
      <c r="AC23" s="73">
        <v>17.8</v>
      </c>
      <c r="AD23" s="82" t="s">
        <v>475</v>
      </c>
      <c r="AE23" s="73" t="s">
        <v>98</v>
      </c>
      <c r="AF23" s="73" t="s">
        <v>12</v>
      </c>
      <c r="AG23" s="83">
        <v>16.8</v>
      </c>
      <c r="AL23" s="82"/>
      <c r="AO23" s="83"/>
      <c r="AP23" s="82"/>
      <c r="AS23" s="83"/>
      <c r="AW23" s="83"/>
      <c r="BA23" s="84"/>
    </row>
    <row r="24" spans="1:53" s="73" customFormat="1">
      <c r="A24" s="73">
        <v>2000</v>
      </c>
      <c r="B24" s="852"/>
      <c r="C24" s="917" t="s">
        <v>1099</v>
      </c>
      <c r="D24" s="917"/>
      <c r="E24" s="73">
        <v>366</v>
      </c>
      <c r="G24" s="411">
        <v>10</v>
      </c>
      <c r="H24" s="448"/>
      <c r="I24" s="448">
        <v>5</v>
      </c>
      <c r="J24" s="413">
        <v>15</v>
      </c>
      <c r="K24" s="409">
        <f t="shared" si="0"/>
        <v>66.666666666666657</v>
      </c>
      <c r="L24" s="409">
        <f t="shared" si="1"/>
        <v>0</v>
      </c>
      <c r="M24" s="409">
        <f t="shared" si="2"/>
        <v>33.333333333333329</v>
      </c>
      <c r="N24" s="412">
        <f t="shared" si="3"/>
        <v>99.999999999999986</v>
      </c>
      <c r="O24" s="408">
        <v>35.6</v>
      </c>
      <c r="P24" s="409"/>
      <c r="Q24" s="409">
        <v>16.8</v>
      </c>
      <c r="R24" s="410">
        <f t="shared" si="4"/>
        <v>52.400000000000006</v>
      </c>
      <c r="S24" s="73">
        <v>2</v>
      </c>
      <c r="T24" s="839"/>
      <c r="U24" s="852"/>
      <c r="V24" s="82" t="s">
        <v>1097</v>
      </c>
      <c r="W24" s="73" t="s">
        <v>74</v>
      </c>
      <c r="X24" s="73" t="s">
        <v>11</v>
      </c>
      <c r="Y24" s="83">
        <v>17.8</v>
      </c>
      <c r="Z24" s="73" t="s">
        <v>1096</v>
      </c>
      <c r="AA24" s="73" t="s">
        <v>88</v>
      </c>
      <c r="AB24" s="73" t="s">
        <v>11</v>
      </c>
      <c r="AC24" s="73">
        <v>17.8</v>
      </c>
      <c r="AD24" s="82" t="s">
        <v>475</v>
      </c>
      <c r="AE24" s="73" t="s">
        <v>98</v>
      </c>
      <c r="AF24" s="73" t="s">
        <v>12</v>
      </c>
      <c r="AG24" s="83">
        <v>16.8</v>
      </c>
      <c r="AL24" s="82"/>
      <c r="AO24" s="83"/>
      <c r="AP24" s="82"/>
      <c r="AS24" s="83"/>
      <c r="AW24" s="83"/>
      <c r="BA24" s="84"/>
    </row>
    <row r="25" spans="1:53" s="73" customFormat="1">
      <c r="A25" s="73">
        <v>2001</v>
      </c>
      <c r="B25" s="852"/>
      <c r="C25" s="917" t="s">
        <v>1099</v>
      </c>
      <c r="D25" s="917"/>
      <c r="E25" s="73">
        <v>0</v>
      </c>
      <c r="G25" s="411">
        <v>10</v>
      </c>
      <c r="H25" s="448"/>
      <c r="I25" s="448">
        <v>5</v>
      </c>
      <c r="J25" s="413">
        <v>15</v>
      </c>
      <c r="K25" s="409">
        <f t="shared" si="0"/>
        <v>66.666666666666657</v>
      </c>
      <c r="L25" s="409">
        <f t="shared" si="1"/>
        <v>0</v>
      </c>
      <c r="M25" s="409">
        <f t="shared" si="2"/>
        <v>33.333333333333329</v>
      </c>
      <c r="N25" s="412">
        <f t="shared" si="3"/>
        <v>99.999999999999986</v>
      </c>
      <c r="O25" s="408">
        <v>35.6</v>
      </c>
      <c r="P25" s="409"/>
      <c r="Q25" s="409">
        <v>16.8</v>
      </c>
      <c r="R25" s="410">
        <f t="shared" si="4"/>
        <v>52.400000000000006</v>
      </c>
      <c r="S25" s="73">
        <v>2</v>
      </c>
      <c r="T25" s="839"/>
      <c r="U25" s="852"/>
      <c r="V25" s="82" t="s">
        <v>1097</v>
      </c>
      <c r="W25" s="73" t="s">
        <v>74</v>
      </c>
      <c r="X25" s="73" t="s">
        <v>11</v>
      </c>
      <c r="Y25" s="83">
        <v>17.8</v>
      </c>
      <c r="Z25" s="73" t="s">
        <v>1096</v>
      </c>
      <c r="AA25" s="73" t="s">
        <v>88</v>
      </c>
      <c r="AB25" s="73" t="s">
        <v>11</v>
      </c>
      <c r="AC25" s="73">
        <v>17.8</v>
      </c>
      <c r="AD25" s="82" t="s">
        <v>475</v>
      </c>
      <c r="AE25" s="73" t="s">
        <v>98</v>
      </c>
      <c r="AF25" s="73" t="s">
        <v>12</v>
      </c>
      <c r="AG25" s="83">
        <v>16.8</v>
      </c>
      <c r="AL25" s="82"/>
      <c r="AO25" s="83"/>
      <c r="AP25" s="82"/>
      <c r="AS25" s="83"/>
      <c r="AW25" s="83"/>
      <c r="BA25" s="84"/>
    </row>
    <row r="26" spans="1:53" s="73" customFormat="1">
      <c r="A26" s="73">
        <v>2001</v>
      </c>
      <c r="B26" s="852"/>
      <c r="C26" s="917" t="s">
        <v>1099</v>
      </c>
      <c r="D26" s="917"/>
      <c r="E26" s="73">
        <v>365</v>
      </c>
      <c r="G26" s="411">
        <v>10</v>
      </c>
      <c r="H26" s="448"/>
      <c r="I26" s="448">
        <v>5</v>
      </c>
      <c r="J26" s="413">
        <v>15</v>
      </c>
      <c r="K26" s="409">
        <f t="shared" si="0"/>
        <v>66.666666666666657</v>
      </c>
      <c r="L26" s="409">
        <f t="shared" si="1"/>
        <v>0</v>
      </c>
      <c r="M26" s="409">
        <f t="shared" si="2"/>
        <v>33.333333333333329</v>
      </c>
      <c r="N26" s="412">
        <f t="shared" si="3"/>
        <v>99.999999999999986</v>
      </c>
      <c r="O26" s="408">
        <v>35.6</v>
      </c>
      <c r="P26" s="409"/>
      <c r="Q26" s="409">
        <v>16.8</v>
      </c>
      <c r="R26" s="410">
        <f t="shared" si="4"/>
        <v>52.400000000000006</v>
      </c>
      <c r="S26" s="73">
        <v>2</v>
      </c>
      <c r="T26" s="839"/>
      <c r="U26" s="852"/>
      <c r="V26" s="82" t="s">
        <v>1097</v>
      </c>
      <c r="W26" s="73" t="s">
        <v>74</v>
      </c>
      <c r="X26" s="73" t="s">
        <v>11</v>
      </c>
      <c r="Y26" s="83">
        <v>17.8</v>
      </c>
      <c r="Z26" s="73" t="s">
        <v>1096</v>
      </c>
      <c r="AA26" s="73" t="s">
        <v>88</v>
      </c>
      <c r="AB26" s="73" t="s">
        <v>11</v>
      </c>
      <c r="AC26" s="73">
        <v>17.8</v>
      </c>
      <c r="AD26" s="82" t="s">
        <v>475</v>
      </c>
      <c r="AE26" s="73" t="s">
        <v>98</v>
      </c>
      <c r="AF26" s="73" t="s">
        <v>12</v>
      </c>
      <c r="AG26" s="83">
        <v>16.8</v>
      </c>
      <c r="AL26" s="82"/>
      <c r="AO26" s="83"/>
      <c r="AP26" s="82"/>
      <c r="AS26" s="83"/>
      <c r="AW26" s="83"/>
      <c r="BA26" s="84"/>
    </row>
    <row r="27" spans="1:53" s="73" customFormat="1">
      <c r="A27" s="73">
        <v>2002</v>
      </c>
      <c r="B27" s="852"/>
      <c r="C27" s="917" t="s">
        <v>1099</v>
      </c>
      <c r="D27" s="917"/>
      <c r="E27" s="73">
        <v>27</v>
      </c>
      <c r="G27" s="411">
        <v>10</v>
      </c>
      <c r="H27" s="448"/>
      <c r="I27" s="448">
        <v>5</v>
      </c>
      <c r="J27" s="413">
        <v>15</v>
      </c>
      <c r="K27" s="409">
        <f t="shared" si="0"/>
        <v>66.666666666666657</v>
      </c>
      <c r="L27" s="409">
        <f t="shared" si="1"/>
        <v>0</v>
      </c>
      <c r="M27" s="409">
        <f t="shared" si="2"/>
        <v>33.333333333333329</v>
      </c>
      <c r="N27" s="412">
        <f t="shared" si="3"/>
        <v>99.999999999999986</v>
      </c>
      <c r="O27" s="408">
        <v>35.6</v>
      </c>
      <c r="P27" s="409"/>
      <c r="Q27" s="409">
        <v>16.8</v>
      </c>
      <c r="R27" s="410">
        <f t="shared" si="4"/>
        <v>52.400000000000006</v>
      </c>
      <c r="S27" s="73">
        <v>2</v>
      </c>
      <c r="T27" s="839"/>
      <c r="U27" s="852"/>
      <c r="V27" s="82" t="s">
        <v>1097</v>
      </c>
      <c r="W27" s="73" t="s">
        <v>74</v>
      </c>
      <c r="X27" s="73" t="s">
        <v>11</v>
      </c>
      <c r="Y27" s="83">
        <v>17.8</v>
      </c>
      <c r="Z27" s="73" t="s">
        <v>1096</v>
      </c>
      <c r="AA27" s="73" t="s">
        <v>88</v>
      </c>
      <c r="AB27" s="73" t="s">
        <v>11</v>
      </c>
      <c r="AC27" s="73">
        <v>17.8</v>
      </c>
      <c r="AD27" s="82" t="s">
        <v>475</v>
      </c>
      <c r="AE27" s="73" t="s">
        <v>98</v>
      </c>
      <c r="AF27" s="73" t="s">
        <v>12</v>
      </c>
      <c r="AG27" s="83">
        <v>16.8</v>
      </c>
      <c r="AL27" s="82"/>
      <c r="AO27" s="83"/>
      <c r="AP27" s="82"/>
      <c r="AS27" s="83"/>
      <c r="AW27" s="83"/>
      <c r="BA27" s="84"/>
    </row>
    <row r="28" spans="1:53" s="292" customFormat="1">
      <c r="A28" s="292">
        <v>2002</v>
      </c>
      <c r="B28" s="836">
        <v>37284</v>
      </c>
      <c r="C28" s="916" t="s">
        <v>1086</v>
      </c>
      <c r="D28" s="916"/>
      <c r="E28" s="292">
        <v>338</v>
      </c>
      <c r="F28" s="292">
        <v>4</v>
      </c>
      <c r="G28" s="425">
        <v>6</v>
      </c>
      <c r="H28" s="449">
        <v>8</v>
      </c>
      <c r="I28" s="449"/>
      <c r="J28" s="427">
        <v>14</v>
      </c>
      <c r="K28" s="423">
        <f t="shared" si="0"/>
        <v>42.857142857142854</v>
      </c>
      <c r="L28" s="423">
        <f t="shared" si="1"/>
        <v>57.142857142857139</v>
      </c>
      <c r="M28" s="423">
        <f t="shared" si="2"/>
        <v>0</v>
      </c>
      <c r="N28" s="426">
        <f t="shared" si="3"/>
        <v>100</v>
      </c>
      <c r="O28" s="422">
        <v>17.8</v>
      </c>
      <c r="P28" s="423">
        <v>27.7</v>
      </c>
      <c r="Q28" s="423"/>
      <c r="R28" s="424">
        <f t="shared" si="4"/>
        <v>45.5</v>
      </c>
      <c r="S28" s="292">
        <v>5</v>
      </c>
      <c r="T28" s="838"/>
      <c r="U28" s="836">
        <v>37284</v>
      </c>
      <c r="V28" s="299" t="s">
        <v>1338</v>
      </c>
      <c r="W28" s="292" t="s">
        <v>100</v>
      </c>
      <c r="X28" s="292" t="s">
        <v>18</v>
      </c>
      <c r="Y28" s="300">
        <v>27.7</v>
      </c>
      <c r="Z28" s="292" t="s">
        <v>1096</v>
      </c>
      <c r="AA28" s="292" t="s">
        <v>88</v>
      </c>
      <c r="AB28" s="292" t="s">
        <v>11</v>
      </c>
      <c r="AC28" s="292">
        <v>17.8</v>
      </c>
      <c r="AD28" s="299"/>
      <c r="AG28" s="300"/>
      <c r="AL28" s="299"/>
      <c r="AO28" s="300"/>
      <c r="AP28" s="299"/>
      <c r="AS28" s="300"/>
      <c r="AW28" s="300"/>
      <c r="BA28" s="301"/>
    </row>
    <row r="29" spans="1:53" s="292" customFormat="1">
      <c r="A29" s="292">
        <v>2003</v>
      </c>
      <c r="B29" s="836"/>
      <c r="C29" s="916" t="s">
        <v>1086</v>
      </c>
      <c r="D29" s="916"/>
      <c r="E29" s="292">
        <v>99</v>
      </c>
      <c r="G29" s="425">
        <v>6</v>
      </c>
      <c r="H29" s="449">
        <v>8</v>
      </c>
      <c r="I29" s="449"/>
      <c r="J29" s="427">
        <v>14</v>
      </c>
      <c r="K29" s="423">
        <f t="shared" si="0"/>
        <v>42.857142857142854</v>
      </c>
      <c r="L29" s="423">
        <f t="shared" si="1"/>
        <v>57.142857142857139</v>
      </c>
      <c r="M29" s="423">
        <f t="shared" si="2"/>
        <v>0</v>
      </c>
      <c r="N29" s="426">
        <f t="shared" si="3"/>
        <v>100</v>
      </c>
      <c r="O29" s="422">
        <v>17.8</v>
      </c>
      <c r="P29" s="423">
        <v>27.7</v>
      </c>
      <c r="Q29" s="423"/>
      <c r="R29" s="424">
        <f t="shared" si="4"/>
        <v>45.5</v>
      </c>
      <c r="S29" s="292">
        <v>5</v>
      </c>
      <c r="T29" s="838"/>
      <c r="U29" s="836"/>
      <c r="V29" s="299" t="s">
        <v>1338</v>
      </c>
      <c r="W29" s="292" t="s">
        <v>100</v>
      </c>
      <c r="X29" s="292" t="s">
        <v>18</v>
      </c>
      <c r="Y29" s="300">
        <v>27.7</v>
      </c>
      <c r="Z29" s="292" t="s">
        <v>1096</v>
      </c>
      <c r="AA29" s="292" t="s">
        <v>88</v>
      </c>
      <c r="AB29" s="292" t="s">
        <v>11</v>
      </c>
      <c r="AC29" s="292">
        <v>17.8</v>
      </c>
      <c r="AD29" s="299"/>
      <c r="AG29" s="300"/>
      <c r="AL29" s="299"/>
      <c r="AO29" s="300"/>
      <c r="AP29" s="299"/>
      <c r="AS29" s="300"/>
      <c r="AW29" s="300"/>
      <c r="BA29" s="301"/>
    </row>
    <row r="30" spans="1:53" s="73" customFormat="1">
      <c r="A30" s="73">
        <v>2003</v>
      </c>
      <c r="B30" s="830">
        <v>37721</v>
      </c>
      <c r="C30" s="917" t="s">
        <v>1100</v>
      </c>
      <c r="D30" s="917"/>
      <c r="E30" s="73">
        <v>266</v>
      </c>
      <c r="F30" s="73">
        <v>1</v>
      </c>
      <c r="G30" s="411">
        <v>14</v>
      </c>
      <c r="H30" s="448"/>
      <c r="I30" s="448"/>
      <c r="J30" s="413">
        <v>14</v>
      </c>
      <c r="K30" s="409">
        <f t="shared" si="0"/>
        <v>100</v>
      </c>
      <c r="L30" s="409">
        <f t="shared" si="1"/>
        <v>0</v>
      </c>
      <c r="M30" s="409">
        <f t="shared" si="2"/>
        <v>0</v>
      </c>
      <c r="N30" s="412">
        <f t="shared" si="3"/>
        <v>100</v>
      </c>
      <c r="O30" s="408">
        <v>59.4</v>
      </c>
      <c r="P30" s="409"/>
      <c r="Q30" s="409"/>
      <c r="R30" s="410">
        <f>SUM(O30:Q30)</f>
        <v>59.4</v>
      </c>
      <c r="S30" s="73">
        <v>2</v>
      </c>
      <c r="T30" s="839">
        <v>37682</v>
      </c>
      <c r="U30" s="852">
        <v>37721</v>
      </c>
      <c r="V30" s="82" t="s">
        <v>333</v>
      </c>
      <c r="W30" s="73" t="s">
        <v>77</v>
      </c>
      <c r="X30" s="73" t="s">
        <v>11</v>
      </c>
      <c r="Y30" s="83">
        <v>27.7</v>
      </c>
      <c r="Z30" s="73" t="s">
        <v>1096</v>
      </c>
      <c r="AA30" s="73" t="s">
        <v>88</v>
      </c>
      <c r="AB30" s="73" t="s">
        <v>11</v>
      </c>
      <c r="AC30" s="73">
        <v>18.8</v>
      </c>
      <c r="AD30" s="82" t="s">
        <v>1101</v>
      </c>
      <c r="AE30" s="73" t="s">
        <v>79</v>
      </c>
      <c r="AF30" s="73" t="s">
        <v>11</v>
      </c>
      <c r="AG30" s="83">
        <v>12.9</v>
      </c>
      <c r="AL30" s="82"/>
      <c r="AO30" s="83"/>
      <c r="AP30" s="82"/>
      <c r="AS30" s="83"/>
      <c r="AW30" s="83"/>
      <c r="BA30" s="84"/>
    </row>
    <row r="31" spans="1:53" s="73" customFormat="1">
      <c r="A31" s="73">
        <v>2004</v>
      </c>
      <c r="B31" s="830"/>
      <c r="C31" s="917" t="s">
        <v>1100</v>
      </c>
      <c r="D31" s="917"/>
      <c r="E31" s="73">
        <v>0</v>
      </c>
      <c r="G31" s="411">
        <v>14</v>
      </c>
      <c r="H31" s="448"/>
      <c r="I31" s="448"/>
      <c r="J31" s="413">
        <v>14</v>
      </c>
      <c r="K31" s="409">
        <f t="shared" si="0"/>
        <v>100</v>
      </c>
      <c r="L31" s="409">
        <f t="shared" si="1"/>
        <v>0</v>
      </c>
      <c r="M31" s="409">
        <f t="shared" si="2"/>
        <v>0</v>
      </c>
      <c r="N31" s="412">
        <f t="shared" si="3"/>
        <v>100</v>
      </c>
      <c r="O31" s="408">
        <v>59.4</v>
      </c>
      <c r="P31" s="409"/>
      <c r="Q31" s="409"/>
      <c r="R31" s="410">
        <f t="shared" ref="R31:R48" si="5">SUM(O31:Q31)</f>
        <v>59.4</v>
      </c>
      <c r="S31" s="73">
        <v>2</v>
      </c>
      <c r="T31" s="839"/>
      <c r="U31" s="852"/>
      <c r="V31" s="82" t="s">
        <v>333</v>
      </c>
      <c r="W31" s="73" t="s">
        <v>77</v>
      </c>
      <c r="X31" s="73" t="s">
        <v>11</v>
      </c>
      <c r="Y31" s="83">
        <v>27.7</v>
      </c>
      <c r="Z31" s="73" t="s">
        <v>1096</v>
      </c>
      <c r="AA31" s="73" t="s">
        <v>88</v>
      </c>
      <c r="AB31" s="73" t="s">
        <v>11</v>
      </c>
      <c r="AC31" s="73">
        <v>18.8</v>
      </c>
      <c r="AD31" s="82" t="s">
        <v>1101</v>
      </c>
      <c r="AE31" s="73" t="s">
        <v>79</v>
      </c>
      <c r="AF31" s="73" t="s">
        <v>11</v>
      </c>
      <c r="AG31" s="83">
        <v>12.9</v>
      </c>
      <c r="AL31" s="82"/>
      <c r="AO31" s="83"/>
      <c r="AP31" s="82"/>
      <c r="AS31" s="83"/>
      <c r="AW31" s="83"/>
      <c r="BA31" s="84"/>
    </row>
    <row r="32" spans="1:53" s="73" customFormat="1">
      <c r="A32" s="73">
        <v>2004</v>
      </c>
      <c r="B32" s="830"/>
      <c r="C32" s="917" t="s">
        <v>1100</v>
      </c>
      <c r="D32" s="917"/>
      <c r="E32" s="73">
        <v>366</v>
      </c>
      <c r="G32" s="411">
        <v>14</v>
      </c>
      <c r="H32" s="448"/>
      <c r="I32" s="448"/>
      <c r="J32" s="413">
        <v>14</v>
      </c>
      <c r="K32" s="409">
        <f t="shared" si="0"/>
        <v>100</v>
      </c>
      <c r="L32" s="409">
        <f t="shared" si="1"/>
        <v>0</v>
      </c>
      <c r="M32" s="409">
        <f t="shared" si="2"/>
        <v>0</v>
      </c>
      <c r="N32" s="412">
        <f t="shared" si="3"/>
        <v>100</v>
      </c>
      <c r="O32" s="408">
        <v>59.4</v>
      </c>
      <c r="P32" s="409"/>
      <c r="Q32" s="409"/>
      <c r="R32" s="410">
        <f t="shared" si="5"/>
        <v>59.4</v>
      </c>
      <c r="S32" s="73">
        <v>2</v>
      </c>
      <c r="T32" s="839"/>
      <c r="U32" s="852"/>
      <c r="V32" s="82" t="s">
        <v>333</v>
      </c>
      <c r="W32" s="73" t="s">
        <v>77</v>
      </c>
      <c r="X32" s="73" t="s">
        <v>11</v>
      </c>
      <c r="Y32" s="83">
        <v>27.7</v>
      </c>
      <c r="Z32" s="73" t="s">
        <v>1096</v>
      </c>
      <c r="AA32" s="73" t="s">
        <v>88</v>
      </c>
      <c r="AB32" s="73" t="s">
        <v>11</v>
      </c>
      <c r="AC32" s="73">
        <v>18.8</v>
      </c>
      <c r="AD32" s="82" t="s">
        <v>1101</v>
      </c>
      <c r="AE32" s="73" t="s">
        <v>79</v>
      </c>
      <c r="AF32" s="73" t="s">
        <v>11</v>
      </c>
      <c r="AG32" s="83">
        <v>12.9</v>
      </c>
      <c r="AL32" s="82"/>
      <c r="AO32" s="83"/>
      <c r="AP32" s="82"/>
      <c r="AS32" s="83"/>
      <c r="AW32" s="83"/>
      <c r="BA32" s="84"/>
    </row>
    <row r="33" spans="1:53" s="73" customFormat="1">
      <c r="A33" s="73">
        <v>2005</v>
      </c>
      <c r="B33" s="830"/>
      <c r="C33" s="917" t="s">
        <v>1100</v>
      </c>
      <c r="D33" s="917"/>
      <c r="E33" s="73">
        <v>102</v>
      </c>
      <c r="G33" s="411">
        <v>14</v>
      </c>
      <c r="H33" s="448"/>
      <c r="I33" s="448"/>
      <c r="J33" s="413">
        <v>14</v>
      </c>
      <c r="K33" s="409">
        <f t="shared" si="0"/>
        <v>100</v>
      </c>
      <c r="L33" s="409">
        <f t="shared" si="1"/>
        <v>0</v>
      </c>
      <c r="M33" s="409">
        <f t="shared" si="2"/>
        <v>0</v>
      </c>
      <c r="N33" s="412">
        <f t="shared" si="3"/>
        <v>100</v>
      </c>
      <c r="O33" s="408">
        <v>59.4</v>
      </c>
      <c r="P33" s="409"/>
      <c r="Q33" s="409"/>
      <c r="R33" s="410">
        <f t="shared" si="5"/>
        <v>59.4</v>
      </c>
      <c r="S33" s="73">
        <v>2</v>
      </c>
      <c r="T33" s="839"/>
      <c r="U33" s="852"/>
      <c r="V33" s="82" t="s">
        <v>333</v>
      </c>
      <c r="W33" s="73" t="s">
        <v>77</v>
      </c>
      <c r="X33" s="73" t="s">
        <v>11</v>
      </c>
      <c r="Y33" s="83">
        <v>27.7</v>
      </c>
      <c r="Z33" s="73" t="s">
        <v>1096</v>
      </c>
      <c r="AA33" s="73" t="s">
        <v>88</v>
      </c>
      <c r="AB33" s="73" t="s">
        <v>11</v>
      </c>
      <c r="AC33" s="73">
        <v>18.8</v>
      </c>
      <c r="AD33" s="82" t="s">
        <v>1101</v>
      </c>
      <c r="AE33" s="73" t="s">
        <v>79</v>
      </c>
      <c r="AF33" s="73" t="s">
        <v>11</v>
      </c>
      <c r="AG33" s="83">
        <v>12.9</v>
      </c>
      <c r="AL33" s="82"/>
      <c r="AO33" s="83"/>
      <c r="AP33" s="82"/>
      <c r="AS33" s="83"/>
      <c r="AW33" s="83"/>
      <c r="BA33" s="84"/>
    </row>
    <row r="34" spans="1:53" s="292" customFormat="1">
      <c r="A34" s="292">
        <v>2005</v>
      </c>
      <c r="B34" s="863">
        <v>38455</v>
      </c>
      <c r="C34" s="916" t="s">
        <v>1087</v>
      </c>
      <c r="D34" s="916"/>
      <c r="E34" s="292">
        <v>263</v>
      </c>
      <c r="F34" s="292">
        <v>2</v>
      </c>
      <c r="G34" s="425">
        <v>9</v>
      </c>
      <c r="H34" s="449">
        <v>5</v>
      </c>
      <c r="I34" s="449"/>
      <c r="J34" s="427">
        <v>14</v>
      </c>
      <c r="K34" s="423">
        <f t="shared" si="0"/>
        <v>64.285714285714292</v>
      </c>
      <c r="L34" s="423">
        <f t="shared" si="1"/>
        <v>35.714285714285715</v>
      </c>
      <c r="M34" s="423">
        <f t="shared" si="2"/>
        <v>0</v>
      </c>
      <c r="N34" s="426">
        <f t="shared" si="3"/>
        <v>100</v>
      </c>
      <c r="O34" s="422">
        <v>31.7</v>
      </c>
      <c r="P34" s="423">
        <v>27.7</v>
      </c>
      <c r="Q34" s="423"/>
      <c r="R34" s="424">
        <f t="shared" si="5"/>
        <v>59.4</v>
      </c>
      <c r="S34" s="292">
        <v>2</v>
      </c>
      <c r="T34" s="838"/>
      <c r="U34" s="836">
        <v>38455</v>
      </c>
      <c r="V34" s="299" t="s">
        <v>1338</v>
      </c>
      <c r="W34" s="292" t="s">
        <v>100</v>
      </c>
      <c r="X34" s="292" t="s">
        <v>18</v>
      </c>
      <c r="Y34" s="300">
        <v>27.7</v>
      </c>
      <c r="Z34" s="292" t="s">
        <v>1096</v>
      </c>
      <c r="AA34" s="292" t="s">
        <v>88</v>
      </c>
      <c r="AB34" s="292" t="s">
        <v>11</v>
      </c>
      <c r="AC34" s="292">
        <v>18.8</v>
      </c>
      <c r="AD34" s="299" t="s">
        <v>1101</v>
      </c>
      <c r="AE34" s="292" t="s">
        <v>79</v>
      </c>
      <c r="AF34" s="292" t="s">
        <v>11</v>
      </c>
      <c r="AG34" s="300">
        <v>12.9</v>
      </c>
      <c r="AL34" s="299"/>
      <c r="AO34" s="300"/>
      <c r="AP34" s="299"/>
      <c r="AS34" s="300"/>
      <c r="AW34" s="300"/>
      <c r="BA34" s="301"/>
    </row>
    <row r="35" spans="1:53" s="292" customFormat="1">
      <c r="A35" s="292">
        <v>2006</v>
      </c>
      <c r="B35" s="863"/>
      <c r="C35" s="916" t="s">
        <v>1087</v>
      </c>
      <c r="D35" s="916"/>
      <c r="E35" s="292">
        <v>0</v>
      </c>
      <c r="G35" s="425">
        <v>9</v>
      </c>
      <c r="H35" s="449">
        <v>5</v>
      </c>
      <c r="I35" s="449"/>
      <c r="J35" s="427">
        <v>14</v>
      </c>
      <c r="K35" s="423">
        <f t="shared" si="0"/>
        <v>64.285714285714292</v>
      </c>
      <c r="L35" s="423">
        <f t="shared" si="1"/>
        <v>35.714285714285715</v>
      </c>
      <c r="M35" s="423">
        <f t="shared" si="2"/>
        <v>0</v>
      </c>
      <c r="N35" s="426">
        <f t="shared" si="3"/>
        <v>100</v>
      </c>
      <c r="O35" s="422">
        <v>31.7</v>
      </c>
      <c r="P35" s="423">
        <v>27.7</v>
      </c>
      <c r="Q35" s="423"/>
      <c r="R35" s="424">
        <f t="shared" si="5"/>
        <v>59.4</v>
      </c>
      <c r="S35" s="292">
        <v>2</v>
      </c>
      <c r="T35" s="838"/>
      <c r="U35" s="836"/>
      <c r="V35" s="532" t="s">
        <v>1338</v>
      </c>
      <c r="W35" s="292" t="s">
        <v>100</v>
      </c>
      <c r="X35" s="292" t="s">
        <v>18</v>
      </c>
      <c r="Y35" s="300">
        <v>27.7</v>
      </c>
      <c r="Z35" s="292" t="s">
        <v>1096</v>
      </c>
      <c r="AA35" s="292" t="s">
        <v>88</v>
      </c>
      <c r="AB35" s="292" t="s">
        <v>11</v>
      </c>
      <c r="AC35" s="292">
        <v>18.8</v>
      </c>
      <c r="AD35" s="299" t="s">
        <v>1101</v>
      </c>
      <c r="AE35" s="292" t="s">
        <v>79</v>
      </c>
      <c r="AF35" s="292" t="s">
        <v>11</v>
      </c>
      <c r="AG35" s="300">
        <v>12.9</v>
      </c>
      <c r="AL35" s="299"/>
      <c r="AO35" s="300"/>
      <c r="AP35" s="299"/>
      <c r="AS35" s="300"/>
      <c r="AW35" s="300"/>
      <c r="BA35" s="301"/>
    </row>
    <row r="36" spans="1:53" s="292" customFormat="1">
      <c r="A36" s="292">
        <v>2006</v>
      </c>
      <c r="B36" s="863"/>
      <c r="C36" s="916" t="s">
        <v>1087</v>
      </c>
      <c r="D36" s="916"/>
      <c r="E36" s="292">
        <v>365</v>
      </c>
      <c r="G36" s="425">
        <v>9</v>
      </c>
      <c r="H36" s="449">
        <v>5</v>
      </c>
      <c r="I36" s="449"/>
      <c r="J36" s="427">
        <v>14</v>
      </c>
      <c r="K36" s="423">
        <f t="shared" si="0"/>
        <v>64.285714285714292</v>
      </c>
      <c r="L36" s="423">
        <f t="shared" si="1"/>
        <v>35.714285714285715</v>
      </c>
      <c r="M36" s="423">
        <f t="shared" si="2"/>
        <v>0</v>
      </c>
      <c r="N36" s="426">
        <f t="shared" si="3"/>
        <v>100</v>
      </c>
      <c r="O36" s="422">
        <v>31.7</v>
      </c>
      <c r="P36" s="423">
        <v>27.7</v>
      </c>
      <c r="Q36" s="423"/>
      <c r="R36" s="424">
        <f t="shared" si="5"/>
        <v>59.4</v>
      </c>
      <c r="S36" s="292">
        <v>2</v>
      </c>
      <c r="T36" s="838"/>
      <c r="U36" s="836"/>
      <c r="V36" s="532" t="s">
        <v>1338</v>
      </c>
      <c r="W36" s="292" t="s">
        <v>100</v>
      </c>
      <c r="X36" s="292" t="s">
        <v>18</v>
      </c>
      <c r="Y36" s="300">
        <v>27.7</v>
      </c>
      <c r="Z36" s="292" t="s">
        <v>1096</v>
      </c>
      <c r="AA36" s="292" t="s">
        <v>88</v>
      </c>
      <c r="AB36" s="292" t="s">
        <v>11</v>
      </c>
      <c r="AC36" s="292">
        <v>18.8</v>
      </c>
      <c r="AD36" s="299" t="s">
        <v>1101</v>
      </c>
      <c r="AE36" s="292" t="s">
        <v>79</v>
      </c>
      <c r="AF36" s="292" t="s">
        <v>11</v>
      </c>
      <c r="AG36" s="300">
        <v>12.9</v>
      </c>
      <c r="AL36" s="299"/>
      <c r="AO36" s="300"/>
      <c r="AP36" s="299"/>
      <c r="AS36" s="300"/>
      <c r="AW36" s="300"/>
      <c r="BA36" s="301"/>
    </row>
    <row r="37" spans="1:53" s="292" customFormat="1">
      <c r="A37" s="292">
        <v>2007</v>
      </c>
      <c r="B37" s="863"/>
      <c r="C37" s="916" t="s">
        <v>1087</v>
      </c>
      <c r="D37" s="916"/>
      <c r="E37" s="292">
        <v>94</v>
      </c>
      <c r="G37" s="425">
        <v>9</v>
      </c>
      <c r="H37" s="449">
        <v>5</v>
      </c>
      <c r="I37" s="449"/>
      <c r="J37" s="427">
        <v>14</v>
      </c>
      <c r="K37" s="423">
        <f t="shared" si="0"/>
        <v>64.285714285714292</v>
      </c>
      <c r="L37" s="423">
        <f t="shared" si="1"/>
        <v>35.714285714285715</v>
      </c>
      <c r="M37" s="423">
        <f t="shared" si="2"/>
        <v>0</v>
      </c>
      <c r="N37" s="426">
        <f t="shared" si="3"/>
        <v>100</v>
      </c>
      <c r="O37" s="422">
        <v>31.7</v>
      </c>
      <c r="P37" s="423">
        <v>27.7</v>
      </c>
      <c r="Q37" s="423"/>
      <c r="R37" s="424">
        <f t="shared" si="5"/>
        <v>59.4</v>
      </c>
      <c r="S37" s="292">
        <v>2</v>
      </c>
      <c r="T37" s="838"/>
      <c r="U37" s="836"/>
      <c r="V37" s="532" t="s">
        <v>1338</v>
      </c>
      <c r="W37" s="292" t="s">
        <v>100</v>
      </c>
      <c r="X37" s="292" t="s">
        <v>18</v>
      </c>
      <c r="Y37" s="300">
        <v>27.7</v>
      </c>
      <c r="Z37" s="292" t="s">
        <v>1096</v>
      </c>
      <c r="AA37" s="292" t="s">
        <v>88</v>
      </c>
      <c r="AB37" s="292" t="s">
        <v>11</v>
      </c>
      <c r="AC37" s="292">
        <v>18.8</v>
      </c>
      <c r="AD37" s="299" t="s">
        <v>1101</v>
      </c>
      <c r="AE37" s="292" t="s">
        <v>79</v>
      </c>
      <c r="AF37" s="292" t="s">
        <v>11</v>
      </c>
      <c r="AG37" s="300">
        <v>12.9</v>
      </c>
      <c r="AL37" s="299"/>
      <c r="AO37" s="300"/>
      <c r="AP37" s="299"/>
      <c r="AS37" s="300"/>
      <c r="AW37" s="300"/>
      <c r="BA37" s="301"/>
    </row>
    <row r="38" spans="1:53" s="73" customFormat="1">
      <c r="A38" s="73">
        <v>2007</v>
      </c>
      <c r="B38" s="830">
        <v>39177</v>
      </c>
      <c r="C38" s="917" t="s">
        <v>1088</v>
      </c>
      <c r="D38" s="917"/>
      <c r="E38" s="73">
        <v>271</v>
      </c>
      <c r="F38" s="73">
        <v>1</v>
      </c>
      <c r="G38" s="411">
        <v>11</v>
      </c>
      <c r="H38" s="448"/>
      <c r="I38" s="448">
        <v>3</v>
      </c>
      <c r="J38" s="413">
        <v>14</v>
      </c>
      <c r="K38" s="409">
        <f t="shared" si="0"/>
        <v>78.571428571428569</v>
      </c>
      <c r="L38" s="409">
        <f t="shared" si="1"/>
        <v>0</v>
      </c>
      <c r="M38" s="409">
        <f t="shared" si="2"/>
        <v>21.428571428571427</v>
      </c>
      <c r="N38" s="412">
        <f t="shared" si="3"/>
        <v>100</v>
      </c>
      <c r="O38" s="408">
        <v>49.5</v>
      </c>
      <c r="P38" s="409"/>
      <c r="Q38" s="409">
        <v>9.9</v>
      </c>
      <c r="R38" s="410">
        <f t="shared" si="5"/>
        <v>59.4</v>
      </c>
      <c r="S38" s="73">
        <v>2</v>
      </c>
      <c r="T38" s="839">
        <v>39145</v>
      </c>
      <c r="U38" s="852">
        <v>39177</v>
      </c>
      <c r="V38" s="82" t="s">
        <v>1096</v>
      </c>
      <c r="W38" s="73" t="s">
        <v>88</v>
      </c>
      <c r="X38" s="73" t="s">
        <v>11</v>
      </c>
      <c r="Y38" s="83">
        <v>30.7</v>
      </c>
      <c r="Z38" s="73" t="s">
        <v>1102</v>
      </c>
      <c r="AA38" s="73" t="s">
        <v>80</v>
      </c>
      <c r="AB38" s="73" t="s">
        <v>11</v>
      </c>
      <c r="AC38" s="73">
        <v>18.8</v>
      </c>
      <c r="AD38" s="82" t="s">
        <v>1103</v>
      </c>
      <c r="AE38" s="73" t="s">
        <v>98</v>
      </c>
      <c r="AF38" s="73" t="s">
        <v>12</v>
      </c>
      <c r="AG38" s="83">
        <v>9.9</v>
      </c>
      <c r="AL38" s="82"/>
      <c r="AO38" s="83"/>
      <c r="AP38" s="82"/>
      <c r="AS38" s="83"/>
      <c r="AW38" s="83"/>
      <c r="BA38" s="84"/>
    </row>
    <row r="39" spans="1:53" s="73" customFormat="1">
      <c r="A39" s="73">
        <v>2008</v>
      </c>
      <c r="B39" s="830"/>
      <c r="C39" s="917" t="s">
        <v>1088</v>
      </c>
      <c r="D39" s="917"/>
      <c r="E39" s="73">
        <v>0</v>
      </c>
      <c r="G39" s="411">
        <v>11</v>
      </c>
      <c r="H39" s="448"/>
      <c r="I39" s="448">
        <v>3</v>
      </c>
      <c r="J39" s="413">
        <v>14</v>
      </c>
      <c r="K39" s="409">
        <f t="shared" si="0"/>
        <v>78.571428571428569</v>
      </c>
      <c r="L39" s="409">
        <f t="shared" si="1"/>
        <v>0</v>
      </c>
      <c r="M39" s="409">
        <f t="shared" si="2"/>
        <v>21.428571428571427</v>
      </c>
      <c r="N39" s="412">
        <f t="shared" si="3"/>
        <v>100</v>
      </c>
      <c r="O39" s="408">
        <v>49.5</v>
      </c>
      <c r="P39" s="409"/>
      <c r="Q39" s="409">
        <v>9.9</v>
      </c>
      <c r="R39" s="410">
        <f t="shared" si="5"/>
        <v>59.4</v>
      </c>
      <c r="S39" s="73">
        <v>2</v>
      </c>
      <c r="T39" s="839"/>
      <c r="U39" s="852"/>
      <c r="V39" s="82" t="s">
        <v>1096</v>
      </c>
      <c r="W39" s="73" t="s">
        <v>88</v>
      </c>
      <c r="X39" s="73" t="s">
        <v>11</v>
      </c>
      <c r="Y39" s="83">
        <v>30.7</v>
      </c>
      <c r="Z39" s="73" t="s">
        <v>1102</v>
      </c>
      <c r="AA39" s="73" t="s">
        <v>80</v>
      </c>
      <c r="AB39" s="73" t="s">
        <v>11</v>
      </c>
      <c r="AC39" s="73">
        <v>18.8</v>
      </c>
      <c r="AD39" s="82" t="s">
        <v>1103</v>
      </c>
      <c r="AE39" s="73" t="s">
        <v>98</v>
      </c>
      <c r="AF39" s="73" t="s">
        <v>12</v>
      </c>
      <c r="AG39" s="83">
        <v>9.9</v>
      </c>
      <c r="AL39" s="82"/>
      <c r="AO39" s="83"/>
      <c r="AP39" s="82"/>
      <c r="AS39" s="83"/>
      <c r="AW39" s="83"/>
      <c r="BA39" s="84"/>
    </row>
    <row r="40" spans="1:53" s="73" customFormat="1">
      <c r="A40" s="73">
        <v>2008</v>
      </c>
      <c r="B40" s="830"/>
      <c r="C40" s="917" t="s">
        <v>1088</v>
      </c>
      <c r="D40" s="917"/>
      <c r="E40" s="73">
        <v>366</v>
      </c>
      <c r="G40" s="411">
        <v>11</v>
      </c>
      <c r="H40" s="448"/>
      <c r="I40" s="448">
        <v>3</v>
      </c>
      <c r="J40" s="413">
        <v>14</v>
      </c>
      <c r="K40" s="409">
        <f t="shared" si="0"/>
        <v>78.571428571428569</v>
      </c>
      <c r="L40" s="409">
        <f t="shared" si="1"/>
        <v>0</v>
      </c>
      <c r="M40" s="409">
        <f t="shared" si="2"/>
        <v>21.428571428571427</v>
      </c>
      <c r="N40" s="412">
        <f t="shared" si="3"/>
        <v>100</v>
      </c>
      <c r="O40" s="408">
        <v>49.5</v>
      </c>
      <c r="P40" s="409"/>
      <c r="Q40" s="409">
        <v>9.9</v>
      </c>
      <c r="R40" s="410">
        <f t="shared" si="5"/>
        <v>59.4</v>
      </c>
      <c r="S40" s="73">
        <v>2</v>
      </c>
      <c r="T40" s="839"/>
      <c r="U40" s="852"/>
      <c r="V40" s="82" t="s">
        <v>1096</v>
      </c>
      <c r="W40" s="73" t="s">
        <v>88</v>
      </c>
      <c r="X40" s="73" t="s">
        <v>11</v>
      </c>
      <c r="Y40" s="83">
        <v>30.7</v>
      </c>
      <c r="Z40" s="73" t="s">
        <v>1102</v>
      </c>
      <c r="AA40" s="73" t="s">
        <v>80</v>
      </c>
      <c r="AB40" s="73" t="s">
        <v>11</v>
      </c>
      <c r="AC40" s="73">
        <v>18.8</v>
      </c>
      <c r="AD40" s="82" t="s">
        <v>1103</v>
      </c>
      <c r="AE40" s="73" t="s">
        <v>98</v>
      </c>
      <c r="AF40" s="73" t="s">
        <v>12</v>
      </c>
      <c r="AG40" s="83">
        <v>9.9</v>
      </c>
      <c r="AL40" s="82"/>
      <c r="AO40" s="83"/>
      <c r="AP40" s="82"/>
      <c r="AS40" s="83"/>
      <c r="AW40" s="83"/>
      <c r="BA40" s="84"/>
    </row>
    <row r="41" spans="1:53" s="73" customFormat="1">
      <c r="A41" s="73">
        <v>2009</v>
      </c>
      <c r="B41" s="830"/>
      <c r="C41" s="917" t="s">
        <v>1088</v>
      </c>
      <c r="D41" s="917"/>
      <c r="E41" s="73">
        <v>154</v>
      </c>
      <c r="G41" s="411">
        <v>11</v>
      </c>
      <c r="H41" s="448"/>
      <c r="I41" s="448">
        <v>3</v>
      </c>
      <c r="J41" s="413">
        <v>14</v>
      </c>
      <c r="K41" s="409">
        <f t="shared" si="0"/>
        <v>78.571428571428569</v>
      </c>
      <c r="L41" s="409">
        <f t="shared" si="1"/>
        <v>0</v>
      </c>
      <c r="M41" s="409">
        <f t="shared" si="2"/>
        <v>21.428571428571427</v>
      </c>
      <c r="N41" s="412">
        <f t="shared" si="3"/>
        <v>100</v>
      </c>
      <c r="O41" s="408">
        <v>49.5</v>
      </c>
      <c r="P41" s="409"/>
      <c r="Q41" s="409">
        <v>9.9</v>
      </c>
      <c r="R41" s="410">
        <f t="shared" si="5"/>
        <v>59.4</v>
      </c>
      <c r="S41" s="73">
        <v>2</v>
      </c>
      <c r="T41" s="839"/>
      <c r="U41" s="852"/>
      <c r="V41" s="82" t="s">
        <v>1096</v>
      </c>
      <c r="W41" s="73" t="s">
        <v>88</v>
      </c>
      <c r="X41" s="73" t="s">
        <v>11</v>
      </c>
      <c r="Y41" s="83">
        <v>30.7</v>
      </c>
      <c r="Z41" s="73" t="s">
        <v>1102</v>
      </c>
      <c r="AA41" s="73" t="s">
        <v>80</v>
      </c>
      <c r="AB41" s="73" t="s">
        <v>11</v>
      </c>
      <c r="AC41" s="73">
        <v>18.8</v>
      </c>
      <c r="AD41" s="82" t="s">
        <v>1103</v>
      </c>
      <c r="AE41" s="73" t="s">
        <v>98</v>
      </c>
      <c r="AF41" s="73" t="s">
        <v>12</v>
      </c>
      <c r="AG41" s="83">
        <v>9.9</v>
      </c>
      <c r="AL41" s="82"/>
      <c r="AO41" s="83"/>
      <c r="AP41" s="82"/>
      <c r="AS41" s="83"/>
      <c r="AW41" s="83"/>
      <c r="BA41" s="84"/>
    </row>
    <row r="42" spans="1:53" s="292" customFormat="1">
      <c r="A42" s="292">
        <v>2009</v>
      </c>
      <c r="B42" s="863">
        <v>39968</v>
      </c>
      <c r="C42" s="916" t="s">
        <v>1089</v>
      </c>
      <c r="D42" s="916"/>
      <c r="E42" s="292">
        <v>211</v>
      </c>
      <c r="F42" s="292">
        <v>4</v>
      </c>
      <c r="G42" s="425">
        <v>13</v>
      </c>
      <c r="H42" s="449"/>
      <c r="I42" s="449"/>
      <c r="J42" s="427">
        <v>13</v>
      </c>
      <c r="K42" s="423">
        <f t="shared" si="0"/>
        <v>100</v>
      </c>
      <c r="L42" s="423">
        <f t="shared" si="1"/>
        <v>0</v>
      </c>
      <c r="M42" s="423">
        <f t="shared" si="2"/>
        <v>0</v>
      </c>
      <c r="N42" s="426">
        <f t="shared" si="3"/>
        <v>100</v>
      </c>
      <c r="O42" s="422">
        <v>49.5</v>
      </c>
      <c r="P42" s="423"/>
      <c r="Q42" s="423"/>
      <c r="R42" s="424">
        <f t="shared" si="5"/>
        <v>49.5</v>
      </c>
      <c r="S42" s="292">
        <v>5</v>
      </c>
      <c r="T42" s="838"/>
      <c r="U42" s="836">
        <v>39968</v>
      </c>
      <c r="V42" s="299" t="s">
        <v>1096</v>
      </c>
      <c r="W42" s="292" t="s">
        <v>88</v>
      </c>
      <c r="X42" s="292" t="s">
        <v>11</v>
      </c>
      <c r="Y42" s="300">
        <v>30.7</v>
      </c>
      <c r="Z42" s="292" t="s">
        <v>1102</v>
      </c>
      <c r="AA42" s="292" t="s">
        <v>80</v>
      </c>
      <c r="AB42" s="292" t="s">
        <v>11</v>
      </c>
      <c r="AC42" s="292">
        <v>18.8</v>
      </c>
      <c r="AD42" s="299"/>
      <c r="AG42" s="300"/>
      <c r="AL42" s="299"/>
      <c r="AO42" s="300"/>
      <c r="AP42" s="299"/>
      <c r="AS42" s="300"/>
      <c r="AW42" s="300"/>
      <c r="BA42" s="301"/>
    </row>
    <row r="43" spans="1:53" s="292" customFormat="1">
      <c r="A43" s="292">
        <v>2010</v>
      </c>
      <c r="B43" s="863"/>
      <c r="C43" s="916" t="s">
        <v>1089</v>
      </c>
      <c r="D43" s="916"/>
      <c r="E43" s="292">
        <v>0</v>
      </c>
      <c r="G43" s="425">
        <v>13</v>
      </c>
      <c r="H43" s="449"/>
      <c r="I43" s="449"/>
      <c r="J43" s="427">
        <v>13</v>
      </c>
      <c r="K43" s="423">
        <f t="shared" si="0"/>
        <v>100</v>
      </c>
      <c r="L43" s="423">
        <f t="shared" si="1"/>
        <v>0</v>
      </c>
      <c r="M43" s="423">
        <f t="shared" si="2"/>
        <v>0</v>
      </c>
      <c r="N43" s="426">
        <f t="shared" si="3"/>
        <v>100</v>
      </c>
      <c r="O43" s="422">
        <v>49.5</v>
      </c>
      <c r="P43" s="423"/>
      <c r="Q43" s="423"/>
      <c r="R43" s="424">
        <f t="shared" si="5"/>
        <v>49.5</v>
      </c>
      <c r="S43" s="292">
        <v>5</v>
      </c>
      <c r="T43" s="838"/>
      <c r="U43" s="836"/>
      <c r="V43" s="299" t="s">
        <v>1096</v>
      </c>
      <c r="W43" s="292" t="s">
        <v>88</v>
      </c>
      <c r="X43" s="292" t="s">
        <v>11</v>
      </c>
      <c r="Y43" s="300">
        <v>30.7</v>
      </c>
      <c r="Z43" s="292" t="s">
        <v>1102</v>
      </c>
      <c r="AA43" s="292" t="s">
        <v>80</v>
      </c>
      <c r="AB43" s="292" t="s">
        <v>11</v>
      </c>
      <c r="AC43" s="292">
        <v>18.8</v>
      </c>
      <c r="AD43" s="299"/>
      <c r="AG43" s="300"/>
      <c r="AL43" s="299"/>
      <c r="AO43" s="300"/>
      <c r="AP43" s="299"/>
      <c r="AS43" s="300"/>
      <c r="AW43" s="300"/>
      <c r="BA43" s="301"/>
    </row>
    <row r="44" spans="1:53" s="292" customFormat="1">
      <c r="A44" s="292">
        <v>2010</v>
      </c>
      <c r="B44" s="863"/>
      <c r="C44" s="916" t="s">
        <v>1089</v>
      </c>
      <c r="D44" s="916"/>
      <c r="E44" s="292">
        <v>365</v>
      </c>
      <c r="G44" s="425">
        <v>13</v>
      </c>
      <c r="H44" s="449"/>
      <c r="I44" s="449"/>
      <c r="J44" s="427">
        <v>13</v>
      </c>
      <c r="K44" s="423">
        <f t="shared" si="0"/>
        <v>100</v>
      </c>
      <c r="L44" s="423">
        <f t="shared" si="1"/>
        <v>0</v>
      </c>
      <c r="M44" s="423">
        <f t="shared" si="2"/>
        <v>0</v>
      </c>
      <c r="N44" s="426">
        <f t="shared" si="3"/>
        <v>100</v>
      </c>
      <c r="O44" s="422">
        <v>49.5</v>
      </c>
      <c r="P44" s="423"/>
      <c r="Q44" s="423"/>
      <c r="R44" s="424">
        <f t="shared" si="5"/>
        <v>49.5</v>
      </c>
      <c r="S44" s="292">
        <v>5</v>
      </c>
      <c r="T44" s="838"/>
      <c r="U44" s="836"/>
      <c r="V44" s="299" t="s">
        <v>1096</v>
      </c>
      <c r="W44" s="292" t="s">
        <v>88</v>
      </c>
      <c r="X44" s="292" t="s">
        <v>11</v>
      </c>
      <c r="Y44" s="300">
        <v>30.7</v>
      </c>
      <c r="Z44" s="292" t="s">
        <v>1102</v>
      </c>
      <c r="AA44" s="292" t="s">
        <v>80</v>
      </c>
      <c r="AB44" s="292" t="s">
        <v>11</v>
      </c>
      <c r="AC44" s="292">
        <v>18.8</v>
      </c>
      <c r="AD44" s="299"/>
      <c r="AG44" s="300"/>
      <c r="AL44" s="299"/>
      <c r="AO44" s="300"/>
      <c r="AP44" s="299"/>
      <c r="AS44" s="300"/>
      <c r="AW44" s="300"/>
      <c r="BA44" s="301"/>
    </row>
    <row r="45" spans="1:53" s="292" customFormat="1">
      <c r="A45" s="292">
        <v>2011</v>
      </c>
      <c r="B45" s="863"/>
      <c r="C45" s="916" t="s">
        <v>1089</v>
      </c>
      <c r="D45" s="916"/>
      <c r="E45" s="292">
        <v>95</v>
      </c>
      <c r="G45" s="425">
        <v>13</v>
      </c>
      <c r="H45" s="449"/>
      <c r="I45" s="449"/>
      <c r="J45" s="427">
        <v>13</v>
      </c>
      <c r="K45" s="423">
        <f t="shared" ref="K45:K52" si="6">G45/J45*100</f>
        <v>100</v>
      </c>
      <c r="L45" s="423">
        <f t="shared" ref="L45:L52" si="7">H45/J45*100</f>
        <v>0</v>
      </c>
      <c r="M45" s="423">
        <f t="shared" ref="M45:M52" si="8">I45/J45*100</f>
        <v>0</v>
      </c>
      <c r="N45" s="426">
        <f t="shared" si="3"/>
        <v>100</v>
      </c>
      <c r="O45" s="422">
        <v>49.5</v>
      </c>
      <c r="P45" s="423"/>
      <c r="Q45" s="423"/>
      <c r="R45" s="424">
        <f t="shared" si="5"/>
        <v>49.5</v>
      </c>
      <c r="S45" s="292">
        <v>5</v>
      </c>
      <c r="T45" s="838"/>
      <c r="U45" s="836"/>
      <c r="V45" s="299" t="s">
        <v>1096</v>
      </c>
      <c r="W45" s="292" t="s">
        <v>88</v>
      </c>
      <c r="X45" s="292" t="s">
        <v>11</v>
      </c>
      <c r="Y45" s="300">
        <v>30.7</v>
      </c>
      <c r="Z45" s="292" t="s">
        <v>1102</v>
      </c>
      <c r="AA45" s="292" t="s">
        <v>80</v>
      </c>
      <c r="AB45" s="292" t="s">
        <v>11</v>
      </c>
      <c r="AC45" s="292">
        <v>18.8</v>
      </c>
      <c r="AD45" s="299"/>
      <c r="AG45" s="300"/>
      <c r="AL45" s="299"/>
      <c r="AO45" s="300"/>
      <c r="AP45" s="299"/>
      <c r="AS45" s="300"/>
      <c r="AW45" s="300"/>
      <c r="BA45" s="301"/>
    </row>
    <row r="46" spans="1:53" s="73" customFormat="1">
      <c r="A46" s="73">
        <v>2011</v>
      </c>
      <c r="B46" s="830">
        <v>40639</v>
      </c>
      <c r="C46" s="917" t="s">
        <v>1090</v>
      </c>
      <c r="D46" s="917"/>
      <c r="E46" s="73">
        <v>270</v>
      </c>
      <c r="F46" s="73">
        <v>1</v>
      </c>
      <c r="G46" s="411">
        <v>13</v>
      </c>
      <c r="H46" s="448"/>
      <c r="I46" s="448"/>
      <c r="J46" s="413">
        <v>13</v>
      </c>
      <c r="K46" s="409">
        <f t="shared" si="6"/>
        <v>100</v>
      </c>
      <c r="L46" s="409">
        <f t="shared" si="7"/>
        <v>0</v>
      </c>
      <c r="M46" s="409">
        <f t="shared" si="8"/>
        <v>0</v>
      </c>
      <c r="N46" s="412">
        <f t="shared" si="3"/>
        <v>100</v>
      </c>
      <c r="O46" s="408">
        <v>55.5</v>
      </c>
      <c r="P46" s="409"/>
      <c r="Q46" s="409"/>
      <c r="R46" s="410">
        <f t="shared" si="5"/>
        <v>55.5</v>
      </c>
      <c r="S46" s="73">
        <v>2</v>
      </c>
      <c r="T46" s="839">
        <v>40608</v>
      </c>
      <c r="U46" s="852">
        <v>40639</v>
      </c>
      <c r="V46" s="82" t="s">
        <v>1096</v>
      </c>
      <c r="W46" s="73" t="s">
        <v>88</v>
      </c>
      <c r="X46" s="73" t="s">
        <v>11</v>
      </c>
      <c r="Y46" s="83">
        <v>32.700000000000003</v>
      </c>
      <c r="Z46" s="73" t="s">
        <v>1102</v>
      </c>
      <c r="AA46" s="73" t="s">
        <v>80</v>
      </c>
      <c r="AB46" s="73" t="s">
        <v>11</v>
      </c>
      <c r="AC46" s="73">
        <v>22.8</v>
      </c>
      <c r="AD46" s="82"/>
      <c r="AG46" s="83"/>
      <c r="AL46" s="82"/>
      <c r="AO46" s="83"/>
      <c r="AP46" s="82"/>
      <c r="AS46" s="83"/>
      <c r="AW46" s="83"/>
      <c r="BA46" s="84"/>
    </row>
    <row r="47" spans="1:53" s="73" customFormat="1">
      <c r="A47" s="73">
        <v>2012</v>
      </c>
      <c r="B47" s="830"/>
      <c r="C47" s="917" t="s">
        <v>1090</v>
      </c>
      <c r="D47" s="917"/>
      <c r="E47" s="73">
        <v>0</v>
      </c>
      <c r="G47" s="411">
        <v>13</v>
      </c>
      <c r="H47" s="448"/>
      <c r="I47" s="448"/>
      <c r="J47" s="413">
        <v>13</v>
      </c>
      <c r="K47" s="409">
        <f t="shared" si="6"/>
        <v>100</v>
      </c>
      <c r="L47" s="409">
        <f t="shared" si="7"/>
        <v>0</v>
      </c>
      <c r="M47" s="409">
        <f t="shared" si="8"/>
        <v>0</v>
      </c>
      <c r="N47" s="412">
        <f t="shared" si="3"/>
        <v>100</v>
      </c>
      <c r="O47" s="408">
        <v>55.5</v>
      </c>
      <c r="P47" s="409"/>
      <c r="Q47" s="409"/>
      <c r="R47" s="410">
        <f t="shared" si="5"/>
        <v>55.5</v>
      </c>
      <c r="S47" s="73">
        <v>2</v>
      </c>
      <c r="T47" s="839"/>
      <c r="U47" s="852"/>
      <c r="V47" s="82" t="s">
        <v>1096</v>
      </c>
      <c r="W47" s="73" t="s">
        <v>88</v>
      </c>
      <c r="X47" s="73" t="s">
        <v>11</v>
      </c>
      <c r="Y47" s="83">
        <v>32.700000000000003</v>
      </c>
      <c r="Z47" s="73" t="s">
        <v>1102</v>
      </c>
      <c r="AA47" s="73" t="s">
        <v>80</v>
      </c>
      <c r="AB47" s="73" t="s">
        <v>11</v>
      </c>
      <c r="AC47" s="73">
        <v>22.8</v>
      </c>
      <c r="AD47" s="82"/>
      <c r="AG47" s="83"/>
      <c r="AL47" s="82"/>
      <c r="AO47" s="83"/>
      <c r="AP47" s="82"/>
      <c r="AS47" s="83"/>
      <c r="AW47" s="83"/>
      <c r="BA47" s="84"/>
    </row>
    <row r="48" spans="1:53" s="73" customFormat="1">
      <c r="A48" s="73">
        <v>2012</v>
      </c>
      <c r="B48" s="830"/>
      <c r="C48" s="917" t="s">
        <v>1090</v>
      </c>
      <c r="D48" s="917"/>
      <c r="E48" s="73">
        <v>366</v>
      </c>
      <c r="G48" s="411">
        <v>13</v>
      </c>
      <c r="H48" s="448"/>
      <c r="I48" s="448"/>
      <c r="J48" s="413">
        <v>13</v>
      </c>
      <c r="K48" s="409">
        <f t="shared" si="6"/>
        <v>100</v>
      </c>
      <c r="L48" s="409">
        <f t="shared" si="7"/>
        <v>0</v>
      </c>
      <c r="M48" s="409">
        <f t="shared" si="8"/>
        <v>0</v>
      </c>
      <c r="N48" s="412">
        <f t="shared" si="3"/>
        <v>100</v>
      </c>
      <c r="O48" s="408">
        <v>55.5</v>
      </c>
      <c r="P48" s="409"/>
      <c r="Q48" s="409"/>
      <c r="R48" s="410">
        <f t="shared" si="5"/>
        <v>55.5</v>
      </c>
      <c r="S48" s="73">
        <v>2</v>
      </c>
      <c r="T48" s="839"/>
      <c r="U48" s="852"/>
      <c r="V48" s="82" t="s">
        <v>1096</v>
      </c>
      <c r="W48" s="73" t="s">
        <v>88</v>
      </c>
      <c r="X48" s="73" t="s">
        <v>11</v>
      </c>
      <c r="Y48" s="83">
        <v>32.700000000000003</v>
      </c>
      <c r="Z48" s="73" t="s">
        <v>1102</v>
      </c>
      <c r="AA48" s="73" t="s">
        <v>80</v>
      </c>
      <c r="AB48" s="73" t="s">
        <v>11</v>
      </c>
      <c r="AC48" s="73">
        <v>22.8</v>
      </c>
      <c r="AD48" s="82"/>
      <c r="AG48" s="83"/>
      <c r="AL48" s="82"/>
      <c r="AO48" s="83"/>
      <c r="AP48" s="82"/>
      <c r="AS48" s="83"/>
      <c r="AW48" s="83"/>
      <c r="BA48" s="84"/>
    </row>
    <row r="49" spans="1:53" s="277" customFormat="1">
      <c r="A49" s="277">
        <v>2013</v>
      </c>
      <c r="B49" s="830"/>
      <c r="C49" s="917" t="s">
        <v>1090</v>
      </c>
      <c r="D49" s="917"/>
      <c r="E49" s="277">
        <v>0</v>
      </c>
      <c r="G49" s="411">
        <v>13</v>
      </c>
      <c r="H49" s="448"/>
      <c r="I49" s="448"/>
      <c r="J49" s="413">
        <v>13</v>
      </c>
      <c r="K49" s="409">
        <f t="shared" si="6"/>
        <v>100</v>
      </c>
      <c r="L49" s="409">
        <f t="shared" si="7"/>
        <v>0</v>
      </c>
      <c r="M49" s="409">
        <f t="shared" si="8"/>
        <v>0</v>
      </c>
      <c r="N49" s="412">
        <f t="shared" si="3"/>
        <v>100</v>
      </c>
      <c r="O49" s="408">
        <v>55.5</v>
      </c>
      <c r="P49" s="409"/>
      <c r="Q49" s="409"/>
      <c r="R49" s="410">
        <f>SUM(O49:Q49)</f>
        <v>55.5</v>
      </c>
      <c r="S49" s="277">
        <v>2</v>
      </c>
      <c r="T49" s="839"/>
      <c r="U49" s="852"/>
      <c r="V49" s="82" t="s">
        <v>1096</v>
      </c>
      <c r="W49" s="277" t="s">
        <v>88</v>
      </c>
      <c r="X49" s="277" t="s">
        <v>11</v>
      </c>
      <c r="Y49" s="83">
        <v>32.700000000000003</v>
      </c>
      <c r="Z49" s="277" t="s">
        <v>1102</v>
      </c>
      <c r="AA49" s="277" t="s">
        <v>80</v>
      </c>
      <c r="AB49" s="277" t="s">
        <v>11</v>
      </c>
      <c r="AC49" s="277">
        <v>22.8</v>
      </c>
      <c r="AD49" s="82"/>
      <c r="AG49" s="83"/>
      <c r="AL49" s="82"/>
      <c r="AO49" s="83"/>
      <c r="AP49" s="82"/>
      <c r="AS49" s="83"/>
      <c r="AW49" s="83"/>
      <c r="BA49" s="84"/>
    </row>
    <row r="50" spans="1:53" s="448" customFormat="1">
      <c r="A50" s="448">
        <v>2013</v>
      </c>
      <c r="B50" s="830"/>
      <c r="C50" s="917" t="s">
        <v>1090</v>
      </c>
      <c r="D50" s="917"/>
      <c r="E50" s="448">
        <v>365</v>
      </c>
      <c r="G50" s="411">
        <v>13</v>
      </c>
      <c r="J50" s="413">
        <v>13</v>
      </c>
      <c r="K50" s="409">
        <f t="shared" si="6"/>
        <v>100</v>
      </c>
      <c r="L50" s="409">
        <f t="shared" si="7"/>
        <v>0</v>
      </c>
      <c r="M50" s="409">
        <f t="shared" si="8"/>
        <v>0</v>
      </c>
      <c r="N50" s="412">
        <f t="shared" si="3"/>
        <v>100</v>
      </c>
      <c r="O50" s="408">
        <v>55.5</v>
      </c>
      <c r="P50" s="409"/>
      <c r="Q50" s="409"/>
      <c r="R50" s="410">
        <f>SUM(O50:Q50)</f>
        <v>55.5</v>
      </c>
      <c r="S50" s="448">
        <v>2</v>
      </c>
      <c r="T50" s="839"/>
      <c r="U50" s="852"/>
      <c r="V50" s="405" t="s">
        <v>1096</v>
      </c>
      <c r="W50" s="448" t="s">
        <v>88</v>
      </c>
      <c r="X50" s="448" t="s">
        <v>11</v>
      </c>
      <c r="Y50" s="406">
        <v>32.700000000000003</v>
      </c>
      <c r="Z50" s="448" t="s">
        <v>1102</v>
      </c>
      <c r="AA50" s="448" t="s">
        <v>80</v>
      </c>
      <c r="AB50" s="448" t="s">
        <v>11</v>
      </c>
      <c r="AC50" s="448">
        <v>22.8</v>
      </c>
      <c r="AD50" s="405"/>
      <c r="AG50" s="406"/>
      <c r="AL50" s="405"/>
      <c r="AO50" s="406"/>
      <c r="AP50" s="405"/>
      <c r="AS50" s="406"/>
      <c r="AW50" s="406"/>
      <c r="BA50" s="407"/>
    </row>
    <row r="51" spans="1:53" s="448" customFormat="1">
      <c r="A51" s="448">
        <v>2014</v>
      </c>
      <c r="B51" s="830"/>
      <c r="C51" s="917" t="s">
        <v>1090</v>
      </c>
      <c r="D51" s="917"/>
      <c r="E51" s="448">
        <v>84</v>
      </c>
      <c r="G51" s="411">
        <v>13</v>
      </c>
      <c r="J51" s="413">
        <v>13</v>
      </c>
      <c r="K51" s="409">
        <f t="shared" si="6"/>
        <v>100</v>
      </c>
      <c r="L51" s="409">
        <f t="shared" si="7"/>
        <v>0</v>
      </c>
      <c r="M51" s="409">
        <f t="shared" si="8"/>
        <v>0</v>
      </c>
      <c r="N51" s="412">
        <f t="shared" si="3"/>
        <v>100</v>
      </c>
      <c r="O51" s="408">
        <v>55.5</v>
      </c>
      <c r="P51" s="409"/>
      <c r="Q51" s="409"/>
      <c r="R51" s="410">
        <f>SUM(O51:Q51)</f>
        <v>55.5</v>
      </c>
      <c r="S51" s="448">
        <v>2</v>
      </c>
      <c r="T51" s="839"/>
      <c r="U51" s="852"/>
      <c r="V51" s="405" t="s">
        <v>1096</v>
      </c>
      <c r="W51" s="448" t="s">
        <v>88</v>
      </c>
      <c r="X51" s="448" t="s">
        <v>11</v>
      </c>
      <c r="Y51" s="406">
        <v>32.700000000000003</v>
      </c>
      <c r="Z51" s="448" t="s">
        <v>1102</v>
      </c>
      <c r="AA51" s="448" t="s">
        <v>80</v>
      </c>
      <c r="AB51" s="448" t="s">
        <v>11</v>
      </c>
      <c r="AC51" s="448">
        <v>22.8</v>
      </c>
      <c r="AD51" s="405"/>
      <c r="AG51" s="406"/>
      <c r="AL51" s="405"/>
      <c r="AO51" s="406"/>
      <c r="AP51" s="405"/>
      <c r="AS51" s="406"/>
      <c r="AW51" s="406"/>
      <c r="BA51" s="407"/>
    </row>
    <row r="52" spans="1:53" s="449" customFormat="1">
      <c r="A52" s="449">
        <v>2014</v>
      </c>
      <c r="B52" s="863">
        <v>41724</v>
      </c>
      <c r="C52" s="916" t="s">
        <v>1291</v>
      </c>
      <c r="D52" s="916"/>
      <c r="E52" s="449">
        <v>281</v>
      </c>
      <c r="F52" s="449">
        <v>2</v>
      </c>
      <c r="G52" s="425">
        <v>8</v>
      </c>
      <c r="I52" s="449">
        <v>6</v>
      </c>
      <c r="J52" s="427">
        <v>14</v>
      </c>
      <c r="K52" s="423">
        <f t="shared" si="6"/>
        <v>57.142857142857139</v>
      </c>
      <c r="L52" s="423">
        <f t="shared" si="7"/>
        <v>0</v>
      </c>
      <c r="M52" s="423">
        <f t="shared" si="8"/>
        <v>42.857142857142854</v>
      </c>
      <c r="N52" s="426">
        <f t="shared" si="3"/>
        <v>100</v>
      </c>
      <c r="O52" s="422">
        <v>33.700000000000003</v>
      </c>
      <c r="P52" s="423"/>
      <c r="Q52" s="423">
        <v>20.8</v>
      </c>
      <c r="R52" s="424">
        <f>SUM(O52:Q52)</f>
        <v>54.5</v>
      </c>
      <c r="S52" s="449">
        <v>2</v>
      </c>
      <c r="T52" s="838"/>
      <c r="U52" s="836">
        <v>41724</v>
      </c>
      <c r="V52" s="417" t="s">
        <v>1096</v>
      </c>
      <c r="W52" s="449" t="s">
        <v>88</v>
      </c>
      <c r="X52" s="449" t="s">
        <v>11</v>
      </c>
      <c r="Y52" s="418">
        <v>33.700000000000003</v>
      </c>
      <c r="Z52" s="449" t="s">
        <v>1103</v>
      </c>
      <c r="AA52" s="449" t="s">
        <v>98</v>
      </c>
      <c r="AB52" s="449" t="s">
        <v>12</v>
      </c>
      <c r="AC52" s="449">
        <v>20.8</v>
      </c>
      <c r="AD52" s="417"/>
      <c r="AG52" s="418"/>
      <c r="AL52" s="417"/>
      <c r="AO52" s="418"/>
      <c r="AP52" s="417"/>
      <c r="AS52" s="418"/>
      <c r="AW52" s="418"/>
      <c r="BA52" s="419"/>
    </row>
    <row r="53" spans="1:53" s="590" customFormat="1">
      <c r="A53" s="590">
        <v>2015</v>
      </c>
      <c r="B53" s="863"/>
      <c r="C53" s="916" t="s">
        <v>1291</v>
      </c>
      <c r="D53" s="916"/>
      <c r="E53" s="590">
        <v>98</v>
      </c>
      <c r="G53" s="539">
        <v>8</v>
      </c>
      <c r="I53" s="590">
        <v>6</v>
      </c>
      <c r="J53" s="541">
        <v>14</v>
      </c>
      <c r="K53" s="537">
        <f t="shared" ref="K53" si="9">G53/J53*100</f>
        <v>57.142857142857139</v>
      </c>
      <c r="L53" s="537">
        <f t="shared" ref="L53:L54" si="10">H53/J53*100</f>
        <v>0</v>
      </c>
      <c r="M53" s="537">
        <f t="shared" ref="M53:M54" si="11">I53/J53*100</f>
        <v>42.857142857142854</v>
      </c>
      <c r="N53" s="540">
        <f t="shared" ref="N53:N54" si="12">SUM(K53:M53)</f>
        <v>100</v>
      </c>
      <c r="O53" s="536">
        <v>33.700000000000003</v>
      </c>
      <c r="P53" s="537"/>
      <c r="Q53" s="537">
        <v>20.8</v>
      </c>
      <c r="R53" s="538">
        <f>SUM(O53:Q53)</f>
        <v>54.5</v>
      </c>
      <c r="S53" s="590">
        <v>2</v>
      </c>
      <c r="T53" s="838"/>
      <c r="U53" s="836"/>
      <c r="V53" s="532" t="s">
        <v>1096</v>
      </c>
      <c r="W53" s="590" t="s">
        <v>88</v>
      </c>
      <c r="X53" s="590" t="s">
        <v>11</v>
      </c>
      <c r="Y53" s="533">
        <v>33.700000000000003</v>
      </c>
      <c r="Z53" s="590" t="s">
        <v>1103</v>
      </c>
      <c r="AA53" s="590" t="s">
        <v>98</v>
      </c>
      <c r="AB53" s="590" t="s">
        <v>12</v>
      </c>
      <c r="AC53" s="590">
        <v>20.8</v>
      </c>
      <c r="AD53" s="532"/>
      <c r="AG53" s="533"/>
      <c r="AL53" s="532"/>
      <c r="AO53" s="533"/>
      <c r="AP53" s="532"/>
      <c r="AS53" s="533"/>
      <c r="AW53" s="533"/>
      <c r="BA53" s="534"/>
    </row>
    <row r="54" spans="1:53" s="589" customFormat="1">
      <c r="A54" s="589">
        <v>2015</v>
      </c>
      <c r="B54" s="830">
        <v>42103</v>
      </c>
      <c r="C54" s="917" t="s">
        <v>1321</v>
      </c>
      <c r="D54" s="917"/>
      <c r="E54" s="589">
        <v>98</v>
      </c>
      <c r="F54" s="589">
        <v>1</v>
      </c>
      <c r="G54" s="498">
        <v>11</v>
      </c>
      <c r="I54" s="589">
        <v>4</v>
      </c>
      <c r="J54" s="500">
        <v>15</v>
      </c>
      <c r="K54" s="496">
        <f>G54/J54*100</f>
        <v>73.333333333333329</v>
      </c>
      <c r="L54" s="496">
        <f t="shared" si="10"/>
        <v>0</v>
      </c>
      <c r="M54" s="496">
        <f t="shared" si="11"/>
        <v>26.666666666666668</v>
      </c>
      <c r="N54" s="499">
        <f t="shared" si="12"/>
        <v>100</v>
      </c>
      <c r="O54" s="495">
        <v>43.6</v>
      </c>
      <c r="P54" s="496"/>
      <c r="Q54" s="496">
        <v>14.9</v>
      </c>
      <c r="R54" s="497">
        <f t="shared" ref="R54:R55" si="13">SUM(O54:Q54)</f>
        <v>58.5</v>
      </c>
      <c r="S54" s="589">
        <v>2</v>
      </c>
      <c r="T54" s="839">
        <v>42064</v>
      </c>
      <c r="U54" s="830">
        <v>42103</v>
      </c>
      <c r="V54" s="492" t="s">
        <v>1096</v>
      </c>
      <c r="W54" s="589" t="s">
        <v>88</v>
      </c>
      <c r="X54" s="589" t="s">
        <v>11</v>
      </c>
      <c r="Y54" s="493">
        <v>29.7</v>
      </c>
      <c r="Z54" s="589" t="s">
        <v>1103</v>
      </c>
      <c r="AA54" s="589" t="s">
        <v>98</v>
      </c>
      <c r="AB54" s="589" t="s">
        <v>12</v>
      </c>
      <c r="AC54" s="589">
        <v>14.9</v>
      </c>
      <c r="AD54" s="492" t="s">
        <v>1102</v>
      </c>
      <c r="AE54" s="589" t="s">
        <v>80</v>
      </c>
      <c r="AF54" s="589" t="s">
        <v>11</v>
      </c>
      <c r="AG54" s="493">
        <v>13.9</v>
      </c>
      <c r="AL54" s="492"/>
      <c r="AO54" s="493"/>
      <c r="AP54" s="492"/>
      <c r="AS54" s="493"/>
      <c r="AW54" s="493"/>
      <c r="BA54" s="494"/>
    </row>
    <row r="55" spans="1:53" s="589" customFormat="1">
      <c r="A55" s="589">
        <v>2015</v>
      </c>
      <c r="B55" s="864">
        <v>42201</v>
      </c>
      <c r="C55" s="917" t="s">
        <v>1321</v>
      </c>
      <c r="D55" s="917"/>
      <c r="E55" s="589">
        <v>169</v>
      </c>
      <c r="F55" s="502">
        <v>0</v>
      </c>
      <c r="G55" s="498">
        <v>10</v>
      </c>
      <c r="I55" s="589">
        <v>4</v>
      </c>
      <c r="J55" s="500">
        <v>15</v>
      </c>
      <c r="K55" s="496">
        <f t="shared" ref="K55:K56" si="14">G55/J55*100</f>
        <v>66.666666666666657</v>
      </c>
      <c r="L55" s="496">
        <f t="shared" ref="L55:L56" si="15">H55/J55*100</f>
        <v>0</v>
      </c>
      <c r="M55" s="496">
        <f t="shared" ref="M55:M56" si="16">I55/J55*100</f>
        <v>26.666666666666668</v>
      </c>
      <c r="N55" s="499">
        <f t="shared" ref="N55:N56" si="17">SUM(K55:M55)</f>
        <v>93.333333333333329</v>
      </c>
      <c r="O55" s="495">
        <v>43.6</v>
      </c>
      <c r="P55" s="496"/>
      <c r="Q55" s="496">
        <v>14.9</v>
      </c>
      <c r="R55" s="497">
        <f t="shared" si="13"/>
        <v>58.5</v>
      </c>
      <c r="S55" s="589">
        <v>2</v>
      </c>
      <c r="T55" s="839"/>
      <c r="U55" s="852"/>
      <c r="V55" s="492" t="s">
        <v>1096</v>
      </c>
      <c r="W55" s="589" t="s">
        <v>88</v>
      </c>
      <c r="X55" s="589" t="s">
        <v>11</v>
      </c>
      <c r="Y55" s="493">
        <v>29.7</v>
      </c>
      <c r="Z55" s="589" t="s">
        <v>1103</v>
      </c>
      <c r="AA55" s="589" t="s">
        <v>98</v>
      </c>
      <c r="AB55" s="589" t="s">
        <v>12</v>
      </c>
      <c r="AC55" s="589">
        <v>14.9</v>
      </c>
      <c r="AD55" s="492" t="s">
        <v>1102</v>
      </c>
      <c r="AE55" s="589" t="s">
        <v>80</v>
      </c>
      <c r="AF55" s="589" t="s">
        <v>11</v>
      </c>
      <c r="AG55" s="493">
        <v>13.9</v>
      </c>
      <c r="AL55" s="492"/>
      <c r="AO55" s="493"/>
      <c r="AP55" s="492"/>
      <c r="AS55" s="493"/>
      <c r="AW55" s="493"/>
      <c r="BA55" s="494"/>
    </row>
    <row r="56" spans="1:53" s="659" customFormat="1">
      <c r="A56" s="659">
        <v>2016</v>
      </c>
      <c r="B56" s="864"/>
      <c r="C56" s="917" t="s">
        <v>1321</v>
      </c>
      <c r="D56" s="917"/>
      <c r="E56" s="659">
        <v>255</v>
      </c>
      <c r="F56" s="502"/>
      <c r="G56" s="498">
        <v>10</v>
      </c>
      <c r="I56" s="659">
        <v>4</v>
      </c>
      <c r="J56" s="500">
        <v>15</v>
      </c>
      <c r="K56" s="496">
        <f t="shared" si="14"/>
        <v>66.666666666666657</v>
      </c>
      <c r="L56" s="496">
        <f t="shared" si="15"/>
        <v>0</v>
      </c>
      <c r="M56" s="496">
        <f t="shared" si="16"/>
        <v>26.666666666666668</v>
      </c>
      <c r="N56" s="499">
        <f t="shared" si="17"/>
        <v>93.333333333333329</v>
      </c>
      <c r="O56" s="495">
        <v>43.6</v>
      </c>
      <c r="P56" s="496"/>
      <c r="Q56" s="496">
        <v>14.9</v>
      </c>
      <c r="R56" s="497">
        <f t="shared" ref="R56:R57" si="18">SUM(O56:Q56)</f>
        <v>58.5</v>
      </c>
      <c r="S56" s="659">
        <v>2</v>
      </c>
      <c r="T56" s="839"/>
      <c r="U56" s="852"/>
      <c r="V56" s="492" t="s">
        <v>1096</v>
      </c>
      <c r="W56" s="659" t="s">
        <v>88</v>
      </c>
      <c r="X56" s="659" t="s">
        <v>11</v>
      </c>
      <c r="Y56" s="493">
        <v>29.7</v>
      </c>
      <c r="Z56" s="659" t="s">
        <v>1103</v>
      </c>
      <c r="AA56" s="659" t="s">
        <v>98</v>
      </c>
      <c r="AB56" s="659" t="s">
        <v>12</v>
      </c>
      <c r="AC56" s="659">
        <v>14.9</v>
      </c>
      <c r="AD56" s="492" t="s">
        <v>1102</v>
      </c>
      <c r="AE56" s="659" t="s">
        <v>80</v>
      </c>
      <c r="AF56" s="659" t="s">
        <v>11</v>
      </c>
      <c r="AG56" s="493">
        <v>13.9</v>
      </c>
      <c r="AL56" s="492"/>
      <c r="AO56" s="493"/>
      <c r="AP56" s="492"/>
      <c r="AS56" s="493"/>
      <c r="AW56" s="493"/>
      <c r="BA56" s="494"/>
    </row>
    <row r="57" spans="1:53" s="659" customFormat="1">
      <c r="A57" s="659">
        <v>2016</v>
      </c>
      <c r="B57" s="864">
        <v>42625</v>
      </c>
      <c r="C57" s="917" t="s">
        <v>1321</v>
      </c>
      <c r="D57" s="917"/>
      <c r="E57" s="659">
        <v>72</v>
      </c>
      <c r="F57" s="502">
        <v>0</v>
      </c>
      <c r="G57" s="498">
        <v>11</v>
      </c>
      <c r="I57" s="659">
        <v>4</v>
      </c>
      <c r="J57" s="500">
        <v>15</v>
      </c>
      <c r="K57" s="496">
        <f>G57/J57*100</f>
        <v>73.333333333333329</v>
      </c>
      <c r="L57" s="496">
        <f t="shared" ref="L57" si="19">H57/J57*100</f>
        <v>0</v>
      </c>
      <c r="M57" s="496">
        <f t="shared" ref="M57" si="20">I57/J57*100</f>
        <v>26.666666666666668</v>
      </c>
      <c r="N57" s="499">
        <f>SUM(K57:M57)</f>
        <v>100</v>
      </c>
      <c r="O57" s="495">
        <v>43.6</v>
      </c>
      <c r="P57" s="496"/>
      <c r="Q57" s="496">
        <v>14.9</v>
      </c>
      <c r="R57" s="497">
        <f t="shared" si="18"/>
        <v>58.5</v>
      </c>
      <c r="S57" s="659">
        <v>2</v>
      </c>
      <c r="T57" s="839"/>
      <c r="U57" s="852"/>
      <c r="V57" s="492" t="s">
        <v>1096</v>
      </c>
      <c r="W57" s="659" t="s">
        <v>88</v>
      </c>
      <c r="X57" s="659" t="s">
        <v>11</v>
      </c>
      <c r="Y57" s="493">
        <v>29.7</v>
      </c>
      <c r="Z57" s="659" t="s">
        <v>1103</v>
      </c>
      <c r="AA57" s="659" t="s">
        <v>98</v>
      </c>
      <c r="AB57" s="659" t="s">
        <v>12</v>
      </c>
      <c r="AC57" s="659">
        <v>14.9</v>
      </c>
      <c r="AD57" s="492" t="s">
        <v>1102</v>
      </c>
      <c r="AE57" s="659" t="s">
        <v>80</v>
      </c>
      <c r="AF57" s="659" t="s">
        <v>11</v>
      </c>
      <c r="AG57" s="493">
        <v>13.9</v>
      </c>
      <c r="AL57" s="492"/>
      <c r="AO57" s="493"/>
      <c r="AP57" s="492"/>
      <c r="AS57" s="493"/>
      <c r="AW57" s="493"/>
      <c r="BA57" s="494"/>
    </row>
    <row r="58" spans="1:53" s="660" customFormat="1">
      <c r="A58" s="660">
        <v>2016</v>
      </c>
      <c r="B58" s="850">
        <v>42697</v>
      </c>
      <c r="C58" s="916" t="s">
        <v>1359</v>
      </c>
      <c r="D58" s="916"/>
      <c r="E58" s="660">
        <v>39</v>
      </c>
      <c r="F58" s="673">
        <v>5</v>
      </c>
      <c r="G58" s="539">
        <v>5</v>
      </c>
      <c r="H58" s="660">
        <v>5</v>
      </c>
      <c r="I58" s="660">
        <v>5</v>
      </c>
      <c r="J58" s="541">
        <v>15</v>
      </c>
      <c r="K58" s="537">
        <f t="shared" ref="K58" si="21">G58/J58*100</f>
        <v>33.333333333333329</v>
      </c>
      <c r="L58" s="537">
        <f t="shared" ref="L58" si="22">H58/J58*100</f>
        <v>33.333333333333329</v>
      </c>
      <c r="M58" s="537">
        <f t="shared" ref="M58" si="23">I58/J58*100</f>
        <v>33.333333333333329</v>
      </c>
      <c r="N58" s="540">
        <f>SUM(K58:M58)</f>
        <v>99.999999999999986</v>
      </c>
      <c r="O58" s="536">
        <v>13.9</v>
      </c>
      <c r="P58" s="537">
        <v>26.7</v>
      </c>
      <c r="Q58" s="537">
        <v>14.9</v>
      </c>
      <c r="R58" s="538">
        <f>SUM(O58:Q58)</f>
        <v>55.5</v>
      </c>
      <c r="S58" s="660">
        <v>2</v>
      </c>
      <c r="T58" s="838"/>
      <c r="U58" s="836">
        <v>42697</v>
      </c>
      <c r="V58" s="532" t="s">
        <v>1338</v>
      </c>
      <c r="W58" s="660" t="s">
        <v>100</v>
      </c>
      <c r="X58" s="660" t="s">
        <v>18</v>
      </c>
      <c r="Y58" s="533">
        <v>26.7</v>
      </c>
      <c r="Z58" s="660" t="s">
        <v>1103</v>
      </c>
      <c r="AA58" s="660" t="s">
        <v>98</v>
      </c>
      <c r="AB58" s="660" t="s">
        <v>12</v>
      </c>
      <c r="AC58" s="660">
        <v>14.9</v>
      </c>
      <c r="AD58" s="532" t="s">
        <v>1102</v>
      </c>
      <c r="AE58" s="660" t="s">
        <v>80</v>
      </c>
      <c r="AF58" s="660" t="s">
        <v>11</v>
      </c>
      <c r="AG58" s="533">
        <v>13.9</v>
      </c>
      <c r="AL58" s="532"/>
      <c r="AO58" s="533"/>
      <c r="AP58" s="532"/>
      <c r="AS58" s="533"/>
      <c r="AW58" s="533"/>
      <c r="BA58" s="534"/>
    </row>
    <row r="59" spans="1:53" s="726" customFormat="1">
      <c r="A59" s="726">
        <v>2017</v>
      </c>
      <c r="B59" s="850"/>
      <c r="C59" s="916" t="s">
        <v>1359</v>
      </c>
      <c r="D59" s="916"/>
      <c r="E59" s="726">
        <v>0</v>
      </c>
      <c r="G59" s="539">
        <v>5</v>
      </c>
      <c r="H59" s="726">
        <v>5</v>
      </c>
      <c r="I59" s="726">
        <v>5</v>
      </c>
      <c r="J59" s="541">
        <v>15</v>
      </c>
      <c r="K59" s="537">
        <f t="shared" ref="K59:K60" si="24">G59/J59*100</f>
        <v>33.333333333333329</v>
      </c>
      <c r="L59" s="537">
        <f t="shared" ref="L59:L60" si="25">H59/J59*100</f>
        <v>33.333333333333329</v>
      </c>
      <c r="M59" s="537">
        <f t="shared" ref="M59:M60" si="26">I59/J59*100</f>
        <v>33.333333333333329</v>
      </c>
      <c r="N59" s="540">
        <f t="shared" ref="N59:N60" si="27">SUM(K59:M59)</f>
        <v>99.999999999999986</v>
      </c>
      <c r="O59" s="536">
        <v>13.9</v>
      </c>
      <c r="P59" s="537">
        <v>26.7</v>
      </c>
      <c r="Q59" s="537">
        <v>14.9</v>
      </c>
      <c r="R59" s="538">
        <f t="shared" ref="R59:R63" si="28">SUM(O59:Q59)</f>
        <v>55.5</v>
      </c>
      <c r="S59" s="726">
        <v>2</v>
      </c>
      <c r="T59" s="838"/>
      <c r="U59" s="836"/>
      <c r="V59" s="532" t="s">
        <v>1338</v>
      </c>
      <c r="W59" s="726" t="s">
        <v>100</v>
      </c>
      <c r="X59" s="726" t="s">
        <v>18</v>
      </c>
      <c r="Y59" s="533">
        <v>26.7</v>
      </c>
      <c r="Z59" s="726" t="s">
        <v>1103</v>
      </c>
      <c r="AA59" s="726" t="s">
        <v>98</v>
      </c>
      <c r="AB59" s="726" t="s">
        <v>12</v>
      </c>
      <c r="AC59" s="726">
        <v>14.9</v>
      </c>
      <c r="AD59" s="532" t="s">
        <v>1102</v>
      </c>
      <c r="AE59" s="726" t="s">
        <v>80</v>
      </c>
      <c r="AF59" s="726" t="s">
        <v>11</v>
      </c>
      <c r="AG59" s="533">
        <v>13.9</v>
      </c>
    </row>
    <row r="60" spans="1:53" s="726" customFormat="1">
      <c r="A60" s="726">
        <v>2017</v>
      </c>
      <c r="B60" s="850"/>
      <c r="C60" s="916" t="s">
        <v>1359</v>
      </c>
      <c r="D60" s="916"/>
      <c r="E60" s="726">
        <v>365</v>
      </c>
      <c r="G60" s="539">
        <v>5</v>
      </c>
      <c r="H60" s="726">
        <v>5</v>
      </c>
      <c r="I60" s="726">
        <v>5</v>
      </c>
      <c r="J60" s="541">
        <v>15</v>
      </c>
      <c r="K60" s="537">
        <f t="shared" si="24"/>
        <v>33.333333333333329</v>
      </c>
      <c r="L60" s="537">
        <f t="shared" si="25"/>
        <v>33.333333333333329</v>
      </c>
      <c r="M60" s="537">
        <f t="shared" si="26"/>
        <v>33.333333333333329</v>
      </c>
      <c r="N60" s="540">
        <f t="shared" si="27"/>
        <v>99.999999999999986</v>
      </c>
      <c r="O60" s="536">
        <v>13.9</v>
      </c>
      <c r="P60" s="537">
        <v>26.7</v>
      </c>
      <c r="Q60" s="537">
        <v>14.9</v>
      </c>
      <c r="R60" s="538">
        <f t="shared" si="28"/>
        <v>55.5</v>
      </c>
      <c r="S60" s="726">
        <v>2</v>
      </c>
      <c r="T60" s="838"/>
      <c r="U60" s="836"/>
      <c r="V60" s="532" t="s">
        <v>1338</v>
      </c>
      <c r="W60" s="726" t="s">
        <v>100</v>
      </c>
      <c r="X60" s="726" t="s">
        <v>18</v>
      </c>
      <c r="Y60" s="533">
        <v>26.7</v>
      </c>
      <c r="Z60" s="726" t="s">
        <v>1103</v>
      </c>
      <c r="AA60" s="726" t="s">
        <v>98</v>
      </c>
      <c r="AB60" s="726" t="s">
        <v>12</v>
      </c>
      <c r="AC60" s="726">
        <v>14.9</v>
      </c>
      <c r="AD60" s="532" t="s">
        <v>1102</v>
      </c>
      <c r="AE60" s="726" t="s">
        <v>80</v>
      </c>
      <c r="AF60" s="726" t="s">
        <v>11</v>
      </c>
      <c r="AG60" s="533">
        <v>13.9</v>
      </c>
    </row>
    <row r="61" spans="1:53" s="759" customFormat="1">
      <c r="A61" s="759">
        <v>2018</v>
      </c>
      <c r="B61" s="850"/>
      <c r="C61" s="916" t="s">
        <v>1359</v>
      </c>
      <c r="D61" s="916"/>
      <c r="E61" s="759">
        <v>0</v>
      </c>
      <c r="G61" s="539">
        <v>5</v>
      </c>
      <c r="H61" s="759">
        <v>5</v>
      </c>
      <c r="I61" s="759">
        <v>5</v>
      </c>
      <c r="J61" s="541">
        <v>15</v>
      </c>
      <c r="K61" s="537">
        <f t="shared" ref="K61:K62" si="29">G61/J61*100</f>
        <v>33.333333333333329</v>
      </c>
      <c r="L61" s="537">
        <f t="shared" ref="L61:L62" si="30">H61/J61*100</f>
        <v>33.333333333333329</v>
      </c>
      <c r="M61" s="537">
        <f t="shared" ref="M61:M62" si="31">I61/J61*100</f>
        <v>33.333333333333329</v>
      </c>
      <c r="N61" s="540">
        <f t="shared" ref="N61:N62" si="32">SUM(K61:M61)</f>
        <v>99.999999999999986</v>
      </c>
      <c r="O61" s="536">
        <v>13.9</v>
      </c>
      <c r="P61" s="537">
        <v>26.7</v>
      </c>
      <c r="Q61" s="537">
        <v>14.9</v>
      </c>
      <c r="R61" s="538">
        <f t="shared" si="28"/>
        <v>55.5</v>
      </c>
      <c r="S61" s="759">
        <v>2</v>
      </c>
      <c r="T61" s="838"/>
      <c r="U61" s="836"/>
      <c r="V61" s="532" t="s">
        <v>1338</v>
      </c>
      <c r="W61" s="759" t="s">
        <v>100</v>
      </c>
      <c r="X61" s="759" t="s">
        <v>18</v>
      </c>
      <c r="Y61" s="533">
        <v>26.7</v>
      </c>
      <c r="Z61" s="759" t="s">
        <v>1103</v>
      </c>
      <c r="AA61" s="759" t="s">
        <v>98</v>
      </c>
      <c r="AB61" s="759" t="s">
        <v>12</v>
      </c>
      <c r="AC61" s="759">
        <v>14.9</v>
      </c>
      <c r="AD61" s="532" t="s">
        <v>1102</v>
      </c>
      <c r="AE61" s="759" t="s">
        <v>80</v>
      </c>
      <c r="AF61" s="759" t="s">
        <v>11</v>
      </c>
      <c r="AG61" s="533">
        <v>13.9</v>
      </c>
    </row>
    <row r="62" spans="1:53" s="759" customFormat="1">
      <c r="A62" s="759">
        <v>2018</v>
      </c>
      <c r="B62" s="850"/>
      <c r="C62" s="916" t="s">
        <v>1359</v>
      </c>
      <c r="D62" s="916"/>
      <c r="E62" s="759">
        <v>365</v>
      </c>
      <c r="G62" s="539">
        <v>5</v>
      </c>
      <c r="H62" s="759">
        <v>5</v>
      </c>
      <c r="I62" s="759">
        <v>5</v>
      </c>
      <c r="J62" s="541">
        <v>15</v>
      </c>
      <c r="K62" s="537">
        <f t="shared" si="29"/>
        <v>33.333333333333329</v>
      </c>
      <c r="L62" s="537">
        <f t="shared" si="30"/>
        <v>33.333333333333329</v>
      </c>
      <c r="M62" s="537">
        <f t="shared" si="31"/>
        <v>33.333333333333329</v>
      </c>
      <c r="N62" s="540">
        <f t="shared" si="32"/>
        <v>99.999999999999986</v>
      </c>
      <c r="O62" s="536">
        <v>13.9</v>
      </c>
      <c r="P62" s="537">
        <v>26.7</v>
      </c>
      <c r="Q62" s="537">
        <v>14.9</v>
      </c>
      <c r="R62" s="538">
        <f t="shared" si="28"/>
        <v>55.5</v>
      </c>
      <c r="S62" s="759">
        <v>2</v>
      </c>
      <c r="T62" s="838"/>
      <c r="U62" s="836"/>
      <c r="V62" s="532" t="s">
        <v>1338</v>
      </c>
      <c r="W62" s="759" t="s">
        <v>100</v>
      </c>
      <c r="X62" s="759" t="s">
        <v>18</v>
      </c>
      <c r="Y62" s="533">
        <v>26.7</v>
      </c>
      <c r="Z62" s="759" t="s">
        <v>1103</v>
      </c>
      <c r="AA62" s="759" t="s">
        <v>98</v>
      </c>
      <c r="AB62" s="759" t="s">
        <v>12</v>
      </c>
      <c r="AC62" s="759">
        <v>14.9</v>
      </c>
      <c r="AD62" s="532" t="s">
        <v>1102</v>
      </c>
      <c r="AE62" s="759" t="s">
        <v>80</v>
      </c>
      <c r="AF62" s="759" t="s">
        <v>11</v>
      </c>
      <c r="AG62" s="533">
        <v>13.9</v>
      </c>
    </row>
    <row r="63" spans="1:53" s="786" customFormat="1">
      <c r="A63" s="786">
        <v>2019</v>
      </c>
      <c r="B63" s="850"/>
      <c r="C63" s="916" t="s">
        <v>1359</v>
      </c>
      <c r="D63" s="916"/>
      <c r="E63" s="786">
        <v>118</v>
      </c>
      <c r="G63" s="539">
        <v>5</v>
      </c>
      <c r="H63" s="786">
        <v>5</v>
      </c>
      <c r="I63" s="786">
        <v>5</v>
      </c>
      <c r="J63" s="541">
        <v>15</v>
      </c>
      <c r="K63" s="537">
        <f t="shared" ref="K63:K64" si="33">G63/J63*100</f>
        <v>33.333333333333329</v>
      </c>
      <c r="L63" s="537">
        <f t="shared" ref="L63:L64" si="34">H63/J63*100</f>
        <v>33.333333333333329</v>
      </c>
      <c r="M63" s="537">
        <f t="shared" ref="M63:M64" si="35">I63/J63*100</f>
        <v>33.333333333333329</v>
      </c>
      <c r="N63" s="540">
        <f t="shared" ref="N63:N64" si="36">SUM(K63:M63)</f>
        <v>99.999999999999986</v>
      </c>
      <c r="O63" s="536">
        <v>13.9</v>
      </c>
      <c r="P63" s="537">
        <v>26.7</v>
      </c>
      <c r="Q63" s="537">
        <v>14.9</v>
      </c>
      <c r="R63" s="538">
        <f t="shared" si="28"/>
        <v>55.5</v>
      </c>
      <c r="S63" s="786">
        <v>2</v>
      </c>
      <c r="T63" s="838"/>
      <c r="U63" s="836"/>
      <c r="V63" s="532" t="s">
        <v>1338</v>
      </c>
      <c r="W63" s="786" t="s">
        <v>100</v>
      </c>
      <c r="X63" s="786" t="s">
        <v>18</v>
      </c>
      <c r="Y63" s="533">
        <v>26.7</v>
      </c>
      <c r="Z63" s="786" t="s">
        <v>1103</v>
      </c>
      <c r="AA63" s="786" t="s">
        <v>98</v>
      </c>
      <c r="AB63" s="786" t="s">
        <v>12</v>
      </c>
      <c r="AC63" s="786">
        <v>14.9</v>
      </c>
      <c r="AD63" s="532" t="s">
        <v>1102</v>
      </c>
      <c r="AE63" s="786" t="s">
        <v>80</v>
      </c>
      <c r="AF63" s="786" t="s">
        <v>11</v>
      </c>
      <c r="AG63" s="533">
        <v>13.9</v>
      </c>
    </row>
    <row r="64" spans="1:53" s="787" customFormat="1">
      <c r="A64" s="787">
        <v>2019</v>
      </c>
      <c r="B64" s="830">
        <v>43584</v>
      </c>
      <c r="C64" s="917" t="s">
        <v>1416</v>
      </c>
      <c r="D64" s="917"/>
      <c r="E64" s="787">
        <v>247</v>
      </c>
      <c r="F64" s="286">
        <v>1</v>
      </c>
      <c r="G64" s="498">
        <v>10</v>
      </c>
      <c r="H64" s="787">
        <v>5</v>
      </c>
      <c r="J64" s="500">
        <v>15</v>
      </c>
      <c r="K64" s="496">
        <f t="shared" si="33"/>
        <v>66.666666666666657</v>
      </c>
      <c r="L64" s="496">
        <f t="shared" si="34"/>
        <v>33.333333333333329</v>
      </c>
      <c r="M64" s="496">
        <f t="shared" si="35"/>
        <v>0</v>
      </c>
      <c r="N64" s="499">
        <f t="shared" si="36"/>
        <v>99.999999999999986</v>
      </c>
      <c r="O64" s="495">
        <v>30.7</v>
      </c>
      <c r="P64" s="496">
        <v>24.8</v>
      </c>
      <c r="Q64" s="496"/>
      <c r="R64" s="497">
        <f>SUM(O64:Q64)</f>
        <v>55.5</v>
      </c>
      <c r="S64" s="787">
        <v>2</v>
      </c>
      <c r="T64" s="839">
        <v>43527</v>
      </c>
      <c r="U64" s="852">
        <v>43584</v>
      </c>
      <c r="V64" s="492" t="s">
        <v>1338</v>
      </c>
      <c r="W64" s="787" t="s">
        <v>100</v>
      </c>
      <c r="X64" s="787" t="s">
        <v>18</v>
      </c>
      <c r="Y64" s="493">
        <v>24.8</v>
      </c>
      <c r="Z64" s="787" t="s">
        <v>1101</v>
      </c>
      <c r="AA64" s="787" t="s">
        <v>79</v>
      </c>
      <c r="AB64" s="787" t="s">
        <v>11</v>
      </c>
      <c r="AC64" s="787">
        <v>18.8</v>
      </c>
      <c r="AD64" s="492" t="s">
        <v>1102</v>
      </c>
      <c r="AE64" s="820" t="s">
        <v>80</v>
      </c>
      <c r="AF64" s="820" t="s">
        <v>11</v>
      </c>
      <c r="AG64" s="493">
        <v>11.9</v>
      </c>
      <c r="AL64" s="492"/>
      <c r="AO64" s="493"/>
      <c r="AP64" s="492"/>
      <c r="AS64" s="493"/>
      <c r="AW64" s="493"/>
      <c r="BA64" s="494"/>
    </row>
    <row r="65" spans="1:33">
      <c r="B65" s="2"/>
      <c r="C65" s="2"/>
      <c r="D65" s="2"/>
      <c r="E65" s="2"/>
      <c r="F65" s="2"/>
      <c r="G65" s="2"/>
      <c r="H65" s="2"/>
      <c r="I65" s="2"/>
      <c r="J65" s="2"/>
      <c r="K65" s="2"/>
      <c r="L65" s="2"/>
      <c r="M65" s="2"/>
      <c r="N65" s="2"/>
      <c r="AD65" s="492"/>
      <c r="AE65" s="820"/>
      <c r="AF65" s="820"/>
      <c r="AG65" s="493"/>
    </row>
    <row r="66" spans="1:33" s="2" customFormat="1" ht="18" customHeight="1">
      <c r="B66" s="22" t="s">
        <v>1269</v>
      </c>
    </row>
    <row r="67" spans="1:33" s="2" customFormat="1" ht="9" customHeight="1"/>
    <row r="68" spans="1:33" s="317" customFormat="1" ht="9" customHeight="1">
      <c r="A68" s="315"/>
      <c r="B68" s="316" t="s">
        <v>1220</v>
      </c>
      <c r="C68" s="316"/>
      <c r="D68" s="316"/>
      <c r="E68" s="316"/>
      <c r="F68" s="316"/>
      <c r="G68" s="316" t="s">
        <v>1221</v>
      </c>
      <c r="H68" s="316"/>
      <c r="I68" s="316"/>
      <c r="J68" s="316"/>
      <c r="K68" s="316"/>
      <c r="L68" s="316"/>
      <c r="M68" s="316"/>
      <c r="N68" s="316"/>
      <c r="R68" s="895" t="s">
        <v>1222</v>
      </c>
      <c r="S68" s="895"/>
      <c r="T68" s="895"/>
      <c r="U68" s="895"/>
      <c r="V68" s="895"/>
      <c r="W68" s="895"/>
      <c r="X68" s="318"/>
      <c r="Y68" s="318"/>
      <c r="AA68" s="318"/>
      <c r="AB68" s="318"/>
      <c r="AC68" s="318"/>
      <c r="AD68" s="318"/>
    </row>
    <row r="69" spans="1:33" s="322" customFormat="1" ht="9" customHeight="1">
      <c r="A69" s="319"/>
      <c r="B69" s="320" t="s">
        <v>1224</v>
      </c>
      <c r="C69" s="321"/>
      <c r="D69" s="321"/>
      <c r="E69" s="321"/>
      <c r="F69" s="321"/>
      <c r="G69" s="320" t="s">
        <v>1223</v>
      </c>
      <c r="H69" s="321"/>
      <c r="I69" s="321"/>
      <c r="J69" s="321"/>
      <c r="K69" s="321"/>
      <c r="L69" s="321"/>
      <c r="M69" s="321"/>
      <c r="N69" s="321"/>
      <c r="R69" s="323" t="s">
        <v>1225</v>
      </c>
      <c r="S69" s="324"/>
      <c r="T69" s="325"/>
      <c r="U69" s="325"/>
      <c r="V69" s="325"/>
      <c r="W69" s="323" t="s">
        <v>1226</v>
      </c>
      <c r="X69" s="325"/>
      <c r="Y69" s="325"/>
      <c r="AA69" s="325"/>
      <c r="AB69" s="325"/>
      <c r="AC69" s="325"/>
      <c r="AD69" s="325"/>
    </row>
    <row r="70" spans="1:33" s="307" customFormat="1" ht="12" customHeight="1">
      <c r="A70" s="326" t="s">
        <v>3</v>
      </c>
      <c r="B70" s="327" t="s">
        <v>8</v>
      </c>
      <c r="C70" s="327" t="s">
        <v>9</v>
      </c>
      <c r="D70" s="327" t="s">
        <v>10</v>
      </c>
      <c r="E70" s="328" t="s">
        <v>1200</v>
      </c>
      <c r="F70" s="327"/>
      <c r="G70" s="307" t="s">
        <v>3</v>
      </c>
      <c r="H70" s="896" t="s">
        <v>0</v>
      </c>
      <c r="I70" s="896"/>
      <c r="J70" s="896" t="s">
        <v>1</v>
      </c>
      <c r="K70" s="896"/>
      <c r="L70" s="896" t="s">
        <v>2</v>
      </c>
      <c r="M70" s="896"/>
      <c r="N70" s="897" t="s">
        <v>1200</v>
      </c>
      <c r="O70" s="897"/>
      <c r="P70" s="329"/>
      <c r="Q70" s="329"/>
      <c r="R70" s="330" t="s">
        <v>3</v>
      </c>
      <c r="S70" s="331" t="s">
        <v>136</v>
      </c>
      <c r="T70" s="329" t="s">
        <v>134</v>
      </c>
      <c r="U70" s="327" t="s">
        <v>135</v>
      </c>
      <c r="V70" s="329"/>
      <c r="W70" s="332" t="s">
        <v>26</v>
      </c>
    </row>
    <row r="71" spans="1:33" ht="9" customHeight="1">
      <c r="A71" s="1">
        <v>1990</v>
      </c>
      <c r="C71" s="8"/>
      <c r="D71" s="8"/>
      <c r="E71" s="69"/>
      <c r="G71" s="1">
        <v>1990</v>
      </c>
      <c r="H71" s="928"/>
      <c r="I71" s="928"/>
      <c r="J71" s="928"/>
      <c r="K71" s="928"/>
      <c r="L71" s="928"/>
      <c r="M71" s="928"/>
      <c r="N71" s="887"/>
      <c r="O71" s="887"/>
      <c r="R71" s="1">
        <v>1990</v>
      </c>
    </row>
    <row r="72" spans="1:33" ht="9" customHeight="1">
      <c r="A72" s="1">
        <v>1991</v>
      </c>
      <c r="C72" s="8"/>
      <c r="D72" s="8"/>
      <c r="E72" s="69"/>
      <c r="G72" s="1">
        <v>1991</v>
      </c>
      <c r="H72" s="928"/>
      <c r="I72" s="928"/>
      <c r="J72" s="928"/>
      <c r="K72" s="928"/>
      <c r="L72" s="928"/>
      <c r="M72" s="928"/>
      <c r="N72" s="887"/>
      <c r="O72" s="887"/>
      <c r="R72" s="1">
        <v>1991</v>
      </c>
    </row>
    <row r="73" spans="1:33" ht="9" customHeight="1">
      <c r="A73" s="1">
        <v>1992</v>
      </c>
      <c r="B73" s="8">
        <f>(K7*($E7/72))</f>
        <v>50</v>
      </c>
      <c r="C73" s="8">
        <f>(L7*($E7/72))</f>
        <v>0</v>
      </c>
      <c r="D73" s="8">
        <f>(M7*($E7/72))</f>
        <v>21.428571428571427</v>
      </c>
      <c r="E73" s="69">
        <f>SUM(B73:D73)</f>
        <v>71.428571428571431</v>
      </c>
      <c r="G73" s="1">
        <v>1992</v>
      </c>
      <c r="H73" s="929">
        <f>(O7/$R7*100*($E7/72))</f>
        <v>76.43564356435644</v>
      </c>
      <c r="I73" s="929"/>
      <c r="J73" s="929">
        <f>(P7/$R7*100*($E7/72))</f>
        <v>0</v>
      </c>
      <c r="K73" s="929"/>
      <c r="L73" s="929">
        <f>(Q7/$R7*100*($E7/72))</f>
        <v>23.564356435643568</v>
      </c>
      <c r="M73" s="929"/>
      <c r="N73" s="887">
        <f>SUM(H73:M73)</f>
        <v>100</v>
      </c>
      <c r="O73" s="887"/>
      <c r="R73" s="1">
        <v>1992</v>
      </c>
      <c r="S73" s="8">
        <f>(O7*($E7/72))</f>
        <v>38.6</v>
      </c>
      <c r="T73" s="8">
        <f>(P7*($E7/72))</f>
        <v>0</v>
      </c>
      <c r="U73" s="8">
        <f>(Q7*($E7/72))</f>
        <v>11.9</v>
      </c>
      <c r="W73" s="5">
        <f>SUM(S73:U73)</f>
        <v>50.5</v>
      </c>
      <c r="Y73" s="71" t="s">
        <v>1143</v>
      </c>
    </row>
    <row r="74" spans="1:33" ht="9" customHeight="1">
      <c r="A74" s="1">
        <v>1993</v>
      </c>
      <c r="B74" s="8">
        <f>(K8*($E8/365))+(K9*($E9/365))</f>
        <v>50</v>
      </c>
      <c r="C74" s="8">
        <f>(L8*($E8/365))+(L9*($E9/365))</f>
        <v>0</v>
      </c>
      <c r="D74" s="8">
        <f>(M8*($E8/365))+(M9*($E9/365))</f>
        <v>21.428571428571427</v>
      </c>
      <c r="E74" s="69">
        <f t="shared" ref="E74:E93" si="37">SUM(B74:D74)</f>
        <v>71.428571428571431</v>
      </c>
      <c r="G74" s="1">
        <v>1993</v>
      </c>
      <c r="H74" s="929">
        <f>(O8/$R8*100*($E8/365))+(O9/$R9*100*($E9/365))</f>
        <v>76.43564356435644</v>
      </c>
      <c r="I74" s="929"/>
      <c r="J74" s="929">
        <f>(P8/$R8*100*($E8/365))+(P9/$R9*100*($E9/365))</f>
        <v>0</v>
      </c>
      <c r="K74" s="929"/>
      <c r="L74" s="929">
        <f>(Q8/$R8*100*($E8/365))+(Q9/$R9*100*($E9/365))</f>
        <v>23.564356435643568</v>
      </c>
      <c r="M74" s="929"/>
      <c r="N74" s="887">
        <f t="shared" ref="N74:N93" si="38">SUM(H74:M74)</f>
        <v>100</v>
      </c>
      <c r="O74" s="887"/>
      <c r="R74" s="1">
        <v>1993</v>
      </c>
      <c r="S74" s="8">
        <f>(O8*($E8/365))+(O9*($E9/365))</f>
        <v>38.6</v>
      </c>
      <c r="T74" s="8">
        <f>(P8*($E8/365))+(P9*($E9/365))</f>
        <v>0</v>
      </c>
      <c r="U74" s="8">
        <f>(Q8*($E8/365))+(Q9*($E9/365))</f>
        <v>11.9</v>
      </c>
      <c r="W74" s="5">
        <f t="shared" ref="W74:W93" si="39">SUM(S74:U74)</f>
        <v>50.5</v>
      </c>
    </row>
    <row r="75" spans="1:33" ht="9" customHeight="1">
      <c r="A75" s="1">
        <v>1994</v>
      </c>
      <c r="B75" s="8">
        <f>(K10*($E10/365))+(K11*($E11/365))</f>
        <v>50.000000000000007</v>
      </c>
      <c r="C75" s="8">
        <f>(L10*($E10/365))+(L11*($E11/365))</f>
        <v>0</v>
      </c>
      <c r="D75" s="8">
        <f>(M10*($E10/365))+(M11*($E11/365))</f>
        <v>21.428571428571427</v>
      </c>
      <c r="E75" s="69">
        <f t="shared" si="37"/>
        <v>71.428571428571431</v>
      </c>
      <c r="G75" s="1">
        <v>1994</v>
      </c>
      <c r="H75" s="929">
        <f>(O10/$R10*100*($E10/365))+(O11/$R11*100*($E11/365))</f>
        <v>76.43564356435644</v>
      </c>
      <c r="I75" s="929"/>
      <c r="J75" s="929">
        <f>(P10/$R10*100*($E10/365))+(P11/$R11*100*($E11/365))</f>
        <v>0</v>
      </c>
      <c r="K75" s="929"/>
      <c r="L75" s="929">
        <f>(Q10/$R10*100*($E10/365))+(Q11/$R11*100*($E11/365))</f>
        <v>23.564356435643568</v>
      </c>
      <c r="M75" s="929"/>
      <c r="N75" s="887">
        <f t="shared" si="38"/>
        <v>100</v>
      </c>
      <c r="O75" s="887"/>
      <c r="R75" s="1">
        <v>1994</v>
      </c>
      <c r="S75" s="8">
        <f>(O10*($E10/365))+(O11*($E11/365))</f>
        <v>38.6</v>
      </c>
      <c r="T75" s="8">
        <f>(P10*($E10/365))+(P11*($E11/365))</f>
        <v>0</v>
      </c>
      <c r="U75" s="8">
        <f>(Q10*($E10/365))+(Q11*($E11/365))</f>
        <v>11.9</v>
      </c>
      <c r="W75" s="5">
        <f t="shared" si="39"/>
        <v>50.5</v>
      </c>
    </row>
    <row r="76" spans="1:33" ht="9" customHeight="1">
      <c r="A76" s="1">
        <v>1995</v>
      </c>
      <c r="B76" s="8">
        <f>(K12*($E12/365))+(K13*($E13/365))+(K14*($E14/365))</f>
        <v>20.986301369863014</v>
      </c>
      <c r="C76" s="8">
        <f>(L12*($E12/365))+(L13*($E13/365))+(L14*($E14/365))</f>
        <v>19.569471624266143</v>
      </c>
      <c r="D76" s="8">
        <f>(M12*($E12/365))+(M13*($E13/365))+(M14*($E14/365))</f>
        <v>51.146771037181999</v>
      </c>
      <c r="E76" s="69">
        <f t="shared" si="37"/>
        <v>91.702544031311163</v>
      </c>
      <c r="G76" s="1">
        <v>1995</v>
      </c>
      <c r="H76" s="929">
        <f>(O12/$R12*100*($E12/365))+(O13/$R13*100*($E13/365))+(O14/$R14*100*($E14/365))</f>
        <v>27.31374872647082</v>
      </c>
      <c r="I76" s="929"/>
      <c r="J76" s="929">
        <f>(P12/$R12*100*($E12/365))+(P13/$R13*100*($E13/365))+(P14/$R14*100*($E14/365))</f>
        <v>15.350238025842803</v>
      </c>
      <c r="K76" s="929"/>
      <c r="L76" s="929">
        <f>(Q12/$R12*100*($E12/365))+(Q13/$R13*100*($E13/365))+(Q14/$R14*100*($E14/365))</f>
        <v>57.336013247686374</v>
      </c>
      <c r="M76" s="929"/>
      <c r="N76" s="887">
        <f t="shared" si="38"/>
        <v>100</v>
      </c>
      <c r="O76" s="887"/>
      <c r="R76" s="1">
        <v>1995</v>
      </c>
      <c r="S76" s="8">
        <f>(O12*($E12/365))+(O13*($E13/365))+(O14*($E14/365))</f>
        <v>14.248767123287671</v>
      </c>
      <c r="T76" s="8">
        <f>(P12*($E12/365))+(P13*($E13/365))+(P14*($E14/365))</f>
        <v>8.6575342465753415</v>
      </c>
      <c r="U76" s="8">
        <f>(Q12*($E12/365))+(Q13*($E13/365))+(Q14*($E14/365))</f>
        <v>32.265205479452057</v>
      </c>
      <c r="W76" s="5">
        <f t="shared" si="39"/>
        <v>55.171506849315065</v>
      </c>
    </row>
    <row r="77" spans="1:33" ht="9" customHeight="1">
      <c r="A77" s="1">
        <v>1996</v>
      </c>
      <c r="B77" s="8">
        <f>(K15*($E15/366))+(K16*($E16/366))</f>
        <v>40</v>
      </c>
      <c r="C77" s="8">
        <f>(L15*($E15/366))+(L16*($E16/366))</f>
        <v>0</v>
      </c>
      <c r="D77" s="8">
        <f>(M15*($E15/366))+(M16*($E16/366))</f>
        <v>60</v>
      </c>
      <c r="E77" s="69">
        <f t="shared" si="37"/>
        <v>100</v>
      </c>
      <c r="G77" s="1">
        <v>1996</v>
      </c>
      <c r="H77" s="929">
        <f>(O15/$R15*100*($E15/366))+(O16/$R16*100*($E16/366))</f>
        <v>31.649831649831651</v>
      </c>
      <c r="I77" s="929"/>
      <c r="J77" s="929">
        <f>(P15/$R15*100*($E15/366))+(P16/$R16*100*($E16/366))</f>
        <v>0</v>
      </c>
      <c r="K77" s="929"/>
      <c r="L77" s="929">
        <f>(Q15/$R15*100*($E15/366))+(Q16/$R16*100*($E16/366))</f>
        <v>68.350168350168346</v>
      </c>
      <c r="M77" s="929"/>
      <c r="N77" s="887">
        <f t="shared" si="38"/>
        <v>100</v>
      </c>
      <c r="O77" s="887"/>
      <c r="R77" s="1">
        <v>1996</v>
      </c>
      <c r="S77" s="8">
        <f>(O15*($E15/366))+(O16*($E16/366))</f>
        <v>18.8</v>
      </c>
      <c r="T77" s="8">
        <f>(P15*($E15/366))+(P16*($E16/366))</f>
        <v>0</v>
      </c>
      <c r="U77" s="8">
        <f>(Q15*($E15/366))+(Q16*($E16/366))</f>
        <v>40.6</v>
      </c>
      <c r="W77" s="5">
        <f t="shared" si="39"/>
        <v>59.400000000000006</v>
      </c>
    </row>
    <row r="78" spans="1:33" ht="9" customHeight="1">
      <c r="A78" s="1">
        <v>1997</v>
      </c>
      <c r="B78" s="8">
        <f>(K17*($E17/365))+(K18*($E18/365))</f>
        <v>8.2191780821917799</v>
      </c>
      <c r="C78" s="8">
        <f>(L17*($E17/365))+(L18*($E18/365))</f>
        <v>0</v>
      </c>
      <c r="D78" s="8">
        <f>(M17*($E17/365))+(M18*($E18/365))</f>
        <v>74.755381604696666</v>
      </c>
      <c r="E78" s="69">
        <f t="shared" si="37"/>
        <v>82.974559686888441</v>
      </c>
      <c r="G78" s="1">
        <v>1997</v>
      </c>
      <c r="H78" s="929">
        <f>(O17/$R17*100*($E17/365))+(O18/$R18*100*($E18/365))</f>
        <v>6.5033900650339005</v>
      </c>
      <c r="I78" s="929"/>
      <c r="J78" s="929">
        <f>(P17/$R17*100*($E17/365))+(P18/$R18*100*($E18/365))</f>
        <v>0</v>
      </c>
      <c r="K78" s="929"/>
      <c r="L78" s="929">
        <f>(Q17/$R17*100*($E17/365))+(Q18/$R18*100*($E18/365))</f>
        <v>93.496609934966102</v>
      </c>
      <c r="M78" s="929"/>
      <c r="N78" s="887">
        <f t="shared" si="38"/>
        <v>100</v>
      </c>
      <c r="O78" s="887"/>
      <c r="R78" s="1">
        <v>1997</v>
      </c>
      <c r="S78" s="8">
        <f>(O17*($E17/365))+(O18*($E18/365))</f>
        <v>3.8630136986301369</v>
      </c>
      <c r="T78" s="8">
        <f>(P17*($E17/365))+(P18*($E18/365))</f>
        <v>0</v>
      </c>
      <c r="U78" s="8">
        <f>(Q17*($E17/365))+(Q18*($E18/365))</f>
        <v>40.599999999999994</v>
      </c>
      <c r="W78" s="5">
        <f t="shared" si="39"/>
        <v>44.463013698630128</v>
      </c>
    </row>
    <row r="79" spans="1:33" ht="9" customHeight="1">
      <c r="A79" s="1">
        <v>1998</v>
      </c>
      <c r="B79" s="8">
        <f>(K19*($E19/365))+(K20*($E20/365))</f>
        <v>0</v>
      </c>
      <c r="C79" s="8">
        <f>(L19*($E19/365))+(L20*($E20/365))</f>
        <v>0</v>
      </c>
      <c r="D79" s="8">
        <f>(M19*($E19/365))+(M20*($E20/365))</f>
        <v>78.571428571428569</v>
      </c>
      <c r="E79" s="69">
        <f t="shared" si="37"/>
        <v>78.571428571428569</v>
      </c>
      <c r="G79" s="1">
        <v>1998</v>
      </c>
      <c r="H79" s="929">
        <f>(O19/$R19*100*($E19/365))+(O20/$R20*100*($E20/365))</f>
        <v>0</v>
      </c>
      <c r="I79" s="929"/>
      <c r="J79" s="929">
        <f>(P19/$R19*100*($E19/365))+(P20/$R20*100*($E20/365))</f>
        <v>0</v>
      </c>
      <c r="K79" s="929"/>
      <c r="L79" s="929">
        <f>(Q19/$R19*100*($E19/365))+(Q20/$R20*100*($E20/365))</f>
        <v>100</v>
      </c>
      <c r="M79" s="929"/>
      <c r="N79" s="887">
        <f t="shared" si="38"/>
        <v>100</v>
      </c>
      <c r="O79" s="887"/>
      <c r="R79" s="1">
        <v>1998</v>
      </c>
      <c r="S79" s="8">
        <f>(O19*($E19/365))+(O20*($E20/365))</f>
        <v>0</v>
      </c>
      <c r="T79" s="8">
        <f>(P19*($E19/365))+(P20*($E20/365))</f>
        <v>0</v>
      </c>
      <c r="U79" s="8">
        <f>(Q19*($E19/365))+(Q20*($E20/365))</f>
        <v>40.6</v>
      </c>
      <c r="W79" s="5">
        <f t="shared" si="39"/>
        <v>40.6</v>
      </c>
    </row>
    <row r="80" spans="1:33" ht="9" customHeight="1">
      <c r="A80" s="1">
        <v>1999</v>
      </c>
      <c r="B80" s="8">
        <f>(K21*($E21/365))+(K22*($E22/365))</f>
        <v>51.506849315068486</v>
      </c>
      <c r="C80" s="8">
        <f>(L21*($E21/365))+(L22*($E22/365))</f>
        <v>0</v>
      </c>
      <c r="D80" s="8">
        <f>(M21*($E21/365))+(M22*($E22/365))</f>
        <v>43.620352250489233</v>
      </c>
      <c r="E80" s="69">
        <f t="shared" si="37"/>
        <v>95.127201565557726</v>
      </c>
      <c r="G80" s="1">
        <v>1999</v>
      </c>
      <c r="H80" s="929">
        <f>(O21/$R21*100*($E21/365))+(O22/$R22*100*($E22/365))</f>
        <v>52.489804454669034</v>
      </c>
      <c r="I80" s="929"/>
      <c r="J80" s="929">
        <f>(P21/$R21*100*($E21/365))+(P22/$R22*100*($E22/365))</f>
        <v>0</v>
      </c>
      <c r="K80" s="929"/>
      <c r="L80" s="929">
        <f>(Q21/$R21*100*($E21/365))+(Q22/$R22*100*($E22/365))</f>
        <v>47.510195545330959</v>
      </c>
      <c r="M80" s="929"/>
      <c r="N80" s="887">
        <f t="shared" si="38"/>
        <v>100</v>
      </c>
      <c r="O80" s="887"/>
      <c r="R80" s="1">
        <v>1999</v>
      </c>
      <c r="S80" s="8">
        <f>(O21*($E21/365))+(O22*($E22/365))</f>
        <v>27.504657534246579</v>
      </c>
      <c r="T80" s="8">
        <f>(P21*($E21/365))+(P22*($E22/365))</f>
        <v>0</v>
      </c>
      <c r="U80" s="8">
        <f>(Q21*($E21/365))+(Q22*($E22/365))</f>
        <v>22.212054794520547</v>
      </c>
      <c r="W80" s="5">
        <f t="shared" si="39"/>
        <v>49.71671232876713</v>
      </c>
    </row>
    <row r="81" spans="1:23" ht="9" customHeight="1">
      <c r="A81" s="1">
        <v>2000</v>
      </c>
      <c r="B81" s="8">
        <f>(K23*($E23/366))+(K24*($E24/366))</f>
        <v>66.666666666666657</v>
      </c>
      <c r="C81" s="8">
        <f>(L23*($E23/366))+(L24*($E24/366))</f>
        <v>0</v>
      </c>
      <c r="D81" s="8">
        <f>(M23*($E23/366))+(M24*($E24/366))</f>
        <v>33.333333333333329</v>
      </c>
      <c r="E81" s="69">
        <f t="shared" si="37"/>
        <v>99.999999999999986</v>
      </c>
      <c r="G81" s="1">
        <v>2000</v>
      </c>
      <c r="H81" s="929">
        <f>(O23/$R23*100*($E23/366))+(O24/$R24*100*($E24/366))</f>
        <v>67.938931297709914</v>
      </c>
      <c r="I81" s="929"/>
      <c r="J81" s="929">
        <f>(P23/$R23*100*($E23/366))+(P24/$R24*100*($E24/366))</f>
        <v>0</v>
      </c>
      <c r="K81" s="929"/>
      <c r="L81" s="929">
        <f>(Q23/$R23*100*($E23/366))+(Q24/$R24*100*($E24/366))</f>
        <v>32.061068702290072</v>
      </c>
      <c r="M81" s="929"/>
      <c r="N81" s="887">
        <f t="shared" si="38"/>
        <v>99.999999999999986</v>
      </c>
      <c r="O81" s="887"/>
      <c r="R81" s="1">
        <v>2000</v>
      </c>
      <c r="S81" s="8">
        <f>(O23*($E23/366))+(O24*($E24/366))</f>
        <v>35.6</v>
      </c>
      <c r="T81" s="8">
        <f>(P23*($E23/366))+(P24*($E24/366))</f>
        <v>0</v>
      </c>
      <c r="U81" s="8">
        <f>(Q23*($E23/366))+(Q24*($E24/366))</f>
        <v>16.8</v>
      </c>
      <c r="W81" s="5">
        <f t="shared" si="39"/>
        <v>52.400000000000006</v>
      </c>
    </row>
    <row r="82" spans="1:23" ht="9" customHeight="1">
      <c r="A82" s="1">
        <v>2001</v>
      </c>
      <c r="B82" s="8">
        <f>(K25*($E25/365))+(K26*($E26/365))</f>
        <v>66.666666666666657</v>
      </c>
      <c r="C82" s="8">
        <f>(L25*($E25/365))+(L26*($E26/365))</f>
        <v>0</v>
      </c>
      <c r="D82" s="8">
        <f>(M25*($E25/365))+(M26*($E26/365))</f>
        <v>33.333333333333329</v>
      </c>
      <c r="E82" s="69">
        <f t="shared" si="37"/>
        <v>99.999999999999986</v>
      </c>
      <c r="G82" s="1">
        <v>2001</v>
      </c>
      <c r="H82" s="929">
        <f>(O25/$R25*100*($E25/365))+(O26/$R26*100*($E26/365))</f>
        <v>67.938931297709914</v>
      </c>
      <c r="I82" s="929"/>
      <c r="J82" s="929">
        <f>(P25/$R25*100*($E25/365))+(P26/$R26*100*($E26/365))</f>
        <v>0</v>
      </c>
      <c r="K82" s="929"/>
      <c r="L82" s="929">
        <f>(Q25/$R25*100*($E25/365))+(Q26/$R26*100*($E26/365))</f>
        <v>32.061068702290072</v>
      </c>
      <c r="M82" s="929"/>
      <c r="N82" s="887">
        <f t="shared" si="38"/>
        <v>99.999999999999986</v>
      </c>
      <c r="O82" s="887"/>
      <c r="R82" s="1">
        <v>2001</v>
      </c>
      <c r="S82" s="8">
        <f>(O25*($E25/365))+(O26*($E26/365))</f>
        <v>35.6</v>
      </c>
      <c r="T82" s="8">
        <f>(P25*($E25/365))+(P26*($E26/365))</f>
        <v>0</v>
      </c>
      <c r="U82" s="8">
        <f>(Q25*($E25/365))+(Q26*($E26/365))</f>
        <v>16.8</v>
      </c>
      <c r="W82" s="5">
        <f t="shared" si="39"/>
        <v>52.400000000000006</v>
      </c>
    </row>
    <row r="83" spans="1:23" ht="9" customHeight="1">
      <c r="A83" s="1">
        <v>2002</v>
      </c>
      <c r="B83" s="8">
        <f>(K27*($E27/365))+(K28*($E28/365))</f>
        <v>44.618395303326807</v>
      </c>
      <c r="C83" s="8">
        <f>(L27*($E27/365))+(L28*($E28/365))</f>
        <v>52.915851272015651</v>
      </c>
      <c r="D83" s="8">
        <f>(M27*($E27/365))+(M28*($E28/365))</f>
        <v>2.4657534246575339</v>
      </c>
      <c r="E83" s="69">
        <f t="shared" si="37"/>
        <v>99.999999999999986</v>
      </c>
      <c r="G83" s="1">
        <v>2002</v>
      </c>
      <c r="H83" s="929">
        <f>(O27/$R27*100*($E27/365))+(O28/$R28*100*($E28/365))</f>
        <v>41.252625446288519</v>
      </c>
      <c r="I83" s="929"/>
      <c r="J83" s="929">
        <f>(P27/$R27*100*($E27/365))+(P28/$R28*100*($E28/365))</f>
        <v>56.375733855185906</v>
      </c>
      <c r="K83" s="929"/>
      <c r="L83" s="929">
        <f>(Q27/$R27*100*($E27/365))+(Q28/$R28*100*($E28/365))</f>
        <v>2.3716406985255669</v>
      </c>
      <c r="M83" s="929"/>
      <c r="N83" s="887">
        <f t="shared" si="38"/>
        <v>100</v>
      </c>
      <c r="O83" s="887"/>
      <c r="R83" s="1">
        <v>2002</v>
      </c>
      <c r="S83" s="8">
        <f>(O27*($E27/365))+(O28*($E28/365))</f>
        <v>19.116712328767122</v>
      </c>
      <c r="T83" s="8">
        <f>(P27*($E27/365))+(P28*($E28/365))</f>
        <v>25.650958904109586</v>
      </c>
      <c r="U83" s="8">
        <f>(Q27*($E27/365))+(Q28*($E28/365))</f>
        <v>1.2427397260273974</v>
      </c>
      <c r="W83" s="5">
        <f t="shared" si="39"/>
        <v>46.010410958904103</v>
      </c>
    </row>
    <row r="84" spans="1:23" ht="9" customHeight="1">
      <c r="A84" s="1">
        <v>2003</v>
      </c>
      <c r="B84" s="8">
        <f>(K29*($E29/365))+(K30*($E30/365))</f>
        <v>84.500978473581213</v>
      </c>
      <c r="C84" s="8">
        <f>(L29*($E29/365))+(L30*($E30/365))</f>
        <v>15.499021526418785</v>
      </c>
      <c r="D84" s="8">
        <f>(M29*($E29/365))+(M30*($E30/365))</f>
        <v>0</v>
      </c>
      <c r="E84" s="69">
        <f t="shared" si="37"/>
        <v>100</v>
      </c>
      <c r="G84" s="1">
        <v>2003</v>
      </c>
      <c r="H84" s="929">
        <f>(O29/$R29*100*($E29/365))+(O30/$R30*100*($E30/365))</f>
        <v>83.487580912238457</v>
      </c>
      <c r="I84" s="929"/>
      <c r="J84" s="929">
        <f>(P29/$R29*100*($E29/365))+(P30/$R30*100*($E30/365))</f>
        <v>16.512419087761554</v>
      </c>
      <c r="K84" s="929"/>
      <c r="L84" s="929">
        <f>(Q29/$R29*100*($E29/365))+(Q30/$R30*100*($E30/365))</f>
        <v>0</v>
      </c>
      <c r="M84" s="929"/>
      <c r="N84" s="887">
        <f t="shared" si="38"/>
        <v>100.00000000000001</v>
      </c>
      <c r="O84" s="887"/>
      <c r="R84" s="1">
        <v>2003</v>
      </c>
      <c r="S84" s="8">
        <f>(O29*($E29/365))+(O30*($E30/365))</f>
        <v>48.116712328767122</v>
      </c>
      <c r="T84" s="8">
        <f>(P29*($E29/365))+(P30*($E30/365))</f>
        <v>7.5131506849315066</v>
      </c>
      <c r="U84" s="8">
        <f>(Q29*($E29/365))+(Q30*($E30/365))</f>
        <v>0</v>
      </c>
      <c r="W84" s="5">
        <f t="shared" si="39"/>
        <v>55.629863013698625</v>
      </c>
    </row>
    <row r="85" spans="1:23" ht="9" customHeight="1">
      <c r="A85" s="1">
        <v>2004</v>
      </c>
      <c r="B85" s="8">
        <f>(K31*($E31/366))+(K32*($E32/366))</f>
        <v>100</v>
      </c>
      <c r="C85" s="8">
        <f>(L31*($E31/366))+(L32*($E32/366))</f>
        <v>0</v>
      </c>
      <c r="D85" s="8">
        <f>(M31*($E31/366))+(M32*($E32/366))</f>
        <v>0</v>
      </c>
      <c r="E85" s="69">
        <f t="shared" si="37"/>
        <v>100</v>
      </c>
      <c r="G85" s="1">
        <v>2004</v>
      </c>
      <c r="H85" s="929">
        <f>(O31/$R31*100*($E31/366))+(O32/$R32*100*($E32/366))</f>
        <v>100</v>
      </c>
      <c r="I85" s="929"/>
      <c r="J85" s="929">
        <f>(P31/$R31*100*($E31/366))+(P32/$R32*100*($E32/366))</f>
        <v>0</v>
      </c>
      <c r="K85" s="929"/>
      <c r="L85" s="929">
        <f>(Q31/$R31*100*($E31/366))+(Q32/$R32*100*($E32/366))</f>
        <v>0</v>
      </c>
      <c r="M85" s="929"/>
      <c r="N85" s="887">
        <f t="shared" si="38"/>
        <v>100</v>
      </c>
      <c r="O85" s="887"/>
      <c r="R85" s="1">
        <v>2004</v>
      </c>
      <c r="S85" s="8">
        <f>(O31*($E31/366))+(O32*($E32/366))</f>
        <v>59.4</v>
      </c>
      <c r="T85" s="8">
        <f>(P31*($E31/366))+(P32*($E32/366))</f>
        <v>0</v>
      </c>
      <c r="U85" s="8">
        <f>(Q31*($E31/366))+(Q32*($E32/366))</f>
        <v>0</v>
      </c>
      <c r="W85" s="5">
        <f t="shared" si="39"/>
        <v>59.4</v>
      </c>
    </row>
    <row r="86" spans="1:23" ht="9" customHeight="1">
      <c r="A86" s="1">
        <v>2005</v>
      </c>
      <c r="B86" s="8">
        <f>(K33*($E33/365))+(K34*($E34/365))</f>
        <v>74.266144814090026</v>
      </c>
      <c r="C86" s="8">
        <f>(L33*($E33/365))+(L34*($E34/365))</f>
        <v>25.733855185909981</v>
      </c>
      <c r="D86" s="8">
        <f>(M33*($E33/365))+(M34*($E34/365))</f>
        <v>0</v>
      </c>
      <c r="E86" s="69">
        <f t="shared" si="37"/>
        <v>100</v>
      </c>
      <c r="G86" s="1">
        <v>2005</v>
      </c>
      <c r="H86" s="929">
        <f>(O33/$R33*100*($E33/365))+(O34/$R34*100*($E34/365))</f>
        <v>66.398690097320241</v>
      </c>
      <c r="I86" s="929"/>
      <c r="J86" s="929">
        <f>(P33/$R33*100*($E33/365))+(P34/$R34*100*($E34/365))</f>
        <v>33.601309902679766</v>
      </c>
      <c r="K86" s="929"/>
      <c r="L86" s="929">
        <f>(Q33/$R33*100*($E33/365))+(Q34/$R34*100*($E34/365))</f>
        <v>0</v>
      </c>
      <c r="M86" s="929"/>
      <c r="N86" s="887">
        <f t="shared" si="38"/>
        <v>100</v>
      </c>
      <c r="O86" s="887"/>
      <c r="R86" s="1">
        <v>2005</v>
      </c>
      <c r="S86" s="8">
        <f>(O33*($E33/365))+(O34*($E34/365))</f>
        <v>39.440821917808222</v>
      </c>
      <c r="T86" s="8">
        <f>(P33*($E33/365))+(P34*($E34/365))</f>
        <v>19.95917808219178</v>
      </c>
      <c r="U86" s="8">
        <f>(Q33*($E33/365))+(Q34*($E34/365))</f>
        <v>0</v>
      </c>
      <c r="W86" s="5">
        <f t="shared" si="39"/>
        <v>59.400000000000006</v>
      </c>
    </row>
    <row r="87" spans="1:23" ht="9" customHeight="1">
      <c r="A87" s="1">
        <v>2006</v>
      </c>
      <c r="B87" s="8">
        <f>(K35*($E35/365))+(K36*($E36/365))</f>
        <v>64.285714285714292</v>
      </c>
      <c r="C87" s="8">
        <f>(L35*($E35/365))+(L36*($E36/365))</f>
        <v>35.714285714285715</v>
      </c>
      <c r="D87" s="8">
        <f>(M35*($E35/365))+(M36*($E36/365))</f>
        <v>0</v>
      </c>
      <c r="E87" s="69">
        <f t="shared" si="37"/>
        <v>100</v>
      </c>
      <c r="G87" s="1">
        <v>2006</v>
      </c>
      <c r="H87" s="929">
        <f>(O35/$R35*100*($E35/365))+(O36/$R36*100*($E36/365))</f>
        <v>53.367003367003363</v>
      </c>
      <c r="I87" s="929"/>
      <c r="J87" s="929">
        <f>(P35/$R35*100*($E35/365))+(P36/$R36*100*($E36/365))</f>
        <v>46.63299663299663</v>
      </c>
      <c r="K87" s="929"/>
      <c r="L87" s="929">
        <f>(Q35/$R35*100*($E35/365))+(Q36/$R36*100*($E36/365))</f>
        <v>0</v>
      </c>
      <c r="M87" s="929"/>
      <c r="N87" s="887">
        <f t="shared" si="38"/>
        <v>100</v>
      </c>
      <c r="O87" s="887"/>
      <c r="R87" s="1">
        <v>2006</v>
      </c>
      <c r="S87" s="8">
        <f>(O35*($E35/365))+(O36*($E36/365))</f>
        <v>31.7</v>
      </c>
      <c r="T87" s="8">
        <f>(P35*($E35/365))+(P36*($E36/365))</f>
        <v>27.7</v>
      </c>
      <c r="U87" s="8">
        <f>(Q35*($E35/365))+(Q36*($E36/365))</f>
        <v>0</v>
      </c>
      <c r="W87" s="5">
        <f t="shared" si="39"/>
        <v>59.4</v>
      </c>
    </row>
    <row r="88" spans="1:23" ht="9" customHeight="1">
      <c r="A88" s="1">
        <v>2007</v>
      </c>
      <c r="B88" s="8">
        <f>(K37*($E37/365))+(K38*($E38/365))</f>
        <v>74.892367906066539</v>
      </c>
      <c r="C88" s="8">
        <f>(L37*($E37/365))+(L38*($E38/365))</f>
        <v>9.1976516634050878</v>
      </c>
      <c r="D88" s="8">
        <f>(M37*($E37/365))+(M38*($E38/365))</f>
        <v>15.909980430528373</v>
      </c>
      <c r="E88" s="69">
        <f t="shared" si="37"/>
        <v>100</v>
      </c>
      <c r="G88" s="1">
        <v>2007</v>
      </c>
      <c r="H88" s="929">
        <f>(O37/$R37*100*($E37/365))+(O38/$R38*100*($E38/365))</f>
        <v>75.61597712282645</v>
      </c>
      <c r="I88" s="929"/>
      <c r="J88" s="929">
        <f>(P37/$R37*100*($E37/365))+(P38/$R38*100*($E38/365))</f>
        <v>12.009593653429269</v>
      </c>
      <c r="K88" s="929"/>
      <c r="L88" s="929">
        <f>(Q37/$R37*100*($E37/365))+(Q38/$R38*100*($E38/365))</f>
        <v>12.374429223744292</v>
      </c>
      <c r="M88" s="929"/>
      <c r="N88" s="887">
        <f t="shared" si="38"/>
        <v>100</v>
      </c>
      <c r="O88" s="887"/>
      <c r="R88" s="1">
        <v>2007</v>
      </c>
      <c r="S88" s="8">
        <f>(O37*($E37/365))+(O38*($E38/365))</f>
        <v>44.915890410958902</v>
      </c>
      <c r="T88" s="8">
        <f>(P37*($E37/365))+(P38*($E38/365))</f>
        <v>7.133698630136986</v>
      </c>
      <c r="U88" s="8">
        <f>(Q37*($E37/365))+(Q38*($E38/365))</f>
        <v>7.3504109589041091</v>
      </c>
      <c r="W88" s="5">
        <f t="shared" si="39"/>
        <v>59.399999999999991</v>
      </c>
    </row>
    <row r="89" spans="1:23" ht="9" customHeight="1">
      <c r="A89" s="1">
        <v>2008</v>
      </c>
      <c r="B89" s="8">
        <f>(K39*($E39/366))+(K40*($E40/366))</f>
        <v>78.571428571428569</v>
      </c>
      <c r="C89" s="8">
        <f>(L39*($E39/366))+(L40*($E40/366))</f>
        <v>0</v>
      </c>
      <c r="D89" s="8">
        <f>(M39*($E39/366))+(M40*($E40/366))</f>
        <v>21.428571428571427</v>
      </c>
      <c r="E89" s="69">
        <f t="shared" si="37"/>
        <v>100</v>
      </c>
      <c r="G89" s="1">
        <v>2008</v>
      </c>
      <c r="H89" s="929">
        <f>(O39/$R39*100*($E39/366))+(O40/$R40*100*($E40/366))</f>
        <v>83.333333333333343</v>
      </c>
      <c r="I89" s="929"/>
      <c r="J89" s="929">
        <f>(P39/$R39*100*($E39/366))+(P40/$R40*100*($E40/366))</f>
        <v>0</v>
      </c>
      <c r="K89" s="929"/>
      <c r="L89" s="929">
        <f>(Q39/$R39*100*($E39/366))+(Q40/$R40*100*($E40/366))</f>
        <v>16.666666666666668</v>
      </c>
      <c r="M89" s="929"/>
      <c r="N89" s="887">
        <f t="shared" si="38"/>
        <v>100.00000000000001</v>
      </c>
      <c r="O89" s="887"/>
      <c r="R89" s="1">
        <v>2008</v>
      </c>
      <c r="S89" s="8">
        <f>(O39*($E39/366))+(O40*($E40/366))</f>
        <v>49.5</v>
      </c>
      <c r="T89" s="8">
        <f>(P39*($E39/366))+(P40*($E40/366))</f>
        <v>0</v>
      </c>
      <c r="U89" s="8">
        <f>(Q39*($E39/366))+(Q40*($E40/366))</f>
        <v>9.9</v>
      </c>
      <c r="W89" s="5">
        <f t="shared" si="39"/>
        <v>59.4</v>
      </c>
    </row>
    <row r="90" spans="1:23" ht="9" customHeight="1">
      <c r="A90" s="1">
        <v>2009</v>
      </c>
      <c r="B90" s="8">
        <f>(K41*($E41/365))+(K42*($E42/365))</f>
        <v>90.958904109589042</v>
      </c>
      <c r="C90" s="8">
        <f>(L41*($E41/365))+(L42*($E42/365))</f>
        <v>0</v>
      </c>
      <c r="D90" s="8">
        <f>(M41*($E41/365))+(M42*($E42/365))</f>
        <v>9.0410958904109577</v>
      </c>
      <c r="E90" s="69">
        <f t="shared" si="37"/>
        <v>100</v>
      </c>
      <c r="G90" s="1">
        <v>2009</v>
      </c>
      <c r="H90" s="929">
        <f>(O41/$R41*100*($E41/365))+(O42/$R42*100*($E42/365))</f>
        <v>92.968036529680376</v>
      </c>
      <c r="I90" s="929"/>
      <c r="J90" s="929">
        <f>(P41/$R41*100*($E41/365))+(P42/$R42*100*($E42/365))</f>
        <v>0</v>
      </c>
      <c r="K90" s="929"/>
      <c r="L90" s="929">
        <f>(Q41/$R41*100*($E41/365))+(Q42/$R42*100*($E42/365))</f>
        <v>7.031963470319635</v>
      </c>
      <c r="M90" s="929"/>
      <c r="N90" s="887">
        <f t="shared" si="38"/>
        <v>100.00000000000001</v>
      </c>
      <c r="O90" s="887"/>
      <c r="R90" s="1">
        <v>2009</v>
      </c>
      <c r="S90" s="8">
        <f>(O41*($E41/365))+(O42*($E42/365))</f>
        <v>49.5</v>
      </c>
      <c r="T90" s="8">
        <f>(P41*($E41/365))+(P42*($E42/365))</f>
        <v>0</v>
      </c>
      <c r="U90" s="8">
        <f>(Q41*($E41/365))+(Q42*($E42/365))</f>
        <v>4.1769863013698627</v>
      </c>
      <c r="W90" s="5">
        <f t="shared" si="39"/>
        <v>53.676986301369865</v>
      </c>
    </row>
    <row r="91" spans="1:23" ht="9" customHeight="1">
      <c r="A91" s="1">
        <v>2010</v>
      </c>
      <c r="B91" s="8">
        <f>(K43*($E43/365))+(K44*($E44/365))</f>
        <v>100</v>
      </c>
      <c r="C91" s="8">
        <f>(L43*($E43/365))+(L44*($E44/365))</f>
        <v>0</v>
      </c>
      <c r="D91" s="8">
        <f>(M43*($E43/365))+(M44*($E44/365))</f>
        <v>0</v>
      </c>
      <c r="E91" s="69">
        <f t="shared" si="37"/>
        <v>100</v>
      </c>
      <c r="G91" s="1">
        <v>2010</v>
      </c>
      <c r="H91" s="929">
        <f>(O43/$R43*100*($E43/365))+(O44/$R44*100*($E44/365))</f>
        <v>100</v>
      </c>
      <c r="I91" s="929"/>
      <c r="J91" s="929">
        <f>(P43/$R43*100*($E43/365))+(P44/$R44*100*($E44/365))</f>
        <v>0</v>
      </c>
      <c r="K91" s="929"/>
      <c r="L91" s="929">
        <f>(Q43/$R43*100*($E43/365))+(Q44/$R44*100*($E44/365))</f>
        <v>0</v>
      </c>
      <c r="M91" s="929"/>
      <c r="N91" s="887">
        <f t="shared" si="38"/>
        <v>100</v>
      </c>
      <c r="O91" s="887"/>
      <c r="R91" s="1">
        <v>2010</v>
      </c>
      <c r="S91" s="8">
        <f>(O43*($E43/365))+(O44*($E44/365))</f>
        <v>49.5</v>
      </c>
      <c r="T91" s="8">
        <f>(P43*($E43/365))+(P44*($E44/365))</f>
        <v>0</v>
      </c>
      <c r="U91" s="8">
        <f>(Q43*($E43/365))+(Q44*($E44/365))</f>
        <v>0</v>
      </c>
      <c r="W91" s="5">
        <f t="shared" si="39"/>
        <v>49.5</v>
      </c>
    </row>
    <row r="92" spans="1:23" ht="9" customHeight="1">
      <c r="A92" s="1">
        <v>2011</v>
      </c>
      <c r="B92" s="8">
        <f>(K45*($E45/365))+(K46*($E46/365))</f>
        <v>100</v>
      </c>
      <c r="C92" s="8">
        <f>(L45*($E45/365))+(L46*($E46/365))</f>
        <v>0</v>
      </c>
      <c r="D92" s="8">
        <f>(M45*($E45/365))+(M46*($E46/365))</f>
        <v>0</v>
      </c>
      <c r="E92" s="69">
        <f t="shared" si="37"/>
        <v>100</v>
      </c>
      <c r="G92" s="1">
        <v>2011</v>
      </c>
      <c r="H92" s="929">
        <f>(O45/$R45*100*($E45/365))+(O46/$R46*100*($E46/365))</f>
        <v>100</v>
      </c>
      <c r="I92" s="929"/>
      <c r="J92" s="929">
        <f>(P45/$R45*100*($E45/365))+(P46/$R46*100*($E46/365))</f>
        <v>0</v>
      </c>
      <c r="K92" s="929"/>
      <c r="L92" s="929">
        <f>(Q45/$R45*100*($E45/365))+(Q46/$R46*100*($E46/365))</f>
        <v>0</v>
      </c>
      <c r="M92" s="929"/>
      <c r="N92" s="887">
        <f t="shared" si="38"/>
        <v>100</v>
      </c>
      <c r="O92" s="887"/>
      <c r="R92" s="1">
        <v>2011</v>
      </c>
      <c r="S92" s="8">
        <f>(O45*($E45/365))+(O46*($E46/365))</f>
        <v>53.938356164383563</v>
      </c>
      <c r="T92" s="8">
        <f>(P45*($E45/365))+(P46*($E46/365))</f>
        <v>0</v>
      </c>
      <c r="U92" s="8">
        <f>(Q45*($E45/365))+(Q46*($E46/365))</f>
        <v>0</v>
      </c>
      <c r="W92" s="5">
        <f t="shared" si="39"/>
        <v>53.938356164383563</v>
      </c>
    </row>
    <row r="93" spans="1:23" ht="9" customHeight="1">
      <c r="A93" s="1">
        <v>2012</v>
      </c>
      <c r="B93" s="8">
        <f>(K47*($E47/366))+(K48*($E48/366))</f>
        <v>100</v>
      </c>
      <c r="C93" s="8">
        <f>(L47*($E47/366))+(L48*($E48/366))</f>
        <v>0</v>
      </c>
      <c r="D93" s="8">
        <f>(M47*($E47/366))+(M48*($E48/366))</f>
        <v>0</v>
      </c>
      <c r="E93" s="69">
        <f t="shared" si="37"/>
        <v>100</v>
      </c>
      <c r="G93" s="1">
        <v>2012</v>
      </c>
      <c r="H93" s="929">
        <f>(O47/$R47*100*($E47/366))+(O48/$R48*100*($E48/366))</f>
        <v>100</v>
      </c>
      <c r="I93" s="929"/>
      <c r="J93" s="929">
        <f>(P47/$R47*100*($E47/366))+(P48/$R48*100*($E48/366))</f>
        <v>0</v>
      </c>
      <c r="K93" s="929"/>
      <c r="L93" s="929">
        <f>(Q47/$R47*100*($E47/366))+(Q48/$R48*100*($E48/366))</f>
        <v>0</v>
      </c>
      <c r="M93" s="929"/>
      <c r="N93" s="887">
        <f t="shared" si="38"/>
        <v>100</v>
      </c>
      <c r="O93" s="887"/>
      <c r="R93" s="1">
        <v>2012</v>
      </c>
      <c r="S93" s="8">
        <f>(O47*($E47/366))+(O48*($E48/366))</f>
        <v>55.5</v>
      </c>
      <c r="T93" s="8">
        <f>(P47*($E47/366))+(P48*($E48/366))</f>
        <v>0</v>
      </c>
      <c r="U93" s="8">
        <f>(Q47*($E47/366))+(Q48*($E48/366))</f>
        <v>0</v>
      </c>
      <c r="W93" s="5">
        <f t="shared" si="39"/>
        <v>55.5</v>
      </c>
    </row>
    <row r="94" spans="1:23" ht="9" customHeight="1">
      <c r="A94" s="1">
        <v>2013</v>
      </c>
      <c r="B94" s="8">
        <f>(K49*($E49/365))+(K50*($E50/365))</f>
        <v>100</v>
      </c>
      <c r="C94" s="8">
        <f>(L49*($E49/365))+(L50*($E50/365))</f>
        <v>0</v>
      </c>
      <c r="D94" s="8">
        <f>(M49*($E49/365))+(M50*($E50/365))</f>
        <v>0</v>
      </c>
      <c r="E94" s="276">
        <f>SUM(B94:D94)</f>
        <v>100</v>
      </c>
      <c r="G94" s="1">
        <v>2013</v>
      </c>
      <c r="H94" s="929">
        <f>(O49/$R49*100*($E49/365))+(O50/$R50*100*($E50/365))</f>
        <v>100</v>
      </c>
      <c r="I94" s="929"/>
      <c r="J94" s="929">
        <f>(P49/$R49*100*($E49/365))+(P50/$R50*100*($E50/365))</f>
        <v>0</v>
      </c>
      <c r="K94" s="929"/>
      <c r="L94" s="929">
        <f>(Q49/$R49*100*($E49/365))+(Q50/$R50*100*($E50/365))</f>
        <v>0</v>
      </c>
      <c r="M94" s="929"/>
      <c r="N94" s="887">
        <f>SUM(H94:M94)</f>
        <v>100</v>
      </c>
      <c r="O94" s="887"/>
      <c r="R94" s="1">
        <v>2013</v>
      </c>
      <c r="S94" s="8">
        <f>(O49*($E49/365))+(O50*($E50/365))</f>
        <v>55.5</v>
      </c>
      <c r="T94" s="8">
        <f>(P49*($E49/365))+(P50*($E50/365))</f>
        <v>0</v>
      </c>
      <c r="U94" s="8">
        <f>(Q49*($E49/365))+(Q50*($E50/365))</f>
        <v>0</v>
      </c>
      <c r="W94" s="5">
        <f>SUM(S94:U94)</f>
        <v>55.5</v>
      </c>
    </row>
    <row r="95" spans="1:23" ht="9" customHeight="1">
      <c r="A95" s="1">
        <v>2014</v>
      </c>
      <c r="B95" s="8">
        <f>(K51*($E51/365))+(K52*($E52/365))</f>
        <v>67.00587084148728</v>
      </c>
      <c r="C95" s="8">
        <f>(L51*($E51/365))+(L52*($E52/365))</f>
        <v>0</v>
      </c>
      <c r="D95" s="8">
        <f>(M51*($E51/365))+(M52*($E52/365))</f>
        <v>32.994129158512713</v>
      </c>
      <c r="E95" s="447">
        <f>SUM(B95:D95)</f>
        <v>100</v>
      </c>
      <c r="G95" s="1">
        <v>2014</v>
      </c>
      <c r="H95" s="929">
        <f>(O51/$R51*100*($E51/365))+(O52/$R52*100*($E52/365))</f>
        <v>70.618072137740356</v>
      </c>
      <c r="I95" s="929"/>
      <c r="J95" s="929">
        <f>(P51/$R51*100*($E51/365))+(P52/$R52*100*($E52/365))</f>
        <v>0</v>
      </c>
      <c r="K95" s="929"/>
      <c r="L95" s="929">
        <f>(Q51/$R51*100*($E51/365))+(Q52/$R52*100*($E52/365))</f>
        <v>29.381927862259641</v>
      </c>
      <c r="M95" s="929"/>
      <c r="N95" s="887">
        <f>SUM(H95:M95)</f>
        <v>100</v>
      </c>
      <c r="O95" s="887"/>
      <c r="R95" s="1">
        <v>2014</v>
      </c>
      <c r="S95" s="8">
        <f>(O51*($E51/365))+(O52*($E52/365))</f>
        <v>38.716986301369865</v>
      </c>
      <c r="T95" s="8">
        <f>(P51*($E51/365))+(P52*($E52/365))</f>
        <v>0</v>
      </c>
      <c r="U95" s="8">
        <f>(Q51*($E51/365))+(Q52*($E52/365))</f>
        <v>16.013150684931507</v>
      </c>
      <c r="W95" s="5">
        <f>SUM(S95:U95)</f>
        <v>54.730136986301375</v>
      </c>
    </row>
    <row r="96" spans="1:23" s="593" customFormat="1" ht="9" customHeight="1">
      <c r="A96" s="593">
        <v>2015</v>
      </c>
      <c r="B96" s="587">
        <f>(K53*($E53/365))+(K54*($E54/365))+(K55*($E55/365))</f>
        <v>65.899543378995418</v>
      </c>
      <c r="C96" s="587">
        <f>(L53*($E53/365))+(L54*($E54/365))+(L55*($E55/365))</f>
        <v>0</v>
      </c>
      <c r="D96" s="587">
        <f>(M53*($E53/365))+(M54*($E54/365))+(M55*($E55/365))</f>
        <v>31.013698630136986</v>
      </c>
      <c r="E96" s="588">
        <f>SUM(B96:D96)</f>
        <v>96.913242009132404</v>
      </c>
      <c r="G96" s="593">
        <v>2015</v>
      </c>
      <c r="H96" s="929">
        <f>(O53/$R53*100*($E53/365))+(O54/$R54*100*($E54/365))+(O55/$R55*100*($E55/365))</f>
        <v>71.121379981503139</v>
      </c>
      <c r="I96" s="929"/>
      <c r="J96" s="929">
        <f>(P53/$R53*100*($E53/365))+(P54/$R54*100*($E54/365))+(P55/$R55*100*($E55/365))</f>
        <v>0</v>
      </c>
      <c r="K96" s="929"/>
      <c r="L96" s="929">
        <f>(Q53/$R53*100*($E53/365))+(Q54/$R54*100*($E54/365))+(Q55/$R55*100*($E55/365))</f>
        <v>28.878620018496854</v>
      </c>
      <c r="M96" s="929"/>
      <c r="N96" s="887">
        <f>SUM(H96:M96)</f>
        <v>100</v>
      </c>
      <c r="O96" s="887"/>
      <c r="R96" s="593">
        <v>2015</v>
      </c>
      <c r="S96" s="587">
        <f>(O53*($E53/365))+(O54*($E54/365))+(O55*($E55/365))</f>
        <v>40.941917808219173</v>
      </c>
      <c r="T96" s="587">
        <f>(P53*($E53/365))+(P54*($E54/365))+(P55*($E55/365))</f>
        <v>0</v>
      </c>
      <c r="U96" s="587">
        <f>(Q53*($E53/365))+(Q54*($E54/365))+(Q55*($E55/365))</f>
        <v>16.484109589041097</v>
      </c>
      <c r="W96" s="5">
        <f>SUM(S96:U96)</f>
        <v>57.42602739726027</v>
      </c>
    </row>
    <row r="97" spans="1:23" s="663" customFormat="1" ht="9" customHeight="1">
      <c r="A97" s="663">
        <v>2016</v>
      </c>
      <c r="B97" s="657">
        <f>(K56*($E56/366))+(K57*($E57/366))+(K58*($E58/366))</f>
        <v>64.426229508196712</v>
      </c>
      <c r="C97" s="744">
        <f>(L56*($E56/366))+(L57*($E57/366))+(L58*($E58/366))</f>
        <v>3.55191256830601</v>
      </c>
      <c r="D97" s="744">
        <f>(M56*($E56/366))+(M57*($E57/366))+(M58*($E58/366))</f>
        <v>27.377049180327866</v>
      </c>
      <c r="E97" s="658">
        <f>SUM(B97:D97)</f>
        <v>95.35519125683058</v>
      </c>
      <c r="G97" s="663">
        <v>2016</v>
      </c>
      <c r="H97" s="929">
        <f>(O56/$R56*100*($E56/366))+(O57/$R57*100*($E57/366))+(O58/$R58*100*($E58/366))</f>
        <v>69.256936633985816</v>
      </c>
      <c r="I97" s="929"/>
      <c r="J97" s="929">
        <f>(P56/$R56*100*($E56/366))+(P57/$R57*100*($E57/366))+(P58/$R58*100*($E58/366))</f>
        <v>5.1262738147984042</v>
      </c>
      <c r="K97" s="929"/>
      <c r="L97" s="929">
        <f>(Q56/$R56*100*($E56/366))+(Q57/$R57*100*($E57/366))+(Q58/$R58*100*($E58/366))</f>
        <v>25.616789551215778</v>
      </c>
      <c r="M97" s="929"/>
      <c r="N97" s="887">
        <f>SUM(H97:M97)</f>
        <v>100</v>
      </c>
      <c r="O97" s="887"/>
      <c r="R97" s="663">
        <v>2016</v>
      </c>
      <c r="S97" s="657">
        <f>(O56*($E56/366))+(O57*($E57/366))+(O58*($E58/366))</f>
        <v>40.435245901639341</v>
      </c>
      <c r="T97" s="657">
        <f>(P56*($E56/366))+(P57*($E57/366))+(P58*($E58/366))</f>
        <v>2.8450819672131145</v>
      </c>
      <c r="U97" s="657">
        <f>(Q56*($E56/366))+(Q57*($E57/366))+(Q58*($E58/366))</f>
        <v>14.9</v>
      </c>
      <c r="W97" s="5">
        <f>SUM(S97:U97)</f>
        <v>58.180327868852451</v>
      </c>
    </row>
    <row r="98" spans="1:23" ht="9" customHeight="1">
      <c r="A98" s="749">
        <v>2017</v>
      </c>
      <c r="B98" s="744">
        <f>(K59*($E59/365))+(K60*($E60/365))</f>
        <v>33.333333333333329</v>
      </c>
      <c r="C98" s="744">
        <f t="shared" ref="C98:D98" si="40">(L59*($E59/365))+(L60*($E60/365))</f>
        <v>33.333333333333329</v>
      </c>
      <c r="D98" s="744">
        <f t="shared" si="40"/>
        <v>33.333333333333329</v>
      </c>
      <c r="E98" s="745">
        <f>SUM(B98:D98)</f>
        <v>99.999999999999986</v>
      </c>
      <c r="F98" s="749"/>
      <c r="G98" s="749">
        <v>2017</v>
      </c>
      <c r="H98" s="929">
        <f>(O59/$R59*100*($E59/365))+(O60/$R60*100*($E60/365))</f>
        <v>25.045045045045043</v>
      </c>
      <c r="I98" s="929"/>
      <c r="J98" s="929">
        <f>(P59/$R59*100*($E59/365))+(P60/$R60*100*($E60/365))</f>
        <v>48.108108108108105</v>
      </c>
      <c r="K98" s="929"/>
      <c r="L98" s="929">
        <f>(Q59/$R59*100*($E59/365))+(Q60/$R60*100*($E60/365))</f>
        <v>26.846846846846852</v>
      </c>
      <c r="M98" s="929"/>
      <c r="N98" s="887">
        <f>SUM(H98:M98)</f>
        <v>100</v>
      </c>
      <c r="O98" s="887"/>
      <c r="P98" s="749"/>
      <c r="Q98" s="749"/>
      <c r="R98" s="749">
        <v>2017</v>
      </c>
      <c r="S98" s="744">
        <f>(O59*($E59/365))+(O60*($E60/365))</f>
        <v>13.9</v>
      </c>
      <c r="T98" s="744">
        <f t="shared" ref="T98:U98" si="41">(P59*($E59/365))+(P60*($E60/365))</f>
        <v>26.7</v>
      </c>
      <c r="U98" s="744">
        <f t="shared" si="41"/>
        <v>14.9</v>
      </c>
      <c r="V98" s="749"/>
      <c r="W98" s="5">
        <f>SUM(S98:U98)</f>
        <v>55.5</v>
      </c>
    </row>
    <row r="99" spans="1:23">
      <c r="A99" s="766">
        <v>2018</v>
      </c>
      <c r="B99" s="757">
        <f>(K61*($E61/365))+(K62*($E62/365))</f>
        <v>33.333333333333329</v>
      </c>
      <c r="C99" s="757">
        <f>(L61*($E61/365))+(L62*($E62/365))</f>
        <v>33.333333333333329</v>
      </c>
      <c r="D99" s="757">
        <f>(M61*($E61/365))+(M62*($E62/365))</f>
        <v>33.333333333333329</v>
      </c>
      <c r="E99" s="758">
        <f t="shared" ref="E99" si="42">SUM(B99:D99)</f>
        <v>99.999999999999986</v>
      </c>
      <c r="F99" s="766"/>
      <c r="G99" s="766">
        <v>2018</v>
      </c>
      <c r="H99" s="929">
        <f>(O61/$R61*100*($E61/365))+(O62/$R62*100*($E62/365))</f>
        <v>25.045045045045043</v>
      </c>
      <c r="I99" s="929"/>
      <c r="J99" s="929">
        <f>(P61/$R61*100*($E61/365))+(P62/$R62*100*($E62/365))</f>
        <v>48.108108108108105</v>
      </c>
      <c r="K99" s="929"/>
      <c r="L99" s="929">
        <f>(Q61/$R61*100*($E61/365))+(Q62/$R62*100*($E62/365))</f>
        <v>26.846846846846852</v>
      </c>
      <c r="M99" s="929"/>
      <c r="N99" s="887">
        <f t="shared" ref="N99" si="43">SUM(H99:M99)</f>
        <v>100</v>
      </c>
      <c r="O99" s="887"/>
      <c r="P99" s="766"/>
      <c r="Q99" s="766"/>
      <c r="R99" s="766">
        <v>2018</v>
      </c>
      <c r="S99" s="757">
        <f>(O61*($E61/365))+(O62*($E62/365))</f>
        <v>13.9</v>
      </c>
      <c r="T99" s="757">
        <f>(P61*($E61/365))+(P62*($E62/365))</f>
        <v>26.7</v>
      </c>
      <c r="U99" s="757">
        <f>(Q61*($E61/365))+(Q62*($E62/365))</f>
        <v>14.9</v>
      </c>
      <c r="V99" s="766"/>
      <c r="W99" s="5">
        <f t="shared" ref="W99" si="44">SUM(S99:U99)</f>
        <v>55.5</v>
      </c>
    </row>
    <row r="100" spans="1:23">
      <c r="A100" s="1">
        <v>2019</v>
      </c>
      <c r="B100" s="788">
        <f>(K63*($E63/365))+(K64*($E64/365))</f>
        <v>55.890410958904098</v>
      </c>
      <c r="C100" s="788">
        <f>(L63*($E63/365))+(L64*($E64/365))</f>
        <v>33.333333333333329</v>
      </c>
      <c r="D100" s="788">
        <f>(M63*($E63/365))+(M64*($E64/365))</f>
        <v>10.776255707762555</v>
      </c>
      <c r="E100" s="789">
        <f t="shared" ref="E100" si="45">SUM(B100:D100)</f>
        <v>99.999999999999986</v>
      </c>
      <c r="F100" s="794"/>
      <c r="G100" s="794">
        <v>2019</v>
      </c>
      <c r="H100" s="929">
        <f>(O63/$R63*100*($E63/365))+(O64/$R64*100*($E64/365))</f>
        <v>45.529310132049858</v>
      </c>
      <c r="I100" s="929"/>
      <c r="J100" s="929">
        <f>(P63/$R63*100*($E63/365))+(P64/$R64*100*($E64/365))</f>
        <v>45.79143527088732</v>
      </c>
      <c r="K100" s="929"/>
      <c r="L100" s="929">
        <f>(Q63/$R63*100*($E63/365))+(Q64/$R64*100*($E64/365))</f>
        <v>8.6792545970628172</v>
      </c>
      <c r="M100" s="929"/>
      <c r="N100" s="887">
        <f t="shared" ref="N100" si="46">SUM(H100:M100)</f>
        <v>100</v>
      </c>
      <c r="O100" s="887"/>
      <c r="P100" s="794"/>
      <c r="Q100" s="794"/>
      <c r="R100" s="794">
        <v>2019</v>
      </c>
      <c r="S100" s="788">
        <f>(O63*($E63/365))+(O64*($E64/365))</f>
        <v>25.26876712328767</v>
      </c>
      <c r="T100" s="788">
        <f>(P63*($E63/365))+(P64*($E64/365))</f>
        <v>25.414246575342464</v>
      </c>
      <c r="U100" s="788">
        <f>(Q63*($E63/365))+(Q64*($E64/365))</f>
        <v>4.8169863013698633</v>
      </c>
      <c r="V100" s="794"/>
      <c r="W100" s="5">
        <f t="shared" ref="W100" si="47">SUM(S100:U100)</f>
        <v>55.5</v>
      </c>
    </row>
  </sheetData>
  <mergeCells count="205">
    <mergeCell ref="C61:D61"/>
    <mergeCell ref="C62:D62"/>
    <mergeCell ref="H99:I99"/>
    <mergeCell ref="J99:K99"/>
    <mergeCell ref="L99:M99"/>
    <mergeCell ref="N99:O99"/>
    <mergeCell ref="H98:I98"/>
    <mergeCell ref="J98:K98"/>
    <mergeCell ref="L98:M98"/>
    <mergeCell ref="N98:O98"/>
    <mergeCell ref="H97:I97"/>
    <mergeCell ref="J97:K97"/>
    <mergeCell ref="L97:M97"/>
    <mergeCell ref="N97:O97"/>
    <mergeCell ref="H96:I96"/>
    <mergeCell ref="J96:K96"/>
    <mergeCell ref="L96:M96"/>
    <mergeCell ref="N96:O96"/>
    <mergeCell ref="H95:I95"/>
    <mergeCell ref="J95:K95"/>
    <mergeCell ref="L95:M95"/>
    <mergeCell ref="N95:O95"/>
    <mergeCell ref="H94:I94"/>
    <mergeCell ref="J94:K94"/>
    <mergeCell ref="L94:M94"/>
    <mergeCell ref="N94:O94"/>
    <mergeCell ref="H93:I93"/>
    <mergeCell ref="J93:K93"/>
    <mergeCell ref="L93:M93"/>
    <mergeCell ref="N93:O93"/>
    <mergeCell ref="H91:I91"/>
    <mergeCell ref="J91:K91"/>
    <mergeCell ref="L91:M91"/>
    <mergeCell ref="N91:O91"/>
    <mergeCell ref="H92:I92"/>
    <mergeCell ref="J92:K92"/>
    <mergeCell ref="L92:M92"/>
    <mergeCell ref="N92:O92"/>
    <mergeCell ref="J89:K89"/>
    <mergeCell ref="L89:M89"/>
    <mergeCell ref="N89:O89"/>
    <mergeCell ref="H90:I90"/>
    <mergeCell ref="J90:K90"/>
    <mergeCell ref="L90:M90"/>
    <mergeCell ref="N90:O90"/>
    <mergeCell ref="H89:I89"/>
    <mergeCell ref="N83:O83"/>
    <mergeCell ref="H84:I84"/>
    <mergeCell ref="J84:K84"/>
    <mergeCell ref="L84:M84"/>
    <mergeCell ref="N84:O84"/>
    <mergeCell ref="N87:O87"/>
    <mergeCell ref="N88:O88"/>
    <mergeCell ref="H85:I85"/>
    <mergeCell ref="J85:K85"/>
    <mergeCell ref="L85:M85"/>
    <mergeCell ref="N85:O85"/>
    <mergeCell ref="H86:I86"/>
    <mergeCell ref="J86:K86"/>
    <mergeCell ref="L86:M86"/>
    <mergeCell ref="N86:O86"/>
    <mergeCell ref="H87:I87"/>
    <mergeCell ref="H88:I88"/>
    <mergeCell ref="J87:K87"/>
    <mergeCell ref="J88:K88"/>
    <mergeCell ref="L87:M87"/>
    <mergeCell ref="L88:M88"/>
    <mergeCell ref="H83:I83"/>
    <mergeCell ref="J83:K83"/>
    <mergeCell ref="L83:M83"/>
    <mergeCell ref="N80:O80"/>
    <mergeCell ref="H81:I81"/>
    <mergeCell ref="J81:K81"/>
    <mergeCell ref="L81:M81"/>
    <mergeCell ref="N81:O81"/>
    <mergeCell ref="H82:I82"/>
    <mergeCell ref="J82:K82"/>
    <mergeCell ref="L82:M82"/>
    <mergeCell ref="N82:O82"/>
    <mergeCell ref="H80:I80"/>
    <mergeCell ref="J80:K80"/>
    <mergeCell ref="L80:M80"/>
    <mergeCell ref="N77:O77"/>
    <mergeCell ref="H78:I78"/>
    <mergeCell ref="J78:K78"/>
    <mergeCell ref="L78:M78"/>
    <mergeCell ref="N78:O78"/>
    <mergeCell ref="H79:I79"/>
    <mergeCell ref="J79:K79"/>
    <mergeCell ref="L79:M79"/>
    <mergeCell ref="N79:O79"/>
    <mergeCell ref="H77:I77"/>
    <mergeCell ref="J77:K77"/>
    <mergeCell ref="L77:M77"/>
    <mergeCell ref="N74:O74"/>
    <mergeCell ref="H75:I75"/>
    <mergeCell ref="J75:K75"/>
    <mergeCell ref="L75:M75"/>
    <mergeCell ref="N75:O75"/>
    <mergeCell ref="H76:I76"/>
    <mergeCell ref="J76:K76"/>
    <mergeCell ref="L76:M76"/>
    <mergeCell ref="N76:O76"/>
    <mergeCell ref="H74:I74"/>
    <mergeCell ref="J74:K74"/>
    <mergeCell ref="L74:M74"/>
    <mergeCell ref="N71:O71"/>
    <mergeCell ref="H72:I72"/>
    <mergeCell ref="J72:K72"/>
    <mergeCell ref="L72:M72"/>
    <mergeCell ref="N72:O72"/>
    <mergeCell ref="H73:I73"/>
    <mergeCell ref="J73:K73"/>
    <mergeCell ref="L73:M73"/>
    <mergeCell ref="N73:O73"/>
    <mergeCell ref="H71:I71"/>
    <mergeCell ref="J71:K71"/>
    <mergeCell ref="L71:M71"/>
    <mergeCell ref="C42:D42"/>
    <mergeCell ref="C43:D43"/>
    <mergeCell ref="C44:D44"/>
    <mergeCell ref="C45:D45"/>
    <mergeCell ref="C46:D46"/>
    <mergeCell ref="C47:D47"/>
    <mergeCell ref="C48:D48"/>
    <mergeCell ref="R68:W68"/>
    <mergeCell ref="H70:I70"/>
    <mergeCell ref="J70:K70"/>
    <mergeCell ref="L70:M70"/>
    <mergeCell ref="N70:O70"/>
    <mergeCell ref="C49:D49"/>
    <mergeCell ref="C50:D50"/>
    <mergeCell ref="C51:D51"/>
    <mergeCell ref="C52:D52"/>
    <mergeCell ref="C54:D54"/>
    <mergeCell ref="C53:D53"/>
    <mergeCell ref="C55:D55"/>
    <mergeCell ref="C56:D56"/>
    <mergeCell ref="C57:D57"/>
    <mergeCell ref="C58:D58"/>
    <mergeCell ref="C59:D59"/>
    <mergeCell ref="C60:D60"/>
    <mergeCell ref="C38:D38"/>
    <mergeCell ref="C39:D39"/>
    <mergeCell ref="C40:D40"/>
    <mergeCell ref="C30:D30"/>
    <mergeCell ref="C31:D31"/>
    <mergeCell ref="C32:D32"/>
    <mergeCell ref="C33:D33"/>
    <mergeCell ref="C34:D34"/>
    <mergeCell ref="C41:D41"/>
    <mergeCell ref="C35:D35"/>
    <mergeCell ref="C24:D24"/>
    <mergeCell ref="C25:D25"/>
    <mergeCell ref="C26:D26"/>
    <mergeCell ref="C27:D27"/>
    <mergeCell ref="C28:D28"/>
    <mergeCell ref="C29:D29"/>
    <mergeCell ref="C36:D36"/>
    <mergeCell ref="C37:D37"/>
    <mergeCell ref="C16:D16"/>
    <mergeCell ref="C17:D17"/>
    <mergeCell ref="C18:D18"/>
    <mergeCell ref="C6:D6"/>
    <mergeCell ref="C7:D7"/>
    <mergeCell ref="C8:D8"/>
    <mergeCell ref="C9:D9"/>
    <mergeCell ref="C10:D10"/>
    <mergeCell ref="C11:D11"/>
    <mergeCell ref="C12:D12"/>
    <mergeCell ref="C14:D14"/>
    <mergeCell ref="C15:D15"/>
    <mergeCell ref="G3:M3"/>
    <mergeCell ref="O3:Q3"/>
    <mergeCell ref="A4:A5"/>
    <mergeCell ref="B4:B5"/>
    <mergeCell ref="C4:D5"/>
    <mergeCell ref="E4:E5"/>
    <mergeCell ref="F4:F5"/>
    <mergeCell ref="G4:J4"/>
    <mergeCell ref="T4:T5"/>
    <mergeCell ref="H100:I100"/>
    <mergeCell ref="J100:K100"/>
    <mergeCell ref="L100:M100"/>
    <mergeCell ref="N100:O100"/>
    <mergeCell ref="C64:D64"/>
    <mergeCell ref="C63:D63"/>
    <mergeCell ref="AT4:AW4"/>
    <mergeCell ref="AX4:BA4"/>
    <mergeCell ref="K4:N4"/>
    <mergeCell ref="O4:R4"/>
    <mergeCell ref="Z4:AC4"/>
    <mergeCell ref="AD4:AG4"/>
    <mergeCell ref="AH4:AK4"/>
    <mergeCell ref="AL4:AO4"/>
    <mergeCell ref="AP4:AS4"/>
    <mergeCell ref="S4:S5"/>
    <mergeCell ref="U4:U5"/>
    <mergeCell ref="V4:Y4"/>
    <mergeCell ref="C13:D13"/>
    <mergeCell ref="C19:D19"/>
    <mergeCell ref="C20:D20"/>
    <mergeCell ref="C21:D21"/>
    <mergeCell ref="C22:D22"/>
    <mergeCell ref="C23:D23"/>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208"/>
  <sheetViews>
    <sheetView zoomScale="157" zoomScaleNormal="120" workbookViewId="0">
      <pane xSplit="1" ySplit="5" topLeftCell="B107" activePane="bottomRight" state="frozen"/>
      <selection pane="topRight" activeCell="B1" sqref="B1"/>
      <selection pane="bottomLeft" activeCell="A6" sqref="A6"/>
      <selection pane="bottomRight" activeCell="B142" sqref="B14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53</v>
      </c>
    </row>
    <row r="3" spans="1:53" s="2" customFormat="1">
      <c r="G3" s="924"/>
      <c r="H3" s="924"/>
      <c r="I3" s="924"/>
      <c r="J3" s="924"/>
      <c r="K3" s="924"/>
      <c r="L3" s="924"/>
      <c r="M3" s="924"/>
      <c r="O3" s="924"/>
      <c r="P3" s="924"/>
      <c r="Q3" s="924"/>
      <c r="R3" s="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12" t="s">
        <v>1232</v>
      </c>
      <c r="D6" s="912"/>
      <c r="E6" s="227">
        <v>12</v>
      </c>
      <c r="G6" s="235">
        <v>3</v>
      </c>
      <c r="H6" s="227">
        <v>4</v>
      </c>
      <c r="I6" s="227">
        <v>3</v>
      </c>
      <c r="J6" s="242">
        <v>11</v>
      </c>
      <c r="K6" s="218">
        <f>G6/J6*100</f>
        <v>27.27272727272727</v>
      </c>
      <c r="L6" s="218">
        <f>H6/J6*100</f>
        <v>36.363636363636367</v>
      </c>
      <c r="M6" s="218">
        <f>I6/J6*100</f>
        <v>27.27272727272727</v>
      </c>
      <c r="N6" s="237">
        <f>SUM(K6:M6)</f>
        <v>90.909090909090907</v>
      </c>
      <c r="O6" s="217">
        <f>AG6+AK6</f>
        <v>21</v>
      </c>
      <c r="P6" s="218">
        <v>24</v>
      </c>
      <c r="Q6" s="218">
        <v>24</v>
      </c>
      <c r="R6" s="219">
        <f>SUM(O6:Q6)</f>
        <v>69</v>
      </c>
      <c r="S6" s="224">
        <v>2</v>
      </c>
      <c r="T6" s="870"/>
      <c r="U6" s="853"/>
      <c r="V6" s="226" t="s">
        <v>108</v>
      </c>
      <c r="W6" s="227" t="s">
        <v>75</v>
      </c>
      <c r="X6" s="227" t="s">
        <v>18</v>
      </c>
      <c r="Y6" s="228">
        <v>24</v>
      </c>
      <c r="Z6" s="226" t="s">
        <v>112</v>
      </c>
      <c r="AA6" s="227" t="s">
        <v>20</v>
      </c>
      <c r="AB6" s="227" t="s">
        <v>12</v>
      </c>
      <c r="AC6" s="227">
        <v>24</v>
      </c>
      <c r="AD6" s="226" t="s">
        <v>110</v>
      </c>
      <c r="AE6" s="227" t="s">
        <v>90</v>
      </c>
      <c r="AF6" s="227" t="s">
        <v>11</v>
      </c>
      <c r="AG6" s="228">
        <v>6.5</v>
      </c>
      <c r="AH6" s="226" t="s">
        <v>109</v>
      </c>
      <c r="AI6" s="227" t="s">
        <v>74</v>
      </c>
      <c r="AJ6" s="227" t="s">
        <v>11</v>
      </c>
      <c r="AK6" s="227">
        <v>14.5</v>
      </c>
      <c r="AL6" s="226"/>
      <c r="AO6" s="228"/>
      <c r="AP6" s="226"/>
      <c r="AS6" s="228"/>
      <c r="AW6" s="228"/>
      <c r="BA6" s="229"/>
    </row>
    <row r="7" spans="1:53" s="227" customFormat="1">
      <c r="A7" s="233">
        <v>1959</v>
      </c>
      <c r="B7" s="853">
        <v>21563</v>
      </c>
      <c r="C7" s="912" t="s">
        <v>334</v>
      </c>
      <c r="D7" s="912"/>
      <c r="E7" s="227">
        <f>365-E6</f>
        <v>353</v>
      </c>
      <c r="F7" s="227">
        <v>4</v>
      </c>
      <c r="G7" s="235"/>
      <c r="H7" s="227">
        <v>11</v>
      </c>
      <c r="J7" s="242">
        <v>11</v>
      </c>
      <c r="K7" s="218">
        <f>G7/J7*100</f>
        <v>0</v>
      </c>
      <c r="L7" s="218">
        <f>H7/J7*100</f>
        <v>100</v>
      </c>
      <c r="M7" s="218">
        <f>I7/J7*100</f>
        <v>0</v>
      </c>
      <c r="N7" s="237">
        <f>SUM(K7:M7)</f>
        <v>100</v>
      </c>
      <c r="O7" s="217"/>
      <c r="P7" s="218">
        <v>24</v>
      </c>
      <c r="Q7" s="218"/>
      <c r="R7" s="219">
        <f>SUM(O7:Q7)</f>
        <v>24</v>
      </c>
      <c r="S7" s="224">
        <v>4</v>
      </c>
      <c r="T7" s="870"/>
      <c r="U7" s="853">
        <v>21563</v>
      </c>
      <c r="V7" s="226" t="s">
        <v>108</v>
      </c>
      <c r="W7" s="227" t="s">
        <v>75</v>
      </c>
      <c r="X7" s="227" t="s">
        <v>18</v>
      </c>
      <c r="Y7" s="228">
        <v>24</v>
      </c>
      <c r="AD7" s="226"/>
      <c r="AG7" s="228"/>
      <c r="AL7" s="226"/>
      <c r="AO7" s="228"/>
      <c r="AP7" s="226"/>
      <c r="AS7" s="228"/>
      <c r="AW7" s="228"/>
      <c r="BA7" s="229"/>
    </row>
    <row r="8" spans="1:53" s="73" customFormat="1">
      <c r="A8" s="101">
        <v>1960</v>
      </c>
      <c r="B8" s="852"/>
      <c r="C8" s="901" t="s">
        <v>334</v>
      </c>
      <c r="D8" s="901"/>
      <c r="E8" s="73">
        <v>0</v>
      </c>
      <c r="G8" s="119"/>
      <c r="H8" s="73">
        <v>11</v>
      </c>
      <c r="J8" s="126">
        <v>11</v>
      </c>
      <c r="K8" s="92">
        <f>G8/J8*100</f>
        <v>0</v>
      </c>
      <c r="L8" s="92">
        <f>H8/J8*100</f>
        <v>100</v>
      </c>
      <c r="M8" s="92">
        <f>I8/J8*100</f>
        <v>0</v>
      </c>
      <c r="N8" s="121">
        <f>SUM(K8:M8)</f>
        <v>100</v>
      </c>
      <c r="O8" s="91"/>
      <c r="P8" s="92">
        <v>24</v>
      </c>
      <c r="Q8" s="92"/>
      <c r="R8" s="93">
        <f>SUM(O8:Q8)</f>
        <v>24</v>
      </c>
      <c r="S8" s="97">
        <v>4</v>
      </c>
      <c r="T8" s="839"/>
      <c r="U8" s="852"/>
      <c r="V8" s="82" t="s">
        <v>108</v>
      </c>
      <c r="W8" s="73" t="s">
        <v>75</v>
      </c>
      <c r="X8" s="73" t="s">
        <v>18</v>
      </c>
      <c r="Y8" s="83">
        <v>24</v>
      </c>
      <c r="AD8" s="82"/>
      <c r="AG8" s="83"/>
      <c r="AL8" s="82"/>
      <c r="AO8" s="83"/>
      <c r="AP8" s="82"/>
      <c r="AS8" s="83"/>
      <c r="AW8" s="83"/>
      <c r="BA8" s="84"/>
    </row>
    <row r="9" spans="1:53" s="73" customFormat="1">
      <c r="A9" s="101">
        <v>1960</v>
      </c>
      <c r="B9" s="852"/>
      <c r="C9" s="901" t="s">
        <v>334</v>
      </c>
      <c r="D9" s="901"/>
      <c r="E9" s="73">
        <v>366</v>
      </c>
      <c r="G9" s="119"/>
      <c r="H9" s="73">
        <v>11</v>
      </c>
      <c r="J9" s="126">
        <v>11</v>
      </c>
      <c r="K9" s="92">
        <f t="shared" ref="K9:K14" si="0">G9/J9*100</f>
        <v>0</v>
      </c>
      <c r="L9" s="92">
        <f t="shared" ref="L9:L14" si="1">H9/J9*100</f>
        <v>100</v>
      </c>
      <c r="M9" s="92">
        <f t="shared" ref="M9:M14" si="2">I9/J9*100</f>
        <v>0</v>
      </c>
      <c r="N9" s="121">
        <f t="shared" ref="N9:N72" si="3">SUM(K9:M9)</f>
        <v>100</v>
      </c>
      <c r="O9" s="91"/>
      <c r="P9" s="92">
        <v>24</v>
      </c>
      <c r="Q9" s="92"/>
      <c r="R9" s="93">
        <f t="shared" ref="R9:R72" si="4">SUM(O9:Q9)</f>
        <v>24</v>
      </c>
      <c r="S9" s="97">
        <v>4</v>
      </c>
      <c r="T9" s="839"/>
      <c r="U9" s="852"/>
      <c r="V9" s="82" t="s">
        <v>108</v>
      </c>
      <c r="W9" s="73" t="s">
        <v>75</v>
      </c>
      <c r="X9" s="73" t="s">
        <v>18</v>
      </c>
      <c r="Y9" s="83">
        <v>24</v>
      </c>
      <c r="Z9" s="82"/>
      <c r="AC9" s="83"/>
      <c r="AD9" s="82"/>
      <c r="AG9" s="83"/>
      <c r="AL9" s="82"/>
      <c r="AO9" s="83"/>
      <c r="AP9" s="82"/>
      <c r="AS9" s="83"/>
      <c r="AW9" s="83"/>
      <c r="BA9" s="84"/>
    </row>
    <row r="10" spans="1:53" s="73" customFormat="1">
      <c r="A10" s="101">
        <v>1961</v>
      </c>
      <c r="B10" s="852"/>
      <c r="C10" s="901" t="s">
        <v>334</v>
      </c>
      <c r="D10" s="901"/>
      <c r="E10" s="73">
        <v>194</v>
      </c>
      <c r="G10" s="119"/>
      <c r="H10" s="73">
        <v>11</v>
      </c>
      <c r="J10" s="126">
        <v>11</v>
      </c>
      <c r="K10" s="92">
        <f t="shared" si="0"/>
        <v>0</v>
      </c>
      <c r="L10" s="92">
        <f t="shared" si="1"/>
        <v>100</v>
      </c>
      <c r="M10" s="92">
        <f t="shared" si="2"/>
        <v>0</v>
      </c>
      <c r="N10" s="121">
        <f t="shared" si="3"/>
        <v>100</v>
      </c>
      <c r="O10" s="91"/>
      <c r="P10" s="92">
        <v>24</v>
      </c>
      <c r="Q10" s="92"/>
      <c r="R10" s="93">
        <f t="shared" si="4"/>
        <v>24</v>
      </c>
      <c r="S10" s="97">
        <v>4</v>
      </c>
      <c r="T10" s="839"/>
      <c r="U10" s="852"/>
      <c r="V10" s="82" t="s">
        <v>108</v>
      </c>
      <c r="W10" s="73" t="s">
        <v>75</v>
      </c>
      <c r="X10" s="73" t="s">
        <v>18</v>
      </c>
      <c r="Y10" s="83">
        <v>24</v>
      </c>
      <c r="Z10" s="82"/>
      <c r="AC10" s="83"/>
      <c r="AD10" s="82"/>
      <c r="AG10" s="83"/>
      <c r="AL10" s="82"/>
      <c r="AO10" s="83"/>
      <c r="AP10" s="82"/>
      <c r="AS10" s="83"/>
      <c r="AW10" s="83"/>
      <c r="BA10" s="84"/>
    </row>
    <row r="11" spans="1:53" s="292" customFormat="1">
      <c r="A11" s="338">
        <v>1961</v>
      </c>
      <c r="B11" s="836">
        <v>22476</v>
      </c>
      <c r="C11" s="909" t="s">
        <v>335</v>
      </c>
      <c r="D11" s="909"/>
      <c r="E11" s="292">
        <v>171</v>
      </c>
      <c r="F11" s="292">
        <v>2</v>
      </c>
      <c r="G11" s="366"/>
      <c r="H11" s="292">
        <v>12</v>
      </c>
      <c r="J11" s="377">
        <v>13</v>
      </c>
      <c r="K11" s="336">
        <f t="shared" si="0"/>
        <v>0</v>
      </c>
      <c r="L11" s="336">
        <f t="shared" si="1"/>
        <v>92.307692307692307</v>
      </c>
      <c r="M11" s="336">
        <f t="shared" si="2"/>
        <v>0</v>
      </c>
      <c r="N11" s="368">
        <f t="shared" si="3"/>
        <v>92.307692307692307</v>
      </c>
      <c r="O11" s="335"/>
      <c r="P11" s="336">
        <v>24</v>
      </c>
      <c r="Q11" s="336"/>
      <c r="R11" s="337">
        <f t="shared" si="4"/>
        <v>24</v>
      </c>
      <c r="S11" s="340">
        <v>4</v>
      </c>
      <c r="T11" s="838"/>
      <c r="U11" s="836">
        <v>22476</v>
      </c>
      <c r="V11" s="299" t="s">
        <v>108</v>
      </c>
      <c r="W11" s="292" t="s">
        <v>75</v>
      </c>
      <c r="X11" s="292" t="s">
        <v>18</v>
      </c>
      <c r="Y11" s="300">
        <v>24</v>
      </c>
      <c r="Z11" s="299"/>
      <c r="AC11" s="300"/>
      <c r="AD11" s="299"/>
      <c r="AG11" s="300"/>
      <c r="AL11" s="299"/>
      <c r="AO11" s="300"/>
      <c r="AP11" s="299"/>
      <c r="AS11" s="300"/>
      <c r="AW11" s="300"/>
      <c r="BA11" s="301"/>
    </row>
    <row r="12" spans="1:53" s="292" customFormat="1">
      <c r="A12" s="338">
        <v>1962</v>
      </c>
      <c r="B12" s="836"/>
      <c r="C12" s="909" t="s">
        <v>335</v>
      </c>
      <c r="D12" s="909"/>
      <c r="E12" s="292">
        <v>102</v>
      </c>
      <c r="G12" s="366"/>
      <c r="H12" s="292">
        <v>12</v>
      </c>
      <c r="J12" s="377">
        <v>13</v>
      </c>
      <c r="K12" s="336">
        <f t="shared" si="0"/>
        <v>0</v>
      </c>
      <c r="L12" s="336">
        <f t="shared" si="1"/>
        <v>92.307692307692307</v>
      </c>
      <c r="M12" s="336">
        <f t="shared" si="2"/>
        <v>0</v>
      </c>
      <c r="N12" s="368">
        <f t="shared" si="3"/>
        <v>92.307692307692307</v>
      </c>
      <c r="O12" s="335"/>
      <c r="P12" s="336">
        <v>24</v>
      </c>
      <c r="Q12" s="336"/>
      <c r="R12" s="337">
        <f t="shared" si="4"/>
        <v>24</v>
      </c>
      <c r="S12" s="340">
        <v>4</v>
      </c>
      <c r="T12" s="838"/>
      <c r="U12" s="836"/>
      <c r="V12" s="299" t="s">
        <v>108</v>
      </c>
      <c r="W12" s="292" t="s">
        <v>75</v>
      </c>
      <c r="X12" s="292" t="s">
        <v>18</v>
      </c>
      <c r="Y12" s="300">
        <v>24</v>
      </c>
      <c r="Z12" s="299"/>
      <c r="AC12" s="300"/>
      <c r="AD12" s="299"/>
      <c r="AG12" s="300"/>
      <c r="AL12" s="299"/>
      <c r="AO12" s="300"/>
      <c r="AP12" s="299"/>
      <c r="AS12" s="300"/>
      <c r="AW12" s="300"/>
      <c r="BA12" s="301"/>
    </row>
    <row r="13" spans="1:53" s="73" customFormat="1">
      <c r="A13" s="101">
        <v>1962</v>
      </c>
      <c r="B13" s="852">
        <v>22749</v>
      </c>
      <c r="C13" s="901" t="s">
        <v>336</v>
      </c>
      <c r="D13" s="901"/>
      <c r="E13" s="73">
        <v>263</v>
      </c>
      <c r="F13" s="73">
        <v>6</v>
      </c>
      <c r="G13" s="119">
        <v>3</v>
      </c>
      <c r="H13" s="73">
        <v>7</v>
      </c>
      <c r="J13" s="126">
        <v>11</v>
      </c>
      <c r="K13" s="92">
        <f t="shared" si="0"/>
        <v>27.27272727272727</v>
      </c>
      <c r="L13" s="92">
        <f t="shared" si="1"/>
        <v>63.636363636363633</v>
      </c>
      <c r="M13" s="92">
        <f t="shared" si="2"/>
        <v>0</v>
      </c>
      <c r="N13" s="121">
        <f t="shared" si="3"/>
        <v>90.909090909090907</v>
      </c>
      <c r="O13" s="91">
        <v>23</v>
      </c>
      <c r="P13" s="92">
        <v>33</v>
      </c>
      <c r="Q13" s="92"/>
      <c r="R13" s="93">
        <f t="shared" si="4"/>
        <v>56</v>
      </c>
      <c r="S13" s="97">
        <v>2</v>
      </c>
      <c r="T13" s="839">
        <v>22681</v>
      </c>
      <c r="U13" s="852">
        <v>22749</v>
      </c>
      <c r="V13" s="82" t="s">
        <v>108</v>
      </c>
      <c r="W13" s="73" t="s">
        <v>75</v>
      </c>
      <c r="X13" s="73" t="s">
        <v>18</v>
      </c>
      <c r="Y13" s="73">
        <v>26.5</v>
      </c>
      <c r="Z13" s="82" t="s">
        <v>109</v>
      </c>
      <c r="AA13" s="73" t="s">
        <v>74</v>
      </c>
      <c r="AB13" s="73" t="s">
        <v>11</v>
      </c>
      <c r="AC13" s="83">
        <v>16</v>
      </c>
      <c r="AD13" s="82" t="s">
        <v>110</v>
      </c>
      <c r="AE13" s="73" t="s">
        <v>90</v>
      </c>
      <c r="AF13" s="73" t="s">
        <v>11</v>
      </c>
      <c r="AG13" s="83">
        <v>7</v>
      </c>
      <c r="AH13" s="73" t="s">
        <v>111</v>
      </c>
      <c r="AI13" s="73" t="s">
        <v>22</v>
      </c>
      <c r="AJ13" s="73" t="s">
        <v>18</v>
      </c>
      <c r="AK13" s="73">
        <v>6.5</v>
      </c>
      <c r="AL13" s="82"/>
      <c r="AO13" s="83"/>
      <c r="AP13" s="82"/>
      <c r="AS13" s="83"/>
      <c r="AW13" s="83"/>
      <c r="BA13" s="84"/>
    </row>
    <row r="14" spans="1:53" s="73" customFormat="1">
      <c r="A14" s="101">
        <v>1962.6</v>
      </c>
      <c r="B14" s="852"/>
      <c r="C14" s="901" t="s">
        <v>336</v>
      </c>
      <c r="D14" s="901"/>
      <c r="E14" s="73">
        <v>294</v>
      </c>
      <c r="G14" s="119">
        <v>3</v>
      </c>
      <c r="H14" s="73">
        <v>7</v>
      </c>
      <c r="J14" s="126">
        <v>11</v>
      </c>
      <c r="K14" s="92">
        <f t="shared" si="0"/>
        <v>27.27272727272727</v>
      </c>
      <c r="L14" s="92">
        <f t="shared" si="1"/>
        <v>63.636363636363633</v>
      </c>
      <c r="M14" s="92">
        <f t="shared" si="2"/>
        <v>0</v>
      </c>
      <c r="N14" s="121">
        <f t="shared" si="3"/>
        <v>90.909090909090907</v>
      </c>
      <c r="O14" s="91">
        <v>23</v>
      </c>
      <c r="P14" s="92">
        <v>33</v>
      </c>
      <c r="Q14" s="92"/>
      <c r="R14" s="93">
        <f t="shared" si="4"/>
        <v>56</v>
      </c>
      <c r="S14" s="97">
        <v>2</v>
      </c>
      <c r="T14" s="839"/>
      <c r="U14" s="852"/>
      <c r="V14" s="82" t="s">
        <v>108</v>
      </c>
      <c r="W14" s="73" t="s">
        <v>75</v>
      </c>
      <c r="X14" s="73" t="s">
        <v>18</v>
      </c>
      <c r="Y14" s="73">
        <v>26.5</v>
      </c>
      <c r="Z14" s="82" t="s">
        <v>109</v>
      </c>
      <c r="AA14" s="73" t="s">
        <v>74</v>
      </c>
      <c r="AB14" s="73" t="s">
        <v>11</v>
      </c>
      <c r="AC14" s="83">
        <v>16</v>
      </c>
      <c r="AD14" s="82" t="s">
        <v>110</v>
      </c>
      <c r="AE14" s="73" t="s">
        <v>90</v>
      </c>
      <c r="AF14" s="73" t="s">
        <v>11</v>
      </c>
      <c r="AG14" s="83">
        <v>7</v>
      </c>
      <c r="AH14" s="73" t="s">
        <v>111</v>
      </c>
      <c r="AI14" s="73" t="s">
        <v>22</v>
      </c>
      <c r="AJ14" s="73" t="s">
        <v>18</v>
      </c>
      <c r="AK14" s="73">
        <v>6.5</v>
      </c>
      <c r="AL14" s="82"/>
      <c r="AO14" s="83"/>
      <c r="AP14" s="82"/>
      <c r="AS14" s="83"/>
      <c r="AW14" s="83"/>
      <c r="BA14" s="84"/>
    </row>
    <row r="15" spans="1:53" s="292" customFormat="1">
      <c r="A15" s="338">
        <v>1963.05714285714</v>
      </c>
      <c r="B15" s="836">
        <v>23306</v>
      </c>
      <c r="C15" s="909" t="s">
        <v>337</v>
      </c>
      <c r="D15" s="909"/>
      <c r="E15" s="292">
        <v>57</v>
      </c>
      <c r="F15" s="292">
        <v>4</v>
      </c>
      <c r="G15" s="366">
        <v>3</v>
      </c>
      <c r="H15" s="292">
        <v>7</v>
      </c>
      <c r="J15" s="377">
        <v>10</v>
      </c>
      <c r="K15" s="336">
        <f>G15/J15*100</f>
        <v>30</v>
      </c>
      <c r="L15" s="336">
        <f>H15/J15*100</f>
        <v>70</v>
      </c>
      <c r="M15" s="336">
        <f>I15/J15*100</f>
        <v>0</v>
      </c>
      <c r="N15" s="368">
        <f t="shared" si="3"/>
        <v>100</v>
      </c>
      <c r="O15" s="335">
        <v>23</v>
      </c>
      <c r="P15" s="336">
        <v>33</v>
      </c>
      <c r="Q15" s="336"/>
      <c r="R15" s="337">
        <f t="shared" si="4"/>
        <v>56</v>
      </c>
      <c r="S15" s="340">
        <v>2</v>
      </c>
      <c r="T15" s="838"/>
      <c r="U15" s="836">
        <v>23306</v>
      </c>
      <c r="V15" s="299" t="s">
        <v>108</v>
      </c>
      <c r="W15" s="292" t="s">
        <v>75</v>
      </c>
      <c r="X15" s="292" t="s">
        <v>18</v>
      </c>
      <c r="Y15" s="292">
        <v>26.5</v>
      </c>
      <c r="Z15" s="299" t="s">
        <v>109</v>
      </c>
      <c r="AA15" s="292" t="s">
        <v>74</v>
      </c>
      <c r="AB15" s="292" t="s">
        <v>11</v>
      </c>
      <c r="AC15" s="300">
        <v>16</v>
      </c>
      <c r="AD15" s="299" t="s">
        <v>110</v>
      </c>
      <c r="AE15" s="292" t="s">
        <v>90</v>
      </c>
      <c r="AF15" s="292" t="s">
        <v>11</v>
      </c>
      <c r="AG15" s="300">
        <v>7</v>
      </c>
      <c r="AH15" s="292" t="s">
        <v>111</v>
      </c>
      <c r="AI15" s="292" t="s">
        <v>22</v>
      </c>
      <c r="AJ15" s="292" t="s">
        <v>18</v>
      </c>
      <c r="AK15" s="292">
        <v>6.5</v>
      </c>
      <c r="AL15" s="299"/>
      <c r="AO15" s="300"/>
      <c r="AP15" s="299"/>
      <c r="AS15" s="300"/>
      <c r="AW15" s="300"/>
      <c r="BA15" s="301"/>
    </row>
    <row r="16" spans="1:53" s="73" customFormat="1">
      <c r="A16" s="101">
        <v>1963.05714285714</v>
      </c>
      <c r="B16" s="852">
        <v>23363</v>
      </c>
      <c r="C16" s="901" t="s">
        <v>342</v>
      </c>
      <c r="D16" s="901"/>
      <c r="E16" s="73">
        <v>14</v>
      </c>
      <c r="F16" s="73">
        <v>4</v>
      </c>
      <c r="G16" s="119">
        <v>0</v>
      </c>
      <c r="H16" s="73">
        <v>0</v>
      </c>
      <c r="I16" s="73">
        <v>0</v>
      </c>
      <c r="J16" s="126">
        <v>12</v>
      </c>
      <c r="K16" s="92">
        <f>G16/J16*100</f>
        <v>0</v>
      </c>
      <c r="L16" s="92">
        <f>H16/J16*100</f>
        <v>0</v>
      </c>
      <c r="M16" s="92">
        <f>I16/J16*100</f>
        <v>0</v>
      </c>
      <c r="N16" s="121">
        <f t="shared" si="3"/>
        <v>0</v>
      </c>
      <c r="O16" s="91">
        <v>0</v>
      </c>
      <c r="P16" s="92">
        <v>0</v>
      </c>
      <c r="Q16" s="92">
        <v>0</v>
      </c>
      <c r="R16" s="93">
        <f t="shared" si="4"/>
        <v>0</v>
      </c>
      <c r="S16" s="97">
        <v>7</v>
      </c>
      <c r="T16" s="839"/>
      <c r="U16" s="852">
        <v>23363</v>
      </c>
      <c r="V16" s="145" t="s">
        <v>801</v>
      </c>
      <c r="Z16" s="82"/>
      <c r="AC16" s="83"/>
      <c r="AD16" s="82"/>
      <c r="AG16" s="83"/>
      <c r="AL16" s="82"/>
      <c r="AO16" s="83"/>
      <c r="AP16" s="82"/>
      <c r="AS16" s="83"/>
      <c r="AW16" s="83"/>
      <c r="BA16" s="84"/>
    </row>
    <row r="17" spans="1:53" s="73" customFormat="1">
      <c r="A17" s="101">
        <v>1963.5142857142901</v>
      </c>
      <c r="B17" s="852"/>
      <c r="C17" s="901" t="s">
        <v>342</v>
      </c>
      <c r="D17" s="901"/>
      <c r="E17" s="73">
        <v>255</v>
      </c>
      <c r="G17" s="119">
        <v>0</v>
      </c>
      <c r="H17" s="73">
        <v>0</v>
      </c>
      <c r="I17" s="73">
        <v>0</v>
      </c>
      <c r="J17" s="126">
        <v>12</v>
      </c>
      <c r="K17" s="92">
        <f t="shared" ref="K17:K22" si="5">G17/J17*100</f>
        <v>0</v>
      </c>
      <c r="L17" s="92">
        <f t="shared" ref="L17:L22" si="6">H17/J17*100</f>
        <v>0</v>
      </c>
      <c r="M17" s="92">
        <f t="shared" ref="M17:M22" si="7">I17/J17*100</f>
        <v>0</v>
      </c>
      <c r="N17" s="121">
        <f t="shared" si="3"/>
        <v>0</v>
      </c>
      <c r="O17" s="91">
        <v>0</v>
      </c>
      <c r="P17" s="92">
        <v>0</v>
      </c>
      <c r="Q17" s="92">
        <v>0</v>
      </c>
      <c r="R17" s="93">
        <f t="shared" si="4"/>
        <v>0</v>
      </c>
      <c r="S17" s="97">
        <v>7</v>
      </c>
      <c r="T17" s="839"/>
      <c r="U17" s="852"/>
      <c r="V17" s="145" t="s">
        <v>801</v>
      </c>
      <c r="Z17" s="82"/>
      <c r="AC17" s="83"/>
      <c r="AD17" s="82"/>
      <c r="AG17" s="83"/>
      <c r="AL17" s="82"/>
      <c r="AO17" s="83"/>
      <c r="AP17" s="82"/>
      <c r="AS17" s="83"/>
      <c r="AW17" s="83"/>
      <c r="BA17" s="84"/>
    </row>
    <row r="18" spans="1:53" s="292" customFormat="1">
      <c r="A18" s="338">
        <v>1963.9714285714299</v>
      </c>
      <c r="B18" s="836">
        <v>23632</v>
      </c>
      <c r="C18" s="909" t="s">
        <v>339</v>
      </c>
      <c r="D18" s="909"/>
      <c r="E18" s="292">
        <v>111</v>
      </c>
      <c r="F18" s="292" t="s">
        <v>338</v>
      </c>
      <c r="G18" s="366">
        <v>4</v>
      </c>
      <c r="H18" s="292">
        <v>7</v>
      </c>
      <c r="J18" s="377">
        <v>11</v>
      </c>
      <c r="K18" s="336">
        <f t="shared" si="5"/>
        <v>36.363636363636367</v>
      </c>
      <c r="L18" s="336">
        <f t="shared" si="6"/>
        <v>63.636363636363633</v>
      </c>
      <c r="M18" s="336">
        <f t="shared" si="7"/>
        <v>0</v>
      </c>
      <c r="N18" s="368">
        <f t="shared" si="3"/>
        <v>100</v>
      </c>
      <c r="O18" s="335">
        <v>23</v>
      </c>
      <c r="P18" s="336">
        <v>33</v>
      </c>
      <c r="Q18" s="336"/>
      <c r="R18" s="337">
        <f t="shared" si="4"/>
        <v>56</v>
      </c>
      <c r="S18" s="340">
        <v>2</v>
      </c>
      <c r="T18" s="838"/>
      <c r="U18" s="836">
        <v>23632</v>
      </c>
      <c r="V18" s="299" t="s">
        <v>108</v>
      </c>
      <c r="W18" s="292" t="s">
        <v>75</v>
      </c>
      <c r="X18" s="292" t="s">
        <v>18</v>
      </c>
      <c r="Y18" s="292">
        <v>26.5</v>
      </c>
      <c r="Z18" s="299" t="s">
        <v>109</v>
      </c>
      <c r="AA18" s="292" t="s">
        <v>74</v>
      </c>
      <c r="AB18" s="292" t="s">
        <v>11</v>
      </c>
      <c r="AC18" s="300">
        <v>16</v>
      </c>
      <c r="AD18" s="299" t="s">
        <v>110</v>
      </c>
      <c r="AE18" s="292" t="s">
        <v>90</v>
      </c>
      <c r="AF18" s="292" t="s">
        <v>11</v>
      </c>
      <c r="AG18" s="300">
        <v>7</v>
      </c>
      <c r="AH18" s="292" t="s">
        <v>111</v>
      </c>
      <c r="AI18" s="292" t="s">
        <v>22</v>
      </c>
      <c r="AJ18" s="292" t="s">
        <v>18</v>
      </c>
      <c r="AK18" s="292">
        <v>6.5</v>
      </c>
      <c r="AL18" s="299"/>
      <c r="AO18" s="300"/>
      <c r="AP18" s="299"/>
      <c r="AS18" s="300"/>
      <c r="AW18" s="300"/>
      <c r="BA18" s="301"/>
    </row>
    <row r="19" spans="1:53" s="292" customFormat="1">
      <c r="A19" s="338">
        <v>1965</v>
      </c>
      <c r="B19" s="836"/>
      <c r="C19" s="909" t="s">
        <v>339</v>
      </c>
      <c r="D19" s="909"/>
      <c r="E19" s="292">
        <v>0</v>
      </c>
      <c r="G19" s="366">
        <v>4</v>
      </c>
      <c r="H19" s="292">
        <v>7</v>
      </c>
      <c r="J19" s="377">
        <v>11</v>
      </c>
      <c r="K19" s="336">
        <f t="shared" si="5"/>
        <v>36.363636363636367</v>
      </c>
      <c r="L19" s="336">
        <f t="shared" si="6"/>
        <v>63.636363636363633</v>
      </c>
      <c r="M19" s="336">
        <f t="shared" si="7"/>
        <v>0</v>
      </c>
      <c r="N19" s="368">
        <f t="shared" si="3"/>
        <v>100</v>
      </c>
      <c r="O19" s="335">
        <v>23</v>
      </c>
      <c r="P19" s="336">
        <v>33</v>
      </c>
      <c r="Q19" s="336"/>
      <c r="R19" s="337">
        <f t="shared" si="4"/>
        <v>56</v>
      </c>
      <c r="S19" s="340">
        <v>2</v>
      </c>
      <c r="T19" s="838"/>
      <c r="U19" s="836"/>
      <c r="V19" s="299" t="s">
        <v>108</v>
      </c>
      <c r="W19" s="292" t="s">
        <v>75</v>
      </c>
      <c r="X19" s="292" t="s">
        <v>18</v>
      </c>
      <c r="Y19" s="292">
        <v>26.5</v>
      </c>
      <c r="Z19" s="299" t="s">
        <v>109</v>
      </c>
      <c r="AA19" s="292" t="s">
        <v>74</v>
      </c>
      <c r="AB19" s="292" t="s">
        <v>11</v>
      </c>
      <c r="AC19" s="300">
        <v>16</v>
      </c>
      <c r="AD19" s="299" t="s">
        <v>110</v>
      </c>
      <c r="AE19" s="292" t="s">
        <v>90</v>
      </c>
      <c r="AF19" s="292" t="s">
        <v>11</v>
      </c>
      <c r="AG19" s="300">
        <v>7</v>
      </c>
      <c r="AH19" s="292" t="s">
        <v>111</v>
      </c>
      <c r="AI19" s="292" t="s">
        <v>22</v>
      </c>
      <c r="AJ19" s="292" t="s">
        <v>18</v>
      </c>
      <c r="AK19" s="292">
        <v>6.5</v>
      </c>
      <c r="AL19" s="299"/>
      <c r="AO19" s="300"/>
      <c r="AP19" s="299"/>
      <c r="AS19" s="300"/>
      <c r="AW19" s="300"/>
      <c r="BA19" s="301"/>
    </row>
    <row r="20" spans="1:53" s="292" customFormat="1">
      <c r="A20" s="338">
        <v>1964.88571428572</v>
      </c>
      <c r="B20" s="836"/>
      <c r="C20" s="909" t="s">
        <v>339</v>
      </c>
      <c r="D20" s="909"/>
      <c r="E20" s="292">
        <v>365</v>
      </c>
      <c r="G20" s="366">
        <v>4</v>
      </c>
      <c r="H20" s="292">
        <v>7</v>
      </c>
      <c r="J20" s="377">
        <v>11</v>
      </c>
      <c r="K20" s="336">
        <f t="shared" si="5"/>
        <v>36.363636363636367</v>
      </c>
      <c r="L20" s="336">
        <f t="shared" si="6"/>
        <v>63.636363636363633</v>
      </c>
      <c r="M20" s="336">
        <f t="shared" si="7"/>
        <v>0</v>
      </c>
      <c r="N20" s="368">
        <f t="shared" si="3"/>
        <v>100</v>
      </c>
      <c r="O20" s="335">
        <v>23</v>
      </c>
      <c r="P20" s="336">
        <v>33</v>
      </c>
      <c r="Q20" s="336"/>
      <c r="R20" s="337">
        <f t="shared" si="4"/>
        <v>56</v>
      </c>
      <c r="S20" s="340">
        <v>2</v>
      </c>
      <c r="T20" s="838"/>
      <c r="U20" s="836"/>
      <c r="V20" s="299" t="s">
        <v>108</v>
      </c>
      <c r="W20" s="292" t="s">
        <v>75</v>
      </c>
      <c r="X20" s="292" t="s">
        <v>18</v>
      </c>
      <c r="Y20" s="292">
        <v>26.5</v>
      </c>
      <c r="Z20" s="299" t="s">
        <v>109</v>
      </c>
      <c r="AA20" s="292" t="s">
        <v>74</v>
      </c>
      <c r="AB20" s="292" t="s">
        <v>11</v>
      </c>
      <c r="AC20" s="300">
        <v>16</v>
      </c>
      <c r="AD20" s="299" t="s">
        <v>110</v>
      </c>
      <c r="AE20" s="292" t="s">
        <v>90</v>
      </c>
      <c r="AF20" s="292" t="s">
        <v>11</v>
      </c>
      <c r="AG20" s="300">
        <v>7</v>
      </c>
      <c r="AH20" s="292" t="s">
        <v>111</v>
      </c>
      <c r="AI20" s="292" t="s">
        <v>22</v>
      </c>
      <c r="AJ20" s="292" t="s">
        <v>18</v>
      </c>
      <c r="AK20" s="292">
        <v>6.5</v>
      </c>
      <c r="AL20" s="299"/>
      <c r="AO20" s="300"/>
      <c r="AP20" s="299"/>
      <c r="AS20" s="300"/>
      <c r="AW20" s="300"/>
      <c r="BA20" s="301"/>
    </row>
    <row r="21" spans="1:53" s="292" customFormat="1">
      <c r="A21" s="338">
        <v>1966</v>
      </c>
      <c r="B21" s="836"/>
      <c r="C21" s="909" t="s">
        <v>339</v>
      </c>
      <c r="D21" s="909"/>
      <c r="E21" s="292">
        <v>146</v>
      </c>
      <c r="G21" s="366">
        <v>4</v>
      </c>
      <c r="H21" s="292">
        <v>7</v>
      </c>
      <c r="J21" s="377">
        <v>11</v>
      </c>
      <c r="K21" s="336">
        <f t="shared" si="5"/>
        <v>36.363636363636367</v>
      </c>
      <c r="L21" s="336">
        <f t="shared" si="6"/>
        <v>63.636363636363633</v>
      </c>
      <c r="M21" s="336">
        <f t="shared" si="7"/>
        <v>0</v>
      </c>
      <c r="N21" s="368">
        <f t="shared" si="3"/>
        <v>100</v>
      </c>
      <c r="O21" s="335">
        <v>23</v>
      </c>
      <c r="P21" s="336">
        <v>33</v>
      </c>
      <c r="Q21" s="336"/>
      <c r="R21" s="337">
        <f t="shared" si="4"/>
        <v>56</v>
      </c>
      <c r="S21" s="340">
        <v>2</v>
      </c>
      <c r="T21" s="838"/>
      <c r="U21" s="836"/>
      <c r="V21" s="299" t="s">
        <v>108</v>
      </c>
      <c r="W21" s="292" t="s">
        <v>75</v>
      </c>
      <c r="X21" s="292" t="s">
        <v>18</v>
      </c>
      <c r="Y21" s="292">
        <v>26.5</v>
      </c>
      <c r="Z21" s="299" t="s">
        <v>109</v>
      </c>
      <c r="AA21" s="292" t="s">
        <v>74</v>
      </c>
      <c r="AB21" s="292" t="s">
        <v>11</v>
      </c>
      <c r="AC21" s="300">
        <v>16</v>
      </c>
      <c r="AD21" s="299" t="s">
        <v>110</v>
      </c>
      <c r="AE21" s="292" t="s">
        <v>90</v>
      </c>
      <c r="AF21" s="292" t="s">
        <v>11</v>
      </c>
      <c r="AG21" s="300">
        <v>7</v>
      </c>
      <c r="AH21" s="292" t="s">
        <v>111</v>
      </c>
      <c r="AI21" s="292" t="s">
        <v>22</v>
      </c>
      <c r="AJ21" s="292" t="s">
        <v>18</v>
      </c>
      <c r="AK21" s="292">
        <v>6.5</v>
      </c>
      <c r="AL21" s="299"/>
      <c r="AO21" s="300"/>
      <c r="AP21" s="299"/>
      <c r="AS21" s="300"/>
      <c r="AW21" s="300"/>
      <c r="BA21" s="301"/>
    </row>
    <row r="22" spans="1:53" s="73" customFormat="1">
      <c r="A22" s="101">
        <v>1965.8</v>
      </c>
      <c r="B22" s="852">
        <v>24254</v>
      </c>
      <c r="C22" s="901" t="s">
        <v>340</v>
      </c>
      <c r="D22" s="901"/>
      <c r="E22" s="73">
        <v>219</v>
      </c>
      <c r="F22" s="73">
        <v>1</v>
      </c>
      <c r="G22" s="119"/>
      <c r="H22" s="73">
        <v>4</v>
      </c>
      <c r="I22" s="73">
        <v>8</v>
      </c>
      <c r="J22" s="126">
        <v>12</v>
      </c>
      <c r="K22" s="92">
        <f t="shared" si="5"/>
        <v>0</v>
      </c>
      <c r="L22" s="92">
        <f t="shared" si="6"/>
        <v>33.333333333333329</v>
      </c>
      <c r="M22" s="92">
        <f t="shared" si="7"/>
        <v>66.666666666666657</v>
      </c>
      <c r="N22" s="121">
        <f t="shared" si="3"/>
        <v>99.999999999999986</v>
      </c>
      <c r="O22" s="91"/>
      <c r="P22" s="92">
        <v>24.5</v>
      </c>
      <c r="Q22" s="92">
        <v>51.5</v>
      </c>
      <c r="R22" s="93">
        <f t="shared" si="4"/>
        <v>76</v>
      </c>
      <c r="S22" s="97">
        <v>3</v>
      </c>
      <c r="T22" s="839">
        <v>24186</v>
      </c>
      <c r="U22" s="852">
        <v>24254</v>
      </c>
      <c r="V22" s="82" t="s">
        <v>112</v>
      </c>
      <c r="W22" s="73" t="s">
        <v>20</v>
      </c>
      <c r="X22" s="73" t="s">
        <v>12</v>
      </c>
      <c r="Y22" s="83">
        <v>27.5</v>
      </c>
      <c r="Z22" s="82" t="s">
        <v>108</v>
      </c>
      <c r="AA22" s="73" t="s">
        <v>75</v>
      </c>
      <c r="AB22" s="73" t="s">
        <v>18</v>
      </c>
      <c r="AC22" s="83">
        <v>24.5</v>
      </c>
      <c r="AD22" s="82" t="s">
        <v>113</v>
      </c>
      <c r="AE22" s="73" t="s">
        <v>114</v>
      </c>
      <c r="AF22" s="73" t="s">
        <v>12</v>
      </c>
      <c r="AG22" s="83">
        <v>20.5</v>
      </c>
      <c r="AH22" s="73" t="s">
        <v>115</v>
      </c>
      <c r="AI22" s="73" t="s">
        <v>116</v>
      </c>
      <c r="AJ22" s="73" t="s">
        <v>12</v>
      </c>
      <c r="AK22" s="73">
        <v>3.5</v>
      </c>
      <c r="AL22" s="82"/>
      <c r="AO22" s="83"/>
      <c r="AP22" s="82"/>
      <c r="AS22" s="83"/>
      <c r="AW22" s="83"/>
      <c r="BA22" s="84"/>
    </row>
    <row r="23" spans="1:53" s="73" customFormat="1">
      <c r="A23" s="101">
        <v>1967</v>
      </c>
      <c r="B23" s="852"/>
      <c r="C23" s="901" t="s">
        <v>340</v>
      </c>
      <c r="D23" s="901"/>
      <c r="E23" s="73">
        <v>0</v>
      </c>
      <c r="G23" s="119"/>
      <c r="H23" s="73">
        <v>4</v>
      </c>
      <c r="I23" s="73">
        <v>8</v>
      </c>
      <c r="J23" s="126">
        <v>12</v>
      </c>
      <c r="K23" s="92">
        <f>G23/J23*100</f>
        <v>0</v>
      </c>
      <c r="L23" s="92">
        <f>H23/J23*100</f>
        <v>33.333333333333329</v>
      </c>
      <c r="M23" s="92">
        <f>I23/J23*100</f>
        <v>66.666666666666657</v>
      </c>
      <c r="N23" s="121">
        <f t="shared" si="3"/>
        <v>99.999999999999986</v>
      </c>
      <c r="O23" s="91"/>
      <c r="P23" s="92">
        <v>24.5</v>
      </c>
      <c r="Q23" s="92">
        <v>51.5</v>
      </c>
      <c r="R23" s="93">
        <f t="shared" si="4"/>
        <v>76</v>
      </c>
      <c r="S23" s="97">
        <v>3</v>
      </c>
      <c r="T23" s="839"/>
      <c r="U23" s="852"/>
      <c r="V23" s="82" t="s">
        <v>112</v>
      </c>
      <c r="W23" s="73" t="s">
        <v>20</v>
      </c>
      <c r="X23" s="73" t="s">
        <v>12</v>
      </c>
      <c r="Y23" s="83">
        <v>27.5</v>
      </c>
      <c r="Z23" s="82" t="s">
        <v>108</v>
      </c>
      <c r="AA23" s="73" t="s">
        <v>75</v>
      </c>
      <c r="AB23" s="73" t="s">
        <v>18</v>
      </c>
      <c r="AC23" s="83">
        <v>24.5</v>
      </c>
      <c r="AD23" s="82" t="s">
        <v>113</v>
      </c>
      <c r="AE23" s="73" t="s">
        <v>114</v>
      </c>
      <c r="AF23" s="73" t="s">
        <v>12</v>
      </c>
      <c r="AG23" s="83">
        <v>20.5</v>
      </c>
      <c r="AH23" s="73" t="s">
        <v>115</v>
      </c>
      <c r="AI23" s="73" t="s">
        <v>116</v>
      </c>
      <c r="AJ23" s="73" t="s">
        <v>12</v>
      </c>
      <c r="AK23" s="73">
        <v>3.5</v>
      </c>
      <c r="AL23" s="82"/>
      <c r="AO23" s="83"/>
      <c r="AP23" s="82"/>
      <c r="AS23" s="83"/>
      <c r="AW23" s="83"/>
      <c r="BA23" s="84"/>
    </row>
    <row r="24" spans="1:53" s="73" customFormat="1">
      <c r="A24" s="101">
        <v>1966.7142857142901</v>
      </c>
      <c r="B24" s="852"/>
      <c r="C24" s="901" t="s">
        <v>340</v>
      </c>
      <c r="D24" s="901"/>
      <c r="E24" s="73">
        <v>365</v>
      </c>
      <c r="G24" s="119"/>
      <c r="H24" s="73">
        <v>4</v>
      </c>
      <c r="I24" s="73">
        <v>8</v>
      </c>
      <c r="J24" s="126">
        <v>12</v>
      </c>
      <c r="K24" s="92">
        <f t="shared" ref="K24:K29" si="8">G24/J24*100</f>
        <v>0</v>
      </c>
      <c r="L24" s="92">
        <f t="shared" ref="L24:L29" si="9">H24/J24*100</f>
        <v>33.333333333333329</v>
      </c>
      <c r="M24" s="92">
        <f t="shared" ref="M24:M29" si="10">I24/J24*100</f>
        <v>66.666666666666657</v>
      </c>
      <c r="N24" s="121">
        <f t="shared" si="3"/>
        <v>99.999999999999986</v>
      </c>
      <c r="O24" s="91"/>
      <c r="P24" s="92">
        <v>24.5</v>
      </c>
      <c r="Q24" s="92">
        <v>51.5</v>
      </c>
      <c r="R24" s="93">
        <f t="shared" si="4"/>
        <v>76</v>
      </c>
      <c r="S24" s="97">
        <v>3</v>
      </c>
      <c r="T24" s="839"/>
      <c r="U24" s="852"/>
      <c r="V24" s="82" t="s">
        <v>112</v>
      </c>
      <c r="W24" s="73" t="s">
        <v>20</v>
      </c>
      <c r="X24" s="73" t="s">
        <v>12</v>
      </c>
      <c r="Y24" s="83">
        <v>27.5</v>
      </c>
      <c r="Z24" s="82" t="s">
        <v>108</v>
      </c>
      <c r="AA24" s="73" t="s">
        <v>75</v>
      </c>
      <c r="AB24" s="73" t="s">
        <v>18</v>
      </c>
      <c r="AC24" s="83">
        <v>24.5</v>
      </c>
      <c r="AD24" s="82" t="s">
        <v>113</v>
      </c>
      <c r="AE24" s="73" t="s">
        <v>114</v>
      </c>
      <c r="AF24" s="73" t="s">
        <v>12</v>
      </c>
      <c r="AG24" s="83">
        <v>20.5</v>
      </c>
      <c r="AH24" s="73" t="s">
        <v>115</v>
      </c>
      <c r="AI24" s="73" t="s">
        <v>116</v>
      </c>
      <c r="AJ24" s="73" t="s">
        <v>12</v>
      </c>
      <c r="AK24" s="73">
        <v>3.5</v>
      </c>
      <c r="AL24" s="82"/>
      <c r="AO24" s="83"/>
      <c r="AP24" s="82"/>
      <c r="AS24" s="83"/>
      <c r="AW24" s="83"/>
      <c r="BA24" s="84"/>
    </row>
    <row r="25" spans="1:53" s="73" customFormat="1">
      <c r="A25" s="101">
        <v>1968</v>
      </c>
      <c r="B25" s="852"/>
      <c r="C25" s="901" t="s">
        <v>340</v>
      </c>
      <c r="D25" s="901"/>
      <c r="E25" s="73">
        <v>81</v>
      </c>
      <c r="G25" s="119"/>
      <c r="H25" s="73">
        <v>4</v>
      </c>
      <c r="I25" s="73">
        <v>8</v>
      </c>
      <c r="J25" s="126">
        <v>12</v>
      </c>
      <c r="K25" s="92">
        <f t="shared" si="8"/>
        <v>0</v>
      </c>
      <c r="L25" s="92">
        <f t="shared" si="9"/>
        <v>33.333333333333329</v>
      </c>
      <c r="M25" s="92">
        <f t="shared" si="10"/>
        <v>66.666666666666657</v>
      </c>
      <c r="N25" s="121">
        <f t="shared" si="3"/>
        <v>99.999999999999986</v>
      </c>
      <c r="O25" s="91">
        <v>6</v>
      </c>
      <c r="P25" s="92">
        <v>24.5</v>
      </c>
      <c r="Q25" s="92">
        <v>51.5</v>
      </c>
      <c r="R25" s="93">
        <f t="shared" si="4"/>
        <v>82</v>
      </c>
      <c r="S25" s="97">
        <v>3</v>
      </c>
      <c r="T25" s="839"/>
      <c r="U25" s="852"/>
      <c r="V25" s="82" t="s">
        <v>112</v>
      </c>
      <c r="W25" s="73" t="s">
        <v>20</v>
      </c>
      <c r="X25" s="73" t="s">
        <v>12</v>
      </c>
      <c r="Y25" s="83">
        <v>27.5</v>
      </c>
      <c r="Z25" s="82" t="s">
        <v>108</v>
      </c>
      <c r="AA25" s="73" t="s">
        <v>75</v>
      </c>
      <c r="AB25" s="73" t="s">
        <v>18</v>
      </c>
      <c r="AC25" s="83">
        <v>24.5</v>
      </c>
      <c r="AD25" s="82" t="s">
        <v>113</v>
      </c>
      <c r="AE25" s="73" t="s">
        <v>114</v>
      </c>
      <c r="AF25" s="73" t="s">
        <v>12</v>
      </c>
      <c r="AG25" s="83">
        <v>20.5</v>
      </c>
      <c r="AH25" s="73" t="s">
        <v>115</v>
      </c>
      <c r="AI25" s="73" t="s">
        <v>116</v>
      </c>
      <c r="AJ25" s="73" t="s">
        <v>12</v>
      </c>
      <c r="AK25" s="73">
        <v>3.5</v>
      </c>
      <c r="AL25" s="82"/>
      <c r="AO25" s="83"/>
      <c r="AP25" s="82"/>
      <c r="AS25" s="83"/>
      <c r="AW25" s="83"/>
      <c r="BA25" s="84"/>
    </row>
    <row r="26" spans="1:53" s="292" customFormat="1">
      <c r="A26" s="338">
        <v>1967.62857142857</v>
      </c>
      <c r="B26" s="836">
        <v>24919</v>
      </c>
      <c r="C26" s="909" t="s">
        <v>341</v>
      </c>
      <c r="D26" s="909"/>
      <c r="E26" s="292">
        <v>285</v>
      </c>
      <c r="F26" s="292">
        <v>2</v>
      </c>
      <c r="G26" s="366">
        <v>1</v>
      </c>
      <c r="H26" s="292">
        <v>4</v>
      </c>
      <c r="I26" s="292">
        <v>7</v>
      </c>
      <c r="J26" s="377">
        <v>12</v>
      </c>
      <c r="K26" s="336">
        <f t="shared" si="8"/>
        <v>8.3333333333333321</v>
      </c>
      <c r="L26" s="336">
        <f t="shared" si="9"/>
        <v>33.333333333333329</v>
      </c>
      <c r="M26" s="336">
        <f t="shared" si="10"/>
        <v>58.333333333333336</v>
      </c>
      <c r="N26" s="368">
        <f t="shared" si="3"/>
        <v>100</v>
      </c>
      <c r="O26" s="335">
        <v>6</v>
      </c>
      <c r="P26" s="336">
        <v>24.5</v>
      </c>
      <c r="Q26" s="336">
        <v>51.5</v>
      </c>
      <c r="R26" s="337">
        <f t="shared" si="4"/>
        <v>82</v>
      </c>
      <c r="S26" s="340">
        <v>3</v>
      </c>
      <c r="T26" s="838"/>
      <c r="U26" s="836">
        <v>24919</v>
      </c>
      <c r="V26" s="299" t="s">
        <v>112</v>
      </c>
      <c r="W26" s="292" t="s">
        <v>20</v>
      </c>
      <c r="X26" s="292" t="s">
        <v>12</v>
      </c>
      <c r="Y26" s="300">
        <v>27.5</v>
      </c>
      <c r="Z26" s="299" t="s">
        <v>108</v>
      </c>
      <c r="AA26" s="292" t="s">
        <v>75</v>
      </c>
      <c r="AB26" s="292" t="s">
        <v>18</v>
      </c>
      <c r="AC26" s="300">
        <v>24.5</v>
      </c>
      <c r="AD26" s="299" t="s">
        <v>113</v>
      </c>
      <c r="AE26" s="292" t="s">
        <v>114</v>
      </c>
      <c r="AF26" s="292" t="s">
        <v>12</v>
      </c>
      <c r="AG26" s="300">
        <v>20.5</v>
      </c>
      <c r="AH26" s="292" t="s">
        <v>115</v>
      </c>
      <c r="AI26" s="292" t="s">
        <v>116</v>
      </c>
      <c r="AJ26" s="292" t="s">
        <v>12</v>
      </c>
      <c r="AK26" s="292">
        <v>3.5</v>
      </c>
      <c r="AL26" s="299" t="s">
        <v>110</v>
      </c>
      <c r="AM26" s="292" t="s">
        <v>90</v>
      </c>
      <c r="AN26" s="292" t="s">
        <v>11</v>
      </c>
      <c r="AO26" s="300">
        <v>6</v>
      </c>
      <c r="AP26" s="299"/>
      <c r="AS26" s="300"/>
      <c r="AW26" s="300"/>
      <c r="BA26" s="301"/>
    </row>
    <row r="27" spans="1:53" s="292" customFormat="1">
      <c r="A27" s="338">
        <v>1969</v>
      </c>
      <c r="B27" s="836"/>
      <c r="C27" s="909" t="s">
        <v>341</v>
      </c>
      <c r="D27" s="909"/>
      <c r="E27" s="292">
        <v>0</v>
      </c>
      <c r="G27" s="366">
        <v>1</v>
      </c>
      <c r="H27" s="292">
        <v>4</v>
      </c>
      <c r="I27" s="292">
        <v>7</v>
      </c>
      <c r="J27" s="377">
        <v>12</v>
      </c>
      <c r="K27" s="336">
        <f t="shared" si="8"/>
        <v>8.3333333333333321</v>
      </c>
      <c r="L27" s="336">
        <f t="shared" si="9"/>
        <v>33.333333333333329</v>
      </c>
      <c r="M27" s="336">
        <f t="shared" si="10"/>
        <v>58.333333333333336</v>
      </c>
      <c r="N27" s="368">
        <f t="shared" si="3"/>
        <v>100</v>
      </c>
      <c r="O27" s="335">
        <v>6</v>
      </c>
      <c r="P27" s="336">
        <v>24.5</v>
      </c>
      <c r="Q27" s="336">
        <v>51.5</v>
      </c>
      <c r="R27" s="337">
        <f t="shared" si="4"/>
        <v>82</v>
      </c>
      <c r="S27" s="340">
        <v>3</v>
      </c>
      <c r="T27" s="838"/>
      <c r="U27" s="836"/>
      <c r="V27" s="299" t="s">
        <v>112</v>
      </c>
      <c r="W27" s="292" t="s">
        <v>20</v>
      </c>
      <c r="X27" s="292" t="s">
        <v>12</v>
      </c>
      <c r="Y27" s="300">
        <v>27.5</v>
      </c>
      <c r="Z27" s="299" t="s">
        <v>108</v>
      </c>
      <c r="AA27" s="292" t="s">
        <v>75</v>
      </c>
      <c r="AB27" s="292" t="s">
        <v>18</v>
      </c>
      <c r="AC27" s="300">
        <v>24.5</v>
      </c>
      <c r="AD27" s="299" t="s">
        <v>113</v>
      </c>
      <c r="AE27" s="292" t="s">
        <v>114</v>
      </c>
      <c r="AF27" s="292" t="s">
        <v>12</v>
      </c>
      <c r="AG27" s="300">
        <v>20.5</v>
      </c>
      <c r="AH27" s="292" t="s">
        <v>115</v>
      </c>
      <c r="AI27" s="292" t="s">
        <v>116</v>
      </c>
      <c r="AJ27" s="292" t="s">
        <v>12</v>
      </c>
      <c r="AK27" s="292">
        <v>3.5</v>
      </c>
      <c r="AL27" s="299" t="s">
        <v>110</v>
      </c>
      <c r="AM27" s="292" t="s">
        <v>90</v>
      </c>
      <c r="AN27" s="292" t="s">
        <v>11</v>
      </c>
      <c r="AO27" s="300">
        <v>6</v>
      </c>
      <c r="AP27" s="299"/>
      <c r="AS27" s="300"/>
      <c r="AW27" s="300"/>
      <c r="BA27" s="301"/>
    </row>
    <row r="28" spans="1:53" s="292" customFormat="1">
      <c r="A28" s="338">
        <v>1968.5428571428599</v>
      </c>
      <c r="B28" s="836"/>
      <c r="C28" s="909" t="s">
        <v>341</v>
      </c>
      <c r="D28" s="909"/>
      <c r="E28" s="292">
        <v>365</v>
      </c>
      <c r="G28" s="366">
        <v>1</v>
      </c>
      <c r="H28" s="292">
        <v>4</v>
      </c>
      <c r="I28" s="292">
        <v>7</v>
      </c>
      <c r="J28" s="377">
        <v>12</v>
      </c>
      <c r="K28" s="336">
        <f t="shared" si="8"/>
        <v>8.3333333333333321</v>
      </c>
      <c r="L28" s="336">
        <f t="shared" si="9"/>
        <v>33.333333333333329</v>
      </c>
      <c r="M28" s="336">
        <f t="shared" si="10"/>
        <v>58.333333333333336</v>
      </c>
      <c r="N28" s="368">
        <f t="shared" si="3"/>
        <v>100</v>
      </c>
      <c r="O28" s="335">
        <v>6</v>
      </c>
      <c r="P28" s="336">
        <v>24.5</v>
      </c>
      <c r="Q28" s="336">
        <v>51.5</v>
      </c>
      <c r="R28" s="337">
        <f t="shared" si="4"/>
        <v>82</v>
      </c>
      <c r="S28" s="340">
        <v>3</v>
      </c>
      <c r="T28" s="838"/>
      <c r="U28" s="836"/>
      <c r="V28" s="299" t="s">
        <v>112</v>
      </c>
      <c r="W28" s="292" t="s">
        <v>20</v>
      </c>
      <c r="X28" s="292" t="s">
        <v>12</v>
      </c>
      <c r="Y28" s="300">
        <v>27.5</v>
      </c>
      <c r="Z28" s="299" t="s">
        <v>108</v>
      </c>
      <c r="AA28" s="292" t="s">
        <v>75</v>
      </c>
      <c r="AB28" s="292" t="s">
        <v>18</v>
      </c>
      <c r="AC28" s="300">
        <v>24.5</v>
      </c>
      <c r="AD28" s="299" t="s">
        <v>113</v>
      </c>
      <c r="AE28" s="292" t="s">
        <v>114</v>
      </c>
      <c r="AF28" s="292" t="s">
        <v>12</v>
      </c>
      <c r="AG28" s="300">
        <v>20.5</v>
      </c>
      <c r="AH28" s="292" t="s">
        <v>115</v>
      </c>
      <c r="AI28" s="292" t="s">
        <v>116</v>
      </c>
      <c r="AJ28" s="292" t="s">
        <v>12</v>
      </c>
      <c r="AK28" s="292">
        <v>3.5</v>
      </c>
      <c r="AL28" s="299" t="s">
        <v>110</v>
      </c>
      <c r="AM28" s="292" t="s">
        <v>90</v>
      </c>
      <c r="AN28" s="292" t="s">
        <v>11</v>
      </c>
      <c r="AO28" s="300">
        <v>6</v>
      </c>
      <c r="AP28" s="299"/>
      <c r="AS28" s="300"/>
      <c r="AW28" s="300"/>
      <c r="BA28" s="301"/>
    </row>
    <row r="29" spans="1:53" s="292" customFormat="1">
      <c r="A29" s="338">
        <v>1970</v>
      </c>
      <c r="B29" s="836"/>
      <c r="C29" s="909" t="s">
        <v>341</v>
      </c>
      <c r="D29" s="909"/>
      <c r="E29" s="292">
        <v>133</v>
      </c>
      <c r="G29" s="366">
        <v>1</v>
      </c>
      <c r="H29" s="292">
        <v>4</v>
      </c>
      <c r="I29" s="292">
        <v>7</v>
      </c>
      <c r="J29" s="377">
        <v>12</v>
      </c>
      <c r="K29" s="336">
        <f t="shared" si="8"/>
        <v>8.3333333333333321</v>
      </c>
      <c r="L29" s="336">
        <f t="shared" si="9"/>
        <v>33.333333333333329</v>
      </c>
      <c r="M29" s="336">
        <f t="shared" si="10"/>
        <v>58.333333333333336</v>
      </c>
      <c r="N29" s="368">
        <f t="shared" si="3"/>
        <v>100</v>
      </c>
      <c r="O29" s="335">
        <v>6</v>
      </c>
      <c r="P29" s="336">
        <v>24.5</v>
      </c>
      <c r="Q29" s="336">
        <v>51.5</v>
      </c>
      <c r="R29" s="337">
        <f t="shared" si="4"/>
        <v>82</v>
      </c>
      <c r="S29" s="340">
        <v>3</v>
      </c>
      <c r="T29" s="838"/>
      <c r="U29" s="836"/>
      <c r="V29" s="299" t="s">
        <v>112</v>
      </c>
      <c r="W29" s="292" t="s">
        <v>20</v>
      </c>
      <c r="X29" s="292" t="s">
        <v>12</v>
      </c>
      <c r="Y29" s="300">
        <v>27.5</v>
      </c>
      <c r="Z29" s="299" t="s">
        <v>108</v>
      </c>
      <c r="AA29" s="292" t="s">
        <v>75</v>
      </c>
      <c r="AB29" s="292" t="s">
        <v>18</v>
      </c>
      <c r="AC29" s="300">
        <v>24.5</v>
      </c>
      <c r="AD29" s="299" t="s">
        <v>113</v>
      </c>
      <c r="AE29" s="292" t="s">
        <v>114</v>
      </c>
      <c r="AF29" s="292" t="s">
        <v>12</v>
      </c>
      <c r="AG29" s="300">
        <v>20.5</v>
      </c>
      <c r="AH29" s="292" t="s">
        <v>115</v>
      </c>
      <c r="AI29" s="292" t="s">
        <v>116</v>
      </c>
      <c r="AJ29" s="292" t="s">
        <v>12</v>
      </c>
      <c r="AK29" s="292">
        <v>3.5</v>
      </c>
      <c r="AL29" s="299" t="s">
        <v>110</v>
      </c>
      <c r="AM29" s="292" t="s">
        <v>90</v>
      </c>
      <c r="AN29" s="292" t="s">
        <v>11</v>
      </c>
      <c r="AO29" s="300">
        <v>6</v>
      </c>
      <c r="AP29" s="299"/>
      <c r="AS29" s="300"/>
      <c r="AW29" s="300"/>
      <c r="BA29" s="301"/>
    </row>
    <row r="30" spans="1:53" s="73" customFormat="1">
      <c r="A30" s="101">
        <v>1970</v>
      </c>
      <c r="B30" s="852">
        <v>25702</v>
      </c>
      <c r="C30" s="901" t="s">
        <v>343</v>
      </c>
      <c r="D30" s="901"/>
      <c r="E30" s="73">
        <v>62</v>
      </c>
      <c r="F30" s="73">
        <v>1</v>
      </c>
      <c r="G30" s="119">
        <v>1</v>
      </c>
      <c r="H30" s="73">
        <v>4</v>
      </c>
      <c r="I30" s="73">
        <v>7</v>
      </c>
      <c r="J30" s="126">
        <v>12</v>
      </c>
      <c r="K30" s="92">
        <f>G30/J30*100</f>
        <v>8.3333333333333321</v>
      </c>
      <c r="L30" s="92">
        <f>H30/J30*100</f>
        <v>33.333333333333329</v>
      </c>
      <c r="M30" s="92">
        <f>I30/J30*100</f>
        <v>58.333333333333336</v>
      </c>
      <c r="N30" s="121">
        <f t="shared" si="3"/>
        <v>100</v>
      </c>
      <c r="O30" s="91">
        <v>24.5</v>
      </c>
      <c r="P30" s="92">
        <v>22.5</v>
      </c>
      <c r="Q30" s="92">
        <v>25.5</v>
      </c>
      <c r="R30" s="93">
        <f t="shared" si="4"/>
        <v>72.5</v>
      </c>
      <c r="S30" s="97">
        <v>6</v>
      </c>
      <c r="T30" s="839">
        <v>25642</v>
      </c>
      <c r="U30" s="852">
        <v>25702</v>
      </c>
      <c r="V30" s="82" t="s">
        <v>108</v>
      </c>
      <c r="W30" s="73" t="s">
        <v>75</v>
      </c>
      <c r="X30" s="73" t="s">
        <v>18</v>
      </c>
      <c r="Y30" s="83">
        <v>18.5</v>
      </c>
      <c r="Z30" s="82" t="s">
        <v>112</v>
      </c>
      <c r="AA30" s="73" t="s">
        <v>20</v>
      </c>
      <c r="AB30" s="73" t="s">
        <v>12</v>
      </c>
      <c r="AC30" s="83">
        <v>25.5</v>
      </c>
      <c r="AD30" s="82" t="s">
        <v>109</v>
      </c>
      <c r="AE30" s="73" t="s">
        <v>74</v>
      </c>
      <c r="AF30" s="73" t="s">
        <v>11</v>
      </c>
      <c r="AG30" s="83">
        <v>18.5</v>
      </c>
      <c r="AH30" s="82" t="s">
        <v>110</v>
      </c>
      <c r="AI30" s="73" t="s">
        <v>90</v>
      </c>
      <c r="AJ30" s="73" t="s">
        <v>11</v>
      </c>
      <c r="AK30" s="83">
        <v>6</v>
      </c>
      <c r="AL30" s="73" t="s">
        <v>111</v>
      </c>
      <c r="AM30" s="73" t="s">
        <v>22</v>
      </c>
      <c r="AN30" s="73" t="s">
        <v>18</v>
      </c>
      <c r="AO30" s="73">
        <v>4</v>
      </c>
      <c r="AP30" s="82"/>
      <c r="AS30" s="83"/>
      <c r="AW30" s="83"/>
      <c r="BA30" s="84"/>
    </row>
    <row r="31" spans="1:53" s="292" customFormat="1">
      <c r="A31" s="338">
        <v>1970</v>
      </c>
      <c r="B31" s="836">
        <v>25764</v>
      </c>
      <c r="C31" s="909" t="s">
        <v>344</v>
      </c>
      <c r="D31" s="909"/>
      <c r="E31" s="292">
        <v>170</v>
      </c>
      <c r="F31" s="292">
        <v>6</v>
      </c>
      <c r="G31" s="366">
        <v>2</v>
      </c>
      <c r="H31" s="292">
        <v>6</v>
      </c>
      <c r="I31" s="292">
        <v>5</v>
      </c>
      <c r="J31" s="377">
        <v>13</v>
      </c>
      <c r="K31" s="336">
        <f>G31/J31*100</f>
        <v>15.384615384615385</v>
      </c>
      <c r="L31" s="336">
        <f>H31/J31*100</f>
        <v>46.153846153846153</v>
      </c>
      <c r="M31" s="336">
        <f>I31/J31*100</f>
        <v>38.461538461538467</v>
      </c>
      <c r="N31" s="368">
        <f t="shared" si="3"/>
        <v>100</v>
      </c>
      <c r="O31" s="335">
        <v>6</v>
      </c>
      <c r="P31" s="336">
        <v>22.5</v>
      </c>
      <c r="Q31" s="336">
        <v>43.5</v>
      </c>
      <c r="R31" s="337">
        <f t="shared" si="4"/>
        <v>72</v>
      </c>
      <c r="S31" s="340">
        <v>3</v>
      </c>
      <c r="T31" s="838"/>
      <c r="U31" s="836">
        <v>25764</v>
      </c>
      <c r="V31" s="299" t="s">
        <v>108</v>
      </c>
      <c r="W31" s="292" t="s">
        <v>75</v>
      </c>
      <c r="X31" s="292" t="s">
        <v>18</v>
      </c>
      <c r="Y31" s="300">
        <v>18.5</v>
      </c>
      <c r="Z31" s="299" t="s">
        <v>112</v>
      </c>
      <c r="AA31" s="292" t="s">
        <v>20</v>
      </c>
      <c r="AB31" s="292" t="s">
        <v>12</v>
      </c>
      <c r="AC31" s="300">
        <v>25.5</v>
      </c>
      <c r="AD31" s="299" t="s">
        <v>113</v>
      </c>
      <c r="AE31" s="292" t="s">
        <v>114</v>
      </c>
      <c r="AF31" s="292" t="s">
        <v>12</v>
      </c>
      <c r="AG31" s="300">
        <v>18</v>
      </c>
      <c r="AH31" s="299" t="s">
        <v>110</v>
      </c>
      <c r="AI31" s="292" t="s">
        <v>90</v>
      </c>
      <c r="AJ31" s="292" t="s">
        <v>11</v>
      </c>
      <c r="AK31" s="300">
        <v>6</v>
      </c>
      <c r="AL31" s="292" t="s">
        <v>111</v>
      </c>
      <c r="AM31" s="292" t="s">
        <v>22</v>
      </c>
      <c r="AN31" s="292" t="s">
        <v>18</v>
      </c>
      <c r="AO31" s="292">
        <v>4</v>
      </c>
      <c r="AP31" s="299"/>
      <c r="AS31" s="300"/>
      <c r="AW31" s="300"/>
      <c r="BA31" s="301"/>
    </row>
    <row r="32" spans="1:53" s="292" customFormat="1">
      <c r="A32" s="338">
        <v>1971</v>
      </c>
      <c r="B32" s="836"/>
      <c r="C32" s="909" t="s">
        <v>344</v>
      </c>
      <c r="D32" s="909"/>
      <c r="E32" s="292">
        <v>84</v>
      </c>
      <c r="G32" s="366">
        <v>2</v>
      </c>
      <c r="H32" s="292">
        <v>6</v>
      </c>
      <c r="I32" s="292">
        <v>5</v>
      </c>
      <c r="J32" s="377">
        <v>13</v>
      </c>
      <c r="K32" s="336">
        <f t="shared" ref="K32:K39" si="11">G32/J32*100</f>
        <v>15.384615384615385</v>
      </c>
      <c r="L32" s="336">
        <f t="shared" ref="L32:L39" si="12">H32/J32*100</f>
        <v>46.153846153846153</v>
      </c>
      <c r="M32" s="336">
        <f t="shared" ref="M32:M39" si="13">I32/J32*100</f>
        <v>38.461538461538467</v>
      </c>
      <c r="N32" s="368">
        <f t="shared" si="3"/>
        <v>100</v>
      </c>
      <c r="O32" s="335">
        <v>6</v>
      </c>
      <c r="P32" s="336">
        <v>22.5</v>
      </c>
      <c r="Q32" s="336">
        <v>43.5</v>
      </c>
      <c r="R32" s="337">
        <f t="shared" si="4"/>
        <v>72</v>
      </c>
      <c r="S32" s="340">
        <v>3</v>
      </c>
      <c r="T32" s="838"/>
      <c r="U32" s="836"/>
      <c r="V32" s="299" t="s">
        <v>108</v>
      </c>
      <c r="W32" s="292" t="s">
        <v>75</v>
      </c>
      <c r="X32" s="292" t="s">
        <v>18</v>
      </c>
      <c r="Y32" s="300">
        <v>18.5</v>
      </c>
      <c r="Z32" s="299" t="s">
        <v>112</v>
      </c>
      <c r="AA32" s="292" t="s">
        <v>20</v>
      </c>
      <c r="AB32" s="292" t="s">
        <v>12</v>
      </c>
      <c r="AC32" s="300">
        <v>25.5</v>
      </c>
      <c r="AD32" s="299" t="s">
        <v>113</v>
      </c>
      <c r="AE32" s="292" t="s">
        <v>114</v>
      </c>
      <c r="AF32" s="292" t="s">
        <v>12</v>
      </c>
      <c r="AG32" s="300">
        <v>18</v>
      </c>
      <c r="AH32" s="299" t="s">
        <v>110</v>
      </c>
      <c r="AI32" s="292" t="s">
        <v>90</v>
      </c>
      <c r="AJ32" s="292" t="s">
        <v>11</v>
      </c>
      <c r="AK32" s="300">
        <v>6</v>
      </c>
      <c r="AL32" s="292" t="s">
        <v>111</v>
      </c>
      <c r="AM32" s="292" t="s">
        <v>22</v>
      </c>
      <c r="AN32" s="292" t="s">
        <v>18</v>
      </c>
      <c r="AO32" s="292">
        <v>4</v>
      </c>
      <c r="AP32" s="299"/>
      <c r="AS32" s="300"/>
      <c r="AW32" s="300"/>
      <c r="BA32" s="301"/>
    </row>
    <row r="33" spans="1:53" s="73" customFormat="1">
      <c r="A33" s="101">
        <v>1971</v>
      </c>
      <c r="B33" s="852">
        <v>26018</v>
      </c>
      <c r="C33" s="901" t="s">
        <v>345</v>
      </c>
      <c r="D33" s="901"/>
      <c r="E33" s="73">
        <v>217</v>
      </c>
      <c r="F33" s="73">
        <v>4</v>
      </c>
      <c r="G33" s="119">
        <v>2</v>
      </c>
      <c r="H33" s="73">
        <v>6</v>
      </c>
      <c r="I33" s="73">
        <v>6</v>
      </c>
      <c r="J33" s="126">
        <v>14</v>
      </c>
      <c r="K33" s="92">
        <f>G33/J33*100</f>
        <v>14.285714285714285</v>
      </c>
      <c r="L33" s="92">
        <f>H33/J33*100</f>
        <v>42.857142857142854</v>
      </c>
      <c r="M33" s="92">
        <f>I33/J33*100</f>
        <v>42.857142857142854</v>
      </c>
      <c r="N33" s="121">
        <f t="shared" si="3"/>
        <v>100</v>
      </c>
      <c r="O33" s="91">
        <v>6</v>
      </c>
      <c r="P33" s="92">
        <v>22.5</v>
      </c>
      <c r="Q33" s="92">
        <v>25.5</v>
      </c>
      <c r="R33" s="93">
        <f t="shared" si="4"/>
        <v>54</v>
      </c>
      <c r="S33" s="97">
        <v>3</v>
      </c>
      <c r="T33" s="839"/>
      <c r="U33" s="852">
        <v>26018</v>
      </c>
      <c r="V33" s="82" t="s">
        <v>108</v>
      </c>
      <c r="W33" s="73" t="s">
        <v>75</v>
      </c>
      <c r="X33" s="73" t="s">
        <v>18</v>
      </c>
      <c r="Y33" s="83">
        <v>18.5</v>
      </c>
      <c r="Z33" s="82" t="s">
        <v>112</v>
      </c>
      <c r="AA33" s="73" t="s">
        <v>20</v>
      </c>
      <c r="AB33" s="73" t="s">
        <v>12</v>
      </c>
      <c r="AC33" s="83">
        <v>25.5</v>
      </c>
      <c r="AD33" s="82" t="s">
        <v>110</v>
      </c>
      <c r="AE33" s="73" t="s">
        <v>90</v>
      </c>
      <c r="AF33" s="73" t="s">
        <v>11</v>
      </c>
      <c r="AG33" s="83">
        <v>6</v>
      </c>
      <c r="AH33" s="73" t="s">
        <v>111</v>
      </c>
      <c r="AI33" s="73" t="s">
        <v>22</v>
      </c>
      <c r="AJ33" s="73" t="s">
        <v>18</v>
      </c>
      <c r="AK33" s="73">
        <v>4</v>
      </c>
      <c r="AL33" s="82"/>
      <c r="AO33" s="83"/>
      <c r="AP33" s="82"/>
      <c r="AS33" s="83"/>
      <c r="AW33" s="83"/>
      <c r="BA33" s="84"/>
    </row>
    <row r="34" spans="1:53" s="292" customFormat="1">
      <c r="A34" s="338">
        <v>1971</v>
      </c>
      <c r="B34" s="836">
        <v>26235</v>
      </c>
      <c r="C34" s="909" t="s">
        <v>346</v>
      </c>
      <c r="D34" s="909"/>
      <c r="E34" s="292">
        <v>64</v>
      </c>
      <c r="F34" s="292">
        <v>4</v>
      </c>
      <c r="G34" s="366">
        <v>1</v>
      </c>
      <c r="H34" s="292">
        <v>4</v>
      </c>
      <c r="I34" s="292">
        <v>3</v>
      </c>
      <c r="J34" s="377">
        <v>13</v>
      </c>
      <c r="K34" s="336">
        <f t="shared" si="11"/>
        <v>7.6923076923076925</v>
      </c>
      <c r="L34" s="336">
        <f t="shared" si="12"/>
        <v>30.76923076923077</v>
      </c>
      <c r="M34" s="336">
        <f t="shared" si="13"/>
        <v>23.076923076923077</v>
      </c>
      <c r="N34" s="368">
        <f t="shared" si="3"/>
        <v>61.538461538461533</v>
      </c>
      <c r="O34" s="335">
        <v>18.5</v>
      </c>
      <c r="P34" s="336">
        <v>22.5</v>
      </c>
      <c r="Q34" s="336">
        <v>25.5</v>
      </c>
      <c r="R34" s="337">
        <f t="shared" si="4"/>
        <v>66.5</v>
      </c>
      <c r="S34" s="340">
        <v>6</v>
      </c>
      <c r="T34" s="838"/>
      <c r="U34" s="836">
        <v>26235</v>
      </c>
      <c r="V34" s="299" t="s">
        <v>108</v>
      </c>
      <c r="W34" s="292" t="s">
        <v>75</v>
      </c>
      <c r="X34" s="292" t="s">
        <v>18</v>
      </c>
      <c r="Y34" s="300">
        <v>18.5</v>
      </c>
      <c r="Z34" s="299" t="s">
        <v>112</v>
      </c>
      <c r="AA34" s="292" t="s">
        <v>20</v>
      </c>
      <c r="AB34" s="292" t="s">
        <v>12</v>
      </c>
      <c r="AC34" s="300">
        <v>25.5</v>
      </c>
      <c r="AD34" s="299" t="s">
        <v>109</v>
      </c>
      <c r="AE34" s="292" t="s">
        <v>74</v>
      </c>
      <c r="AF34" s="292" t="s">
        <v>11</v>
      </c>
      <c r="AG34" s="300">
        <v>18.5</v>
      </c>
      <c r="AH34" s="292" t="s">
        <v>111</v>
      </c>
      <c r="AI34" s="292" t="s">
        <v>22</v>
      </c>
      <c r="AJ34" s="292" t="s">
        <v>18</v>
      </c>
      <c r="AK34" s="292">
        <v>4</v>
      </c>
      <c r="AL34" s="299"/>
      <c r="AO34" s="300"/>
      <c r="AP34" s="299"/>
      <c r="AS34" s="300"/>
      <c r="AW34" s="300"/>
      <c r="BA34" s="301"/>
    </row>
    <row r="35" spans="1:53" s="292" customFormat="1">
      <c r="A35" s="338">
        <v>1972</v>
      </c>
      <c r="B35" s="836"/>
      <c r="C35" s="909" t="s">
        <v>346</v>
      </c>
      <c r="D35" s="909"/>
      <c r="E35" s="292">
        <v>53</v>
      </c>
      <c r="G35" s="366">
        <v>1</v>
      </c>
      <c r="H35" s="292">
        <v>4</v>
      </c>
      <c r="I35" s="292">
        <v>3</v>
      </c>
      <c r="J35" s="377">
        <v>13</v>
      </c>
      <c r="K35" s="336">
        <f t="shared" si="11"/>
        <v>7.6923076923076925</v>
      </c>
      <c r="L35" s="336">
        <f t="shared" si="12"/>
        <v>30.76923076923077</v>
      </c>
      <c r="M35" s="336">
        <f t="shared" si="13"/>
        <v>23.076923076923077</v>
      </c>
      <c r="N35" s="368">
        <f t="shared" si="3"/>
        <v>61.538461538461533</v>
      </c>
      <c r="O35" s="335">
        <v>18.5</v>
      </c>
      <c r="P35" s="336">
        <v>22.5</v>
      </c>
      <c r="Q35" s="336">
        <v>25.5</v>
      </c>
      <c r="R35" s="337">
        <f t="shared" si="4"/>
        <v>66.5</v>
      </c>
      <c r="S35" s="340">
        <v>6</v>
      </c>
      <c r="T35" s="838"/>
      <c r="U35" s="836"/>
      <c r="V35" s="299" t="s">
        <v>108</v>
      </c>
      <c r="W35" s="292" t="s">
        <v>75</v>
      </c>
      <c r="X35" s="292" t="s">
        <v>18</v>
      </c>
      <c r="Y35" s="300">
        <v>18.5</v>
      </c>
      <c r="Z35" s="299" t="s">
        <v>112</v>
      </c>
      <c r="AA35" s="292" t="s">
        <v>20</v>
      </c>
      <c r="AB35" s="292" t="s">
        <v>12</v>
      </c>
      <c r="AC35" s="300">
        <v>25.5</v>
      </c>
      <c r="AD35" s="299" t="s">
        <v>109</v>
      </c>
      <c r="AE35" s="292" t="s">
        <v>74</v>
      </c>
      <c r="AF35" s="292" t="s">
        <v>11</v>
      </c>
      <c r="AG35" s="300">
        <v>18.5</v>
      </c>
      <c r="AH35" s="292" t="s">
        <v>111</v>
      </c>
      <c r="AI35" s="292" t="s">
        <v>22</v>
      </c>
      <c r="AJ35" s="292" t="s">
        <v>18</v>
      </c>
      <c r="AK35" s="292">
        <v>4</v>
      </c>
      <c r="AL35" s="299"/>
      <c r="AO35" s="300"/>
      <c r="AP35" s="299"/>
      <c r="AS35" s="300"/>
      <c r="AW35" s="300"/>
      <c r="BA35" s="301"/>
    </row>
    <row r="36" spans="1:53" s="73" customFormat="1">
      <c r="A36" s="101">
        <v>1972</v>
      </c>
      <c r="B36" s="852">
        <v>26352</v>
      </c>
      <c r="C36" s="901" t="s">
        <v>347</v>
      </c>
      <c r="D36" s="901"/>
      <c r="E36" s="73">
        <v>194</v>
      </c>
      <c r="F36" s="73">
        <v>1</v>
      </c>
      <c r="G36" s="119"/>
      <c r="I36" s="73">
        <v>14</v>
      </c>
      <c r="J36" s="126">
        <v>14</v>
      </c>
      <c r="K36" s="92">
        <f>G36/J36*100</f>
        <v>0</v>
      </c>
      <c r="L36" s="92">
        <f>H36/J36*100</f>
        <v>0</v>
      </c>
      <c r="M36" s="92">
        <f>I36/J36*100</f>
        <v>100</v>
      </c>
      <c r="N36" s="121">
        <f t="shared" si="3"/>
        <v>100</v>
      </c>
      <c r="O36" s="91"/>
      <c r="P36" s="92"/>
      <c r="Q36" s="92">
        <v>27.5</v>
      </c>
      <c r="R36" s="93">
        <f t="shared" si="4"/>
        <v>27.5</v>
      </c>
      <c r="S36" s="97">
        <v>4</v>
      </c>
      <c r="T36" s="839">
        <v>26300</v>
      </c>
      <c r="U36" s="852">
        <v>26352</v>
      </c>
      <c r="V36" s="82" t="s">
        <v>112</v>
      </c>
      <c r="W36" s="73" t="s">
        <v>20</v>
      </c>
      <c r="X36" s="73" t="s">
        <v>12</v>
      </c>
      <c r="Y36" s="83">
        <v>27.5</v>
      </c>
      <c r="Z36" s="82"/>
      <c r="AC36" s="83"/>
      <c r="AD36" s="82"/>
      <c r="AG36" s="83"/>
      <c r="AL36" s="82"/>
      <c r="AO36" s="83"/>
      <c r="AP36" s="82"/>
      <c r="AS36" s="83"/>
      <c r="AW36" s="83"/>
      <c r="BA36" s="84"/>
    </row>
    <row r="37" spans="1:53" s="292" customFormat="1">
      <c r="A37" s="338">
        <v>1972</v>
      </c>
      <c r="B37" s="836">
        <v>26546</v>
      </c>
      <c r="C37" s="909" t="s">
        <v>348</v>
      </c>
      <c r="D37" s="909"/>
      <c r="E37" s="292">
        <v>119</v>
      </c>
      <c r="F37" s="292">
        <v>2</v>
      </c>
      <c r="G37" s="366">
        <v>2</v>
      </c>
      <c r="H37" s="292">
        <v>6</v>
      </c>
      <c r="I37" s="292">
        <v>7</v>
      </c>
      <c r="J37" s="377">
        <v>16</v>
      </c>
      <c r="K37" s="336">
        <f t="shared" si="11"/>
        <v>12.5</v>
      </c>
      <c r="L37" s="336">
        <f t="shared" si="12"/>
        <v>37.5</v>
      </c>
      <c r="M37" s="336">
        <f t="shared" si="13"/>
        <v>43.75</v>
      </c>
      <c r="N37" s="368">
        <f t="shared" si="3"/>
        <v>93.75</v>
      </c>
      <c r="O37" s="335">
        <v>5</v>
      </c>
      <c r="P37" s="336">
        <v>21</v>
      </c>
      <c r="Q37" s="336">
        <v>27.5</v>
      </c>
      <c r="R37" s="337">
        <f t="shared" si="4"/>
        <v>53.5</v>
      </c>
      <c r="S37" s="340">
        <v>2</v>
      </c>
      <c r="T37" s="838"/>
      <c r="U37" s="836">
        <v>26546</v>
      </c>
      <c r="V37" s="299" t="s">
        <v>112</v>
      </c>
      <c r="W37" s="292" t="s">
        <v>20</v>
      </c>
      <c r="X37" s="292" t="s">
        <v>12</v>
      </c>
      <c r="Y37" s="300">
        <v>27.5</v>
      </c>
      <c r="Z37" s="299" t="s">
        <v>108</v>
      </c>
      <c r="AA37" s="292" t="s">
        <v>75</v>
      </c>
      <c r="AB37" s="292" t="s">
        <v>18</v>
      </c>
      <c r="AC37" s="300">
        <v>17.5</v>
      </c>
      <c r="AD37" s="299" t="s">
        <v>110</v>
      </c>
      <c r="AE37" s="292" t="s">
        <v>90</v>
      </c>
      <c r="AF37" s="292" t="s">
        <v>11</v>
      </c>
      <c r="AG37" s="300">
        <v>5</v>
      </c>
      <c r="AH37" s="292" t="s">
        <v>111</v>
      </c>
      <c r="AI37" s="292" t="s">
        <v>22</v>
      </c>
      <c r="AJ37" s="292" t="s">
        <v>18</v>
      </c>
      <c r="AK37" s="292">
        <v>3.5</v>
      </c>
      <c r="AL37" s="299"/>
      <c r="AO37" s="300"/>
      <c r="AP37" s="299"/>
      <c r="AS37" s="300"/>
      <c r="AW37" s="300"/>
      <c r="BA37" s="301"/>
    </row>
    <row r="38" spans="1:53" s="292" customFormat="1">
      <c r="A38" s="338">
        <v>1973</v>
      </c>
      <c r="B38" s="836"/>
      <c r="C38" s="909" t="s">
        <v>348</v>
      </c>
      <c r="D38" s="909"/>
      <c r="E38" s="292">
        <v>0</v>
      </c>
      <c r="G38" s="366">
        <v>2</v>
      </c>
      <c r="H38" s="292">
        <v>6</v>
      </c>
      <c r="I38" s="292">
        <v>7</v>
      </c>
      <c r="J38" s="377">
        <v>16</v>
      </c>
      <c r="K38" s="336">
        <f t="shared" si="11"/>
        <v>12.5</v>
      </c>
      <c r="L38" s="336">
        <f t="shared" si="12"/>
        <v>37.5</v>
      </c>
      <c r="M38" s="336">
        <f t="shared" si="13"/>
        <v>43.75</v>
      </c>
      <c r="N38" s="368">
        <f t="shared" si="3"/>
        <v>93.75</v>
      </c>
      <c r="O38" s="335">
        <v>5</v>
      </c>
      <c r="P38" s="336">
        <v>21</v>
      </c>
      <c r="Q38" s="336">
        <v>27.5</v>
      </c>
      <c r="R38" s="337">
        <f t="shared" si="4"/>
        <v>53.5</v>
      </c>
      <c r="S38" s="340">
        <v>2</v>
      </c>
      <c r="T38" s="838"/>
      <c r="U38" s="836"/>
      <c r="V38" s="299" t="s">
        <v>112</v>
      </c>
      <c r="W38" s="292" t="s">
        <v>20</v>
      </c>
      <c r="X38" s="292" t="s">
        <v>12</v>
      </c>
      <c r="Y38" s="300">
        <v>27.5</v>
      </c>
      <c r="Z38" s="299" t="s">
        <v>108</v>
      </c>
      <c r="AA38" s="292" t="s">
        <v>75</v>
      </c>
      <c r="AB38" s="292" t="s">
        <v>18</v>
      </c>
      <c r="AC38" s="300">
        <v>17.5</v>
      </c>
      <c r="AD38" s="299" t="s">
        <v>110</v>
      </c>
      <c r="AE38" s="292" t="s">
        <v>90</v>
      </c>
      <c r="AF38" s="292" t="s">
        <v>11</v>
      </c>
      <c r="AG38" s="300">
        <v>5</v>
      </c>
      <c r="AH38" s="292" t="s">
        <v>111</v>
      </c>
      <c r="AI38" s="292" t="s">
        <v>22</v>
      </c>
      <c r="AJ38" s="292" t="s">
        <v>18</v>
      </c>
      <c r="AK38" s="292">
        <v>3.5</v>
      </c>
      <c r="AL38" s="299"/>
      <c r="AO38" s="300"/>
      <c r="AP38" s="299"/>
      <c r="AS38" s="300"/>
      <c r="AW38" s="300"/>
      <c r="BA38" s="301"/>
    </row>
    <row r="39" spans="1:53" s="292" customFormat="1">
      <c r="A39" s="338">
        <v>1973</v>
      </c>
      <c r="B39" s="836"/>
      <c r="C39" s="909" t="s">
        <v>348</v>
      </c>
      <c r="D39" s="909"/>
      <c r="E39" s="292">
        <v>365</v>
      </c>
      <c r="G39" s="366">
        <v>2</v>
      </c>
      <c r="H39" s="292">
        <v>6</v>
      </c>
      <c r="I39" s="292">
        <v>7</v>
      </c>
      <c r="J39" s="377">
        <v>16</v>
      </c>
      <c r="K39" s="336">
        <f t="shared" si="11"/>
        <v>12.5</v>
      </c>
      <c r="L39" s="336">
        <f t="shared" si="12"/>
        <v>37.5</v>
      </c>
      <c r="M39" s="336">
        <f t="shared" si="13"/>
        <v>43.75</v>
      </c>
      <c r="N39" s="368">
        <f t="shared" si="3"/>
        <v>93.75</v>
      </c>
      <c r="O39" s="335">
        <v>5</v>
      </c>
      <c r="P39" s="336">
        <v>21</v>
      </c>
      <c r="Q39" s="336">
        <v>27.5</v>
      </c>
      <c r="R39" s="337">
        <f t="shared" si="4"/>
        <v>53.5</v>
      </c>
      <c r="S39" s="340">
        <v>2</v>
      </c>
      <c r="T39" s="838"/>
      <c r="U39" s="836"/>
      <c r="V39" s="299" t="s">
        <v>112</v>
      </c>
      <c r="W39" s="292" t="s">
        <v>20</v>
      </c>
      <c r="X39" s="292" t="s">
        <v>12</v>
      </c>
      <c r="Y39" s="300">
        <v>27.5</v>
      </c>
      <c r="Z39" s="299" t="s">
        <v>108</v>
      </c>
      <c r="AA39" s="292" t="s">
        <v>75</v>
      </c>
      <c r="AB39" s="292" t="s">
        <v>18</v>
      </c>
      <c r="AC39" s="300">
        <v>17.5</v>
      </c>
      <c r="AD39" s="299" t="s">
        <v>110</v>
      </c>
      <c r="AE39" s="292" t="s">
        <v>90</v>
      </c>
      <c r="AF39" s="292" t="s">
        <v>11</v>
      </c>
      <c r="AG39" s="300">
        <v>5</v>
      </c>
      <c r="AH39" s="292" t="s">
        <v>111</v>
      </c>
      <c r="AI39" s="292" t="s">
        <v>22</v>
      </c>
      <c r="AJ39" s="292" t="s">
        <v>18</v>
      </c>
      <c r="AK39" s="292">
        <v>3.5</v>
      </c>
      <c r="AL39" s="299"/>
      <c r="AO39" s="300"/>
      <c r="AP39" s="299"/>
      <c r="AS39" s="300"/>
      <c r="AW39" s="300"/>
      <c r="BA39" s="301"/>
    </row>
    <row r="40" spans="1:53" s="292" customFormat="1">
      <c r="A40" s="338">
        <v>1974</v>
      </c>
      <c r="B40" s="836"/>
      <c r="C40" s="909" t="s">
        <v>348</v>
      </c>
      <c r="D40" s="909"/>
      <c r="E40" s="292">
        <v>0</v>
      </c>
      <c r="G40" s="366">
        <v>2</v>
      </c>
      <c r="H40" s="292">
        <v>6</v>
      </c>
      <c r="I40" s="292">
        <v>7</v>
      </c>
      <c r="J40" s="377">
        <v>16</v>
      </c>
      <c r="K40" s="336">
        <f>G40/J40*100</f>
        <v>12.5</v>
      </c>
      <c r="L40" s="336">
        <f>H40/J40*100</f>
        <v>37.5</v>
      </c>
      <c r="M40" s="336">
        <f>I40/J40*100</f>
        <v>43.75</v>
      </c>
      <c r="N40" s="368">
        <f t="shared" si="3"/>
        <v>93.75</v>
      </c>
      <c r="O40" s="335">
        <v>5</v>
      </c>
      <c r="P40" s="336">
        <v>21</v>
      </c>
      <c r="Q40" s="336">
        <v>27.5</v>
      </c>
      <c r="R40" s="337">
        <f t="shared" si="4"/>
        <v>53.5</v>
      </c>
      <c r="S40" s="340">
        <v>2</v>
      </c>
      <c r="T40" s="838"/>
      <c r="U40" s="836"/>
      <c r="V40" s="299" t="s">
        <v>112</v>
      </c>
      <c r="W40" s="292" t="s">
        <v>20</v>
      </c>
      <c r="X40" s="292" t="s">
        <v>12</v>
      </c>
      <c r="Y40" s="300">
        <v>27.5</v>
      </c>
      <c r="Z40" s="299" t="s">
        <v>108</v>
      </c>
      <c r="AA40" s="292" t="s">
        <v>75</v>
      </c>
      <c r="AB40" s="292" t="s">
        <v>18</v>
      </c>
      <c r="AC40" s="300">
        <v>17.5</v>
      </c>
      <c r="AD40" s="299" t="s">
        <v>110</v>
      </c>
      <c r="AE40" s="292" t="s">
        <v>90</v>
      </c>
      <c r="AF40" s="292" t="s">
        <v>11</v>
      </c>
      <c r="AG40" s="300">
        <v>5</v>
      </c>
      <c r="AH40" s="292" t="s">
        <v>111</v>
      </c>
      <c r="AI40" s="292" t="s">
        <v>22</v>
      </c>
      <c r="AJ40" s="292" t="s">
        <v>18</v>
      </c>
      <c r="AK40" s="292">
        <v>3.5</v>
      </c>
      <c r="AL40" s="299"/>
      <c r="AO40" s="300"/>
      <c r="AP40" s="299"/>
      <c r="AS40" s="300"/>
      <c r="AW40" s="300"/>
      <c r="BA40" s="301"/>
    </row>
    <row r="41" spans="1:53" s="292" customFormat="1">
      <c r="A41" s="338">
        <v>1974</v>
      </c>
      <c r="B41" s="836"/>
      <c r="C41" s="909" t="s">
        <v>348</v>
      </c>
      <c r="D41" s="909"/>
      <c r="E41" s="292">
        <v>365</v>
      </c>
      <c r="G41" s="366">
        <v>2</v>
      </c>
      <c r="H41" s="292">
        <v>6</v>
      </c>
      <c r="I41" s="292">
        <v>7</v>
      </c>
      <c r="J41" s="377">
        <v>16</v>
      </c>
      <c r="K41" s="336">
        <f t="shared" ref="K41:K47" si="14">G41/J41*100</f>
        <v>12.5</v>
      </c>
      <c r="L41" s="336">
        <f t="shared" ref="L41:L47" si="15">H41/J41*100</f>
        <v>37.5</v>
      </c>
      <c r="M41" s="336">
        <f t="shared" ref="M41:M47" si="16">I41/J41*100</f>
        <v>43.75</v>
      </c>
      <c r="N41" s="368">
        <f t="shared" si="3"/>
        <v>93.75</v>
      </c>
      <c r="O41" s="335">
        <v>5</v>
      </c>
      <c r="P41" s="336">
        <v>21</v>
      </c>
      <c r="Q41" s="336">
        <v>27.5</v>
      </c>
      <c r="R41" s="337">
        <f t="shared" si="4"/>
        <v>53.5</v>
      </c>
      <c r="S41" s="340">
        <v>2</v>
      </c>
      <c r="T41" s="838"/>
      <c r="U41" s="836"/>
      <c r="V41" s="299" t="s">
        <v>112</v>
      </c>
      <c r="W41" s="292" t="s">
        <v>20</v>
      </c>
      <c r="X41" s="292" t="s">
        <v>12</v>
      </c>
      <c r="Y41" s="300">
        <v>27.5</v>
      </c>
      <c r="Z41" s="299" t="s">
        <v>108</v>
      </c>
      <c r="AA41" s="292" t="s">
        <v>75</v>
      </c>
      <c r="AB41" s="292" t="s">
        <v>18</v>
      </c>
      <c r="AC41" s="300">
        <v>17.5</v>
      </c>
      <c r="AD41" s="299" t="s">
        <v>110</v>
      </c>
      <c r="AE41" s="292" t="s">
        <v>90</v>
      </c>
      <c r="AF41" s="292" t="s">
        <v>11</v>
      </c>
      <c r="AG41" s="300">
        <v>5</v>
      </c>
      <c r="AH41" s="292" t="s">
        <v>111</v>
      </c>
      <c r="AI41" s="292" t="s">
        <v>22</v>
      </c>
      <c r="AJ41" s="292" t="s">
        <v>18</v>
      </c>
      <c r="AK41" s="292">
        <v>3.5</v>
      </c>
      <c r="AL41" s="299"/>
      <c r="AO41" s="300"/>
      <c r="AP41" s="299"/>
      <c r="AS41" s="300"/>
      <c r="AW41" s="300"/>
      <c r="BA41" s="301"/>
    </row>
    <row r="42" spans="1:53" s="292" customFormat="1">
      <c r="A42" s="338">
        <v>1975</v>
      </c>
      <c r="B42" s="836"/>
      <c r="C42" s="909" t="s">
        <v>348</v>
      </c>
      <c r="D42" s="909"/>
      <c r="E42" s="292">
        <v>163</v>
      </c>
      <c r="G42" s="366">
        <v>2</v>
      </c>
      <c r="H42" s="292">
        <v>6</v>
      </c>
      <c r="I42" s="292">
        <v>7</v>
      </c>
      <c r="J42" s="377">
        <v>16</v>
      </c>
      <c r="K42" s="336">
        <f t="shared" si="14"/>
        <v>12.5</v>
      </c>
      <c r="L42" s="336">
        <f t="shared" si="15"/>
        <v>37.5</v>
      </c>
      <c r="M42" s="336">
        <f t="shared" si="16"/>
        <v>43.75</v>
      </c>
      <c r="N42" s="368">
        <f t="shared" si="3"/>
        <v>93.75</v>
      </c>
      <c r="O42" s="335">
        <v>5</v>
      </c>
      <c r="P42" s="336">
        <v>21</v>
      </c>
      <c r="Q42" s="336">
        <v>27.5</v>
      </c>
      <c r="R42" s="337">
        <f t="shared" si="4"/>
        <v>53.5</v>
      </c>
      <c r="S42" s="340">
        <v>2</v>
      </c>
      <c r="T42" s="838"/>
      <c r="U42" s="836"/>
      <c r="V42" s="299" t="s">
        <v>112</v>
      </c>
      <c r="W42" s="292" t="s">
        <v>20</v>
      </c>
      <c r="X42" s="292" t="s">
        <v>12</v>
      </c>
      <c r="Y42" s="300">
        <v>27.5</v>
      </c>
      <c r="Z42" s="299" t="s">
        <v>108</v>
      </c>
      <c r="AA42" s="292" t="s">
        <v>75</v>
      </c>
      <c r="AB42" s="292" t="s">
        <v>18</v>
      </c>
      <c r="AC42" s="300">
        <v>17.5</v>
      </c>
      <c r="AD42" s="299" t="s">
        <v>110</v>
      </c>
      <c r="AE42" s="292" t="s">
        <v>90</v>
      </c>
      <c r="AF42" s="292" t="s">
        <v>11</v>
      </c>
      <c r="AG42" s="300">
        <v>5</v>
      </c>
      <c r="AH42" s="292" t="s">
        <v>111</v>
      </c>
      <c r="AI42" s="292" t="s">
        <v>22</v>
      </c>
      <c r="AJ42" s="292" t="s">
        <v>18</v>
      </c>
      <c r="AK42" s="292">
        <v>3.5</v>
      </c>
      <c r="AL42" s="299"/>
      <c r="AO42" s="300"/>
      <c r="AP42" s="299"/>
      <c r="AS42" s="300"/>
      <c r="AW42" s="300"/>
      <c r="BA42" s="301"/>
    </row>
    <row r="43" spans="1:53" s="73" customFormat="1">
      <c r="A43" s="101">
        <v>1975</v>
      </c>
      <c r="B43" s="852">
        <v>27558</v>
      </c>
      <c r="C43" s="901" t="s">
        <v>349</v>
      </c>
      <c r="D43" s="901"/>
      <c r="E43" s="73">
        <v>170</v>
      </c>
      <c r="F43" s="73">
        <v>7</v>
      </c>
      <c r="G43" s="119">
        <v>2</v>
      </c>
      <c r="H43" s="73">
        <v>4</v>
      </c>
      <c r="I43" s="73">
        <v>5</v>
      </c>
      <c r="J43" s="126">
        <v>17</v>
      </c>
      <c r="K43" s="92">
        <f>G43/J43*100</f>
        <v>11.76470588235294</v>
      </c>
      <c r="L43" s="92">
        <f>H43/J43*100</f>
        <v>23.52941176470588</v>
      </c>
      <c r="M43" s="92">
        <f>I43/J43*100</f>
        <v>29.411764705882355</v>
      </c>
      <c r="N43" s="121">
        <f t="shared" si="3"/>
        <v>64.705882352941174</v>
      </c>
      <c r="O43" s="91">
        <v>22</v>
      </c>
      <c r="P43" s="92">
        <v>21</v>
      </c>
      <c r="Q43" s="92">
        <v>27</v>
      </c>
      <c r="R43" s="93">
        <f t="shared" si="4"/>
        <v>70</v>
      </c>
      <c r="S43" s="97">
        <v>6</v>
      </c>
      <c r="T43" s="839"/>
      <c r="U43" s="852">
        <v>27558</v>
      </c>
      <c r="V43" s="82" t="s">
        <v>112</v>
      </c>
      <c r="W43" s="73" t="s">
        <v>20</v>
      </c>
      <c r="X43" s="73" t="s">
        <v>12</v>
      </c>
      <c r="Y43" s="83">
        <v>27.5</v>
      </c>
      <c r="Z43" s="82" t="s">
        <v>108</v>
      </c>
      <c r="AA43" s="73" t="s">
        <v>75</v>
      </c>
      <c r="AB43" s="73" t="s">
        <v>18</v>
      </c>
      <c r="AC43" s="83">
        <v>17.5</v>
      </c>
      <c r="AD43" s="82" t="s">
        <v>110</v>
      </c>
      <c r="AE43" s="73" t="s">
        <v>90</v>
      </c>
      <c r="AF43" s="73" t="s">
        <v>11</v>
      </c>
      <c r="AG43" s="83">
        <v>5</v>
      </c>
      <c r="AH43" s="73" t="s">
        <v>111</v>
      </c>
      <c r="AI43" s="73" t="s">
        <v>22</v>
      </c>
      <c r="AJ43" s="73" t="s">
        <v>18</v>
      </c>
      <c r="AK43" s="73">
        <v>3.5</v>
      </c>
      <c r="AL43" s="82" t="s">
        <v>109</v>
      </c>
      <c r="AM43" s="73" t="s">
        <v>74</v>
      </c>
      <c r="AN43" s="73" t="s">
        <v>11</v>
      </c>
      <c r="AO43" s="83">
        <v>17</v>
      </c>
      <c r="AP43" s="82"/>
      <c r="AS43" s="83"/>
      <c r="AW43" s="83"/>
      <c r="BA43" s="84"/>
    </row>
    <row r="44" spans="1:53" s="292" customFormat="1">
      <c r="A44" s="338">
        <v>1975</v>
      </c>
      <c r="B44" s="836">
        <v>27728</v>
      </c>
      <c r="C44" s="909" t="s">
        <v>350</v>
      </c>
      <c r="D44" s="909"/>
      <c r="E44" s="292">
        <v>32</v>
      </c>
      <c r="F44" s="292">
        <v>1</v>
      </c>
      <c r="G44" s="366">
        <v>2</v>
      </c>
      <c r="H44" s="292">
        <v>5</v>
      </c>
      <c r="I44" s="292">
        <v>9</v>
      </c>
      <c r="J44" s="377">
        <v>18</v>
      </c>
      <c r="K44" s="336">
        <f t="shared" si="14"/>
        <v>11.111111111111111</v>
      </c>
      <c r="L44" s="336">
        <f t="shared" si="15"/>
        <v>27.777777777777779</v>
      </c>
      <c r="M44" s="336">
        <f t="shared" si="16"/>
        <v>50</v>
      </c>
      <c r="N44" s="368">
        <f t="shared" si="3"/>
        <v>88.888888888888886</v>
      </c>
      <c r="O44" s="335">
        <v>5</v>
      </c>
      <c r="P44" s="336">
        <v>24</v>
      </c>
      <c r="Q44" s="336">
        <v>47</v>
      </c>
      <c r="R44" s="337">
        <f t="shared" si="4"/>
        <v>76</v>
      </c>
      <c r="S44" s="340">
        <v>3</v>
      </c>
      <c r="T44" s="838">
        <v>27658</v>
      </c>
      <c r="U44" s="836">
        <v>27728</v>
      </c>
      <c r="V44" s="299" t="s">
        <v>108</v>
      </c>
      <c r="W44" s="292" t="s">
        <v>75</v>
      </c>
      <c r="X44" s="292" t="s">
        <v>18</v>
      </c>
      <c r="Y44" s="300">
        <v>19.5</v>
      </c>
      <c r="Z44" s="299" t="s">
        <v>112</v>
      </c>
      <c r="AA44" s="292" t="s">
        <v>20</v>
      </c>
      <c r="AB44" s="292" t="s">
        <v>12</v>
      </c>
      <c r="AC44" s="300">
        <v>27</v>
      </c>
      <c r="AD44" s="299" t="s">
        <v>113</v>
      </c>
      <c r="AE44" s="292" t="s">
        <v>114</v>
      </c>
      <c r="AF44" s="292" t="s">
        <v>12</v>
      </c>
      <c r="AG44" s="300">
        <v>20</v>
      </c>
      <c r="AH44" s="299" t="s">
        <v>110</v>
      </c>
      <c r="AI44" s="292" t="s">
        <v>90</v>
      </c>
      <c r="AJ44" s="292" t="s">
        <v>11</v>
      </c>
      <c r="AK44" s="300">
        <v>5</v>
      </c>
      <c r="AL44" s="292" t="s">
        <v>111</v>
      </c>
      <c r="AM44" s="292" t="s">
        <v>22</v>
      </c>
      <c r="AN44" s="292" t="s">
        <v>18</v>
      </c>
      <c r="AO44" s="292">
        <v>4.5</v>
      </c>
      <c r="AP44" s="299"/>
      <c r="AS44" s="300"/>
      <c r="AW44" s="300"/>
      <c r="BA44" s="301"/>
    </row>
    <row r="45" spans="1:53" s="292" customFormat="1">
      <c r="A45" s="338">
        <v>1976</v>
      </c>
      <c r="B45" s="836"/>
      <c r="C45" s="909" t="s">
        <v>350</v>
      </c>
      <c r="D45" s="909"/>
      <c r="E45" s="292">
        <v>272</v>
      </c>
      <c r="G45" s="366">
        <v>2</v>
      </c>
      <c r="H45" s="292">
        <v>5</v>
      </c>
      <c r="I45" s="292">
        <v>9</v>
      </c>
      <c r="J45" s="377">
        <v>18</v>
      </c>
      <c r="K45" s="336">
        <f t="shared" si="14"/>
        <v>11.111111111111111</v>
      </c>
      <c r="L45" s="336">
        <f t="shared" si="15"/>
        <v>27.777777777777779</v>
      </c>
      <c r="M45" s="336">
        <f t="shared" si="16"/>
        <v>50</v>
      </c>
      <c r="N45" s="368">
        <f t="shared" si="3"/>
        <v>88.888888888888886</v>
      </c>
      <c r="O45" s="335">
        <v>5</v>
      </c>
      <c r="P45" s="336">
        <v>24</v>
      </c>
      <c r="Q45" s="336">
        <v>47</v>
      </c>
      <c r="R45" s="337">
        <f t="shared" si="4"/>
        <v>76</v>
      </c>
      <c r="S45" s="340">
        <v>3</v>
      </c>
      <c r="T45" s="838"/>
      <c r="U45" s="836"/>
      <c r="V45" s="299" t="s">
        <v>108</v>
      </c>
      <c r="W45" s="292" t="s">
        <v>75</v>
      </c>
      <c r="X45" s="292" t="s">
        <v>18</v>
      </c>
      <c r="Y45" s="300">
        <v>19.5</v>
      </c>
      <c r="Z45" s="299" t="s">
        <v>112</v>
      </c>
      <c r="AA45" s="292" t="s">
        <v>20</v>
      </c>
      <c r="AB45" s="292" t="s">
        <v>12</v>
      </c>
      <c r="AC45" s="300">
        <v>27</v>
      </c>
      <c r="AD45" s="299" t="s">
        <v>113</v>
      </c>
      <c r="AE45" s="292" t="s">
        <v>114</v>
      </c>
      <c r="AF45" s="292" t="s">
        <v>12</v>
      </c>
      <c r="AG45" s="300">
        <v>20</v>
      </c>
      <c r="AH45" s="299" t="s">
        <v>110</v>
      </c>
      <c r="AI45" s="292" t="s">
        <v>90</v>
      </c>
      <c r="AJ45" s="292" t="s">
        <v>11</v>
      </c>
      <c r="AK45" s="300">
        <v>5</v>
      </c>
      <c r="AL45" s="292" t="s">
        <v>111</v>
      </c>
      <c r="AM45" s="292" t="s">
        <v>22</v>
      </c>
      <c r="AN45" s="292" t="s">
        <v>18</v>
      </c>
      <c r="AO45" s="292">
        <v>4.5</v>
      </c>
      <c r="AP45" s="299"/>
      <c r="AS45" s="300"/>
      <c r="AW45" s="300"/>
      <c r="BA45" s="301"/>
    </row>
    <row r="46" spans="1:53" s="73" customFormat="1">
      <c r="A46" s="101">
        <v>1976</v>
      </c>
      <c r="B46" s="852">
        <v>28032</v>
      </c>
      <c r="C46" s="901" t="s">
        <v>351</v>
      </c>
      <c r="D46" s="901"/>
      <c r="E46" s="73">
        <v>94</v>
      </c>
      <c r="F46" s="73">
        <v>4</v>
      </c>
      <c r="G46" s="119">
        <v>3</v>
      </c>
      <c r="H46" s="73">
        <v>12</v>
      </c>
      <c r="J46" s="126">
        <v>16</v>
      </c>
      <c r="K46" s="92">
        <f t="shared" si="14"/>
        <v>18.75</v>
      </c>
      <c r="L46" s="92">
        <f t="shared" si="15"/>
        <v>75</v>
      </c>
      <c r="M46" s="92">
        <f t="shared" si="16"/>
        <v>0</v>
      </c>
      <c r="N46" s="121">
        <f t="shared" si="3"/>
        <v>93.75</v>
      </c>
      <c r="O46" s="91">
        <v>5</v>
      </c>
      <c r="P46" s="92">
        <v>24</v>
      </c>
      <c r="Q46" s="92"/>
      <c r="R46" s="93">
        <f t="shared" si="4"/>
        <v>29</v>
      </c>
      <c r="S46" s="97">
        <v>5</v>
      </c>
      <c r="T46" s="839"/>
      <c r="U46" s="852">
        <v>28032</v>
      </c>
      <c r="V46" s="82" t="s">
        <v>108</v>
      </c>
      <c r="W46" s="73" t="s">
        <v>75</v>
      </c>
      <c r="X46" s="73" t="s">
        <v>18</v>
      </c>
      <c r="Y46" s="83">
        <v>19.5</v>
      </c>
      <c r="Z46" s="82" t="s">
        <v>110</v>
      </c>
      <c r="AA46" s="73" t="s">
        <v>90</v>
      </c>
      <c r="AB46" s="73" t="s">
        <v>11</v>
      </c>
      <c r="AC46" s="83">
        <v>5</v>
      </c>
      <c r="AD46" s="73" t="s">
        <v>111</v>
      </c>
      <c r="AE46" s="73" t="s">
        <v>22</v>
      </c>
      <c r="AF46" s="73" t="s">
        <v>18</v>
      </c>
      <c r="AG46" s="83">
        <v>4.5</v>
      </c>
      <c r="AL46" s="82"/>
      <c r="AO46" s="83"/>
      <c r="AP46" s="82"/>
      <c r="AS46" s="83"/>
      <c r="AW46" s="83"/>
      <c r="BA46" s="84"/>
    </row>
    <row r="47" spans="1:53" s="73" customFormat="1">
      <c r="A47" s="101">
        <v>1977</v>
      </c>
      <c r="B47" s="852"/>
      <c r="C47" s="901" t="s">
        <v>351</v>
      </c>
      <c r="D47" s="901"/>
      <c r="E47" s="73">
        <v>134</v>
      </c>
      <c r="G47" s="119">
        <v>3</v>
      </c>
      <c r="H47" s="73">
        <v>12</v>
      </c>
      <c r="J47" s="126">
        <v>16</v>
      </c>
      <c r="K47" s="92">
        <f t="shared" si="14"/>
        <v>18.75</v>
      </c>
      <c r="L47" s="92">
        <f t="shared" si="15"/>
        <v>75</v>
      </c>
      <c r="M47" s="92">
        <f t="shared" si="16"/>
        <v>0</v>
      </c>
      <c r="N47" s="121">
        <f t="shared" si="3"/>
        <v>93.75</v>
      </c>
      <c r="O47" s="91">
        <v>5</v>
      </c>
      <c r="P47" s="92">
        <v>24</v>
      </c>
      <c r="Q47" s="92"/>
      <c r="R47" s="93">
        <f t="shared" si="4"/>
        <v>29</v>
      </c>
      <c r="S47" s="97">
        <v>5</v>
      </c>
      <c r="T47" s="839"/>
      <c r="U47" s="852"/>
      <c r="V47" s="82" t="s">
        <v>108</v>
      </c>
      <c r="W47" s="73" t="s">
        <v>75</v>
      </c>
      <c r="X47" s="73" t="s">
        <v>18</v>
      </c>
      <c r="Y47" s="83">
        <v>19.5</v>
      </c>
      <c r="Z47" s="82" t="s">
        <v>110</v>
      </c>
      <c r="AA47" s="73" t="s">
        <v>90</v>
      </c>
      <c r="AB47" s="73" t="s">
        <v>11</v>
      </c>
      <c r="AC47" s="83">
        <v>5</v>
      </c>
      <c r="AD47" s="73" t="s">
        <v>111</v>
      </c>
      <c r="AE47" s="73" t="s">
        <v>22</v>
      </c>
      <c r="AF47" s="73" t="s">
        <v>18</v>
      </c>
      <c r="AG47" s="83">
        <v>4.5</v>
      </c>
      <c r="AL47" s="82"/>
      <c r="AO47" s="83"/>
      <c r="AP47" s="82"/>
      <c r="AS47" s="83"/>
      <c r="AW47" s="83"/>
      <c r="BA47" s="84"/>
    </row>
    <row r="48" spans="1:53" s="292" customFormat="1">
      <c r="A48" s="338">
        <v>1977</v>
      </c>
      <c r="B48" s="836">
        <v>28260</v>
      </c>
      <c r="C48" s="909" t="s">
        <v>352</v>
      </c>
      <c r="D48" s="909"/>
      <c r="E48" s="292">
        <v>231</v>
      </c>
      <c r="F48" s="292">
        <v>6</v>
      </c>
      <c r="G48" s="366">
        <v>1</v>
      </c>
      <c r="H48" s="292">
        <v>6</v>
      </c>
      <c r="I48" s="292">
        <v>7</v>
      </c>
      <c r="J48" s="377">
        <v>15</v>
      </c>
      <c r="K48" s="336">
        <f>G48/J48*100</f>
        <v>6.666666666666667</v>
      </c>
      <c r="L48" s="336">
        <f>H48/J48*100</f>
        <v>40</v>
      </c>
      <c r="M48" s="336">
        <f>I48/J48*100</f>
        <v>46.666666666666664</v>
      </c>
      <c r="N48" s="368">
        <f t="shared" si="3"/>
        <v>93.333333333333329</v>
      </c>
      <c r="O48" s="335">
        <v>5</v>
      </c>
      <c r="P48" s="336">
        <v>24</v>
      </c>
      <c r="Q48" s="336">
        <v>47</v>
      </c>
      <c r="R48" s="337">
        <f t="shared" si="4"/>
        <v>76</v>
      </c>
      <c r="S48" s="340">
        <v>3</v>
      </c>
      <c r="T48" s="838"/>
      <c r="U48" s="836">
        <v>28260</v>
      </c>
      <c r="V48" s="299" t="s">
        <v>112</v>
      </c>
      <c r="W48" s="292" t="s">
        <v>20</v>
      </c>
      <c r="X48" s="292" t="s">
        <v>12</v>
      </c>
      <c r="Y48" s="300">
        <v>27</v>
      </c>
      <c r="Z48" s="299" t="s">
        <v>108</v>
      </c>
      <c r="AA48" s="292" t="s">
        <v>75</v>
      </c>
      <c r="AB48" s="292" t="s">
        <v>18</v>
      </c>
      <c r="AC48" s="300">
        <v>19.5</v>
      </c>
      <c r="AD48" s="299" t="s">
        <v>113</v>
      </c>
      <c r="AE48" s="292" t="s">
        <v>114</v>
      </c>
      <c r="AF48" s="292" t="s">
        <v>12</v>
      </c>
      <c r="AG48" s="300">
        <v>20</v>
      </c>
      <c r="AH48" s="299" t="s">
        <v>110</v>
      </c>
      <c r="AI48" s="292" t="s">
        <v>90</v>
      </c>
      <c r="AJ48" s="292" t="s">
        <v>11</v>
      </c>
      <c r="AK48" s="300">
        <v>5</v>
      </c>
      <c r="AL48" s="292" t="s">
        <v>111</v>
      </c>
      <c r="AM48" s="292" t="s">
        <v>22</v>
      </c>
      <c r="AN48" s="292" t="s">
        <v>18</v>
      </c>
      <c r="AO48" s="292">
        <v>4.5</v>
      </c>
      <c r="AP48" s="299"/>
      <c r="AS48" s="300"/>
      <c r="AW48" s="300"/>
      <c r="BA48" s="301"/>
    </row>
    <row r="49" spans="1:53" s="292" customFormat="1">
      <c r="A49" s="338">
        <v>1978</v>
      </c>
      <c r="B49" s="836"/>
      <c r="C49" s="909" t="s">
        <v>352</v>
      </c>
      <c r="D49" s="909"/>
      <c r="E49" s="292">
        <v>60</v>
      </c>
      <c r="G49" s="366">
        <v>1</v>
      </c>
      <c r="H49" s="292">
        <v>6</v>
      </c>
      <c r="I49" s="292">
        <v>7</v>
      </c>
      <c r="J49" s="377">
        <v>15</v>
      </c>
      <c r="K49" s="336">
        <f t="shared" ref="K49:K54" si="17">G49/J49*100</f>
        <v>6.666666666666667</v>
      </c>
      <c r="L49" s="336">
        <f t="shared" ref="L49:L54" si="18">H49/J49*100</f>
        <v>40</v>
      </c>
      <c r="M49" s="336">
        <f t="shared" ref="M49:M54" si="19">I49/J49*100</f>
        <v>46.666666666666664</v>
      </c>
      <c r="N49" s="368">
        <f t="shared" si="3"/>
        <v>93.333333333333329</v>
      </c>
      <c r="O49" s="335">
        <v>5</v>
      </c>
      <c r="P49" s="336">
        <v>24</v>
      </c>
      <c r="Q49" s="336">
        <v>47</v>
      </c>
      <c r="R49" s="337">
        <f t="shared" si="4"/>
        <v>76</v>
      </c>
      <c r="S49" s="340">
        <v>3</v>
      </c>
      <c r="T49" s="838"/>
      <c r="U49" s="836"/>
      <c r="V49" s="299" t="s">
        <v>112</v>
      </c>
      <c r="W49" s="292" t="s">
        <v>20</v>
      </c>
      <c r="X49" s="292" t="s">
        <v>12</v>
      </c>
      <c r="Y49" s="300">
        <v>27</v>
      </c>
      <c r="Z49" s="299" t="s">
        <v>108</v>
      </c>
      <c r="AA49" s="292" t="s">
        <v>75</v>
      </c>
      <c r="AB49" s="292" t="s">
        <v>18</v>
      </c>
      <c r="AC49" s="300">
        <v>19.5</v>
      </c>
      <c r="AD49" s="299" t="s">
        <v>113</v>
      </c>
      <c r="AE49" s="292" t="s">
        <v>114</v>
      </c>
      <c r="AF49" s="292" t="s">
        <v>12</v>
      </c>
      <c r="AG49" s="300">
        <v>20</v>
      </c>
      <c r="AH49" s="299" t="s">
        <v>110</v>
      </c>
      <c r="AI49" s="292" t="s">
        <v>90</v>
      </c>
      <c r="AJ49" s="292" t="s">
        <v>11</v>
      </c>
      <c r="AK49" s="300">
        <v>5</v>
      </c>
      <c r="AL49" s="292" t="s">
        <v>111</v>
      </c>
      <c r="AM49" s="292" t="s">
        <v>22</v>
      </c>
      <c r="AN49" s="292" t="s">
        <v>18</v>
      </c>
      <c r="AO49" s="292">
        <v>4.5</v>
      </c>
      <c r="AP49" s="299"/>
      <c r="AS49" s="300"/>
      <c r="AW49" s="300"/>
      <c r="BA49" s="301"/>
    </row>
    <row r="50" spans="1:53" s="73" customFormat="1">
      <c r="A50" s="101">
        <v>1978</v>
      </c>
      <c r="B50" s="852">
        <v>28551</v>
      </c>
      <c r="C50" s="901" t="s">
        <v>353</v>
      </c>
      <c r="D50" s="901"/>
      <c r="E50" s="73">
        <v>305</v>
      </c>
      <c r="F50" s="73">
        <v>4</v>
      </c>
      <c r="G50" s="119"/>
      <c r="H50" s="73">
        <v>7</v>
      </c>
      <c r="I50" s="73">
        <v>7</v>
      </c>
      <c r="J50" s="126">
        <v>15</v>
      </c>
      <c r="K50" s="92">
        <f t="shared" si="17"/>
        <v>0</v>
      </c>
      <c r="L50" s="92">
        <f t="shared" si="18"/>
        <v>46.666666666666664</v>
      </c>
      <c r="M50" s="92">
        <f t="shared" si="19"/>
        <v>46.666666666666664</v>
      </c>
      <c r="N50" s="121">
        <f t="shared" si="3"/>
        <v>93.333333333333329</v>
      </c>
      <c r="O50" s="91"/>
      <c r="P50" s="92">
        <v>24</v>
      </c>
      <c r="Q50" s="92">
        <v>47</v>
      </c>
      <c r="R50" s="93">
        <f t="shared" si="4"/>
        <v>71</v>
      </c>
      <c r="S50" s="97">
        <v>3</v>
      </c>
      <c r="T50" s="839"/>
      <c r="U50" s="852">
        <v>28551</v>
      </c>
      <c r="V50" s="82" t="s">
        <v>112</v>
      </c>
      <c r="W50" s="73" t="s">
        <v>20</v>
      </c>
      <c r="X50" s="73" t="s">
        <v>12</v>
      </c>
      <c r="Y50" s="83">
        <v>27</v>
      </c>
      <c r="Z50" s="82" t="s">
        <v>108</v>
      </c>
      <c r="AA50" s="73" t="s">
        <v>75</v>
      </c>
      <c r="AB50" s="73" t="s">
        <v>18</v>
      </c>
      <c r="AC50" s="83">
        <v>19.5</v>
      </c>
      <c r="AD50" s="82" t="s">
        <v>113</v>
      </c>
      <c r="AE50" s="73" t="s">
        <v>114</v>
      </c>
      <c r="AF50" s="73" t="s">
        <v>12</v>
      </c>
      <c r="AG50" s="83">
        <v>20</v>
      </c>
      <c r="AH50" s="73" t="s">
        <v>111</v>
      </c>
      <c r="AI50" s="73" t="s">
        <v>22</v>
      </c>
      <c r="AJ50" s="73" t="s">
        <v>18</v>
      </c>
      <c r="AK50" s="73">
        <v>4.5</v>
      </c>
      <c r="AL50" s="82"/>
      <c r="AO50" s="83"/>
      <c r="AP50" s="82"/>
      <c r="AS50" s="83"/>
      <c r="AW50" s="83"/>
      <c r="BA50" s="84"/>
    </row>
    <row r="51" spans="1:53" s="73" customFormat="1">
      <c r="A51" s="101">
        <v>1979</v>
      </c>
      <c r="B51" s="852"/>
      <c r="C51" s="901" t="s">
        <v>353</v>
      </c>
      <c r="D51" s="901"/>
      <c r="E51" s="73">
        <v>144</v>
      </c>
      <c r="G51" s="119"/>
      <c r="H51" s="73">
        <v>7</v>
      </c>
      <c r="I51" s="73">
        <v>7</v>
      </c>
      <c r="J51" s="126">
        <v>15</v>
      </c>
      <c r="K51" s="92">
        <f t="shared" si="17"/>
        <v>0</v>
      </c>
      <c r="L51" s="92">
        <f t="shared" si="18"/>
        <v>46.666666666666664</v>
      </c>
      <c r="M51" s="92">
        <f t="shared" si="19"/>
        <v>46.666666666666664</v>
      </c>
      <c r="N51" s="121">
        <f t="shared" si="3"/>
        <v>93.333333333333329</v>
      </c>
      <c r="O51" s="91"/>
      <c r="P51" s="92">
        <v>24</v>
      </c>
      <c r="Q51" s="92">
        <v>47</v>
      </c>
      <c r="R51" s="93">
        <f t="shared" si="4"/>
        <v>71</v>
      </c>
      <c r="S51" s="97">
        <v>3</v>
      </c>
      <c r="T51" s="839"/>
      <c r="U51" s="852"/>
      <c r="V51" s="82" t="s">
        <v>112</v>
      </c>
      <c r="W51" s="73" t="s">
        <v>20</v>
      </c>
      <c r="X51" s="73" t="s">
        <v>12</v>
      </c>
      <c r="Y51" s="83">
        <v>27</v>
      </c>
      <c r="Z51" s="82" t="s">
        <v>108</v>
      </c>
      <c r="AA51" s="73" t="s">
        <v>75</v>
      </c>
      <c r="AB51" s="73" t="s">
        <v>18</v>
      </c>
      <c r="AC51" s="83">
        <v>19.5</v>
      </c>
      <c r="AD51" s="82" t="s">
        <v>113</v>
      </c>
      <c r="AE51" s="73" t="s">
        <v>114</v>
      </c>
      <c r="AF51" s="73" t="s">
        <v>12</v>
      </c>
      <c r="AG51" s="83">
        <v>20</v>
      </c>
      <c r="AH51" s="73" t="s">
        <v>111</v>
      </c>
      <c r="AI51" s="73" t="s">
        <v>22</v>
      </c>
      <c r="AJ51" s="73" t="s">
        <v>18</v>
      </c>
      <c r="AK51" s="73">
        <v>4.5</v>
      </c>
      <c r="AL51" s="82"/>
      <c r="AO51" s="83"/>
      <c r="AP51" s="82"/>
      <c r="AS51" s="83"/>
      <c r="AW51" s="83"/>
      <c r="BA51" s="84"/>
    </row>
    <row r="52" spans="1:53" s="292" customFormat="1">
      <c r="A52" s="338">
        <v>1979</v>
      </c>
      <c r="B52" s="836">
        <v>29000</v>
      </c>
      <c r="C52" s="909" t="s">
        <v>354</v>
      </c>
      <c r="D52" s="909"/>
      <c r="E52" s="292">
        <v>221</v>
      </c>
      <c r="F52" s="292">
        <v>1</v>
      </c>
      <c r="G52" s="366">
        <v>2</v>
      </c>
      <c r="H52" s="292">
        <v>6</v>
      </c>
      <c r="I52" s="292">
        <v>8</v>
      </c>
      <c r="J52" s="377">
        <v>17</v>
      </c>
      <c r="K52" s="336">
        <f t="shared" si="17"/>
        <v>11.76470588235294</v>
      </c>
      <c r="L52" s="336">
        <f t="shared" si="18"/>
        <v>35.294117647058826</v>
      </c>
      <c r="M52" s="336">
        <f t="shared" si="19"/>
        <v>47.058823529411761</v>
      </c>
      <c r="N52" s="368">
        <f t="shared" si="3"/>
        <v>94.117647058823536</v>
      </c>
      <c r="O52" s="335">
        <v>5</v>
      </c>
      <c r="P52" s="336">
        <v>18</v>
      </c>
      <c r="Q52" s="336">
        <v>43.5</v>
      </c>
      <c r="R52" s="337">
        <f t="shared" si="4"/>
        <v>66.5</v>
      </c>
      <c r="S52" s="340">
        <v>3</v>
      </c>
      <c r="T52" s="838">
        <v>28926</v>
      </c>
      <c r="U52" s="836">
        <v>29000</v>
      </c>
      <c r="V52" s="299" t="s">
        <v>112</v>
      </c>
      <c r="W52" s="292" t="s">
        <v>20</v>
      </c>
      <c r="X52" s="292" t="s">
        <v>12</v>
      </c>
      <c r="Y52" s="300">
        <v>26</v>
      </c>
      <c r="Z52" s="299" t="s">
        <v>108</v>
      </c>
      <c r="AA52" s="292" t="s">
        <v>75</v>
      </c>
      <c r="AB52" s="292" t="s">
        <v>18</v>
      </c>
      <c r="AC52" s="300">
        <v>18</v>
      </c>
      <c r="AD52" s="299" t="s">
        <v>113</v>
      </c>
      <c r="AE52" s="292" t="s">
        <v>114</v>
      </c>
      <c r="AF52" s="292" t="s">
        <v>12</v>
      </c>
      <c r="AG52" s="300">
        <v>17.5</v>
      </c>
      <c r="AH52" s="299" t="s">
        <v>110</v>
      </c>
      <c r="AI52" s="292" t="s">
        <v>90</v>
      </c>
      <c r="AJ52" s="292" t="s">
        <v>11</v>
      </c>
      <c r="AK52" s="300">
        <v>5</v>
      </c>
      <c r="AL52" s="299"/>
      <c r="AO52" s="300"/>
      <c r="AP52" s="299"/>
      <c r="AS52" s="300"/>
      <c r="AW52" s="300"/>
      <c r="BA52" s="301"/>
    </row>
    <row r="53" spans="1:53" s="292" customFormat="1">
      <c r="A53" s="338">
        <v>1980</v>
      </c>
      <c r="B53" s="836"/>
      <c r="C53" s="909" t="s">
        <v>354</v>
      </c>
      <c r="D53" s="909"/>
      <c r="E53" s="292">
        <v>0</v>
      </c>
      <c r="G53" s="366">
        <v>2</v>
      </c>
      <c r="H53" s="292">
        <v>6</v>
      </c>
      <c r="I53" s="292">
        <v>8</v>
      </c>
      <c r="J53" s="377">
        <v>17</v>
      </c>
      <c r="K53" s="336">
        <f t="shared" si="17"/>
        <v>11.76470588235294</v>
      </c>
      <c r="L53" s="336">
        <f t="shared" si="18"/>
        <v>35.294117647058826</v>
      </c>
      <c r="M53" s="336">
        <f t="shared" si="19"/>
        <v>47.058823529411761</v>
      </c>
      <c r="N53" s="368">
        <f t="shared" si="3"/>
        <v>94.117647058823536</v>
      </c>
      <c r="O53" s="335">
        <v>5</v>
      </c>
      <c r="P53" s="336">
        <v>18</v>
      </c>
      <c r="Q53" s="336">
        <v>43.5</v>
      </c>
      <c r="R53" s="337">
        <f t="shared" si="4"/>
        <v>66.5</v>
      </c>
      <c r="S53" s="340">
        <v>3</v>
      </c>
      <c r="T53" s="838"/>
      <c r="U53" s="836"/>
      <c r="V53" s="299" t="s">
        <v>112</v>
      </c>
      <c r="W53" s="292" t="s">
        <v>20</v>
      </c>
      <c r="X53" s="292" t="s">
        <v>12</v>
      </c>
      <c r="Y53" s="300">
        <v>26</v>
      </c>
      <c r="Z53" s="299" t="s">
        <v>108</v>
      </c>
      <c r="AA53" s="292" t="s">
        <v>75</v>
      </c>
      <c r="AB53" s="292" t="s">
        <v>18</v>
      </c>
      <c r="AC53" s="300">
        <v>18</v>
      </c>
      <c r="AD53" s="299" t="s">
        <v>113</v>
      </c>
      <c r="AE53" s="292" t="s">
        <v>114</v>
      </c>
      <c r="AF53" s="292" t="s">
        <v>12</v>
      </c>
      <c r="AG53" s="300">
        <v>17.5</v>
      </c>
      <c r="AH53" s="299" t="s">
        <v>110</v>
      </c>
      <c r="AI53" s="292" t="s">
        <v>90</v>
      </c>
      <c r="AJ53" s="292" t="s">
        <v>11</v>
      </c>
      <c r="AK53" s="300">
        <v>5</v>
      </c>
      <c r="AL53" s="299"/>
      <c r="AO53" s="300"/>
      <c r="AP53" s="299"/>
      <c r="AS53" s="300"/>
      <c r="AW53" s="300"/>
      <c r="BA53" s="301"/>
    </row>
    <row r="54" spans="1:53" s="292" customFormat="1">
      <c r="A54" s="338">
        <v>1980</v>
      </c>
      <c r="B54" s="836"/>
      <c r="C54" s="909" t="s">
        <v>354</v>
      </c>
      <c r="D54" s="909"/>
      <c r="E54" s="292">
        <v>366</v>
      </c>
      <c r="G54" s="366">
        <v>2</v>
      </c>
      <c r="H54" s="292">
        <v>6</v>
      </c>
      <c r="I54" s="292">
        <v>8</v>
      </c>
      <c r="J54" s="377">
        <v>17</v>
      </c>
      <c r="K54" s="336">
        <f t="shared" si="17"/>
        <v>11.76470588235294</v>
      </c>
      <c r="L54" s="336">
        <f t="shared" si="18"/>
        <v>35.294117647058826</v>
      </c>
      <c r="M54" s="336">
        <f t="shared" si="19"/>
        <v>47.058823529411761</v>
      </c>
      <c r="N54" s="368">
        <f t="shared" si="3"/>
        <v>94.117647058823536</v>
      </c>
      <c r="O54" s="335">
        <v>5</v>
      </c>
      <c r="P54" s="336">
        <v>18</v>
      </c>
      <c r="Q54" s="336">
        <v>43.5</v>
      </c>
      <c r="R54" s="337">
        <f t="shared" si="4"/>
        <v>66.5</v>
      </c>
      <c r="S54" s="340">
        <v>3</v>
      </c>
      <c r="T54" s="838"/>
      <c r="U54" s="836"/>
      <c r="V54" s="299" t="s">
        <v>112</v>
      </c>
      <c r="W54" s="292" t="s">
        <v>20</v>
      </c>
      <c r="X54" s="292" t="s">
        <v>12</v>
      </c>
      <c r="Y54" s="300">
        <v>26</v>
      </c>
      <c r="Z54" s="299" t="s">
        <v>108</v>
      </c>
      <c r="AA54" s="292" t="s">
        <v>75</v>
      </c>
      <c r="AB54" s="292" t="s">
        <v>18</v>
      </c>
      <c r="AC54" s="300">
        <v>18</v>
      </c>
      <c r="AD54" s="299" t="s">
        <v>113</v>
      </c>
      <c r="AE54" s="292" t="s">
        <v>114</v>
      </c>
      <c r="AF54" s="292" t="s">
        <v>12</v>
      </c>
      <c r="AG54" s="300">
        <v>17.5</v>
      </c>
      <c r="AH54" s="299" t="s">
        <v>110</v>
      </c>
      <c r="AI54" s="292" t="s">
        <v>90</v>
      </c>
      <c r="AJ54" s="292" t="s">
        <v>11</v>
      </c>
      <c r="AK54" s="300">
        <v>5</v>
      </c>
      <c r="AL54" s="299"/>
      <c r="AO54" s="300"/>
      <c r="AP54" s="299"/>
      <c r="AS54" s="300"/>
      <c r="AW54" s="300"/>
      <c r="BA54" s="301"/>
    </row>
    <row r="55" spans="1:53" s="292" customFormat="1">
      <c r="A55" s="338">
        <v>1981</v>
      </c>
      <c r="B55" s="836"/>
      <c r="C55" s="909" t="s">
        <v>354</v>
      </c>
      <c r="D55" s="909"/>
      <c r="E55" s="292">
        <v>0</v>
      </c>
      <c r="G55" s="366">
        <v>2</v>
      </c>
      <c r="H55" s="292">
        <v>6</v>
      </c>
      <c r="I55" s="292">
        <v>8</v>
      </c>
      <c r="J55" s="377">
        <v>17</v>
      </c>
      <c r="K55" s="336">
        <f>G55/J55*100</f>
        <v>11.76470588235294</v>
      </c>
      <c r="L55" s="336">
        <f>H55/J55*100</f>
        <v>35.294117647058826</v>
      </c>
      <c r="M55" s="336">
        <f>I55/J55*100</f>
        <v>47.058823529411761</v>
      </c>
      <c r="N55" s="368">
        <f t="shared" si="3"/>
        <v>94.117647058823536</v>
      </c>
      <c r="O55" s="335">
        <v>5</v>
      </c>
      <c r="P55" s="336">
        <v>18</v>
      </c>
      <c r="Q55" s="336">
        <v>43.5</v>
      </c>
      <c r="R55" s="337">
        <f t="shared" si="4"/>
        <v>66.5</v>
      </c>
      <c r="S55" s="340">
        <v>3</v>
      </c>
      <c r="T55" s="838"/>
      <c r="U55" s="836"/>
      <c r="V55" s="299" t="s">
        <v>112</v>
      </c>
      <c r="W55" s="292" t="s">
        <v>20</v>
      </c>
      <c r="X55" s="292" t="s">
        <v>12</v>
      </c>
      <c r="Y55" s="300">
        <v>26</v>
      </c>
      <c r="Z55" s="299" t="s">
        <v>108</v>
      </c>
      <c r="AA55" s="292" t="s">
        <v>75</v>
      </c>
      <c r="AB55" s="292" t="s">
        <v>18</v>
      </c>
      <c r="AC55" s="300">
        <v>18</v>
      </c>
      <c r="AD55" s="299" t="s">
        <v>113</v>
      </c>
      <c r="AE55" s="292" t="s">
        <v>114</v>
      </c>
      <c r="AF55" s="292" t="s">
        <v>12</v>
      </c>
      <c r="AG55" s="300">
        <v>17.5</v>
      </c>
      <c r="AH55" s="299" t="s">
        <v>110</v>
      </c>
      <c r="AI55" s="292" t="s">
        <v>90</v>
      </c>
      <c r="AJ55" s="292" t="s">
        <v>11</v>
      </c>
      <c r="AK55" s="300">
        <v>5</v>
      </c>
      <c r="AL55" s="299"/>
      <c r="AO55" s="300"/>
      <c r="AP55" s="299"/>
      <c r="AS55" s="300"/>
      <c r="AW55" s="300"/>
      <c r="BA55" s="301"/>
    </row>
    <row r="56" spans="1:53" s="292" customFormat="1">
      <c r="A56" s="338">
        <v>1981</v>
      </c>
      <c r="B56" s="836"/>
      <c r="C56" s="909" t="s">
        <v>354</v>
      </c>
      <c r="D56" s="909"/>
      <c r="E56" s="292">
        <v>365</v>
      </c>
      <c r="G56" s="366">
        <v>2</v>
      </c>
      <c r="H56" s="292">
        <v>6</v>
      </c>
      <c r="I56" s="292">
        <v>8</v>
      </c>
      <c r="J56" s="377">
        <v>17</v>
      </c>
      <c r="K56" s="336">
        <f t="shared" ref="K56:K62" si="20">G56/J56*100</f>
        <v>11.76470588235294</v>
      </c>
      <c r="L56" s="336">
        <f t="shared" ref="L56:L62" si="21">H56/J56*100</f>
        <v>35.294117647058826</v>
      </c>
      <c r="M56" s="336">
        <f t="shared" ref="M56:M62" si="22">I56/J56*100</f>
        <v>47.058823529411761</v>
      </c>
      <c r="N56" s="368">
        <f t="shared" si="3"/>
        <v>94.117647058823536</v>
      </c>
      <c r="O56" s="335">
        <v>5</v>
      </c>
      <c r="P56" s="336">
        <v>18</v>
      </c>
      <c r="Q56" s="336">
        <v>43.5</v>
      </c>
      <c r="R56" s="337">
        <f t="shared" si="4"/>
        <v>66.5</v>
      </c>
      <c r="S56" s="340">
        <v>3</v>
      </c>
      <c r="T56" s="838"/>
      <c r="U56" s="836"/>
      <c r="V56" s="299" t="s">
        <v>112</v>
      </c>
      <c r="W56" s="292" t="s">
        <v>20</v>
      </c>
      <c r="X56" s="292" t="s">
        <v>12</v>
      </c>
      <c r="Y56" s="300">
        <v>26</v>
      </c>
      <c r="Z56" s="299" t="s">
        <v>108</v>
      </c>
      <c r="AA56" s="292" t="s">
        <v>75</v>
      </c>
      <c r="AB56" s="292" t="s">
        <v>18</v>
      </c>
      <c r="AC56" s="300">
        <v>18</v>
      </c>
      <c r="AD56" s="299" t="s">
        <v>113</v>
      </c>
      <c r="AE56" s="292" t="s">
        <v>114</v>
      </c>
      <c r="AF56" s="292" t="s">
        <v>12</v>
      </c>
      <c r="AG56" s="300">
        <v>17.5</v>
      </c>
      <c r="AH56" s="299" t="s">
        <v>110</v>
      </c>
      <c r="AI56" s="292" t="s">
        <v>90</v>
      </c>
      <c r="AJ56" s="292" t="s">
        <v>11</v>
      </c>
      <c r="AK56" s="300">
        <v>5</v>
      </c>
      <c r="AL56" s="299"/>
      <c r="AO56" s="300"/>
      <c r="AP56" s="299"/>
      <c r="AS56" s="300"/>
      <c r="AW56" s="300"/>
      <c r="BA56" s="301"/>
    </row>
    <row r="57" spans="1:53" s="292" customFormat="1">
      <c r="A57" s="338">
        <v>1982</v>
      </c>
      <c r="B57" s="836"/>
      <c r="C57" s="909" t="s">
        <v>354</v>
      </c>
      <c r="D57" s="909"/>
      <c r="E57" s="292">
        <v>55</v>
      </c>
      <c r="G57" s="366">
        <v>2</v>
      </c>
      <c r="H57" s="292">
        <v>6</v>
      </c>
      <c r="I57" s="292">
        <v>8</v>
      </c>
      <c r="J57" s="377">
        <v>17</v>
      </c>
      <c r="K57" s="336">
        <f t="shared" si="20"/>
        <v>11.76470588235294</v>
      </c>
      <c r="L57" s="336">
        <f t="shared" si="21"/>
        <v>35.294117647058826</v>
      </c>
      <c r="M57" s="336">
        <f t="shared" si="22"/>
        <v>47.058823529411761</v>
      </c>
      <c r="N57" s="368">
        <f t="shared" si="3"/>
        <v>94.117647058823536</v>
      </c>
      <c r="O57" s="335">
        <v>5</v>
      </c>
      <c r="P57" s="336">
        <v>18</v>
      </c>
      <c r="Q57" s="336">
        <v>43.5</v>
      </c>
      <c r="R57" s="337">
        <f t="shared" si="4"/>
        <v>66.5</v>
      </c>
      <c r="S57" s="340">
        <v>3</v>
      </c>
      <c r="T57" s="838"/>
      <c r="U57" s="836"/>
      <c r="V57" s="299" t="s">
        <v>112</v>
      </c>
      <c r="W57" s="292" t="s">
        <v>20</v>
      </c>
      <c r="X57" s="292" t="s">
        <v>12</v>
      </c>
      <c r="Y57" s="300">
        <v>26</v>
      </c>
      <c r="Z57" s="299" t="s">
        <v>108</v>
      </c>
      <c r="AA57" s="292" t="s">
        <v>75</v>
      </c>
      <c r="AB57" s="292" t="s">
        <v>18</v>
      </c>
      <c r="AC57" s="300">
        <v>18</v>
      </c>
      <c r="AD57" s="299" t="s">
        <v>113</v>
      </c>
      <c r="AE57" s="292" t="s">
        <v>114</v>
      </c>
      <c r="AF57" s="292" t="s">
        <v>12</v>
      </c>
      <c r="AG57" s="300">
        <v>17.5</v>
      </c>
      <c r="AH57" s="299" t="s">
        <v>110</v>
      </c>
      <c r="AI57" s="292" t="s">
        <v>90</v>
      </c>
      <c r="AJ57" s="292" t="s">
        <v>11</v>
      </c>
      <c r="AK57" s="300">
        <v>5</v>
      </c>
      <c r="AL57" s="299"/>
      <c r="AO57" s="300"/>
      <c r="AP57" s="299"/>
      <c r="AS57" s="300"/>
      <c r="AW57" s="300"/>
      <c r="BA57" s="301"/>
    </row>
    <row r="58" spans="1:53" s="73" customFormat="1">
      <c r="A58" s="101">
        <v>1982</v>
      </c>
      <c r="B58" s="852">
        <v>30007</v>
      </c>
      <c r="C58" s="901" t="s">
        <v>355</v>
      </c>
      <c r="D58" s="901"/>
      <c r="E58" s="73">
        <v>308</v>
      </c>
      <c r="F58" s="73">
        <v>2</v>
      </c>
      <c r="G58" s="119">
        <v>2</v>
      </c>
      <c r="H58" s="73">
        <v>6</v>
      </c>
      <c r="I58" s="73">
        <v>8</v>
      </c>
      <c r="J58" s="126">
        <v>17</v>
      </c>
      <c r="K58" s="92">
        <f>G58/J58*100</f>
        <v>11.76470588235294</v>
      </c>
      <c r="L58" s="92">
        <f>H58/J58*100</f>
        <v>35.294117647058826</v>
      </c>
      <c r="M58" s="92">
        <f>I58/J58*100</f>
        <v>47.058823529411761</v>
      </c>
      <c r="N58" s="121">
        <f t="shared" si="3"/>
        <v>94.117647058823536</v>
      </c>
      <c r="O58" s="91">
        <v>5</v>
      </c>
      <c r="P58" s="92">
        <v>18</v>
      </c>
      <c r="Q58" s="92">
        <v>43.5</v>
      </c>
      <c r="R58" s="93">
        <f t="shared" si="4"/>
        <v>66.5</v>
      </c>
      <c r="S58" s="97">
        <v>3</v>
      </c>
      <c r="T58" s="839"/>
      <c r="U58" s="852">
        <v>30007</v>
      </c>
      <c r="V58" s="82" t="s">
        <v>112</v>
      </c>
      <c r="W58" s="73" t="s">
        <v>20</v>
      </c>
      <c r="X58" s="73" t="s">
        <v>12</v>
      </c>
      <c r="Y58" s="83">
        <v>26</v>
      </c>
      <c r="Z58" s="82" t="s">
        <v>108</v>
      </c>
      <c r="AA58" s="73" t="s">
        <v>75</v>
      </c>
      <c r="AB58" s="73" t="s">
        <v>18</v>
      </c>
      <c r="AC58" s="83">
        <v>18</v>
      </c>
      <c r="AD58" s="82" t="s">
        <v>113</v>
      </c>
      <c r="AE58" s="73" t="s">
        <v>114</v>
      </c>
      <c r="AF58" s="73" t="s">
        <v>12</v>
      </c>
      <c r="AG58" s="83">
        <v>17.5</v>
      </c>
      <c r="AH58" s="82" t="s">
        <v>110</v>
      </c>
      <c r="AI58" s="73" t="s">
        <v>90</v>
      </c>
      <c r="AJ58" s="73" t="s">
        <v>11</v>
      </c>
      <c r="AK58" s="83">
        <v>5</v>
      </c>
      <c r="AL58" s="82"/>
      <c r="AO58" s="83"/>
      <c r="AP58" s="82"/>
      <c r="AS58" s="83"/>
      <c r="AW58" s="83"/>
      <c r="BA58" s="84"/>
    </row>
    <row r="59" spans="1:53" s="292" customFormat="1">
      <c r="A59" s="338">
        <v>1982</v>
      </c>
      <c r="B59" s="836">
        <v>30315</v>
      </c>
      <c r="C59" s="909" t="s">
        <v>356</v>
      </c>
      <c r="D59" s="909"/>
      <c r="E59" s="292">
        <v>2</v>
      </c>
      <c r="F59" s="292">
        <v>4</v>
      </c>
      <c r="G59" s="366">
        <v>2</v>
      </c>
      <c r="H59" s="292">
        <v>7</v>
      </c>
      <c r="I59" s="292">
        <v>8</v>
      </c>
      <c r="J59" s="377">
        <v>17</v>
      </c>
      <c r="K59" s="336">
        <f t="shared" si="20"/>
        <v>11.76470588235294</v>
      </c>
      <c r="L59" s="336">
        <f t="shared" si="21"/>
        <v>41.17647058823529</v>
      </c>
      <c r="M59" s="336">
        <f t="shared" si="22"/>
        <v>47.058823529411761</v>
      </c>
      <c r="N59" s="368">
        <f t="shared" si="3"/>
        <v>100</v>
      </c>
      <c r="O59" s="335">
        <v>5</v>
      </c>
      <c r="P59" s="336">
        <v>18</v>
      </c>
      <c r="Q59" s="336">
        <v>26</v>
      </c>
      <c r="R59" s="337">
        <f t="shared" si="4"/>
        <v>49</v>
      </c>
      <c r="S59" s="340">
        <v>5</v>
      </c>
      <c r="T59" s="838"/>
      <c r="U59" s="836">
        <v>30315</v>
      </c>
      <c r="V59" s="299" t="s">
        <v>112</v>
      </c>
      <c r="W59" s="292" t="s">
        <v>20</v>
      </c>
      <c r="X59" s="292" t="s">
        <v>12</v>
      </c>
      <c r="Y59" s="300">
        <v>26</v>
      </c>
      <c r="Z59" s="299" t="s">
        <v>108</v>
      </c>
      <c r="AA59" s="292" t="s">
        <v>75</v>
      </c>
      <c r="AB59" s="292" t="s">
        <v>18</v>
      </c>
      <c r="AC59" s="300">
        <v>18</v>
      </c>
      <c r="AD59" s="299" t="s">
        <v>110</v>
      </c>
      <c r="AE59" s="292" t="s">
        <v>90</v>
      </c>
      <c r="AF59" s="292" t="s">
        <v>11</v>
      </c>
      <c r="AG59" s="300">
        <v>5</v>
      </c>
      <c r="AL59" s="299"/>
      <c r="AO59" s="300"/>
      <c r="AP59" s="299"/>
      <c r="AS59" s="300"/>
      <c r="AW59" s="300"/>
      <c r="BA59" s="301"/>
    </row>
    <row r="60" spans="1:53" s="292" customFormat="1">
      <c r="A60" s="338">
        <v>1983</v>
      </c>
      <c r="B60" s="836"/>
      <c r="C60" s="909" t="s">
        <v>356</v>
      </c>
      <c r="D60" s="909"/>
      <c r="E60" s="292">
        <v>126</v>
      </c>
      <c r="G60" s="366">
        <v>2</v>
      </c>
      <c r="H60" s="292">
        <v>7</v>
      </c>
      <c r="I60" s="292">
        <v>8</v>
      </c>
      <c r="J60" s="377">
        <v>17</v>
      </c>
      <c r="K60" s="336">
        <f t="shared" si="20"/>
        <v>11.76470588235294</v>
      </c>
      <c r="L60" s="336">
        <f t="shared" si="21"/>
        <v>41.17647058823529</v>
      </c>
      <c r="M60" s="336">
        <f t="shared" si="22"/>
        <v>47.058823529411761</v>
      </c>
      <c r="N60" s="368">
        <f t="shared" si="3"/>
        <v>100</v>
      </c>
      <c r="O60" s="335">
        <v>5</v>
      </c>
      <c r="P60" s="336">
        <v>18</v>
      </c>
      <c r="Q60" s="336">
        <v>26</v>
      </c>
      <c r="R60" s="337">
        <f t="shared" si="4"/>
        <v>49</v>
      </c>
      <c r="S60" s="340">
        <v>5</v>
      </c>
      <c r="T60" s="838"/>
      <c r="U60" s="836"/>
      <c r="V60" s="299" t="s">
        <v>112</v>
      </c>
      <c r="W60" s="292" t="s">
        <v>20</v>
      </c>
      <c r="X60" s="292" t="s">
        <v>12</v>
      </c>
      <c r="Y60" s="300">
        <v>26</v>
      </c>
      <c r="Z60" s="299" t="s">
        <v>108</v>
      </c>
      <c r="AA60" s="292" t="s">
        <v>75</v>
      </c>
      <c r="AB60" s="292" t="s">
        <v>18</v>
      </c>
      <c r="AC60" s="300">
        <v>18</v>
      </c>
      <c r="AD60" s="299" t="s">
        <v>110</v>
      </c>
      <c r="AE60" s="292" t="s">
        <v>90</v>
      </c>
      <c r="AF60" s="292" t="s">
        <v>11</v>
      </c>
      <c r="AG60" s="300">
        <v>5</v>
      </c>
      <c r="AL60" s="299"/>
      <c r="AO60" s="300"/>
      <c r="AP60" s="299"/>
      <c r="AS60" s="300"/>
      <c r="AW60" s="300"/>
      <c r="BA60" s="301"/>
    </row>
    <row r="61" spans="1:53" s="73" customFormat="1">
      <c r="A61" s="101">
        <v>1983</v>
      </c>
      <c r="B61" s="852">
        <v>30443</v>
      </c>
      <c r="C61" s="901" t="s">
        <v>357</v>
      </c>
      <c r="D61" s="901"/>
      <c r="E61" s="73">
        <v>239</v>
      </c>
      <c r="F61" s="73">
        <v>1</v>
      </c>
      <c r="G61" s="119">
        <v>2</v>
      </c>
      <c r="H61" s="73">
        <v>7</v>
      </c>
      <c r="I61" s="73">
        <v>8</v>
      </c>
      <c r="J61" s="126">
        <v>17</v>
      </c>
      <c r="K61" s="92">
        <f t="shared" si="20"/>
        <v>11.76470588235294</v>
      </c>
      <c r="L61" s="92">
        <f t="shared" si="21"/>
        <v>41.17647058823529</v>
      </c>
      <c r="M61" s="92">
        <f t="shared" si="22"/>
        <v>47.058823529411761</v>
      </c>
      <c r="N61" s="121">
        <f t="shared" si="3"/>
        <v>100</v>
      </c>
      <c r="O61" s="91">
        <v>5.5</v>
      </c>
      <c r="P61" s="92">
        <v>27.5</v>
      </c>
      <c r="Q61" s="92">
        <v>28.5</v>
      </c>
      <c r="R61" s="93">
        <f t="shared" si="4"/>
        <v>61.5</v>
      </c>
      <c r="S61" s="97">
        <v>3</v>
      </c>
      <c r="T61" s="839">
        <v>30395</v>
      </c>
      <c r="U61" s="852">
        <v>30443</v>
      </c>
      <c r="V61" s="82" t="s">
        <v>112</v>
      </c>
      <c r="W61" s="73" t="s">
        <v>20</v>
      </c>
      <c r="X61" s="73" t="s">
        <v>12</v>
      </c>
      <c r="Y61" s="83">
        <v>28.5</v>
      </c>
      <c r="Z61" s="82" t="s">
        <v>108</v>
      </c>
      <c r="AA61" s="73" t="s">
        <v>75</v>
      </c>
      <c r="AB61" s="73" t="s">
        <v>18</v>
      </c>
      <c r="AC61" s="83">
        <v>19</v>
      </c>
      <c r="AD61" s="82" t="s">
        <v>117</v>
      </c>
      <c r="AE61" s="73" t="s">
        <v>118</v>
      </c>
      <c r="AF61" s="73" t="s">
        <v>18</v>
      </c>
      <c r="AG61" s="83">
        <v>8.5</v>
      </c>
      <c r="AH61" s="82" t="s">
        <v>110</v>
      </c>
      <c r="AI61" s="73" t="s">
        <v>90</v>
      </c>
      <c r="AJ61" s="73" t="s">
        <v>11</v>
      </c>
      <c r="AK61" s="83">
        <v>5.5</v>
      </c>
      <c r="AL61" s="82"/>
      <c r="AO61" s="83"/>
      <c r="AP61" s="82"/>
      <c r="AS61" s="83"/>
      <c r="AW61" s="83"/>
      <c r="BA61" s="84"/>
    </row>
    <row r="62" spans="1:53" s="73" customFormat="1">
      <c r="A62" s="101">
        <v>1984</v>
      </c>
      <c r="B62" s="852"/>
      <c r="C62" s="901" t="s">
        <v>357</v>
      </c>
      <c r="D62" s="901"/>
      <c r="E62" s="73">
        <v>0</v>
      </c>
      <c r="G62" s="119">
        <v>2</v>
      </c>
      <c r="H62" s="73">
        <v>7</v>
      </c>
      <c r="I62" s="73">
        <v>8</v>
      </c>
      <c r="J62" s="126">
        <v>17</v>
      </c>
      <c r="K62" s="92">
        <f t="shared" si="20"/>
        <v>11.76470588235294</v>
      </c>
      <c r="L62" s="92">
        <f t="shared" si="21"/>
        <v>41.17647058823529</v>
      </c>
      <c r="M62" s="92">
        <f t="shared" si="22"/>
        <v>47.058823529411761</v>
      </c>
      <c r="N62" s="121">
        <f t="shared" si="3"/>
        <v>100</v>
      </c>
      <c r="O62" s="91">
        <v>5.5</v>
      </c>
      <c r="P62" s="92">
        <v>27.5</v>
      </c>
      <c r="Q62" s="92">
        <v>28.5</v>
      </c>
      <c r="R62" s="93">
        <f t="shared" si="4"/>
        <v>61.5</v>
      </c>
      <c r="S62" s="97">
        <v>3</v>
      </c>
      <c r="T62" s="839"/>
      <c r="U62" s="852"/>
      <c r="V62" s="82" t="s">
        <v>112</v>
      </c>
      <c r="W62" s="73" t="s">
        <v>20</v>
      </c>
      <c r="X62" s="73" t="s">
        <v>12</v>
      </c>
      <c r="Y62" s="83">
        <v>28.5</v>
      </c>
      <c r="Z62" s="82" t="s">
        <v>108</v>
      </c>
      <c r="AA62" s="73" t="s">
        <v>75</v>
      </c>
      <c r="AB62" s="73" t="s">
        <v>18</v>
      </c>
      <c r="AC62" s="83">
        <v>19</v>
      </c>
      <c r="AD62" s="82" t="s">
        <v>117</v>
      </c>
      <c r="AE62" s="73" t="s">
        <v>118</v>
      </c>
      <c r="AF62" s="73" t="s">
        <v>18</v>
      </c>
      <c r="AG62" s="83">
        <v>8.5</v>
      </c>
      <c r="AH62" s="82" t="s">
        <v>110</v>
      </c>
      <c r="AI62" s="73" t="s">
        <v>90</v>
      </c>
      <c r="AJ62" s="73" t="s">
        <v>11</v>
      </c>
      <c r="AK62" s="83">
        <v>5.5</v>
      </c>
      <c r="AL62" s="82"/>
      <c r="AO62" s="83"/>
      <c r="AP62" s="82"/>
      <c r="AS62" s="83"/>
      <c r="AW62" s="83"/>
      <c r="BA62" s="84"/>
    </row>
    <row r="63" spans="1:53" s="73" customFormat="1">
      <c r="A63" s="101">
        <v>1984</v>
      </c>
      <c r="B63" s="852"/>
      <c r="C63" s="901" t="s">
        <v>357</v>
      </c>
      <c r="D63" s="901"/>
      <c r="E63" s="73">
        <v>366</v>
      </c>
      <c r="G63" s="119">
        <v>2</v>
      </c>
      <c r="H63" s="73">
        <v>7</v>
      </c>
      <c r="I63" s="73">
        <v>8</v>
      </c>
      <c r="J63" s="126">
        <v>17</v>
      </c>
      <c r="K63" s="92">
        <f>G63/J63*100</f>
        <v>11.76470588235294</v>
      </c>
      <c r="L63" s="92">
        <f>H63/J63*100</f>
        <v>41.17647058823529</v>
      </c>
      <c r="M63" s="92">
        <f>I63/J63*100</f>
        <v>47.058823529411761</v>
      </c>
      <c r="N63" s="121">
        <f t="shared" si="3"/>
        <v>100</v>
      </c>
      <c r="O63" s="91">
        <v>5.5</v>
      </c>
      <c r="P63" s="92">
        <v>27.5</v>
      </c>
      <c r="Q63" s="92">
        <v>28.5</v>
      </c>
      <c r="R63" s="93">
        <f t="shared" si="4"/>
        <v>61.5</v>
      </c>
      <c r="S63" s="97">
        <v>3</v>
      </c>
      <c r="T63" s="839"/>
      <c r="U63" s="852"/>
      <c r="V63" s="82" t="s">
        <v>112</v>
      </c>
      <c r="W63" s="73" t="s">
        <v>20</v>
      </c>
      <c r="X63" s="73" t="s">
        <v>12</v>
      </c>
      <c r="Y63" s="83">
        <v>28.5</v>
      </c>
      <c r="Z63" s="82" t="s">
        <v>108</v>
      </c>
      <c r="AA63" s="73" t="s">
        <v>75</v>
      </c>
      <c r="AB63" s="73" t="s">
        <v>18</v>
      </c>
      <c r="AC63" s="83">
        <v>19</v>
      </c>
      <c r="AD63" s="82" t="s">
        <v>117</v>
      </c>
      <c r="AE63" s="73" t="s">
        <v>118</v>
      </c>
      <c r="AF63" s="73" t="s">
        <v>18</v>
      </c>
      <c r="AG63" s="83">
        <v>8.5</v>
      </c>
      <c r="AH63" s="82" t="s">
        <v>110</v>
      </c>
      <c r="AI63" s="73" t="s">
        <v>90</v>
      </c>
      <c r="AJ63" s="73" t="s">
        <v>11</v>
      </c>
      <c r="AK63" s="83">
        <v>5.5</v>
      </c>
      <c r="AL63" s="82"/>
      <c r="AO63" s="83"/>
      <c r="AP63" s="82"/>
      <c r="AS63" s="83"/>
      <c r="AW63" s="83"/>
      <c r="BA63" s="84"/>
    </row>
    <row r="64" spans="1:53" s="73" customFormat="1">
      <c r="A64" s="101">
        <v>1985</v>
      </c>
      <c r="B64" s="852"/>
      <c r="C64" s="901" t="s">
        <v>357</v>
      </c>
      <c r="D64" s="901"/>
      <c r="E64" s="73">
        <v>0</v>
      </c>
      <c r="G64" s="119">
        <v>2</v>
      </c>
      <c r="H64" s="73">
        <v>7</v>
      </c>
      <c r="I64" s="73">
        <v>8</v>
      </c>
      <c r="J64" s="126">
        <v>17</v>
      </c>
      <c r="K64" s="92">
        <f t="shared" ref="K64:K69" si="23">G64/J64*100</f>
        <v>11.76470588235294</v>
      </c>
      <c r="L64" s="92">
        <f t="shared" ref="L64:L69" si="24">H64/J64*100</f>
        <v>41.17647058823529</v>
      </c>
      <c r="M64" s="92">
        <f t="shared" ref="M64:M69" si="25">I64/J64*100</f>
        <v>47.058823529411761</v>
      </c>
      <c r="N64" s="121">
        <f t="shared" si="3"/>
        <v>100</v>
      </c>
      <c r="O64" s="91">
        <v>5.5</v>
      </c>
      <c r="P64" s="92">
        <v>27.5</v>
      </c>
      <c r="Q64" s="92">
        <v>28.5</v>
      </c>
      <c r="R64" s="93">
        <f t="shared" si="4"/>
        <v>61.5</v>
      </c>
      <c r="S64" s="97">
        <v>3</v>
      </c>
      <c r="T64" s="839"/>
      <c r="U64" s="852"/>
      <c r="V64" s="82" t="s">
        <v>112</v>
      </c>
      <c r="W64" s="73" t="s">
        <v>20</v>
      </c>
      <c r="X64" s="73" t="s">
        <v>12</v>
      </c>
      <c r="Y64" s="83">
        <v>28.5</v>
      </c>
      <c r="Z64" s="82" t="s">
        <v>108</v>
      </c>
      <c r="AA64" s="73" t="s">
        <v>75</v>
      </c>
      <c r="AB64" s="73" t="s">
        <v>18</v>
      </c>
      <c r="AC64" s="83">
        <v>19</v>
      </c>
      <c r="AD64" s="82" t="s">
        <v>117</v>
      </c>
      <c r="AE64" s="73" t="s">
        <v>118</v>
      </c>
      <c r="AF64" s="73" t="s">
        <v>18</v>
      </c>
      <c r="AG64" s="83">
        <v>8.5</v>
      </c>
      <c r="AH64" s="82" t="s">
        <v>110</v>
      </c>
      <c r="AI64" s="73" t="s">
        <v>90</v>
      </c>
      <c r="AJ64" s="73" t="s">
        <v>11</v>
      </c>
      <c r="AK64" s="83">
        <v>5.5</v>
      </c>
      <c r="AL64" s="82"/>
      <c r="AO64" s="83"/>
      <c r="AP64" s="82"/>
      <c r="AS64" s="83"/>
      <c r="AW64" s="83"/>
      <c r="BA64" s="84"/>
    </row>
    <row r="65" spans="1:53" s="73" customFormat="1">
      <c r="A65" s="101">
        <v>1985</v>
      </c>
      <c r="B65" s="852"/>
      <c r="C65" s="901" t="s">
        <v>357</v>
      </c>
      <c r="D65" s="901"/>
      <c r="E65" s="73">
        <v>365</v>
      </c>
      <c r="G65" s="119">
        <v>2</v>
      </c>
      <c r="H65" s="73">
        <v>7</v>
      </c>
      <c r="I65" s="73">
        <v>8</v>
      </c>
      <c r="J65" s="126">
        <v>17</v>
      </c>
      <c r="K65" s="92">
        <f t="shared" si="23"/>
        <v>11.76470588235294</v>
      </c>
      <c r="L65" s="92">
        <f t="shared" si="24"/>
        <v>41.17647058823529</v>
      </c>
      <c r="M65" s="92">
        <f t="shared" si="25"/>
        <v>47.058823529411761</v>
      </c>
      <c r="N65" s="121">
        <f t="shared" si="3"/>
        <v>100</v>
      </c>
      <c r="O65" s="91">
        <v>5.5</v>
      </c>
      <c r="P65" s="92">
        <v>27.5</v>
      </c>
      <c r="Q65" s="92">
        <v>28.5</v>
      </c>
      <c r="R65" s="93">
        <f t="shared" si="4"/>
        <v>61.5</v>
      </c>
      <c r="S65" s="97">
        <v>3</v>
      </c>
      <c r="T65" s="839"/>
      <c r="U65" s="852"/>
      <c r="V65" s="82" t="s">
        <v>112</v>
      </c>
      <c r="W65" s="73" t="s">
        <v>20</v>
      </c>
      <c r="X65" s="73" t="s">
        <v>12</v>
      </c>
      <c r="Y65" s="83">
        <v>28.5</v>
      </c>
      <c r="Z65" s="82" t="s">
        <v>108</v>
      </c>
      <c r="AA65" s="73" t="s">
        <v>75</v>
      </c>
      <c r="AB65" s="73" t="s">
        <v>18</v>
      </c>
      <c r="AC65" s="83">
        <v>19</v>
      </c>
      <c r="AD65" s="82" t="s">
        <v>117</v>
      </c>
      <c r="AE65" s="73" t="s">
        <v>118</v>
      </c>
      <c r="AF65" s="73" t="s">
        <v>18</v>
      </c>
      <c r="AG65" s="83">
        <v>8.5</v>
      </c>
      <c r="AH65" s="82" t="s">
        <v>110</v>
      </c>
      <c r="AI65" s="73" t="s">
        <v>90</v>
      </c>
      <c r="AJ65" s="73" t="s">
        <v>11</v>
      </c>
      <c r="AK65" s="83">
        <v>5.5</v>
      </c>
      <c r="AL65" s="82"/>
      <c r="AO65" s="83"/>
      <c r="AP65" s="82"/>
      <c r="AS65" s="83"/>
      <c r="AW65" s="83"/>
      <c r="BA65" s="84"/>
    </row>
    <row r="66" spans="1:53" s="73" customFormat="1">
      <c r="A66" s="101">
        <v>1986</v>
      </c>
      <c r="B66" s="852"/>
      <c r="C66" s="901" t="s">
        <v>357</v>
      </c>
      <c r="D66" s="901"/>
      <c r="E66" s="73">
        <v>0</v>
      </c>
      <c r="G66" s="119">
        <v>2</v>
      </c>
      <c r="H66" s="73">
        <v>7</v>
      </c>
      <c r="I66" s="73">
        <v>8</v>
      </c>
      <c r="J66" s="126">
        <v>17</v>
      </c>
      <c r="K66" s="92">
        <f t="shared" si="23"/>
        <v>11.76470588235294</v>
      </c>
      <c r="L66" s="92">
        <f t="shared" si="24"/>
        <v>41.17647058823529</v>
      </c>
      <c r="M66" s="92">
        <f t="shared" si="25"/>
        <v>47.058823529411761</v>
      </c>
      <c r="N66" s="121">
        <f t="shared" si="3"/>
        <v>100</v>
      </c>
      <c r="O66" s="91">
        <v>5.5</v>
      </c>
      <c r="P66" s="92">
        <v>27.5</v>
      </c>
      <c r="Q66" s="92">
        <v>28.5</v>
      </c>
      <c r="R66" s="93">
        <f t="shared" si="4"/>
        <v>61.5</v>
      </c>
      <c r="S66" s="97">
        <v>3</v>
      </c>
      <c r="T66" s="839"/>
      <c r="U66" s="852"/>
      <c r="V66" s="82" t="s">
        <v>112</v>
      </c>
      <c r="W66" s="73" t="s">
        <v>20</v>
      </c>
      <c r="X66" s="73" t="s">
        <v>12</v>
      </c>
      <c r="Y66" s="83">
        <v>28.5</v>
      </c>
      <c r="Z66" s="82" t="s">
        <v>108</v>
      </c>
      <c r="AA66" s="73" t="s">
        <v>75</v>
      </c>
      <c r="AB66" s="73" t="s">
        <v>18</v>
      </c>
      <c r="AC66" s="83">
        <v>19</v>
      </c>
      <c r="AD66" s="82" t="s">
        <v>117</v>
      </c>
      <c r="AE66" s="73" t="s">
        <v>118</v>
      </c>
      <c r="AF66" s="73" t="s">
        <v>18</v>
      </c>
      <c r="AG66" s="83">
        <v>8.5</v>
      </c>
      <c r="AH66" s="82" t="s">
        <v>110</v>
      </c>
      <c r="AI66" s="73" t="s">
        <v>90</v>
      </c>
      <c r="AJ66" s="73" t="s">
        <v>11</v>
      </c>
      <c r="AK66" s="83">
        <v>5.5</v>
      </c>
      <c r="AL66" s="82"/>
      <c r="AO66" s="83"/>
      <c r="AP66" s="82"/>
      <c r="AS66" s="83"/>
      <c r="AW66" s="83"/>
      <c r="BA66" s="84"/>
    </row>
    <row r="67" spans="1:53" s="73" customFormat="1">
      <c r="A67" s="101">
        <v>1986</v>
      </c>
      <c r="B67" s="852"/>
      <c r="C67" s="901" t="s">
        <v>357</v>
      </c>
      <c r="D67" s="901"/>
      <c r="E67" s="73">
        <v>365</v>
      </c>
      <c r="G67" s="119">
        <v>2</v>
      </c>
      <c r="H67" s="73">
        <v>7</v>
      </c>
      <c r="I67" s="73">
        <v>8</v>
      </c>
      <c r="J67" s="126">
        <v>17</v>
      </c>
      <c r="K67" s="92">
        <f t="shared" si="23"/>
        <v>11.76470588235294</v>
      </c>
      <c r="L67" s="92">
        <f t="shared" si="24"/>
        <v>41.17647058823529</v>
      </c>
      <c r="M67" s="92">
        <f t="shared" si="25"/>
        <v>47.058823529411761</v>
      </c>
      <c r="N67" s="121">
        <f t="shared" si="3"/>
        <v>100</v>
      </c>
      <c r="O67" s="91">
        <v>5.5</v>
      </c>
      <c r="P67" s="92">
        <v>27.5</v>
      </c>
      <c r="Q67" s="92">
        <v>28.5</v>
      </c>
      <c r="R67" s="93">
        <f t="shared" si="4"/>
        <v>61.5</v>
      </c>
      <c r="S67" s="97">
        <v>3</v>
      </c>
      <c r="T67" s="839"/>
      <c r="U67" s="852"/>
      <c r="V67" s="82" t="s">
        <v>112</v>
      </c>
      <c r="W67" s="73" t="s">
        <v>20</v>
      </c>
      <c r="X67" s="73" t="s">
        <v>12</v>
      </c>
      <c r="Y67" s="83">
        <v>28.5</v>
      </c>
      <c r="Z67" s="82" t="s">
        <v>108</v>
      </c>
      <c r="AA67" s="73" t="s">
        <v>75</v>
      </c>
      <c r="AB67" s="73" t="s">
        <v>18</v>
      </c>
      <c r="AC67" s="83">
        <v>19</v>
      </c>
      <c r="AD67" s="82" t="s">
        <v>117</v>
      </c>
      <c r="AE67" s="73" t="s">
        <v>118</v>
      </c>
      <c r="AF67" s="73" t="s">
        <v>18</v>
      </c>
      <c r="AG67" s="83">
        <v>8.5</v>
      </c>
      <c r="AH67" s="82" t="s">
        <v>110</v>
      </c>
      <c r="AI67" s="73" t="s">
        <v>90</v>
      </c>
      <c r="AJ67" s="73" t="s">
        <v>11</v>
      </c>
      <c r="AK67" s="83">
        <v>5.5</v>
      </c>
      <c r="AL67" s="82"/>
      <c r="AO67" s="83"/>
      <c r="AP67" s="82"/>
      <c r="AS67" s="83"/>
      <c r="AW67" s="83"/>
      <c r="BA67" s="84"/>
    </row>
    <row r="68" spans="1:53" s="73" customFormat="1">
      <c r="A68" s="101">
        <v>1987</v>
      </c>
      <c r="B68" s="852"/>
      <c r="C68" s="901" t="s">
        <v>357</v>
      </c>
      <c r="D68" s="901"/>
      <c r="E68" s="73">
        <v>119</v>
      </c>
      <c r="G68" s="119">
        <v>2</v>
      </c>
      <c r="H68" s="73">
        <v>7</v>
      </c>
      <c r="I68" s="73">
        <v>8</v>
      </c>
      <c r="J68" s="126">
        <v>17</v>
      </c>
      <c r="K68" s="92">
        <f t="shared" si="23"/>
        <v>11.76470588235294</v>
      </c>
      <c r="L68" s="92">
        <f t="shared" si="24"/>
        <v>41.17647058823529</v>
      </c>
      <c r="M68" s="92">
        <f t="shared" si="25"/>
        <v>47.058823529411761</v>
      </c>
      <c r="N68" s="121">
        <f t="shared" si="3"/>
        <v>100</v>
      </c>
      <c r="O68" s="91">
        <v>5.5</v>
      </c>
      <c r="P68" s="92">
        <v>27.5</v>
      </c>
      <c r="Q68" s="92">
        <v>28.5</v>
      </c>
      <c r="R68" s="93">
        <f t="shared" si="4"/>
        <v>61.5</v>
      </c>
      <c r="S68" s="97">
        <v>3</v>
      </c>
      <c r="T68" s="839"/>
      <c r="U68" s="852"/>
      <c r="V68" s="82" t="s">
        <v>112</v>
      </c>
      <c r="W68" s="73" t="s">
        <v>20</v>
      </c>
      <c r="X68" s="73" t="s">
        <v>12</v>
      </c>
      <c r="Y68" s="83">
        <v>28.5</v>
      </c>
      <c r="Z68" s="82" t="s">
        <v>108</v>
      </c>
      <c r="AA68" s="73" t="s">
        <v>75</v>
      </c>
      <c r="AB68" s="73" t="s">
        <v>18</v>
      </c>
      <c r="AC68" s="83">
        <v>19</v>
      </c>
      <c r="AD68" s="82" t="s">
        <v>117</v>
      </c>
      <c r="AE68" s="73" t="s">
        <v>118</v>
      </c>
      <c r="AF68" s="73" t="s">
        <v>18</v>
      </c>
      <c r="AG68" s="83">
        <v>8.5</v>
      </c>
      <c r="AH68" s="82" t="s">
        <v>110</v>
      </c>
      <c r="AI68" s="73" t="s">
        <v>90</v>
      </c>
      <c r="AJ68" s="73" t="s">
        <v>11</v>
      </c>
      <c r="AK68" s="83">
        <v>5.5</v>
      </c>
      <c r="AL68" s="82"/>
      <c r="AO68" s="83"/>
      <c r="AP68" s="82"/>
      <c r="AS68" s="83"/>
      <c r="AW68" s="83"/>
      <c r="BA68" s="84"/>
    </row>
    <row r="69" spans="1:53" s="292" customFormat="1">
      <c r="A69" s="338">
        <v>1987</v>
      </c>
      <c r="B69" s="836">
        <v>31897</v>
      </c>
      <c r="C69" s="909" t="s">
        <v>358</v>
      </c>
      <c r="D69" s="909"/>
      <c r="E69" s="292">
        <v>246</v>
      </c>
      <c r="F69" s="292">
        <v>1</v>
      </c>
      <c r="G69" s="366">
        <v>9</v>
      </c>
      <c r="H69" s="292">
        <v>1</v>
      </c>
      <c r="I69" s="292">
        <v>8</v>
      </c>
      <c r="J69" s="377">
        <v>18</v>
      </c>
      <c r="K69" s="336">
        <f t="shared" si="23"/>
        <v>50</v>
      </c>
      <c r="L69" s="336">
        <f t="shared" si="24"/>
        <v>5.5555555555555554</v>
      </c>
      <c r="M69" s="336">
        <f t="shared" si="25"/>
        <v>44.444444444444443</v>
      </c>
      <c r="N69" s="368">
        <f t="shared" si="3"/>
        <v>100</v>
      </c>
      <c r="O69" s="335">
        <v>33</v>
      </c>
      <c r="P69" s="336">
        <v>4.5</v>
      </c>
      <c r="Q69" s="336">
        <v>28</v>
      </c>
      <c r="R69" s="337">
        <f t="shared" si="4"/>
        <v>65.5</v>
      </c>
      <c r="S69" s="340">
        <v>3</v>
      </c>
      <c r="T69" s="838">
        <v>31851</v>
      </c>
      <c r="U69" s="836">
        <v>31897</v>
      </c>
      <c r="V69" s="299" t="s">
        <v>109</v>
      </c>
      <c r="W69" s="292" t="s">
        <v>74</v>
      </c>
      <c r="X69" s="292" t="s">
        <v>11</v>
      </c>
      <c r="Y69" s="300">
        <v>26.5</v>
      </c>
      <c r="Z69" s="299" t="s">
        <v>112</v>
      </c>
      <c r="AA69" s="292" t="s">
        <v>20</v>
      </c>
      <c r="AB69" s="292" t="s">
        <v>12</v>
      </c>
      <c r="AC69" s="300">
        <v>28</v>
      </c>
      <c r="AD69" s="299" t="s">
        <v>110</v>
      </c>
      <c r="AE69" s="292" t="s">
        <v>90</v>
      </c>
      <c r="AF69" s="292" t="s">
        <v>11</v>
      </c>
      <c r="AG69" s="300">
        <v>6.5</v>
      </c>
      <c r="AH69" s="299" t="s">
        <v>117</v>
      </c>
      <c r="AI69" s="292" t="s">
        <v>118</v>
      </c>
      <c r="AJ69" s="292" t="s">
        <v>18</v>
      </c>
      <c r="AK69" s="300">
        <v>4.5</v>
      </c>
      <c r="AL69" s="299"/>
      <c r="AO69" s="300"/>
      <c r="AP69" s="299"/>
      <c r="AS69" s="300"/>
      <c r="AW69" s="300"/>
      <c r="BA69" s="301"/>
    </row>
    <row r="70" spans="1:53" s="292" customFormat="1">
      <c r="A70" s="338">
        <v>1988</v>
      </c>
      <c r="B70" s="836"/>
      <c r="C70" s="909" t="s">
        <v>358</v>
      </c>
      <c r="D70" s="909"/>
      <c r="E70" s="292">
        <v>0</v>
      </c>
      <c r="G70" s="366">
        <v>9</v>
      </c>
      <c r="H70" s="292">
        <v>1</v>
      </c>
      <c r="I70" s="292">
        <v>8</v>
      </c>
      <c r="J70" s="377">
        <v>18</v>
      </c>
      <c r="K70" s="336">
        <f>G70/J70*100</f>
        <v>50</v>
      </c>
      <c r="L70" s="336">
        <f>H70/J70*100</f>
        <v>5.5555555555555554</v>
      </c>
      <c r="M70" s="336">
        <f>I70/J70*100</f>
        <v>44.444444444444443</v>
      </c>
      <c r="N70" s="368">
        <f t="shared" si="3"/>
        <v>100</v>
      </c>
      <c r="O70" s="335">
        <v>33</v>
      </c>
      <c r="P70" s="336">
        <v>4.5</v>
      </c>
      <c r="Q70" s="336">
        <v>28</v>
      </c>
      <c r="R70" s="337">
        <f t="shared" si="4"/>
        <v>65.5</v>
      </c>
      <c r="S70" s="340">
        <v>3</v>
      </c>
      <c r="T70" s="838"/>
      <c r="U70" s="836"/>
      <c r="V70" s="299" t="s">
        <v>109</v>
      </c>
      <c r="W70" s="292" t="s">
        <v>74</v>
      </c>
      <c r="X70" s="292" t="s">
        <v>11</v>
      </c>
      <c r="Y70" s="300">
        <v>26.5</v>
      </c>
      <c r="Z70" s="299" t="s">
        <v>112</v>
      </c>
      <c r="AA70" s="292" t="s">
        <v>20</v>
      </c>
      <c r="AB70" s="292" t="s">
        <v>12</v>
      </c>
      <c r="AC70" s="300">
        <v>28</v>
      </c>
      <c r="AD70" s="299" t="s">
        <v>110</v>
      </c>
      <c r="AE70" s="292" t="s">
        <v>90</v>
      </c>
      <c r="AF70" s="292" t="s">
        <v>11</v>
      </c>
      <c r="AG70" s="300">
        <v>6.5</v>
      </c>
      <c r="AH70" s="299" t="s">
        <v>117</v>
      </c>
      <c r="AI70" s="292" t="s">
        <v>118</v>
      </c>
      <c r="AJ70" s="292" t="s">
        <v>18</v>
      </c>
      <c r="AK70" s="300">
        <v>4.5</v>
      </c>
      <c r="AL70" s="299"/>
      <c r="AO70" s="300"/>
      <c r="AP70" s="299"/>
      <c r="AS70" s="300"/>
      <c r="AW70" s="300"/>
      <c r="BA70" s="301"/>
    </row>
    <row r="71" spans="1:53" s="292" customFormat="1">
      <c r="A71" s="338">
        <v>1988</v>
      </c>
      <c r="B71" s="836"/>
      <c r="C71" s="909" t="s">
        <v>358</v>
      </c>
      <c r="D71" s="909"/>
      <c r="E71" s="292">
        <v>366</v>
      </c>
      <c r="G71" s="366">
        <v>9</v>
      </c>
      <c r="H71" s="292">
        <v>1</v>
      </c>
      <c r="I71" s="292">
        <v>8</v>
      </c>
      <c r="J71" s="377">
        <v>18</v>
      </c>
      <c r="K71" s="336">
        <f>G71/J71*100</f>
        <v>50</v>
      </c>
      <c r="L71" s="336">
        <f>H71/J71*100</f>
        <v>5.5555555555555554</v>
      </c>
      <c r="M71" s="336">
        <f>I71/J71*100</f>
        <v>44.444444444444443</v>
      </c>
      <c r="N71" s="368">
        <f t="shared" si="3"/>
        <v>100</v>
      </c>
      <c r="O71" s="335">
        <v>33</v>
      </c>
      <c r="P71" s="336">
        <v>4.5</v>
      </c>
      <c r="Q71" s="336">
        <v>28</v>
      </c>
      <c r="R71" s="337">
        <f t="shared" si="4"/>
        <v>65.5</v>
      </c>
      <c r="S71" s="340">
        <v>3</v>
      </c>
      <c r="T71" s="838"/>
      <c r="U71" s="836"/>
      <c r="V71" s="299" t="s">
        <v>109</v>
      </c>
      <c r="W71" s="292" t="s">
        <v>74</v>
      </c>
      <c r="X71" s="292" t="s">
        <v>11</v>
      </c>
      <c r="Y71" s="300">
        <v>26.5</v>
      </c>
      <c r="Z71" s="299" t="s">
        <v>112</v>
      </c>
      <c r="AA71" s="292" t="s">
        <v>20</v>
      </c>
      <c r="AB71" s="292" t="s">
        <v>12</v>
      </c>
      <c r="AC71" s="300">
        <v>28</v>
      </c>
      <c r="AD71" s="299" t="s">
        <v>110</v>
      </c>
      <c r="AE71" s="292" t="s">
        <v>90</v>
      </c>
      <c r="AF71" s="292" t="s">
        <v>11</v>
      </c>
      <c r="AG71" s="300">
        <v>6.5</v>
      </c>
      <c r="AH71" s="299" t="s">
        <v>117</v>
      </c>
      <c r="AI71" s="292" t="s">
        <v>118</v>
      </c>
      <c r="AJ71" s="292" t="s">
        <v>18</v>
      </c>
      <c r="AK71" s="300">
        <v>4.5</v>
      </c>
      <c r="AL71" s="299"/>
      <c r="AO71" s="300"/>
      <c r="AP71" s="299"/>
      <c r="AS71" s="300"/>
      <c r="AW71" s="300"/>
      <c r="BA71" s="301"/>
    </row>
    <row r="72" spans="1:53" s="292" customFormat="1">
      <c r="A72" s="292">
        <v>1989</v>
      </c>
      <c r="B72" s="836"/>
      <c r="C72" s="909" t="s">
        <v>358</v>
      </c>
      <c r="D72" s="909"/>
      <c r="E72" s="292">
        <v>0</v>
      </c>
      <c r="G72" s="366">
        <v>9</v>
      </c>
      <c r="H72" s="292">
        <v>1</v>
      </c>
      <c r="I72" s="292">
        <v>8</v>
      </c>
      <c r="J72" s="377">
        <v>18</v>
      </c>
      <c r="K72" s="336">
        <f>G72/J72*100</f>
        <v>50</v>
      </c>
      <c r="L72" s="336">
        <f>H72/J72*100</f>
        <v>5.5555555555555554</v>
      </c>
      <c r="M72" s="336">
        <f>I72/J72*100</f>
        <v>44.444444444444443</v>
      </c>
      <c r="N72" s="368">
        <f t="shared" si="3"/>
        <v>100</v>
      </c>
      <c r="O72" s="335">
        <v>33</v>
      </c>
      <c r="P72" s="336">
        <v>4.5</v>
      </c>
      <c r="Q72" s="336">
        <v>28</v>
      </c>
      <c r="R72" s="337">
        <f t="shared" si="4"/>
        <v>65.5</v>
      </c>
      <c r="S72" s="340">
        <v>3</v>
      </c>
      <c r="T72" s="838"/>
      <c r="U72" s="836"/>
      <c r="V72" s="299" t="s">
        <v>109</v>
      </c>
      <c r="W72" s="292" t="s">
        <v>74</v>
      </c>
      <c r="X72" s="292" t="s">
        <v>11</v>
      </c>
      <c r="Y72" s="300">
        <v>26.5</v>
      </c>
      <c r="Z72" s="299" t="s">
        <v>112</v>
      </c>
      <c r="AA72" s="292" t="s">
        <v>20</v>
      </c>
      <c r="AB72" s="292" t="s">
        <v>12</v>
      </c>
      <c r="AC72" s="300">
        <v>28</v>
      </c>
      <c r="AD72" s="299" t="s">
        <v>110</v>
      </c>
      <c r="AE72" s="292" t="s">
        <v>90</v>
      </c>
      <c r="AF72" s="292" t="s">
        <v>11</v>
      </c>
      <c r="AG72" s="300">
        <v>6.5</v>
      </c>
      <c r="AH72" s="299" t="s">
        <v>117</v>
      </c>
      <c r="AI72" s="292" t="s">
        <v>118</v>
      </c>
      <c r="AJ72" s="292" t="s">
        <v>18</v>
      </c>
      <c r="AK72" s="300">
        <v>4.5</v>
      </c>
      <c r="AL72" s="299"/>
      <c r="AO72" s="300"/>
      <c r="AP72" s="299"/>
      <c r="AS72" s="300"/>
      <c r="AW72" s="300"/>
      <c r="BA72" s="301"/>
    </row>
    <row r="73" spans="1:53" s="103" customFormat="1">
      <c r="A73" s="103">
        <v>1989</v>
      </c>
      <c r="B73" s="846"/>
      <c r="C73" s="913" t="s">
        <v>358</v>
      </c>
      <c r="D73" s="913"/>
      <c r="E73" s="103">
        <f>365-E72</f>
        <v>365</v>
      </c>
      <c r="G73" s="386">
        <v>9</v>
      </c>
      <c r="H73" s="103">
        <v>1</v>
      </c>
      <c r="I73" s="103">
        <v>8</v>
      </c>
      <c r="J73" s="387">
        <v>18</v>
      </c>
      <c r="K73" s="353">
        <f>G73/J73*100</f>
        <v>50</v>
      </c>
      <c r="L73" s="353">
        <f>H73/J73*100</f>
        <v>5.5555555555555554</v>
      </c>
      <c r="M73" s="353">
        <f>I73/J73*100</f>
        <v>44.444444444444443</v>
      </c>
      <c r="N73" s="371">
        <f t="shared" ref="N73:N123" si="26">SUM(K73:M73)</f>
        <v>100</v>
      </c>
      <c r="O73" s="352">
        <v>33</v>
      </c>
      <c r="P73" s="353">
        <v>4.5</v>
      </c>
      <c r="Q73" s="353">
        <v>28</v>
      </c>
      <c r="R73" s="354">
        <f t="shared" ref="R73:R121" si="27">SUM(O73:Q73)</f>
        <v>65.5</v>
      </c>
      <c r="S73" s="356">
        <v>3</v>
      </c>
      <c r="T73" s="840"/>
      <c r="U73" s="846"/>
      <c r="V73" s="104" t="s">
        <v>109</v>
      </c>
      <c r="W73" s="103" t="s">
        <v>74</v>
      </c>
      <c r="X73" s="103" t="s">
        <v>11</v>
      </c>
      <c r="Y73" s="105">
        <v>26.5</v>
      </c>
      <c r="Z73" s="104" t="s">
        <v>112</v>
      </c>
      <c r="AA73" s="103" t="s">
        <v>20</v>
      </c>
      <c r="AB73" s="103" t="s">
        <v>12</v>
      </c>
      <c r="AC73" s="105">
        <v>28</v>
      </c>
      <c r="AD73" s="104" t="s">
        <v>110</v>
      </c>
      <c r="AE73" s="103" t="s">
        <v>90</v>
      </c>
      <c r="AF73" s="103" t="s">
        <v>11</v>
      </c>
      <c r="AG73" s="105">
        <v>6.5</v>
      </c>
      <c r="AH73" s="104" t="s">
        <v>117</v>
      </c>
      <c r="AI73" s="103" t="s">
        <v>118</v>
      </c>
      <c r="AJ73" s="103" t="s">
        <v>18</v>
      </c>
      <c r="AK73" s="105">
        <v>4.5</v>
      </c>
      <c r="AL73" s="104"/>
      <c r="AO73" s="105"/>
      <c r="AP73" s="104"/>
      <c r="AS73" s="105"/>
      <c r="AW73" s="105"/>
      <c r="BA73" s="106"/>
    </row>
    <row r="74" spans="1:53" s="292" customFormat="1">
      <c r="A74" s="292">
        <v>1990</v>
      </c>
      <c r="B74" s="836"/>
      <c r="C74" s="909" t="s">
        <v>358</v>
      </c>
      <c r="D74" s="909"/>
      <c r="E74" s="292">
        <v>239</v>
      </c>
      <c r="G74" s="366">
        <v>9</v>
      </c>
      <c r="H74" s="292">
        <v>1</v>
      </c>
      <c r="I74" s="292">
        <v>8</v>
      </c>
      <c r="J74" s="377">
        <v>18</v>
      </c>
      <c r="K74" s="336">
        <v>44.4</v>
      </c>
      <c r="L74" s="336">
        <v>11.1</v>
      </c>
      <c r="M74" s="336">
        <v>44.4</v>
      </c>
      <c r="N74" s="368">
        <f t="shared" si="26"/>
        <v>99.9</v>
      </c>
      <c r="O74" s="335">
        <v>33</v>
      </c>
      <c r="P74" s="336">
        <v>4.5</v>
      </c>
      <c r="Q74" s="336">
        <v>28</v>
      </c>
      <c r="R74" s="337">
        <f t="shared" si="27"/>
        <v>65.5</v>
      </c>
      <c r="S74" s="340">
        <v>3</v>
      </c>
      <c r="T74" s="838"/>
      <c r="U74" s="836"/>
      <c r="V74" s="299" t="s">
        <v>109</v>
      </c>
      <c r="W74" s="292" t="s">
        <v>74</v>
      </c>
      <c r="X74" s="292" t="s">
        <v>11</v>
      </c>
      <c r="Y74" s="300">
        <v>26.5</v>
      </c>
      <c r="Z74" s="299" t="s">
        <v>112</v>
      </c>
      <c r="AA74" s="292" t="s">
        <v>20</v>
      </c>
      <c r="AB74" s="292" t="s">
        <v>12</v>
      </c>
      <c r="AC74" s="300">
        <v>28</v>
      </c>
      <c r="AD74" s="299" t="s">
        <v>110</v>
      </c>
      <c r="AE74" s="292" t="s">
        <v>90</v>
      </c>
      <c r="AF74" s="292" t="s">
        <v>11</v>
      </c>
      <c r="AG74" s="300">
        <v>6.5</v>
      </c>
      <c r="AH74" s="299" t="s">
        <v>117</v>
      </c>
      <c r="AI74" s="292" t="s">
        <v>118</v>
      </c>
      <c r="AJ74" s="292" t="s">
        <v>18</v>
      </c>
      <c r="AK74" s="300">
        <v>4.5</v>
      </c>
      <c r="AL74" s="299"/>
      <c r="AO74" s="300"/>
      <c r="AP74" s="299"/>
      <c r="AS74" s="300"/>
      <c r="AW74" s="300"/>
      <c r="BA74" s="301"/>
    </row>
    <row r="75" spans="1:53" s="73" customFormat="1">
      <c r="A75" s="73">
        <v>1990</v>
      </c>
      <c r="B75" s="852">
        <v>33113</v>
      </c>
      <c r="C75" s="917" t="s">
        <v>359</v>
      </c>
      <c r="D75" s="917"/>
      <c r="E75" s="73">
        <f>365-E74</f>
        <v>126</v>
      </c>
      <c r="F75" s="73">
        <v>4</v>
      </c>
      <c r="G75" s="119">
        <v>9</v>
      </c>
      <c r="I75" s="73">
        <v>8</v>
      </c>
      <c r="J75" s="126">
        <v>17</v>
      </c>
      <c r="K75" s="92">
        <f>G75/J75*100</f>
        <v>52.941176470588239</v>
      </c>
      <c r="L75" s="92">
        <f>H75/J75*100</f>
        <v>0</v>
      </c>
      <c r="M75" s="92">
        <f>I75/J75*100</f>
        <v>47.058823529411761</v>
      </c>
      <c r="N75" s="121">
        <f t="shared" si="26"/>
        <v>100</v>
      </c>
      <c r="O75" s="91">
        <v>33</v>
      </c>
      <c r="P75" s="92"/>
      <c r="Q75" s="92">
        <v>28</v>
      </c>
      <c r="R75" s="93">
        <f t="shared" si="27"/>
        <v>61</v>
      </c>
      <c r="S75" s="97">
        <v>3</v>
      </c>
      <c r="T75" s="839"/>
      <c r="U75" s="852">
        <v>33113</v>
      </c>
      <c r="V75" s="82" t="s">
        <v>109</v>
      </c>
      <c r="W75" s="73" t="s">
        <v>74</v>
      </c>
      <c r="X75" s="73" t="s">
        <v>11</v>
      </c>
      <c r="Y75" s="83">
        <v>26.5</v>
      </c>
      <c r="Z75" s="82" t="s">
        <v>112</v>
      </c>
      <c r="AA75" s="73" t="s">
        <v>20</v>
      </c>
      <c r="AB75" s="73" t="s">
        <v>12</v>
      </c>
      <c r="AC75" s="83">
        <v>28</v>
      </c>
      <c r="AD75" s="82" t="s">
        <v>110</v>
      </c>
      <c r="AE75" s="73" t="s">
        <v>90</v>
      </c>
      <c r="AF75" s="73" t="s">
        <v>11</v>
      </c>
      <c r="AG75" s="83">
        <v>6.5</v>
      </c>
      <c r="AL75" s="82"/>
      <c r="AO75" s="83"/>
      <c r="AP75" s="82"/>
      <c r="AS75" s="83"/>
      <c r="AW75" s="83"/>
      <c r="BA75" s="84"/>
    </row>
    <row r="76" spans="1:53" s="73" customFormat="1">
      <c r="A76" s="73">
        <v>1991</v>
      </c>
      <c r="B76" s="852"/>
      <c r="C76" s="917" t="s">
        <v>359</v>
      </c>
      <c r="D76" s="917"/>
      <c r="E76" s="73">
        <v>115</v>
      </c>
      <c r="G76" s="119">
        <v>9</v>
      </c>
      <c r="I76" s="73">
        <v>8</v>
      </c>
      <c r="J76" s="126">
        <v>17</v>
      </c>
      <c r="K76" s="92">
        <f>G76/J76*100</f>
        <v>52.941176470588239</v>
      </c>
      <c r="L76" s="92">
        <f>H76/J76*100</f>
        <v>0</v>
      </c>
      <c r="M76" s="92">
        <f>I76/J76*100</f>
        <v>47.058823529411761</v>
      </c>
      <c r="N76" s="121">
        <f t="shared" si="26"/>
        <v>100</v>
      </c>
      <c r="O76" s="91">
        <v>33</v>
      </c>
      <c r="P76" s="92"/>
      <c r="Q76" s="92">
        <v>28</v>
      </c>
      <c r="R76" s="93">
        <f t="shared" si="27"/>
        <v>61</v>
      </c>
      <c r="S76" s="97">
        <v>3</v>
      </c>
      <c r="T76" s="839"/>
      <c r="U76" s="852"/>
      <c r="V76" s="82" t="s">
        <v>109</v>
      </c>
      <c r="W76" s="73" t="s">
        <v>74</v>
      </c>
      <c r="X76" s="73" t="s">
        <v>11</v>
      </c>
      <c r="Y76" s="83">
        <v>26.5</v>
      </c>
      <c r="Z76" s="82" t="s">
        <v>112</v>
      </c>
      <c r="AA76" s="73" t="s">
        <v>20</v>
      </c>
      <c r="AB76" s="73" t="s">
        <v>12</v>
      </c>
      <c r="AC76" s="83">
        <v>28</v>
      </c>
      <c r="AD76" s="82" t="s">
        <v>110</v>
      </c>
      <c r="AE76" s="73" t="s">
        <v>90</v>
      </c>
      <c r="AF76" s="73" t="s">
        <v>11</v>
      </c>
      <c r="AG76" s="83">
        <v>6.5</v>
      </c>
      <c r="AL76" s="82"/>
      <c r="AO76" s="83"/>
      <c r="AP76" s="82"/>
      <c r="AS76" s="83"/>
      <c r="AW76" s="83"/>
      <c r="BA76" s="84"/>
    </row>
    <row r="77" spans="1:53" s="292" customFormat="1">
      <c r="A77" s="292">
        <v>1991</v>
      </c>
      <c r="B77" s="836">
        <v>33354</v>
      </c>
      <c r="C77" s="916" t="s">
        <v>360</v>
      </c>
      <c r="D77" s="916"/>
      <c r="E77" s="292">
        <f>365-E76</f>
        <v>250</v>
      </c>
      <c r="F77" s="292">
        <v>1</v>
      </c>
      <c r="G77" s="366">
        <v>8</v>
      </c>
      <c r="H77" s="292">
        <v>9</v>
      </c>
      <c r="J77" s="377">
        <v>17</v>
      </c>
      <c r="K77" s="336">
        <f>G77/J77*100</f>
        <v>47.058823529411761</v>
      </c>
      <c r="L77" s="336">
        <f>H77/J77*100</f>
        <v>52.941176470588239</v>
      </c>
      <c r="M77" s="336">
        <f>I77/J77*100</f>
        <v>0</v>
      </c>
      <c r="N77" s="368">
        <f t="shared" si="26"/>
        <v>100</v>
      </c>
      <c r="O77" s="335">
        <v>26</v>
      </c>
      <c r="P77" s="336">
        <v>31.5</v>
      </c>
      <c r="Q77" s="336"/>
      <c r="R77" s="337">
        <f t="shared" si="27"/>
        <v>57.5</v>
      </c>
      <c r="S77" s="340">
        <v>3</v>
      </c>
      <c r="T77" s="838">
        <v>33314</v>
      </c>
      <c r="U77" s="836">
        <v>33354</v>
      </c>
      <c r="V77" s="299" t="s">
        <v>108</v>
      </c>
      <c r="W77" s="292" t="s">
        <v>75</v>
      </c>
      <c r="X77" s="292" t="s">
        <v>18</v>
      </c>
      <c r="Y77" s="300">
        <v>27.5</v>
      </c>
      <c r="Z77" s="299" t="s">
        <v>109</v>
      </c>
      <c r="AA77" s="292" t="s">
        <v>74</v>
      </c>
      <c r="AB77" s="292" t="s">
        <v>11</v>
      </c>
      <c r="AC77" s="300">
        <v>20</v>
      </c>
      <c r="AD77" s="299" t="s">
        <v>110</v>
      </c>
      <c r="AE77" s="292" t="s">
        <v>90</v>
      </c>
      <c r="AF77" s="292" t="s">
        <v>11</v>
      </c>
      <c r="AG77" s="300">
        <v>6</v>
      </c>
      <c r="AH77" s="292" t="s">
        <v>361</v>
      </c>
      <c r="AI77" s="292" t="s">
        <v>17</v>
      </c>
      <c r="AJ77" s="292" t="s">
        <v>18</v>
      </c>
      <c r="AK77" s="292">
        <v>4</v>
      </c>
      <c r="AL77" s="299"/>
      <c r="AO77" s="300"/>
      <c r="AP77" s="299"/>
      <c r="AS77" s="300"/>
      <c r="AW77" s="300"/>
      <c r="BA77" s="301"/>
    </row>
    <row r="78" spans="1:53" s="292" customFormat="1">
      <c r="A78" s="292">
        <v>1992</v>
      </c>
      <c r="B78" s="836"/>
      <c r="C78" s="916" t="s">
        <v>360</v>
      </c>
      <c r="D78" s="916"/>
      <c r="E78" s="292">
        <v>0</v>
      </c>
      <c r="G78" s="366">
        <v>8</v>
      </c>
      <c r="H78" s="292">
        <v>9</v>
      </c>
      <c r="J78" s="377">
        <v>17</v>
      </c>
      <c r="K78" s="336">
        <f>G78/J78*100</f>
        <v>47.058823529411761</v>
      </c>
      <c r="L78" s="336">
        <f>H78/J78*100</f>
        <v>52.941176470588239</v>
      </c>
      <c r="M78" s="336">
        <f>I78/J78*100</f>
        <v>0</v>
      </c>
      <c r="N78" s="368">
        <f t="shared" si="26"/>
        <v>100</v>
      </c>
      <c r="O78" s="335">
        <v>26</v>
      </c>
      <c r="P78" s="336">
        <v>31.5</v>
      </c>
      <c r="Q78" s="336"/>
      <c r="R78" s="337">
        <f t="shared" si="27"/>
        <v>57.5</v>
      </c>
      <c r="S78" s="340">
        <v>3</v>
      </c>
      <c r="T78" s="838"/>
      <c r="U78" s="836"/>
      <c r="V78" s="299" t="s">
        <v>108</v>
      </c>
      <c r="W78" s="292" t="s">
        <v>75</v>
      </c>
      <c r="X78" s="292" t="s">
        <v>18</v>
      </c>
      <c r="Y78" s="300">
        <v>27.5</v>
      </c>
      <c r="Z78" s="299" t="s">
        <v>109</v>
      </c>
      <c r="AA78" s="292" t="s">
        <v>74</v>
      </c>
      <c r="AB78" s="292" t="s">
        <v>11</v>
      </c>
      <c r="AC78" s="300">
        <v>20</v>
      </c>
      <c r="AD78" s="299" t="s">
        <v>110</v>
      </c>
      <c r="AE78" s="292" t="s">
        <v>90</v>
      </c>
      <c r="AF78" s="292" t="s">
        <v>11</v>
      </c>
      <c r="AG78" s="300">
        <v>6</v>
      </c>
      <c r="AH78" s="292" t="s">
        <v>361</v>
      </c>
      <c r="AI78" s="292" t="s">
        <v>17</v>
      </c>
      <c r="AJ78" s="292" t="s">
        <v>18</v>
      </c>
      <c r="AK78" s="292">
        <v>4</v>
      </c>
      <c r="AL78" s="299"/>
      <c r="AO78" s="300"/>
      <c r="AP78" s="299"/>
      <c r="AS78" s="300"/>
      <c r="AW78" s="300"/>
      <c r="BA78" s="301"/>
    </row>
    <row r="79" spans="1:53" s="292" customFormat="1">
      <c r="A79" s="292">
        <v>1992</v>
      </c>
      <c r="B79" s="836"/>
      <c r="C79" s="916" t="s">
        <v>360</v>
      </c>
      <c r="D79" s="916"/>
      <c r="E79" s="292">
        <v>366</v>
      </c>
      <c r="G79" s="366">
        <v>8</v>
      </c>
      <c r="H79" s="292">
        <v>9</v>
      </c>
      <c r="J79" s="377">
        <v>17</v>
      </c>
      <c r="K79" s="336">
        <f>G79/J79*100</f>
        <v>47.058823529411761</v>
      </c>
      <c r="L79" s="336">
        <f>H79/J79*100</f>
        <v>52.941176470588239</v>
      </c>
      <c r="M79" s="336">
        <f>I79/J79*100</f>
        <v>0</v>
      </c>
      <c r="N79" s="368">
        <f t="shared" si="26"/>
        <v>100</v>
      </c>
      <c r="O79" s="335">
        <v>26</v>
      </c>
      <c r="P79" s="336">
        <v>31.5</v>
      </c>
      <c r="Q79" s="336"/>
      <c r="R79" s="337">
        <f t="shared" si="27"/>
        <v>57.5</v>
      </c>
      <c r="S79" s="340">
        <v>3</v>
      </c>
      <c r="T79" s="838"/>
      <c r="U79" s="836"/>
      <c r="V79" s="299" t="s">
        <v>108</v>
      </c>
      <c r="W79" s="292" t="s">
        <v>75</v>
      </c>
      <c r="X79" s="292" t="s">
        <v>18</v>
      </c>
      <c r="Y79" s="300">
        <v>27.5</v>
      </c>
      <c r="Z79" s="299" t="s">
        <v>109</v>
      </c>
      <c r="AA79" s="292" t="s">
        <v>74</v>
      </c>
      <c r="AB79" s="292" t="s">
        <v>11</v>
      </c>
      <c r="AC79" s="300">
        <v>20</v>
      </c>
      <c r="AD79" s="299" t="s">
        <v>110</v>
      </c>
      <c r="AE79" s="292" t="s">
        <v>90</v>
      </c>
      <c r="AF79" s="292" t="s">
        <v>11</v>
      </c>
      <c r="AG79" s="300">
        <v>6</v>
      </c>
      <c r="AH79" s="292" t="s">
        <v>361</v>
      </c>
      <c r="AI79" s="292" t="s">
        <v>17</v>
      </c>
      <c r="AJ79" s="292" t="s">
        <v>18</v>
      </c>
      <c r="AK79" s="292">
        <v>4</v>
      </c>
      <c r="AL79" s="299"/>
      <c r="AO79" s="300"/>
      <c r="AP79" s="299"/>
      <c r="AS79" s="300"/>
      <c r="AW79" s="300"/>
      <c r="BA79" s="301"/>
    </row>
    <row r="80" spans="1:53" s="292" customFormat="1">
      <c r="A80" s="292">
        <v>1993</v>
      </c>
      <c r="B80" s="836"/>
      <c r="C80" s="916" t="s">
        <v>360</v>
      </c>
      <c r="D80" s="916"/>
      <c r="E80" s="292">
        <v>0</v>
      </c>
      <c r="G80" s="366">
        <v>8</v>
      </c>
      <c r="H80" s="292">
        <v>9</v>
      </c>
      <c r="J80" s="377">
        <v>17</v>
      </c>
      <c r="K80" s="336">
        <f t="shared" ref="K80:K107" si="28">G80/J80*100</f>
        <v>47.058823529411761</v>
      </c>
      <c r="L80" s="336">
        <f t="shared" ref="L80:L107" si="29">H80/J80*100</f>
        <v>52.941176470588239</v>
      </c>
      <c r="M80" s="336">
        <f t="shared" ref="M80:M107" si="30">I80/J80*100</f>
        <v>0</v>
      </c>
      <c r="N80" s="368">
        <f t="shared" si="26"/>
        <v>100</v>
      </c>
      <c r="O80" s="335">
        <v>26</v>
      </c>
      <c r="P80" s="336">
        <v>31.5</v>
      </c>
      <c r="Q80" s="336"/>
      <c r="R80" s="337">
        <f t="shared" si="27"/>
        <v>57.5</v>
      </c>
      <c r="S80" s="340">
        <v>3</v>
      </c>
      <c r="T80" s="838"/>
      <c r="U80" s="836"/>
      <c r="V80" s="299" t="s">
        <v>108</v>
      </c>
      <c r="W80" s="292" t="s">
        <v>75</v>
      </c>
      <c r="X80" s="292" t="s">
        <v>18</v>
      </c>
      <c r="Y80" s="300">
        <v>27.5</v>
      </c>
      <c r="Z80" s="299" t="s">
        <v>109</v>
      </c>
      <c r="AA80" s="292" t="s">
        <v>74</v>
      </c>
      <c r="AB80" s="292" t="s">
        <v>11</v>
      </c>
      <c r="AC80" s="300">
        <v>20</v>
      </c>
      <c r="AD80" s="299" t="s">
        <v>110</v>
      </c>
      <c r="AE80" s="292" t="s">
        <v>90</v>
      </c>
      <c r="AF80" s="292" t="s">
        <v>11</v>
      </c>
      <c r="AG80" s="300">
        <v>6</v>
      </c>
      <c r="AH80" s="292" t="s">
        <v>361</v>
      </c>
      <c r="AI80" s="292" t="s">
        <v>17</v>
      </c>
      <c r="AJ80" s="292" t="s">
        <v>18</v>
      </c>
      <c r="AK80" s="292">
        <v>4</v>
      </c>
      <c r="AL80" s="299"/>
      <c r="AO80" s="300"/>
      <c r="AP80" s="299"/>
      <c r="AS80" s="300"/>
      <c r="AW80" s="300"/>
      <c r="BA80" s="301"/>
    </row>
    <row r="81" spans="1:53" s="292" customFormat="1">
      <c r="A81" s="292">
        <v>1993</v>
      </c>
      <c r="B81" s="836"/>
      <c r="C81" s="916" t="s">
        <v>360</v>
      </c>
      <c r="D81" s="916"/>
      <c r="E81" s="292">
        <f>365-E80</f>
        <v>365</v>
      </c>
      <c r="G81" s="366">
        <v>8</v>
      </c>
      <c r="H81" s="292">
        <v>9</v>
      </c>
      <c r="J81" s="377">
        <v>17</v>
      </c>
      <c r="K81" s="336">
        <f t="shared" si="28"/>
        <v>47.058823529411761</v>
      </c>
      <c r="L81" s="336">
        <f t="shared" si="29"/>
        <v>52.941176470588239</v>
      </c>
      <c r="M81" s="336">
        <f t="shared" si="30"/>
        <v>0</v>
      </c>
      <c r="N81" s="368">
        <f t="shared" si="26"/>
        <v>100</v>
      </c>
      <c r="O81" s="335">
        <v>26</v>
      </c>
      <c r="P81" s="336">
        <v>31.5</v>
      </c>
      <c r="Q81" s="336"/>
      <c r="R81" s="337">
        <f t="shared" si="27"/>
        <v>57.5</v>
      </c>
      <c r="S81" s="340">
        <v>3</v>
      </c>
      <c r="T81" s="838"/>
      <c r="U81" s="836"/>
      <c r="V81" s="299" t="s">
        <v>108</v>
      </c>
      <c r="W81" s="292" t="s">
        <v>75</v>
      </c>
      <c r="X81" s="292" t="s">
        <v>18</v>
      </c>
      <c r="Y81" s="300">
        <v>27.5</v>
      </c>
      <c r="Z81" s="299" t="s">
        <v>109</v>
      </c>
      <c r="AA81" s="292" t="s">
        <v>74</v>
      </c>
      <c r="AB81" s="292" t="s">
        <v>11</v>
      </c>
      <c r="AC81" s="300">
        <v>20</v>
      </c>
      <c r="AD81" s="299" t="s">
        <v>110</v>
      </c>
      <c r="AE81" s="292" t="s">
        <v>90</v>
      </c>
      <c r="AF81" s="292" t="s">
        <v>11</v>
      </c>
      <c r="AG81" s="300">
        <v>6</v>
      </c>
      <c r="AH81" s="292" t="s">
        <v>361</v>
      </c>
      <c r="AI81" s="292" t="s">
        <v>17</v>
      </c>
      <c r="AJ81" s="292" t="s">
        <v>18</v>
      </c>
      <c r="AK81" s="292">
        <v>4</v>
      </c>
      <c r="AL81" s="299"/>
      <c r="AO81" s="300"/>
      <c r="AP81" s="299"/>
      <c r="AS81" s="300"/>
      <c r="AW81" s="300"/>
      <c r="BA81" s="301"/>
    </row>
    <row r="82" spans="1:53" s="292" customFormat="1">
      <c r="A82" s="292">
        <v>1994</v>
      </c>
      <c r="B82" s="836"/>
      <c r="C82" s="916" t="s">
        <v>360</v>
      </c>
      <c r="D82" s="916"/>
      <c r="E82" s="292">
        <v>170</v>
      </c>
      <c r="G82" s="366">
        <v>8</v>
      </c>
      <c r="H82" s="292">
        <v>9</v>
      </c>
      <c r="J82" s="377">
        <v>17</v>
      </c>
      <c r="K82" s="336">
        <f t="shared" si="28"/>
        <v>47.058823529411761</v>
      </c>
      <c r="L82" s="336">
        <f t="shared" si="29"/>
        <v>52.941176470588239</v>
      </c>
      <c r="M82" s="336">
        <f t="shared" si="30"/>
        <v>0</v>
      </c>
      <c r="N82" s="368">
        <f t="shared" si="26"/>
        <v>100</v>
      </c>
      <c r="O82" s="335">
        <v>26</v>
      </c>
      <c r="P82" s="336">
        <v>31.5</v>
      </c>
      <c r="Q82" s="336"/>
      <c r="R82" s="337">
        <f t="shared" si="27"/>
        <v>57.5</v>
      </c>
      <c r="S82" s="340">
        <v>3</v>
      </c>
      <c r="T82" s="838"/>
      <c r="U82" s="836"/>
      <c r="V82" s="299" t="s">
        <v>108</v>
      </c>
      <c r="W82" s="292" t="s">
        <v>75</v>
      </c>
      <c r="X82" s="292" t="s">
        <v>18</v>
      </c>
      <c r="Y82" s="300">
        <v>27.5</v>
      </c>
      <c r="Z82" s="299" t="s">
        <v>109</v>
      </c>
      <c r="AA82" s="292" t="s">
        <v>74</v>
      </c>
      <c r="AB82" s="292" t="s">
        <v>11</v>
      </c>
      <c r="AC82" s="300">
        <v>20</v>
      </c>
      <c r="AD82" s="299" t="s">
        <v>110</v>
      </c>
      <c r="AE82" s="292" t="s">
        <v>90</v>
      </c>
      <c r="AF82" s="292" t="s">
        <v>11</v>
      </c>
      <c r="AG82" s="300">
        <v>6</v>
      </c>
      <c r="AH82" s="292" t="s">
        <v>361</v>
      </c>
      <c r="AI82" s="292" t="s">
        <v>17</v>
      </c>
      <c r="AJ82" s="292" t="s">
        <v>18</v>
      </c>
      <c r="AK82" s="292">
        <v>4</v>
      </c>
      <c r="AL82" s="299"/>
      <c r="AO82" s="300"/>
      <c r="AP82" s="299"/>
      <c r="AS82" s="300"/>
      <c r="AW82" s="300"/>
      <c r="BA82" s="301"/>
    </row>
    <row r="83" spans="1:53" s="73" customFormat="1">
      <c r="A83" s="73">
        <v>1994</v>
      </c>
      <c r="B83" s="852">
        <v>34505</v>
      </c>
      <c r="C83" s="917" t="s">
        <v>362</v>
      </c>
      <c r="D83" s="917"/>
      <c r="E83" s="73">
        <f>365-E82</f>
        <v>195</v>
      </c>
      <c r="F83" s="73">
        <v>4</v>
      </c>
      <c r="G83" s="119">
        <v>8</v>
      </c>
      <c r="H83" s="73">
        <v>8</v>
      </c>
      <c r="J83" s="126">
        <v>16</v>
      </c>
      <c r="K83" s="92">
        <f t="shared" si="28"/>
        <v>50</v>
      </c>
      <c r="L83" s="92">
        <f t="shared" si="29"/>
        <v>50</v>
      </c>
      <c r="M83" s="92">
        <f t="shared" si="30"/>
        <v>0</v>
      </c>
      <c r="N83" s="121">
        <f t="shared" si="26"/>
        <v>100</v>
      </c>
      <c r="O83" s="91">
        <v>26</v>
      </c>
      <c r="P83" s="92">
        <v>27.5</v>
      </c>
      <c r="Q83" s="92"/>
      <c r="R83" s="93">
        <f t="shared" si="27"/>
        <v>53.5</v>
      </c>
      <c r="S83" s="97">
        <v>2</v>
      </c>
      <c r="T83" s="839"/>
      <c r="U83" s="852">
        <v>34505</v>
      </c>
      <c r="V83" s="82" t="s">
        <v>108</v>
      </c>
      <c r="W83" s="73" t="s">
        <v>75</v>
      </c>
      <c r="X83" s="73" t="s">
        <v>18</v>
      </c>
      <c r="Y83" s="83">
        <v>27.5</v>
      </c>
      <c r="Z83" s="82" t="s">
        <v>109</v>
      </c>
      <c r="AA83" s="73" t="s">
        <v>74</v>
      </c>
      <c r="AB83" s="73" t="s">
        <v>11</v>
      </c>
      <c r="AC83" s="83">
        <v>20</v>
      </c>
      <c r="AD83" s="82" t="s">
        <v>110</v>
      </c>
      <c r="AE83" s="73" t="s">
        <v>90</v>
      </c>
      <c r="AF83" s="73" t="s">
        <v>11</v>
      </c>
      <c r="AG83" s="83">
        <v>6</v>
      </c>
      <c r="AL83" s="82"/>
      <c r="AO83" s="83"/>
      <c r="AP83" s="82"/>
      <c r="AS83" s="83"/>
      <c r="AW83" s="83"/>
      <c r="BA83" s="84"/>
    </row>
    <row r="84" spans="1:53" s="73" customFormat="1">
      <c r="A84" s="73">
        <v>1995</v>
      </c>
      <c r="B84" s="852"/>
      <c r="C84" s="917" t="s">
        <v>362</v>
      </c>
      <c r="D84" s="917"/>
      <c r="E84" s="73">
        <v>102</v>
      </c>
      <c r="G84" s="119">
        <v>8</v>
      </c>
      <c r="H84" s="73">
        <v>8</v>
      </c>
      <c r="J84" s="126">
        <v>16</v>
      </c>
      <c r="K84" s="92">
        <f t="shared" si="28"/>
        <v>50</v>
      </c>
      <c r="L84" s="92">
        <f t="shared" si="29"/>
        <v>50</v>
      </c>
      <c r="M84" s="92">
        <f t="shared" si="30"/>
        <v>0</v>
      </c>
      <c r="N84" s="121">
        <f t="shared" si="26"/>
        <v>100</v>
      </c>
      <c r="O84" s="91">
        <v>26</v>
      </c>
      <c r="P84" s="92">
        <v>27.5</v>
      </c>
      <c r="Q84" s="92"/>
      <c r="R84" s="93">
        <f t="shared" si="27"/>
        <v>53.5</v>
      </c>
      <c r="S84" s="97">
        <v>2</v>
      </c>
      <c r="T84" s="839"/>
      <c r="U84" s="852"/>
      <c r="V84" s="82" t="s">
        <v>108</v>
      </c>
      <c r="W84" s="73" t="s">
        <v>75</v>
      </c>
      <c r="X84" s="73" t="s">
        <v>18</v>
      </c>
      <c r="Y84" s="83">
        <v>27.5</v>
      </c>
      <c r="Z84" s="82" t="s">
        <v>109</v>
      </c>
      <c r="AA84" s="73" t="s">
        <v>74</v>
      </c>
      <c r="AB84" s="73" t="s">
        <v>11</v>
      </c>
      <c r="AC84" s="83">
        <v>20</v>
      </c>
      <c r="AD84" s="82" t="s">
        <v>110</v>
      </c>
      <c r="AE84" s="73" t="s">
        <v>90</v>
      </c>
      <c r="AF84" s="73" t="s">
        <v>11</v>
      </c>
      <c r="AG84" s="83">
        <v>6</v>
      </c>
      <c r="AL84" s="82"/>
      <c r="AO84" s="83"/>
      <c r="AP84" s="82"/>
      <c r="AS84" s="83"/>
      <c r="AW84" s="83"/>
      <c r="BA84" s="84"/>
    </row>
    <row r="85" spans="1:53" s="292" customFormat="1">
      <c r="A85" s="292">
        <v>1995</v>
      </c>
      <c r="B85" s="836">
        <v>34802</v>
      </c>
      <c r="C85" s="916" t="s">
        <v>363</v>
      </c>
      <c r="D85" s="916"/>
      <c r="E85" s="292">
        <f>365-E84</f>
        <v>263</v>
      </c>
      <c r="F85" s="292">
        <v>1</v>
      </c>
      <c r="G85" s="366">
        <v>7</v>
      </c>
      <c r="I85" s="292">
        <v>10</v>
      </c>
      <c r="J85" s="377">
        <v>18</v>
      </c>
      <c r="K85" s="336">
        <f t="shared" si="28"/>
        <v>38.888888888888893</v>
      </c>
      <c r="L85" s="336">
        <f t="shared" si="29"/>
        <v>0</v>
      </c>
      <c r="M85" s="336">
        <f t="shared" si="30"/>
        <v>55.555555555555557</v>
      </c>
      <c r="N85" s="368">
        <f t="shared" si="26"/>
        <v>94.444444444444457</v>
      </c>
      <c r="O85" s="335">
        <v>25.5</v>
      </c>
      <c r="P85" s="336"/>
      <c r="Q85" s="336">
        <v>47</v>
      </c>
      <c r="R85" s="337">
        <f t="shared" si="27"/>
        <v>72.5</v>
      </c>
      <c r="S85" s="340">
        <v>3</v>
      </c>
      <c r="T85" s="838">
        <v>34777</v>
      </c>
      <c r="U85" s="836">
        <v>34802</v>
      </c>
      <c r="V85" s="299" t="s">
        <v>112</v>
      </c>
      <c r="W85" s="292" t="s">
        <v>20</v>
      </c>
      <c r="X85" s="292" t="s">
        <v>12</v>
      </c>
      <c r="Y85" s="300">
        <v>31.5</v>
      </c>
      <c r="Z85" s="299" t="s">
        <v>109</v>
      </c>
      <c r="AA85" s="292" t="s">
        <v>74</v>
      </c>
      <c r="AB85" s="292" t="s">
        <v>11</v>
      </c>
      <c r="AC85" s="300">
        <v>19.5</v>
      </c>
      <c r="AD85" s="299" t="s">
        <v>110</v>
      </c>
      <c r="AE85" s="292" t="s">
        <v>90</v>
      </c>
      <c r="AF85" s="292" t="s">
        <v>11</v>
      </c>
      <c r="AG85" s="300">
        <v>6</v>
      </c>
      <c r="AH85" s="292" t="s">
        <v>364</v>
      </c>
      <c r="AI85" s="292" t="s">
        <v>193</v>
      </c>
      <c r="AJ85" s="292" t="s">
        <v>12</v>
      </c>
      <c r="AK85" s="292">
        <v>11</v>
      </c>
      <c r="AL85" s="299" t="s">
        <v>365</v>
      </c>
      <c r="AM85" s="292" t="s">
        <v>218</v>
      </c>
      <c r="AN85" s="292" t="s">
        <v>12</v>
      </c>
      <c r="AO85" s="300">
        <v>4.5</v>
      </c>
      <c r="AP85" s="299"/>
      <c r="AS85" s="300"/>
      <c r="AW85" s="300"/>
      <c r="BA85" s="301"/>
    </row>
    <row r="86" spans="1:53" s="292" customFormat="1">
      <c r="A86" s="292">
        <v>1996</v>
      </c>
      <c r="B86" s="836"/>
      <c r="C86" s="916" t="s">
        <v>363</v>
      </c>
      <c r="D86" s="916"/>
      <c r="E86" s="292">
        <v>0</v>
      </c>
      <c r="G86" s="366">
        <v>7</v>
      </c>
      <c r="I86" s="292">
        <v>10</v>
      </c>
      <c r="J86" s="377">
        <v>18</v>
      </c>
      <c r="K86" s="336">
        <f t="shared" si="28"/>
        <v>38.888888888888893</v>
      </c>
      <c r="L86" s="336">
        <f t="shared" si="29"/>
        <v>0</v>
      </c>
      <c r="M86" s="336">
        <f t="shared" si="30"/>
        <v>55.555555555555557</v>
      </c>
      <c r="N86" s="368">
        <f t="shared" si="26"/>
        <v>94.444444444444457</v>
      </c>
      <c r="O86" s="335">
        <v>25.5</v>
      </c>
      <c r="P86" s="336"/>
      <c r="Q86" s="336">
        <v>47</v>
      </c>
      <c r="R86" s="337">
        <f t="shared" si="27"/>
        <v>72.5</v>
      </c>
      <c r="S86" s="340">
        <v>3</v>
      </c>
      <c r="T86" s="838"/>
      <c r="U86" s="836"/>
      <c r="V86" s="299" t="s">
        <v>112</v>
      </c>
      <c r="W86" s="292" t="s">
        <v>20</v>
      </c>
      <c r="X86" s="292" t="s">
        <v>12</v>
      </c>
      <c r="Y86" s="300">
        <v>31.5</v>
      </c>
      <c r="Z86" s="299" t="s">
        <v>109</v>
      </c>
      <c r="AA86" s="292" t="s">
        <v>74</v>
      </c>
      <c r="AB86" s="292" t="s">
        <v>11</v>
      </c>
      <c r="AC86" s="300">
        <v>19.5</v>
      </c>
      <c r="AD86" s="299" t="s">
        <v>110</v>
      </c>
      <c r="AE86" s="292" t="s">
        <v>90</v>
      </c>
      <c r="AF86" s="292" t="s">
        <v>11</v>
      </c>
      <c r="AG86" s="300">
        <v>6</v>
      </c>
      <c r="AH86" s="292" t="s">
        <v>364</v>
      </c>
      <c r="AI86" s="292" t="s">
        <v>193</v>
      </c>
      <c r="AJ86" s="292" t="s">
        <v>12</v>
      </c>
      <c r="AK86" s="292">
        <v>11</v>
      </c>
      <c r="AL86" s="299" t="s">
        <v>365</v>
      </c>
      <c r="AM86" s="292" t="s">
        <v>218</v>
      </c>
      <c r="AN86" s="292" t="s">
        <v>12</v>
      </c>
      <c r="AO86" s="300">
        <v>4.5</v>
      </c>
      <c r="AP86" s="299"/>
      <c r="AS86" s="300"/>
      <c r="AW86" s="300"/>
      <c r="BA86" s="301"/>
    </row>
    <row r="87" spans="1:53" s="292" customFormat="1">
      <c r="A87" s="292">
        <v>1996</v>
      </c>
      <c r="B87" s="836"/>
      <c r="C87" s="916" t="s">
        <v>363</v>
      </c>
      <c r="D87" s="916"/>
      <c r="E87" s="292">
        <v>366</v>
      </c>
      <c r="G87" s="366">
        <v>7</v>
      </c>
      <c r="I87" s="292">
        <v>10</v>
      </c>
      <c r="J87" s="377">
        <v>18</v>
      </c>
      <c r="K87" s="336">
        <f t="shared" si="28"/>
        <v>38.888888888888893</v>
      </c>
      <c r="L87" s="336">
        <f t="shared" si="29"/>
        <v>0</v>
      </c>
      <c r="M87" s="336">
        <f t="shared" si="30"/>
        <v>55.555555555555557</v>
      </c>
      <c r="N87" s="368">
        <f t="shared" si="26"/>
        <v>94.444444444444457</v>
      </c>
      <c r="O87" s="335">
        <v>25.5</v>
      </c>
      <c r="P87" s="336"/>
      <c r="Q87" s="336">
        <v>47</v>
      </c>
      <c r="R87" s="337">
        <f t="shared" si="27"/>
        <v>72.5</v>
      </c>
      <c r="S87" s="340">
        <v>3</v>
      </c>
      <c r="T87" s="838"/>
      <c r="U87" s="836"/>
      <c r="V87" s="299" t="s">
        <v>112</v>
      </c>
      <c r="W87" s="292" t="s">
        <v>20</v>
      </c>
      <c r="X87" s="292" t="s">
        <v>12</v>
      </c>
      <c r="Y87" s="300">
        <v>31.5</v>
      </c>
      <c r="Z87" s="299" t="s">
        <v>109</v>
      </c>
      <c r="AA87" s="292" t="s">
        <v>74</v>
      </c>
      <c r="AB87" s="292" t="s">
        <v>11</v>
      </c>
      <c r="AC87" s="300">
        <v>19.5</v>
      </c>
      <c r="AD87" s="299" t="s">
        <v>110</v>
      </c>
      <c r="AE87" s="292" t="s">
        <v>90</v>
      </c>
      <c r="AF87" s="292" t="s">
        <v>11</v>
      </c>
      <c r="AG87" s="300">
        <v>6</v>
      </c>
      <c r="AH87" s="292" t="s">
        <v>364</v>
      </c>
      <c r="AI87" s="292" t="s">
        <v>193</v>
      </c>
      <c r="AJ87" s="292" t="s">
        <v>12</v>
      </c>
      <c r="AK87" s="292">
        <v>11</v>
      </c>
      <c r="AL87" s="299" t="s">
        <v>365</v>
      </c>
      <c r="AM87" s="292" t="s">
        <v>218</v>
      </c>
      <c r="AN87" s="292" t="s">
        <v>12</v>
      </c>
      <c r="AO87" s="300">
        <v>4.5</v>
      </c>
      <c r="AP87" s="299"/>
      <c r="AS87" s="300"/>
      <c r="AW87" s="300"/>
      <c r="BA87" s="301"/>
    </row>
    <row r="88" spans="1:53" s="292" customFormat="1">
      <c r="A88" s="292">
        <v>1997</v>
      </c>
      <c r="B88" s="836"/>
      <c r="C88" s="916" t="s">
        <v>363</v>
      </c>
      <c r="D88" s="916"/>
      <c r="E88" s="292">
        <v>0</v>
      </c>
      <c r="G88" s="366">
        <v>7</v>
      </c>
      <c r="I88" s="292">
        <v>10</v>
      </c>
      <c r="J88" s="377">
        <v>18</v>
      </c>
      <c r="K88" s="336">
        <f t="shared" si="28"/>
        <v>38.888888888888893</v>
      </c>
      <c r="L88" s="336">
        <f t="shared" si="29"/>
        <v>0</v>
      </c>
      <c r="M88" s="336">
        <f t="shared" si="30"/>
        <v>55.555555555555557</v>
      </c>
      <c r="N88" s="368">
        <f t="shared" si="26"/>
        <v>94.444444444444457</v>
      </c>
      <c r="O88" s="335">
        <v>25.5</v>
      </c>
      <c r="P88" s="336"/>
      <c r="Q88" s="336">
        <v>47</v>
      </c>
      <c r="R88" s="337">
        <f t="shared" si="27"/>
        <v>72.5</v>
      </c>
      <c r="S88" s="340">
        <v>3</v>
      </c>
      <c r="T88" s="838"/>
      <c r="U88" s="836"/>
      <c r="V88" s="299" t="s">
        <v>112</v>
      </c>
      <c r="W88" s="292" t="s">
        <v>20</v>
      </c>
      <c r="X88" s="292" t="s">
        <v>12</v>
      </c>
      <c r="Y88" s="300">
        <v>31.5</v>
      </c>
      <c r="Z88" s="299" t="s">
        <v>109</v>
      </c>
      <c r="AA88" s="292" t="s">
        <v>74</v>
      </c>
      <c r="AB88" s="292" t="s">
        <v>11</v>
      </c>
      <c r="AC88" s="300">
        <v>19.5</v>
      </c>
      <c r="AD88" s="299" t="s">
        <v>110</v>
      </c>
      <c r="AE88" s="292" t="s">
        <v>90</v>
      </c>
      <c r="AF88" s="292" t="s">
        <v>11</v>
      </c>
      <c r="AG88" s="300">
        <v>6</v>
      </c>
      <c r="AH88" s="292" t="s">
        <v>364</v>
      </c>
      <c r="AI88" s="292" t="s">
        <v>193</v>
      </c>
      <c r="AJ88" s="292" t="s">
        <v>12</v>
      </c>
      <c r="AK88" s="292">
        <v>11</v>
      </c>
      <c r="AL88" s="299" t="s">
        <v>365</v>
      </c>
      <c r="AM88" s="292" t="s">
        <v>218</v>
      </c>
      <c r="AN88" s="292" t="s">
        <v>12</v>
      </c>
      <c r="AO88" s="300">
        <v>4.5</v>
      </c>
      <c r="AP88" s="299"/>
      <c r="AS88" s="300"/>
      <c r="AW88" s="300"/>
      <c r="BA88" s="301"/>
    </row>
    <row r="89" spans="1:53" s="292" customFormat="1">
      <c r="A89" s="292">
        <v>1997</v>
      </c>
      <c r="B89" s="836"/>
      <c r="C89" s="916" t="s">
        <v>363</v>
      </c>
      <c r="D89" s="916"/>
      <c r="E89" s="292">
        <f>365-E88</f>
        <v>365</v>
      </c>
      <c r="G89" s="366">
        <v>7</v>
      </c>
      <c r="I89" s="292">
        <v>10</v>
      </c>
      <c r="J89" s="377">
        <v>18</v>
      </c>
      <c r="K89" s="336">
        <f t="shared" si="28"/>
        <v>38.888888888888893</v>
      </c>
      <c r="L89" s="336">
        <f t="shared" si="29"/>
        <v>0</v>
      </c>
      <c r="M89" s="336">
        <f t="shared" si="30"/>
        <v>55.555555555555557</v>
      </c>
      <c r="N89" s="368">
        <f t="shared" si="26"/>
        <v>94.444444444444457</v>
      </c>
      <c r="O89" s="335">
        <v>25.5</v>
      </c>
      <c r="P89" s="336"/>
      <c r="Q89" s="336">
        <v>47</v>
      </c>
      <c r="R89" s="337">
        <f t="shared" si="27"/>
        <v>72.5</v>
      </c>
      <c r="S89" s="340">
        <v>3</v>
      </c>
      <c r="T89" s="838"/>
      <c r="U89" s="836"/>
      <c r="V89" s="299" t="s">
        <v>112</v>
      </c>
      <c r="W89" s="292" t="s">
        <v>20</v>
      </c>
      <c r="X89" s="292" t="s">
        <v>12</v>
      </c>
      <c r="Y89" s="300">
        <v>31.5</v>
      </c>
      <c r="Z89" s="299" t="s">
        <v>109</v>
      </c>
      <c r="AA89" s="292" t="s">
        <v>74</v>
      </c>
      <c r="AB89" s="292" t="s">
        <v>11</v>
      </c>
      <c r="AC89" s="300">
        <v>19.5</v>
      </c>
      <c r="AD89" s="299" t="s">
        <v>110</v>
      </c>
      <c r="AE89" s="292" t="s">
        <v>90</v>
      </c>
      <c r="AF89" s="292" t="s">
        <v>11</v>
      </c>
      <c r="AG89" s="300">
        <v>6</v>
      </c>
      <c r="AH89" s="292" t="s">
        <v>364</v>
      </c>
      <c r="AI89" s="292" t="s">
        <v>193</v>
      </c>
      <c r="AJ89" s="292" t="s">
        <v>12</v>
      </c>
      <c r="AK89" s="292">
        <v>11</v>
      </c>
      <c r="AL89" s="299" t="s">
        <v>365</v>
      </c>
      <c r="AM89" s="292" t="s">
        <v>218</v>
      </c>
      <c r="AN89" s="292" t="s">
        <v>12</v>
      </c>
      <c r="AO89" s="300">
        <v>4.5</v>
      </c>
      <c r="AP89" s="299"/>
      <c r="AS89" s="300"/>
      <c r="AW89" s="300"/>
      <c r="BA89" s="301"/>
    </row>
    <row r="90" spans="1:53" s="292" customFormat="1">
      <c r="A90" s="292">
        <v>1998</v>
      </c>
      <c r="B90" s="836"/>
      <c r="C90" s="916" t="s">
        <v>363</v>
      </c>
      <c r="D90" s="916"/>
      <c r="E90" s="292">
        <v>0</v>
      </c>
      <c r="G90" s="366">
        <v>7</v>
      </c>
      <c r="I90" s="292">
        <v>10</v>
      </c>
      <c r="J90" s="377">
        <v>18</v>
      </c>
      <c r="K90" s="336">
        <f t="shared" si="28"/>
        <v>38.888888888888893</v>
      </c>
      <c r="L90" s="336">
        <f t="shared" si="29"/>
        <v>0</v>
      </c>
      <c r="M90" s="336">
        <f t="shared" si="30"/>
        <v>55.555555555555557</v>
      </c>
      <c r="N90" s="368">
        <f t="shared" si="26"/>
        <v>94.444444444444457</v>
      </c>
      <c r="O90" s="335">
        <v>25.5</v>
      </c>
      <c r="P90" s="336"/>
      <c r="Q90" s="336">
        <v>47</v>
      </c>
      <c r="R90" s="337">
        <f t="shared" si="27"/>
        <v>72.5</v>
      </c>
      <c r="S90" s="340">
        <v>3</v>
      </c>
      <c r="T90" s="838"/>
      <c r="U90" s="836"/>
      <c r="V90" s="299" t="s">
        <v>112</v>
      </c>
      <c r="W90" s="292" t="s">
        <v>20</v>
      </c>
      <c r="X90" s="292" t="s">
        <v>12</v>
      </c>
      <c r="Y90" s="300">
        <v>31.5</v>
      </c>
      <c r="Z90" s="299" t="s">
        <v>109</v>
      </c>
      <c r="AA90" s="292" t="s">
        <v>74</v>
      </c>
      <c r="AB90" s="292" t="s">
        <v>11</v>
      </c>
      <c r="AC90" s="300">
        <v>19.5</v>
      </c>
      <c r="AD90" s="299" t="s">
        <v>110</v>
      </c>
      <c r="AE90" s="292" t="s">
        <v>90</v>
      </c>
      <c r="AF90" s="292" t="s">
        <v>11</v>
      </c>
      <c r="AG90" s="300">
        <v>6</v>
      </c>
      <c r="AH90" s="292" t="s">
        <v>364</v>
      </c>
      <c r="AI90" s="292" t="s">
        <v>193</v>
      </c>
      <c r="AJ90" s="292" t="s">
        <v>12</v>
      </c>
      <c r="AK90" s="292">
        <v>11</v>
      </c>
      <c r="AL90" s="299" t="s">
        <v>365</v>
      </c>
      <c r="AM90" s="292" t="s">
        <v>218</v>
      </c>
      <c r="AN90" s="292" t="s">
        <v>12</v>
      </c>
      <c r="AO90" s="300">
        <v>4.5</v>
      </c>
      <c r="AP90" s="299"/>
      <c r="AS90" s="300"/>
      <c r="AW90" s="300"/>
      <c r="BA90" s="301"/>
    </row>
    <row r="91" spans="1:53" s="292" customFormat="1">
      <c r="A91" s="292">
        <v>1998</v>
      </c>
      <c r="B91" s="836"/>
      <c r="C91" s="916" t="s">
        <v>363</v>
      </c>
      <c r="D91" s="916"/>
      <c r="E91" s="292">
        <f>365-E90</f>
        <v>365</v>
      </c>
      <c r="G91" s="366">
        <v>7</v>
      </c>
      <c r="I91" s="292">
        <v>10</v>
      </c>
      <c r="J91" s="377">
        <v>18</v>
      </c>
      <c r="K91" s="336">
        <f t="shared" si="28"/>
        <v>38.888888888888893</v>
      </c>
      <c r="L91" s="336">
        <f t="shared" si="29"/>
        <v>0</v>
      </c>
      <c r="M91" s="336">
        <f t="shared" si="30"/>
        <v>55.555555555555557</v>
      </c>
      <c r="N91" s="368">
        <f t="shared" si="26"/>
        <v>94.444444444444457</v>
      </c>
      <c r="O91" s="335">
        <v>25.5</v>
      </c>
      <c r="P91" s="336"/>
      <c r="Q91" s="336">
        <v>47</v>
      </c>
      <c r="R91" s="337">
        <f t="shared" si="27"/>
        <v>72.5</v>
      </c>
      <c r="S91" s="340">
        <v>3</v>
      </c>
      <c r="T91" s="838"/>
      <c r="U91" s="836"/>
      <c r="V91" s="299" t="s">
        <v>112</v>
      </c>
      <c r="W91" s="292" t="s">
        <v>20</v>
      </c>
      <c r="X91" s="292" t="s">
        <v>12</v>
      </c>
      <c r="Y91" s="300">
        <v>31.5</v>
      </c>
      <c r="Z91" s="299" t="s">
        <v>109</v>
      </c>
      <c r="AA91" s="292" t="s">
        <v>74</v>
      </c>
      <c r="AB91" s="292" t="s">
        <v>11</v>
      </c>
      <c r="AC91" s="300">
        <v>19.5</v>
      </c>
      <c r="AD91" s="299" t="s">
        <v>110</v>
      </c>
      <c r="AE91" s="292" t="s">
        <v>90</v>
      </c>
      <c r="AF91" s="292" t="s">
        <v>11</v>
      </c>
      <c r="AG91" s="300">
        <v>6</v>
      </c>
      <c r="AH91" s="292" t="s">
        <v>364</v>
      </c>
      <c r="AI91" s="292" t="s">
        <v>193</v>
      </c>
      <c r="AJ91" s="292" t="s">
        <v>12</v>
      </c>
      <c r="AK91" s="292">
        <v>11</v>
      </c>
      <c r="AL91" s="299" t="s">
        <v>365</v>
      </c>
      <c r="AM91" s="292" t="s">
        <v>218</v>
      </c>
      <c r="AN91" s="292" t="s">
        <v>12</v>
      </c>
      <c r="AO91" s="300">
        <v>4.5</v>
      </c>
      <c r="AP91" s="299"/>
      <c r="AS91" s="300"/>
      <c r="AW91" s="300"/>
      <c r="BA91" s="301"/>
    </row>
    <row r="92" spans="1:53" s="292" customFormat="1">
      <c r="A92" s="292">
        <v>1999</v>
      </c>
      <c r="B92" s="836"/>
      <c r="C92" s="916" t="s">
        <v>363</v>
      </c>
      <c r="D92" s="916"/>
      <c r="E92" s="292">
        <v>104</v>
      </c>
      <c r="G92" s="366">
        <v>7</v>
      </c>
      <c r="I92" s="292">
        <v>10</v>
      </c>
      <c r="J92" s="377">
        <v>18</v>
      </c>
      <c r="K92" s="336">
        <f t="shared" si="28"/>
        <v>38.888888888888893</v>
      </c>
      <c r="L92" s="336">
        <f t="shared" si="29"/>
        <v>0</v>
      </c>
      <c r="M92" s="336">
        <f t="shared" si="30"/>
        <v>55.555555555555557</v>
      </c>
      <c r="N92" s="368">
        <f t="shared" si="26"/>
        <v>94.444444444444457</v>
      </c>
      <c r="O92" s="335">
        <v>25.5</v>
      </c>
      <c r="P92" s="336"/>
      <c r="Q92" s="336">
        <v>47</v>
      </c>
      <c r="R92" s="337">
        <f t="shared" si="27"/>
        <v>72.5</v>
      </c>
      <c r="S92" s="340">
        <v>3</v>
      </c>
      <c r="T92" s="838"/>
      <c r="U92" s="836"/>
      <c r="V92" s="299" t="s">
        <v>112</v>
      </c>
      <c r="W92" s="292" t="s">
        <v>20</v>
      </c>
      <c r="X92" s="292" t="s">
        <v>12</v>
      </c>
      <c r="Y92" s="300">
        <v>31.5</v>
      </c>
      <c r="Z92" s="299" t="s">
        <v>109</v>
      </c>
      <c r="AA92" s="292" t="s">
        <v>74</v>
      </c>
      <c r="AB92" s="292" t="s">
        <v>11</v>
      </c>
      <c r="AC92" s="300">
        <v>19.5</v>
      </c>
      <c r="AD92" s="299" t="s">
        <v>110</v>
      </c>
      <c r="AE92" s="292" t="s">
        <v>90</v>
      </c>
      <c r="AF92" s="292" t="s">
        <v>11</v>
      </c>
      <c r="AG92" s="300">
        <v>6</v>
      </c>
      <c r="AH92" s="292" t="s">
        <v>364</v>
      </c>
      <c r="AI92" s="292" t="s">
        <v>193</v>
      </c>
      <c r="AJ92" s="292" t="s">
        <v>12</v>
      </c>
      <c r="AK92" s="292">
        <v>11</v>
      </c>
      <c r="AL92" s="299" t="s">
        <v>365</v>
      </c>
      <c r="AM92" s="292" t="s">
        <v>218</v>
      </c>
      <c r="AN92" s="292" t="s">
        <v>12</v>
      </c>
      <c r="AO92" s="300">
        <v>4.5</v>
      </c>
      <c r="AP92" s="299"/>
      <c r="AS92" s="300"/>
      <c r="AW92" s="300"/>
      <c r="BA92" s="301"/>
    </row>
    <row r="93" spans="1:53" s="73" customFormat="1">
      <c r="A93" s="73">
        <v>1999</v>
      </c>
      <c r="B93" s="852">
        <v>36265</v>
      </c>
      <c r="C93" s="917" t="s">
        <v>366</v>
      </c>
      <c r="D93" s="917"/>
      <c r="E93" s="73">
        <f>365-E92</f>
        <v>261</v>
      </c>
      <c r="F93" s="73">
        <v>1</v>
      </c>
      <c r="G93" s="119">
        <v>8</v>
      </c>
      <c r="I93" s="73">
        <v>9</v>
      </c>
      <c r="J93" s="126">
        <v>18</v>
      </c>
      <c r="K93" s="92">
        <f t="shared" si="28"/>
        <v>44.444444444444443</v>
      </c>
      <c r="L93" s="92">
        <f t="shared" si="29"/>
        <v>0</v>
      </c>
      <c r="M93" s="92">
        <f t="shared" si="30"/>
        <v>50</v>
      </c>
      <c r="N93" s="121">
        <f t="shared" si="26"/>
        <v>94.444444444444443</v>
      </c>
      <c r="O93" s="91">
        <v>29</v>
      </c>
      <c r="P93" s="92"/>
      <c r="Q93" s="92">
        <v>41</v>
      </c>
      <c r="R93" s="93">
        <f t="shared" si="27"/>
        <v>70</v>
      </c>
      <c r="S93" s="97">
        <v>3</v>
      </c>
      <c r="T93" s="839">
        <v>36240</v>
      </c>
      <c r="U93" s="852">
        <v>36265</v>
      </c>
      <c r="V93" s="82" t="s">
        <v>112</v>
      </c>
      <c r="W93" s="73" t="s">
        <v>20</v>
      </c>
      <c r="X93" s="73" t="s">
        <v>12</v>
      </c>
      <c r="Y93" s="83">
        <v>25.5</v>
      </c>
      <c r="Z93" s="82" t="s">
        <v>109</v>
      </c>
      <c r="AA93" s="73" t="s">
        <v>74</v>
      </c>
      <c r="AB93" s="73" t="s">
        <v>11</v>
      </c>
      <c r="AC93" s="83">
        <v>23</v>
      </c>
      <c r="AD93" s="82" t="s">
        <v>110</v>
      </c>
      <c r="AE93" s="73" t="s">
        <v>90</v>
      </c>
      <c r="AF93" s="73" t="s">
        <v>11</v>
      </c>
      <c r="AG93" s="83">
        <v>6</v>
      </c>
      <c r="AH93" s="73" t="s">
        <v>364</v>
      </c>
      <c r="AI93" s="73" t="s">
        <v>193</v>
      </c>
      <c r="AJ93" s="73" t="s">
        <v>12</v>
      </c>
      <c r="AK93" s="73">
        <v>10</v>
      </c>
      <c r="AL93" s="82" t="s">
        <v>365</v>
      </c>
      <c r="AM93" s="73" t="s">
        <v>218</v>
      </c>
      <c r="AN93" s="73" t="s">
        <v>12</v>
      </c>
      <c r="AO93" s="83">
        <v>5.5</v>
      </c>
      <c r="AP93" s="82"/>
      <c r="AS93" s="83"/>
      <c r="AW93" s="83"/>
      <c r="BA93" s="84"/>
    </row>
    <row r="94" spans="1:53" s="73" customFormat="1">
      <c r="A94" s="73">
        <v>2000</v>
      </c>
      <c r="B94" s="852"/>
      <c r="C94" s="917" t="s">
        <v>366</v>
      </c>
      <c r="D94" s="917"/>
      <c r="E94" s="73">
        <v>0</v>
      </c>
      <c r="G94" s="119">
        <v>8</v>
      </c>
      <c r="I94" s="73">
        <v>9</v>
      </c>
      <c r="J94" s="126">
        <v>18</v>
      </c>
      <c r="K94" s="92">
        <f t="shared" si="28"/>
        <v>44.444444444444443</v>
      </c>
      <c r="L94" s="92">
        <f t="shared" si="29"/>
        <v>0</v>
      </c>
      <c r="M94" s="92">
        <f t="shared" si="30"/>
        <v>50</v>
      </c>
      <c r="N94" s="121">
        <f t="shared" si="26"/>
        <v>94.444444444444443</v>
      </c>
      <c r="O94" s="91">
        <v>29</v>
      </c>
      <c r="P94" s="92"/>
      <c r="Q94" s="92">
        <v>41</v>
      </c>
      <c r="R94" s="93">
        <f t="shared" si="27"/>
        <v>70</v>
      </c>
      <c r="S94" s="97">
        <v>3</v>
      </c>
      <c r="T94" s="839"/>
      <c r="U94" s="852"/>
      <c r="V94" s="82" t="s">
        <v>112</v>
      </c>
      <c r="W94" s="73" t="s">
        <v>20</v>
      </c>
      <c r="X94" s="73" t="s">
        <v>12</v>
      </c>
      <c r="Y94" s="83">
        <v>25.5</v>
      </c>
      <c r="Z94" s="82" t="s">
        <v>109</v>
      </c>
      <c r="AA94" s="73" t="s">
        <v>74</v>
      </c>
      <c r="AB94" s="73" t="s">
        <v>11</v>
      </c>
      <c r="AC94" s="83">
        <v>23</v>
      </c>
      <c r="AD94" s="82" t="s">
        <v>110</v>
      </c>
      <c r="AE94" s="73" t="s">
        <v>90</v>
      </c>
      <c r="AF94" s="73" t="s">
        <v>11</v>
      </c>
      <c r="AG94" s="83">
        <v>6</v>
      </c>
      <c r="AH94" s="73" t="s">
        <v>364</v>
      </c>
      <c r="AI94" s="73" t="s">
        <v>193</v>
      </c>
      <c r="AJ94" s="73" t="s">
        <v>12</v>
      </c>
      <c r="AK94" s="73">
        <v>10</v>
      </c>
      <c r="AL94" s="82" t="s">
        <v>365</v>
      </c>
      <c r="AM94" s="73" t="s">
        <v>218</v>
      </c>
      <c r="AN94" s="73" t="s">
        <v>12</v>
      </c>
      <c r="AO94" s="83">
        <v>5.5</v>
      </c>
      <c r="AP94" s="82"/>
      <c r="AS94" s="83"/>
      <c r="AW94" s="83"/>
      <c r="BA94" s="84"/>
    </row>
    <row r="95" spans="1:53" s="73" customFormat="1">
      <c r="A95" s="73">
        <v>2000</v>
      </c>
      <c r="B95" s="852"/>
      <c r="C95" s="917" t="s">
        <v>366</v>
      </c>
      <c r="D95" s="917"/>
      <c r="E95" s="73">
        <v>366</v>
      </c>
      <c r="G95" s="119">
        <v>8</v>
      </c>
      <c r="I95" s="73">
        <v>9</v>
      </c>
      <c r="J95" s="126">
        <v>18</v>
      </c>
      <c r="K95" s="92">
        <f t="shared" si="28"/>
        <v>44.444444444444443</v>
      </c>
      <c r="L95" s="92">
        <f t="shared" si="29"/>
        <v>0</v>
      </c>
      <c r="M95" s="92">
        <f t="shared" si="30"/>
        <v>50</v>
      </c>
      <c r="N95" s="121">
        <f t="shared" si="26"/>
        <v>94.444444444444443</v>
      </c>
      <c r="O95" s="91">
        <v>29</v>
      </c>
      <c r="P95" s="92"/>
      <c r="Q95" s="92">
        <v>41</v>
      </c>
      <c r="R95" s="93">
        <f t="shared" si="27"/>
        <v>70</v>
      </c>
      <c r="S95" s="97">
        <v>3</v>
      </c>
      <c r="T95" s="839"/>
      <c r="U95" s="852"/>
      <c r="V95" s="82" t="s">
        <v>112</v>
      </c>
      <c r="W95" s="73" t="s">
        <v>20</v>
      </c>
      <c r="X95" s="73" t="s">
        <v>12</v>
      </c>
      <c r="Y95" s="83">
        <v>25.5</v>
      </c>
      <c r="Z95" s="82" t="s">
        <v>109</v>
      </c>
      <c r="AA95" s="73" t="s">
        <v>74</v>
      </c>
      <c r="AB95" s="73" t="s">
        <v>11</v>
      </c>
      <c r="AC95" s="83">
        <v>23</v>
      </c>
      <c r="AD95" s="82" t="s">
        <v>110</v>
      </c>
      <c r="AE95" s="73" t="s">
        <v>90</v>
      </c>
      <c r="AF95" s="73" t="s">
        <v>11</v>
      </c>
      <c r="AG95" s="83">
        <v>6</v>
      </c>
      <c r="AH95" s="73" t="s">
        <v>364</v>
      </c>
      <c r="AI95" s="73" t="s">
        <v>193</v>
      </c>
      <c r="AJ95" s="73" t="s">
        <v>12</v>
      </c>
      <c r="AK95" s="73">
        <v>10</v>
      </c>
      <c r="AL95" s="82" t="s">
        <v>365</v>
      </c>
      <c r="AM95" s="73" t="s">
        <v>218</v>
      </c>
      <c r="AN95" s="73" t="s">
        <v>12</v>
      </c>
      <c r="AO95" s="83">
        <v>5.5</v>
      </c>
      <c r="AP95" s="82"/>
      <c r="AS95" s="83"/>
      <c r="AW95" s="83"/>
      <c r="BA95" s="84"/>
    </row>
    <row r="96" spans="1:53" s="73" customFormat="1">
      <c r="A96" s="73">
        <v>2001</v>
      </c>
      <c r="B96" s="852"/>
      <c r="C96" s="917" t="s">
        <v>366</v>
      </c>
      <c r="D96" s="917"/>
      <c r="E96" s="73">
        <v>0</v>
      </c>
      <c r="G96" s="119">
        <v>8</v>
      </c>
      <c r="I96" s="73">
        <v>9</v>
      </c>
      <c r="J96" s="126">
        <v>18</v>
      </c>
      <c r="K96" s="92">
        <f t="shared" si="28"/>
        <v>44.444444444444443</v>
      </c>
      <c r="L96" s="92">
        <f t="shared" si="29"/>
        <v>0</v>
      </c>
      <c r="M96" s="92">
        <f t="shared" si="30"/>
        <v>50</v>
      </c>
      <c r="N96" s="121">
        <f t="shared" si="26"/>
        <v>94.444444444444443</v>
      </c>
      <c r="O96" s="91">
        <v>29</v>
      </c>
      <c r="P96" s="92"/>
      <c r="Q96" s="92">
        <v>41</v>
      </c>
      <c r="R96" s="93">
        <f t="shared" si="27"/>
        <v>70</v>
      </c>
      <c r="S96" s="97">
        <v>3</v>
      </c>
      <c r="T96" s="839"/>
      <c r="U96" s="852"/>
      <c r="V96" s="82" t="s">
        <v>112</v>
      </c>
      <c r="W96" s="73" t="s">
        <v>20</v>
      </c>
      <c r="X96" s="73" t="s">
        <v>12</v>
      </c>
      <c r="Y96" s="83">
        <v>25.5</v>
      </c>
      <c r="Z96" s="82" t="s">
        <v>109</v>
      </c>
      <c r="AA96" s="73" t="s">
        <v>74</v>
      </c>
      <c r="AB96" s="73" t="s">
        <v>11</v>
      </c>
      <c r="AC96" s="83">
        <v>23</v>
      </c>
      <c r="AD96" s="82" t="s">
        <v>110</v>
      </c>
      <c r="AE96" s="73" t="s">
        <v>90</v>
      </c>
      <c r="AF96" s="73" t="s">
        <v>11</v>
      </c>
      <c r="AG96" s="83">
        <v>6</v>
      </c>
      <c r="AH96" s="73" t="s">
        <v>364</v>
      </c>
      <c r="AI96" s="73" t="s">
        <v>193</v>
      </c>
      <c r="AJ96" s="73" t="s">
        <v>12</v>
      </c>
      <c r="AK96" s="73">
        <v>10</v>
      </c>
      <c r="AL96" s="82" t="s">
        <v>365</v>
      </c>
      <c r="AM96" s="73" t="s">
        <v>218</v>
      </c>
      <c r="AN96" s="73" t="s">
        <v>12</v>
      </c>
      <c r="AO96" s="83">
        <v>5.5</v>
      </c>
      <c r="AP96" s="82"/>
      <c r="AS96" s="83"/>
      <c r="AW96" s="83"/>
      <c r="BA96" s="84"/>
    </row>
    <row r="97" spans="1:53" s="73" customFormat="1">
      <c r="A97" s="73">
        <v>2001</v>
      </c>
      <c r="B97" s="852"/>
      <c r="C97" s="917" t="s">
        <v>366</v>
      </c>
      <c r="D97" s="917"/>
      <c r="E97" s="73">
        <f>365-E96</f>
        <v>365</v>
      </c>
      <c r="G97" s="119">
        <v>8</v>
      </c>
      <c r="I97" s="73">
        <v>9</v>
      </c>
      <c r="J97" s="126">
        <v>18</v>
      </c>
      <c r="K97" s="92">
        <f t="shared" si="28"/>
        <v>44.444444444444443</v>
      </c>
      <c r="L97" s="92">
        <f t="shared" si="29"/>
        <v>0</v>
      </c>
      <c r="M97" s="92">
        <f t="shared" si="30"/>
        <v>50</v>
      </c>
      <c r="N97" s="121">
        <f t="shared" si="26"/>
        <v>94.444444444444443</v>
      </c>
      <c r="O97" s="91">
        <v>29</v>
      </c>
      <c r="P97" s="92"/>
      <c r="Q97" s="92">
        <v>41</v>
      </c>
      <c r="R97" s="93">
        <f t="shared" si="27"/>
        <v>70</v>
      </c>
      <c r="S97" s="97">
        <v>3</v>
      </c>
      <c r="T97" s="839"/>
      <c r="U97" s="852"/>
      <c r="V97" s="82" t="s">
        <v>112</v>
      </c>
      <c r="W97" s="73" t="s">
        <v>20</v>
      </c>
      <c r="X97" s="73" t="s">
        <v>12</v>
      </c>
      <c r="Y97" s="83">
        <v>25.5</v>
      </c>
      <c r="Z97" s="82" t="s">
        <v>109</v>
      </c>
      <c r="AA97" s="73" t="s">
        <v>74</v>
      </c>
      <c r="AB97" s="73" t="s">
        <v>11</v>
      </c>
      <c r="AC97" s="83">
        <v>23</v>
      </c>
      <c r="AD97" s="82" t="s">
        <v>110</v>
      </c>
      <c r="AE97" s="73" t="s">
        <v>90</v>
      </c>
      <c r="AF97" s="73" t="s">
        <v>11</v>
      </c>
      <c r="AG97" s="83">
        <v>6</v>
      </c>
      <c r="AH97" s="73" t="s">
        <v>364</v>
      </c>
      <c r="AI97" s="73" t="s">
        <v>193</v>
      </c>
      <c r="AJ97" s="73" t="s">
        <v>12</v>
      </c>
      <c r="AK97" s="73">
        <v>10</v>
      </c>
      <c r="AL97" s="82" t="s">
        <v>365</v>
      </c>
      <c r="AM97" s="73" t="s">
        <v>218</v>
      </c>
      <c r="AN97" s="73" t="s">
        <v>12</v>
      </c>
      <c r="AO97" s="83">
        <v>5.5</v>
      </c>
      <c r="AP97" s="82"/>
      <c r="AS97" s="83"/>
      <c r="AW97" s="83"/>
      <c r="BA97" s="84"/>
    </row>
    <row r="98" spans="1:53" s="73" customFormat="1">
      <c r="A98" s="73">
        <v>2002</v>
      </c>
      <c r="B98" s="852"/>
      <c r="C98" s="917" t="s">
        <v>366</v>
      </c>
      <c r="D98" s="917"/>
      <c r="E98" s="73">
        <v>108</v>
      </c>
      <c r="G98" s="119">
        <v>8</v>
      </c>
      <c r="I98" s="73">
        <v>9</v>
      </c>
      <c r="J98" s="126">
        <v>18</v>
      </c>
      <c r="K98" s="92">
        <f t="shared" si="28"/>
        <v>44.444444444444443</v>
      </c>
      <c r="L98" s="92">
        <f t="shared" si="29"/>
        <v>0</v>
      </c>
      <c r="M98" s="92">
        <f t="shared" si="30"/>
        <v>50</v>
      </c>
      <c r="N98" s="121">
        <f t="shared" si="26"/>
        <v>94.444444444444443</v>
      </c>
      <c r="O98" s="91">
        <v>29</v>
      </c>
      <c r="P98" s="92"/>
      <c r="Q98" s="92">
        <v>41</v>
      </c>
      <c r="R98" s="93">
        <f t="shared" si="27"/>
        <v>70</v>
      </c>
      <c r="S98" s="97">
        <v>3</v>
      </c>
      <c r="T98" s="839"/>
      <c r="U98" s="852"/>
      <c r="V98" s="82" t="s">
        <v>112</v>
      </c>
      <c r="W98" s="73" t="s">
        <v>20</v>
      </c>
      <c r="X98" s="73" t="s">
        <v>12</v>
      </c>
      <c r="Y98" s="83">
        <v>25.5</v>
      </c>
      <c r="Z98" s="82" t="s">
        <v>109</v>
      </c>
      <c r="AA98" s="73" t="s">
        <v>74</v>
      </c>
      <c r="AB98" s="73" t="s">
        <v>11</v>
      </c>
      <c r="AC98" s="83">
        <v>23</v>
      </c>
      <c r="AD98" s="82" t="s">
        <v>110</v>
      </c>
      <c r="AE98" s="73" t="s">
        <v>90</v>
      </c>
      <c r="AF98" s="73" t="s">
        <v>11</v>
      </c>
      <c r="AG98" s="83">
        <v>6</v>
      </c>
      <c r="AH98" s="73" t="s">
        <v>364</v>
      </c>
      <c r="AI98" s="73" t="s">
        <v>193</v>
      </c>
      <c r="AJ98" s="73" t="s">
        <v>12</v>
      </c>
      <c r="AK98" s="73">
        <v>10</v>
      </c>
      <c r="AL98" s="82" t="s">
        <v>365</v>
      </c>
      <c r="AM98" s="73" t="s">
        <v>218</v>
      </c>
      <c r="AN98" s="73" t="s">
        <v>12</v>
      </c>
      <c r="AO98" s="83">
        <v>5.5</v>
      </c>
      <c r="AP98" s="82"/>
      <c r="AS98" s="83"/>
      <c r="AW98" s="83"/>
      <c r="BA98" s="84"/>
    </row>
    <row r="99" spans="1:53" s="292" customFormat="1">
      <c r="A99" s="292">
        <v>2002</v>
      </c>
      <c r="B99" s="836">
        <v>37365</v>
      </c>
      <c r="C99" s="916" t="s">
        <v>367</v>
      </c>
      <c r="D99" s="916"/>
      <c r="E99" s="292">
        <v>42</v>
      </c>
      <c r="F99" s="292">
        <v>4</v>
      </c>
      <c r="G99" s="366">
        <v>9</v>
      </c>
      <c r="I99" s="292">
        <v>8</v>
      </c>
      <c r="J99" s="377">
        <v>18</v>
      </c>
      <c r="K99" s="336">
        <f>G99/J99*100</f>
        <v>50</v>
      </c>
      <c r="L99" s="336">
        <f>H99/J99*100</f>
        <v>0</v>
      </c>
      <c r="M99" s="336">
        <f>I99/J99*100</f>
        <v>44.444444444444443</v>
      </c>
      <c r="N99" s="368">
        <f>SUM(K99:M99)</f>
        <v>94.444444444444443</v>
      </c>
      <c r="O99" s="335">
        <v>29</v>
      </c>
      <c r="P99" s="336"/>
      <c r="Q99" s="336">
        <v>35.5</v>
      </c>
      <c r="R99" s="337">
        <f>SUM(O99:Q99)</f>
        <v>64.5</v>
      </c>
      <c r="S99" s="340">
        <v>3</v>
      </c>
      <c r="T99" s="838"/>
      <c r="U99" s="836">
        <v>37365</v>
      </c>
      <c r="V99" s="299" t="s">
        <v>112</v>
      </c>
      <c r="W99" s="292" t="s">
        <v>20</v>
      </c>
      <c r="X99" s="292" t="s">
        <v>12</v>
      </c>
      <c r="Y99" s="300">
        <v>25.5</v>
      </c>
      <c r="Z99" s="299" t="s">
        <v>109</v>
      </c>
      <c r="AA99" s="292" t="s">
        <v>74</v>
      </c>
      <c r="AB99" s="292" t="s">
        <v>11</v>
      </c>
      <c r="AC99" s="300">
        <v>23</v>
      </c>
      <c r="AD99" s="299" t="s">
        <v>110</v>
      </c>
      <c r="AE99" s="292" t="s">
        <v>90</v>
      </c>
      <c r="AF99" s="292" t="s">
        <v>11</v>
      </c>
      <c r="AG99" s="300">
        <v>6</v>
      </c>
      <c r="AH99" s="292" t="s">
        <v>364</v>
      </c>
      <c r="AI99" s="292" t="s">
        <v>193</v>
      </c>
      <c r="AJ99" s="292" t="s">
        <v>12</v>
      </c>
      <c r="AK99" s="292">
        <v>10</v>
      </c>
      <c r="AL99" s="299"/>
      <c r="AO99" s="300"/>
      <c r="AP99" s="299"/>
      <c r="AS99" s="300"/>
      <c r="AW99" s="300"/>
      <c r="BA99" s="301"/>
    </row>
    <row r="100" spans="1:53" s="292" customFormat="1">
      <c r="A100" s="292">
        <v>2002</v>
      </c>
      <c r="B100" s="865">
        <v>37407</v>
      </c>
      <c r="C100" s="916" t="s">
        <v>367</v>
      </c>
      <c r="D100" s="916"/>
      <c r="E100" s="292">
        <v>215</v>
      </c>
      <c r="F100" s="381">
        <v>0</v>
      </c>
      <c r="G100" s="366">
        <v>10</v>
      </c>
      <c r="I100" s="292">
        <v>8</v>
      </c>
      <c r="J100" s="377">
        <v>18</v>
      </c>
      <c r="K100" s="336">
        <f t="shared" si="28"/>
        <v>55.555555555555557</v>
      </c>
      <c r="L100" s="336">
        <f t="shared" si="29"/>
        <v>0</v>
      </c>
      <c r="M100" s="336">
        <f t="shared" si="30"/>
        <v>44.444444444444443</v>
      </c>
      <c r="N100" s="368">
        <f t="shared" si="26"/>
        <v>100</v>
      </c>
      <c r="O100" s="335">
        <v>29</v>
      </c>
      <c r="P100" s="336"/>
      <c r="Q100" s="336">
        <v>35.5</v>
      </c>
      <c r="R100" s="337">
        <f t="shared" si="27"/>
        <v>64.5</v>
      </c>
      <c r="S100" s="340">
        <v>3</v>
      </c>
      <c r="T100" s="838"/>
      <c r="U100" s="836"/>
      <c r="V100" s="299" t="s">
        <v>112</v>
      </c>
      <c r="W100" s="292" t="s">
        <v>20</v>
      </c>
      <c r="X100" s="292" t="s">
        <v>12</v>
      </c>
      <c r="Y100" s="300">
        <v>25.5</v>
      </c>
      <c r="Z100" s="299" t="s">
        <v>109</v>
      </c>
      <c r="AA100" s="292" t="s">
        <v>74</v>
      </c>
      <c r="AB100" s="292" t="s">
        <v>11</v>
      </c>
      <c r="AC100" s="300">
        <v>23</v>
      </c>
      <c r="AD100" s="299" t="s">
        <v>110</v>
      </c>
      <c r="AE100" s="292" t="s">
        <v>90</v>
      </c>
      <c r="AF100" s="292" t="s">
        <v>11</v>
      </c>
      <c r="AG100" s="300">
        <v>6</v>
      </c>
      <c r="AH100" s="292" t="s">
        <v>364</v>
      </c>
      <c r="AI100" s="292" t="s">
        <v>193</v>
      </c>
      <c r="AJ100" s="292" t="s">
        <v>12</v>
      </c>
      <c r="AK100" s="292">
        <v>10</v>
      </c>
      <c r="AL100" s="299"/>
      <c r="AO100" s="300"/>
      <c r="AP100" s="299"/>
      <c r="AS100" s="300"/>
      <c r="AW100" s="300"/>
      <c r="BA100" s="301"/>
    </row>
    <row r="101" spans="1:53" s="292" customFormat="1">
      <c r="A101" s="292">
        <v>2003</v>
      </c>
      <c r="B101" s="836"/>
      <c r="C101" s="916" t="s">
        <v>367</v>
      </c>
      <c r="D101" s="916"/>
      <c r="E101" s="292">
        <v>106</v>
      </c>
      <c r="G101" s="366">
        <v>10</v>
      </c>
      <c r="I101" s="292">
        <v>8</v>
      </c>
      <c r="J101" s="377">
        <v>18</v>
      </c>
      <c r="K101" s="336">
        <f t="shared" si="28"/>
        <v>55.555555555555557</v>
      </c>
      <c r="L101" s="336">
        <f t="shared" si="29"/>
        <v>0</v>
      </c>
      <c r="M101" s="336">
        <f t="shared" si="30"/>
        <v>44.444444444444443</v>
      </c>
      <c r="N101" s="368">
        <f t="shared" si="26"/>
        <v>100</v>
      </c>
      <c r="O101" s="335">
        <v>29</v>
      </c>
      <c r="P101" s="336"/>
      <c r="Q101" s="336">
        <v>35.5</v>
      </c>
      <c r="R101" s="337">
        <f t="shared" si="27"/>
        <v>64.5</v>
      </c>
      <c r="S101" s="340">
        <v>3</v>
      </c>
      <c r="T101" s="838"/>
      <c r="U101" s="836"/>
      <c r="V101" s="299" t="s">
        <v>112</v>
      </c>
      <c r="W101" s="292" t="s">
        <v>20</v>
      </c>
      <c r="X101" s="292" t="s">
        <v>12</v>
      </c>
      <c r="Y101" s="300">
        <v>25.5</v>
      </c>
      <c r="Z101" s="299" t="s">
        <v>109</v>
      </c>
      <c r="AA101" s="292" t="s">
        <v>74</v>
      </c>
      <c r="AB101" s="292" t="s">
        <v>11</v>
      </c>
      <c r="AC101" s="300">
        <v>23</v>
      </c>
      <c r="AD101" s="299" t="s">
        <v>110</v>
      </c>
      <c r="AE101" s="292" t="s">
        <v>90</v>
      </c>
      <c r="AF101" s="292" t="s">
        <v>11</v>
      </c>
      <c r="AG101" s="300">
        <v>6</v>
      </c>
      <c r="AH101" s="292" t="s">
        <v>364</v>
      </c>
      <c r="AI101" s="292" t="s">
        <v>193</v>
      </c>
      <c r="AJ101" s="292" t="s">
        <v>12</v>
      </c>
      <c r="AK101" s="292">
        <v>10</v>
      </c>
      <c r="AL101" s="299"/>
      <c r="AO101" s="300"/>
      <c r="AP101" s="299"/>
      <c r="AS101" s="300"/>
      <c r="AW101" s="300"/>
      <c r="BA101" s="301"/>
    </row>
    <row r="102" spans="1:53" s="73" customFormat="1">
      <c r="A102" s="73">
        <v>2003</v>
      </c>
      <c r="B102" s="852">
        <v>37728</v>
      </c>
      <c r="C102" s="917" t="s">
        <v>368</v>
      </c>
      <c r="D102" s="917"/>
      <c r="E102" s="73">
        <v>68</v>
      </c>
      <c r="F102" s="73">
        <v>1</v>
      </c>
      <c r="G102" s="119">
        <v>2</v>
      </c>
      <c r="H102" s="73">
        <v>8</v>
      </c>
      <c r="I102" s="73">
        <v>8</v>
      </c>
      <c r="J102" s="126">
        <v>18</v>
      </c>
      <c r="K102" s="92">
        <f>G102/J102*100</f>
        <v>11.111111111111111</v>
      </c>
      <c r="L102" s="92">
        <f>H102/J102*100</f>
        <v>44.444444444444443</v>
      </c>
      <c r="M102" s="92">
        <f>I102/J102*100</f>
        <v>44.444444444444443</v>
      </c>
      <c r="N102" s="121">
        <f>SUM(K102:M102)</f>
        <v>100</v>
      </c>
      <c r="O102" s="91">
        <v>4.5</v>
      </c>
      <c r="P102" s="92">
        <v>27.5</v>
      </c>
      <c r="Q102" s="92">
        <v>26.5</v>
      </c>
      <c r="R102" s="93">
        <f>SUM(O102:Q102)</f>
        <v>58.5</v>
      </c>
      <c r="S102" s="97">
        <v>3</v>
      </c>
      <c r="T102" s="839">
        <v>37696</v>
      </c>
      <c r="U102" s="852">
        <v>37728</v>
      </c>
      <c r="V102" s="82" t="s">
        <v>108</v>
      </c>
      <c r="W102" s="73" t="s">
        <v>75</v>
      </c>
      <c r="X102" s="73" t="s">
        <v>18</v>
      </c>
      <c r="Y102" s="83">
        <v>27.5</v>
      </c>
      <c r="Z102" s="73" t="s">
        <v>112</v>
      </c>
      <c r="AA102" s="73" t="s">
        <v>20</v>
      </c>
      <c r="AB102" s="73" t="s">
        <v>12</v>
      </c>
      <c r="AC102" s="73">
        <v>26.5</v>
      </c>
      <c r="AD102" s="82" t="s">
        <v>110</v>
      </c>
      <c r="AE102" s="73" t="s">
        <v>90</v>
      </c>
      <c r="AF102" s="73" t="s">
        <v>11</v>
      </c>
      <c r="AG102" s="83">
        <v>4.5</v>
      </c>
      <c r="AL102" s="82"/>
      <c r="AO102" s="83"/>
      <c r="AP102" s="82"/>
      <c r="AS102" s="83"/>
      <c r="AW102" s="83"/>
      <c r="BA102" s="84"/>
    </row>
    <row r="103" spans="1:53" s="292" customFormat="1">
      <c r="A103" s="292">
        <v>2003</v>
      </c>
      <c r="B103" s="836">
        <v>37796</v>
      </c>
      <c r="C103" s="916" t="s">
        <v>369</v>
      </c>
      <c r="D103" s="916"/>
      <c r="E103" s="292">
        <v>191</v>
      </c>
      <c r="F103" s="292">
        <v>2</v>
      </c>
      <c r="G103" s="366">
        <v>2</v>
      </c>
      <c r="H103" s="292">
        <v>8</v>
      </c>
      <c r="I103" s="292">
        <v>8</v>
      </c>
      <c r="J103" s="377">
        <v>18</v>
      </c>
      <c r="K103" s="336">
        <f t="shared" si="28"/>
        <v>11.111111111111111</v>
      </c>
      <c r="L103" s="336">
        <f t="shared" si="29"/>
        <v>44.444444444444443</v>
      </c>
      <c r="M103" s="336">
        <f t="shared" si="30"/>
        <v>44.444444444444443</v>
      </c>
      <c r="N103" s="368">
        <f t="shared" si="26"/>
        <v>100</v>
      </c>
      <c r="O103" s="335">
        <v>4.5</v>
      </c>
      <c r="P103" s="336">
        <v>27.5</v>
      </c>
      <c r="Q103" s="336">
        <v>26.5</v>
      </c>
      <c r="R103" s="337">
        <f t="shared" si="27"/>
        <v>58.5</v>
      </c>
      <c r="S103" s="340">
        <v>3</v>
      </c>
      <c r="T103" s="838"/>
      <c r="U103" s="836">
        <v>37796</v>
      </c>
      <c r="V103" s="299" t="s">
        <v>108</v>
      </c>
      <c r="W103" s="292" t="s">
        <v>75</v>
      </c>
      <c r="X103" s="292" t="s">
        <v>18</v>
      </c>
      <c r="Y103" s="300">
        <v>27.5</v>
      </c>
      <c r="Z103" s="292" t="s">
        <v>112</v>
      </c>
      <c r="AA103" s="292" t="s">
        <v>20</v>
      </c>
      <c r="AB103" s="292" t="s">
        <v>12</v>
      </c>
      <c r="AC103" s="292">
        <v>26.5</v>
      </c>
      <c r="AD103" s="299" t="s">
        <v>110</v>
      </c>
      <c r="AE103" s="292" t="s">
        <v>90</v>
      </c>
      <c r="AF103" s="292" t="s">
        <v>11</v>
      </c>
      <c r="AG103" s="300">
        <v>4.5</v>
      </c>
      <c r="AL103" s="299"/>
      <c r="AO103" s="300"/>
      <c r="AP103" s="299"/>
      <c r="AS103" s="300"/>
      <c r="AW103" s="300"/>
      <c r="BA103" s="301"/>
    </row>
    <row r="104" spans="1:53" s="292" customFormat="1">
      <c r="A104" s="292">
        <v>2004</v>
      </c>
      <c r="B104" s="836"/>
      <c r="C104" s="916" t="s">
        <v>369</v>
      </c>
      <c r="D104" s="916"/>
      <c r="E104" s="292">
        <v>0</v>
      </c>
      <c r="G104" s="366">
        <v>2</v>
      </c>
      <c r="H104" s="292">
        <v>8</v>
      </c>
      <c r="I104" s="292">
        <v>8</v>
      </c>
      <c r="J104" s="377">
        <v>18</v>
      </c>
      <c r="K104" s="336">
        <f t="shared" si="28"/>
        <v>11.111111111111111</v>
      </c>
      <c r="L104" s="336">
        <f t="shared" si="29"/>
        <v>44.444444444444443</v>
      </c>
      <c r="M104" s="336">
        <f t="shared" si="30"/>
        <v>44.444444444444443</v>
      </c>
      <c r="N104" s="368">
        <f t="shared" si="26"/>
        <v>100</v>
      </c>
      <c r="O104" s="335">
        <v>4.5</v>
      </c>
      <c r="P104" s="336">
        <v>27.5</v>
      </c>
      <c r="Q104" s="336">
        <v>26.5</v>
      </c>
      <c r="R104" s="337">
        <f t="shared" si="27"/>
        <v>58.5</v>
      </c>
      <c r="S104" s="340">
        <v>3</v>
      </c>
      <c r="T104" s="838"/>
      <c r="U104" s="836"/>
      <c r="V104" s="299" t="s">
        <v>108</v>
      </c>
      <c r="W104" s="292" t="s">
        <v>75</v>
      </c>
      <c r="X104" s="292" t="s">
        <v>18</v>
      </c>
      <c r="Y104" s="300">
        <v>27.5</v>
      </c>
      <c r="Z104" s="292" t="s">
        <v>112</v>
      </c>
      <c r="AA104" s="292" t="s">
        <v>20</v>
      </c>
      <c r="AB104" s="292" t="s">
        <v>12</v>
      </c>
      <c r="AC104" s="292">
        <v>26.5</v>
      </c>
      <c r="AD104" s="299" t="s">
        <v>110</v>
      </c>
      <c r="AE104" s="292" t="s">
        <v>90</v>
      </c>
      <c r="AF104" s="292" t="s">
        <v>11</v>
      </c>
      <c r="AG104" s="300">
        <v>4.5</v>
      </c>
      <c r="AL104" s="299"/>
      <c r="AO104" s="300"/>
      <c r="AP104" s="299"/>
      <c r="AS104" s="300"/>
      <c r="AW104" s="300"/>
      <c r="BA104" s="301"/>
    </row>
    <row r="105" spans="1:53" s="292" customFormat="1">
      <c r="A105" s="292">
        <v>2004</v>
      </c>
      <c r="B105" s="836"/>
      <c r="C105" s="916" t="s">
        <v>369</v>
      </c>
      <c r="D105" s="916"/>
      <c r="E105" s="292">
        <v>366</v>
      </c>
      <c r="G105" s="366">
        <v>2</v>
      </c>
      <c r="H105" s="292">
        <v>8</v>
      </c>
      <c r="I105" s="292">
        <v>8</v>
      </c>
      <c r="J105" s="377">
        <v>18</v>
      </c>
      <c r="K105" s="336">
        <f t="shared" si="28"/>
        <v>11.111111111111111</v>
      </c>
      <c r="L105" s="336">
        <f t="shared" si="29"/>
        <v>44.444444444444443</v>
      </c>
      <c r="M105" s="336">
        <f t="shared" si="30"/>
        <v>44.444444444444443</v>
      </c>
      <c r="N105" s="368">
        <f t="shared" si="26"/>
        <v>100</v>
      </c>
      <c r="O105" s="335">
        <v>4.5</v>
      </c>
      <c r="P105" s="336">
        <v>27.5</v>
      </c>
      <c r="Q105" s="336">
        <v>26.5</v>
      </c>
      <c r="R105" s="337">
        <f t="shared" si="27"/>
        <v>58.5</v>
      </c>
      <c r="S105" s="340">
        <v>3</v>
      </c>
      <c r="T105" s="838"/>
      <c r="U105" s="836"/>
      <c r="V105" s="299" t="s">
        <v>108</v>
      </c>
      <c r="W105" s="292" t="s">
        <v>75</v>
      </c>
      <c r="X105" s="292" t="s">
        <v>18</v>
      </c>
      <c r="Y105" s="300">
        <v>27.5</v>
      </c>
      <c r="Z105" s="292" t="s">
        <v>112</v>
      </c>
      <c r="AA105" s="292" t="s">
        <v>20</v>
      </c>
      <c r="AB105" s="292" t="s">
        <v>12</v>
      </c>
      <c r="AC105" s="292">
        <v>26.5</v>
      </c>
      <c r="AD105" s="299" t="s">
        <v>110</v>
      </c>
      <c r="AE105" s="292" t="s">
        <v>90</v>
      </c>
      <c r="AF105" s="292" t="s">
        <v>11</v>
      </c>
      <c r="AG105" s="300">
        <v>4.5</v>
      </c>
      <c r="AL105" s="299"/>
      <c r="AO105" s="300"/>
      <c r="AP105" s="299"/>
      <c r="AS105" s="300"/>
      <c r="AW105" s="300"/>
      <c r="BA105" s="301"/>
    </row>
    <row r="106" spans="1:53" s="292" customFormat="1">
      <c r="A106" s="292">
        <v>2005</v>
      </c>
      <c r="B106" s="836"/>
      <c r="C106" s="916" t="s">
        <v>369</v>
      </c>
      <c r="D106" s="916"/>
      <c r="E106" s="292">
        <v>0</v>
      </c>
      <c r="G106" s="366">
        <v>2</v>
      </c>
      <c r="H106" s="292">
        <v>8</v>
      </c>
      <c r="I106" s="292">
        <v>8</v>
      </c>
      <c r="J106" s="377">
        <v>18</v>
      </c>
      <c r="K106" s="336">
        <f t="shared" si="28"/>
        <v>11.111111111111111</v>
      </c>
      <c r="L106" s="336">
        <f t="shared" si="29"/>
        <v>44.444444444444443</v>
      </c>
      <c r="M106" s="336">
        <f t="shared" si="30"/>
        <v>44.444444444444443</v>
      </c>
      <c r="N106" s="368">
        <f t="shared" si="26"/>
        <v>100</v>
      </c>
      <c r="O106" s="335">
        <v>4.5</v>
      </c>
      <c r="P106" s="336">
        <v>27.5</v>
      </c>
      <c r="Q106" s="336">
        <v>26.5</v>
      </c>
      <c r="R106" s="337">
        <f t="shared" si="27"/>
        <v>58.5</v>
      </c>
      <c r="S106" s="340">
        <v>3</v>
      </c>
      <c r="T106" s="838"/>
      <c r="U106" s="836"/>
      <c r="V106" s="299" t="s">
        <v>108</v>
      </c>
      <c r="W106" s="292" t="s">
        <v>75</v>
      </c>
      <c r="X106" s="292" t="s">
        <v>18</v>
      </c>
      <c r="Y106" s="300">
        <v>27.5</v>
      </c>
      <c r="Z106" s="292" t="s">
        <v>112</v>
      </c>
      <c r="AA106" s="292" t="s">
        <v>20</v>
      </c>
      <c r="AB106" s="292" t="s">
        <v>12</v>
      </c>
      <c r="AC106" s="292">
        <v>26.5</v>
      </c>
      <c r="AD106" s="299" t="s">
        <v>110</v>
      </c>
      <c r="AE106" s="292" t="s">
        <v>90</v>
      </c>
      <c r="AF106" s="292" t="s">
        <v>11</v>
      </c>
      <c r="AG106" s="300">
        <v>4.5</v>
      </c>
      <c r="AL106" s="299"/>
      <c r="AO106" s="300"/>
      <c r="AP106" s="299"/>
      <c r="AS106" s="300"/>
      <c r="AW106" s="300"/>
      <c r="BA106" s="301"/>
    </row>
    <row r="107" spans="1:53" s="292" customFormat="1">
      <c r="A107" s="292">
        <v>2005</v>
      </c>
      <c r="B107" s="836"/>
      <c r="C107" s="916" t="s">
        <v>369</v>
      </c>
      <c r="D107" s="916"/>
      <c r="E107" s="292">
        <f>365-E106</f>
        <v>365</v>
      </c>
      <c r="G107" s="366">
        <v>2</v>
      </c>
      <c r="H107" s="292">
        <v>8</v>
      </c>
      <c r="I107" s="292">
        <v>8</v>
      </c>
      <c r="J107" s="377">
        <v>18</v>
      </c>
      <c r="K107" s="336">
        <f t="shared" si="28"/>
        <v>11.111111111111111</v>
      </c>
      <c r="L107" s="336">
        <f t="shared" si="29"/>
        <v>44.444444444444443</v>
      </c>
      <c r="M107" s="336">
        <f t="shared" si="30"/>
        <v>44.444444444444443</v>
      </c>
      <c r="N107" s="368">
        <f t="shared" si="26"/>
        <v>100</v>
      </c>
      <c r="O107" s="335">
        <v>4.5</v>
      </c>
      <c r="P107" s="336">
        <v>27.5</v>
      </c>
      <c r="Q107" s="336">
        <v>26.5</v>
      </c>
      <c r="R107" s="337">
        <f t="shared" si="27"/>
        <v>58.5</v>
      </c>
      <c r="S107" s="340">
        <v>3</v>
      </c>
      <c r="T107" s="838"/>
      <c r="U107" s="836"/>
      <c r="V107" s="299" t="s">
        <v>108</v>
      </c>
      <c r="W107" s="292" t="s">
        <v>75</v>
      </c>
      <c r="X107" s="292" t="s">
        <v>18</v>
      </c>
      <c r="Y107" s="300">
        <v>27.5</v>
      </c>
      <c r="Z107" s="292" t="s">
        <v>112</v>
      </c>
      <c r="AA107" s="292" t="s">
        <v>20</v>
      </c>
      <c r="AB107" s="292" t="s">
        <v>12</v>
      </c>
      <c r="AC107" s="292">
        <v>26.5</v>
      </c>
      <c r="AD107" s="299" t="s">
        <v>110</v>
      </c>
      <c r="AE107" s="292" t="s">
        <v>90</v>
      </c>
      <c r="AF107" s="292" t="s">
        <v>11</v>
      </c>
      <c r="AG107" s="300">
        <v>4.5</v>
      </c>
      <c r="AL107" s="299"/>
      <c r="AO107" s="300"/>
      <c r="AP107" s="299"/>
      <c r="AS107" s="300"/>
      <c r="AW107" s="300"/>
      <c r="BA107" s="301"/>
    </row>
    <row r="108" spans="1:53" s="292" customFormat="1">
      <c r="A108" s="292">
        <v>2006</v>
      </c>
      <c r="B108" s="836"/>
      <c r="C108" s="916" t="s">
        <v>369</v>
      </c>
      <c r="D108" s="916"/>
      <c r="E108" s="292">
        <v>0</v>
      </c>
      <c r="G108" s="366">
        <v>2</v>
      </c>
      <c r="H108" s="292">
        <v>8</v>
      </c>
      <c r="I108" s="292">
        <v>8</v>
      </c>
      <c r="J108" s="377">
        <v>18</v>
      </c>
      <c r="K108" s="336">
        <f t="shared" ref="K108:K117" si="31">G108/J108*100</f>
        <v>11.111111111111111</v>
      </c>
      <c r="L108" s="336">
        <f t="shared" ref="L108:L117" si="32">H108/J108*100</f>
        <v>44.444444444444443</v>
      </c>
      <c r="M108" s="336">
        <f t="shared" ref="M108:M117" si="33">I108/J108*100</f>
        <v>44.444444444444443</v>
      </c>
      <c r="N108" s="368">
        <f t="shared" si="26"/>
        <v>100</v>
      </c>
      <c r="O108" s="335">
        <v>4.5</v>
      </c>
      <c r="P108" s="336">
        <v>27.5</v>
      </c>
      <c r="Q108" s="336">
        <v>26.5</v>
      </c>
      <c r="R108" s="337">
        <f t="shared" si="27"/>
        <v>58.5</v>
      </c>
      <c r="S108" s="340">
        <v>3</v>
      </c>
      <c r="T108" s="838"/>
      <c r="U108" s="836"/>
      <c r="V108" s="299" t="s">
        <v>108</v>
      </c>
      <c r="W108" s="292" t="s">
        <v>75</v>
      </c>
      <c r="X108" s="292" t="s">
        <v>18</v>
      </c>
      <c r="Y108" s="300">
        <v>27.5</v>
      </c>
      <c r="Z108" s="292" t="s">
        <v>112</v>
      </c>
      <c r="AA108" s="292" t="s">
        <v>20</v>
      </c>
      <c r="AB108" s="292" t="s">
        <v>12</v>
      </c>
      <c r="AC108" s="292">
        <v>26.5</v>
      </c>
      <c r="AD108" s="299" t="s">
        <v>110</v>
      </c>
      <c r="AE108" s="292" t="s">
        <v>90</v>
      </c>
      <c r="AF108" s="292" t="s">
        <v>11</v>
      </c>
      <c r="AG108" s="300">
        <v>4.5</v>
      </c>
      <c r="AL108" s="299"/>
      <c r="AO108" s="300"/>
      <c r="AP108" s="299"/>
      <c r="AS108" s="300"/>
      <c r="AW108" s="300"/>
      <c r="BA108" s="301"/>
    </row>
    <row r="109" spans="1:53" s="292" customFormat="1">
      <c r="A109" s="292">
        <v>2006</v>
      </c>
      <c r="B109" s="836"/>
      <c r="C109" s="916" t="s">
        <v>369</v>
      </c>
      <c r="D109" s="916"/>
      <c r="E109" s="292">
        <v>365</v>
      </c>
      <c r="G109" s="366">
        <v>2</v>
      </c>
      <c r="H109" s="292">
        <v>8</v>
      </c>
      <c r="I109" s="292">
        <v>8</v>
      </c>
      <c r="J109" s="377">
        <v>18</v>
      </c>
      <c r="K109" s="336">
        <f t="shared" si="31"/>
        <v>11.111111111111111</v>
      </c>
      <c r="L109" s="336">
        <f t="shared" si="32"/>
        <v>44.444444444444443</v>
      </c>
      <c r="M109" s="336">
        <f t="shared" si="33"/>
        <v>44.444444444444443</v>
      </c>
      <c r="N109" s="368">
        <f t="shared" si="26"/>
        <v>100</v>
      </c>
      <c r="O109" s="335">
        <v>4.5</v>
      </c>
      <c r="P109" s="336">
        <v>27.5</v>
      </c>
      <c r="Q109" s="336">
        <v>26.5</v>
      </c>
      <c r="R109" s="337">
        <f t="shared" si="27"/>
        <v>58.5</v>
      </c>
      <c r="S109" s="340">
        <v>3</v>
      </c>
      <c r="T109" s="838"/>
      <c r="U109" s="836"/>
      <c r="V109" s="299" t="s">
        <v>108</v>
      </c>
      <c r="W109" s="292" t="s">
        <v>75</v>
      </c>
      <c r="X109" s="292" t="s">
        <v>18</v>
      </c>
      <c r="Y109" s="300">
        <v>27.5</v>
      </c>
      <c r="Z109" s="292" t="s">
        <v>112</v>
      </c>
      <c r="AA109" s="292" t="s">
        <v>20</v>
      </c>
      <c r="AB109" s="292" t="s">
        <v>12</v>
      </c>
      <c r="AC109" s="292">
        <v>26.5</v>
      </c>
      <c r="AD109" s="299" t="s">
        <v>110</v>
      </c>
      <c r="AE109" s="292" t="s">
        <v>90</v>
      </c>
      <c r="AF109" s="292" t="s">
        <v>11</v>
      </c>
      <c r="AG109" s="300">
        <v>4.5</v>
      </c>
      <c r="AL109" s="299"/>
      <c r="AO109" s="300"/>
      <c r="AP109" s="299"/>
      <c r="AS109" s="300"/>
      <c r="AW109" s="300"/>
      <c r="BA109" s="301"/>
    </row>
    <row r="110" spans="1:53" s="292" customFormat="1">
      <c r="A110" s="292">
        <v>2007</v>
      </c>
      <c r="B110" s="836"/>
      <c r="C110" s="916" t="s">
        <v>369</v>
      </c>
      <c r="D110" s="916"/>
      <c r="E110" s="292">
        <v>108</v>
      </c>
      <c r="G110" s="366">
        <v>2</v>
      </c>
      <c r="H110" s="292">
        <v>8</v>
      </c>
      <c r="I110" s="292">
        <v>8</v>
      </c>
      <c r="J110" s="377">
        <v>18</v>
      </c>
      <c r="K110" s="336">
        <f t="shared" si="31"/>
        <v>11.111111111111111</v>
      </c>
      <c r="L110" s="336">
        <f t="shared" si="32"/>
        <v>44.444444444444443</v>
      </c>
      <c r="M110" s="336">
        <f t="shared" si="33"/>
        <v>44.444444444444443</v>
      </c>
      <c r="N110" s="368">
        <f t="shared" si="26"/>
        <v>100</v>
      </c>
      <c r="O110" s="335">
        <v>4.5</v>
      </c>
      <c r="P110" s="336">
        <v>27.5</v>
      </c>
      <c r="Q110" s="336">
        <v>26.5</v>
      </c>
      <c r="R110" s="337">
        <f t="shared" si="27"/>
        <v>58.5</v>
      </c>
      <c r="S110" s="340">
        <v>3</v>
      </c>
      <c r="T110" s="838"/>
      <c r="U110" s="836"/>
      <c r="V110" s="299" t="s">
        <v>108</v>
      </c>
      <c r="W110" s="292" t="s">
        <v>75</v>
      </c>
      <c r="X110" s="292" t="s">
        <v>18</v>
      </c>
      <c r="Y110" s="300">
        <v>27.5</v>
      </c>
      <c r="Z110" s="292" t="s">
        <v>112</v>
      </c>
      <c r="AA110" s="292" t="s">
        <v>20</v>
      </c>
      <c r="AB110" s="292" t="s">
        <v>12</v>
      </c>
      <c r="AC110" s="292">
        <v>26.5</v>
      </c>
      <c r="AD110" s="299" t="s">
        <v>110</v>
      </c>
      <c r="AE110" s="292" t="s">
        <v>90</v>
      </c>
      <c r="AF110" s="292" t="s">
        <v>11</v>
      </c>
      <c r="AG110" s="300">
        <v>4.5</v>
      </c>
      <c r="AL110" s="299"/>
      <c r="AO110" s="300"/>
      <c r="AP110" s="299"/>
      <c r="AS110" s="300"/>
      <c r="AW110" s="300"/>
      <c r="BA110" s="301"/>
    </row>
    <row r="111" spans="1:53" s="73" customFormat="1">
      <c r="A111" s="73">
        <v>2007</v>
      </c>
      <c r="B111" s="852">
        <v>39191</v>
      </c>
      <c r="C111" s="917" t="s">
        <v>370</v>
      </c>
      <c r="D111" s="917"/>
      <c r="E111" s="73">
        <f>365-E110</f>
        <v>257</v>
      </c>
      <c r="F111" s="73">
        <v>1</v>
      </c>
      <c r="G111" s="119">
        <v>10</v>
      </c>
      <c r="H111" s="73">
        <v>8</v>
      </c>
      <c r="I111" s="73">
        <v>2</v>
      </c>
      <c r="J111" s="126">
        <v>20</v>
      </c>
      <c r="K111" s="92">
        <f t="shared" si="31"/>
        <v>50</v>
      </c>
      <c r="L111" s="92">
        <f t="shared" si="32"/>
        <v>40</v>
      </c>
      <c r="M111" s="92">
        <f t="shared" si="33"/>
        <v>10</v>
      </c>
      <c r="N111" s="121">
        <f t="shared" si="26"/>
        <v>100</v>
      </c>
      <c r="O111" s="91">
        <v>30</v>
      </c>
      <c r="P111" s="92">
        <v>25.5</v>
      </c>
      <c r="Q111" s="92">
        <v>7.5</v>
      </c>
      <c r="R111" s="93">
        <f t="shared" si="27"/>
        <v>63</v>
      </c>
      <c r="S111" s="97">
        <v>3</v>
      </c>
      <c r="T111" s="839">
        <v>39159</v>
      </c>
      <c r="U111" s="852">
        <v>39191</v>
      </c>
      <c r="V111" s="82" t="s">
        <v>108</v>
      </c>
      <c r="W111" s="73" t="s">
        <v>75</v>
      </c>
      <c r="X111" s="73" t="s">
        <v>18</v>
      </c>
      <c r="Y111" s="83">
        <v>25.5</v>
      </c>
      <c r="Z111" s="82" t="s">
        <v>109</v>
      </c>
      <c r="AA111" s="73" t="s">
        <v>74</v>
      </c>
      <c r="AB111" s="73" t="s">
        <v>11</v>
      </c>
      <c r="AC111" s="73">
        <v>25</v>
      </c>
      <c r="AD111" s="82" t="s">
        <v>110</v>
      </c>
      <c r="AE111" s="73" t="s">
        <v>90</v>
      </c>
      <c r="AF111" s="73" t="s">
        <v>11</v>
      </c>
      <c r="AG111" s="83">
        <v>5</v>
      </c>
      <c r="AH111" s="82" t="s">
        <v>365</v>
      </c>
      <c r="AI111" s="73" t="s">
        <v>218</v>
      </c>
      <c r="AJ111" s="73" t="s">
        <v>12</v>
      </c>
      <c r="AK111" s="73">
        <v>7.5</v>
      </c>
      <c r="AL111" s="82"/>
      <c r="AO111" s="83"/>
      <c r="AP111" s="82"/>
      <c r="AS111" s="83"/>
      <c r="AW111" s="83"/>
      <c r="BA111" s="84"/>
    </row>
    <row r="112" spans="1:53" s="73" customFormat="1">
      <c r="A112" s="73">
        <v>2008</v>
      </c>
      <c r="B112" s="852"/>
      <c r="C112" s="917" t="s">
        <v>370</v>
      </c>
      <c r="D112" s="917"/>
      <c r="E112" s="73">
        <v>0</v>
      </c>
      <c r="G112" s="119">
        <v>10</v>
      </c>
      <c r="H112" s="73">
        <v>8</v>
      </c>
      <c r="I112" s="73">
        <v>2</v>
      </c>
      <c r="J112" s="126">
        <v>20</v>
      </c>
      <c r="K112" s="92">
        <f t="shared" si="31"/>
        <v>50</v>
      </c>
      <c r="L112" s="92">
        <f t="shared" si="32"/>
        <v>40</v>
      </c>
      <c r="M112" s="92">
        <f t="shared" si="33"/>
        <v>10</v>
      </c>
      <c r="N112" s="121">
        <f t="shared" si="26"/>
        <v>100</v>
      </c>
      <c r="O112" s="91">
        <v>30</v>
      </c>
      <c r="P112" s="92">
        <v>25.5</v>
      </c>
      <c r="Q112" s="92">
        <v>7.5</v>
      </c>
      <c r="R112" s="93">
        <f t="shared" si="27"/>
        <v>63</v>
      </c>
      <c r="S112" s="97">
        <v>3</v>
      </c>
      <c r="T112" s="839"/>
      <c r="U112" s="852"/>
      <c r="V112" s="82" t="s">
        <v>108</v>
      </c>
      <c r="W112" s="73" t="s">
        <v>75</v>
      </c>
      <c r="X112" s="73" t="s">
        <v>18</v>
      </c>
      <c r="Y112" s="83">
        <v>25.5</v>
      </c>
      <c r="Z112" s="82" t="s">
        <v>109</v>
      </c>
      <c r="AA112" s="73" t="s">
        <v>74</v>
      </c>
      <c r="AB112" s="73" t="s">
        <v>11</v>
      </c>
      <c r="AC112" s="73">
        <v>25</v>
      </c>
      <c r="AD112" s="82" t="s">
        <v>110</v>
      </c>
      <c r="AE112" s="73" t="s">
        <v>90</v>
      </c>
      <c r="AF112" s="73" t="s">
        <v>11</v>
      </c>
      <c r="AG112" s="83">
        <v>5</v>
      </c>
      <c r="AH112" s="82" t="s">
        <v>365</v>
      </c>
      <c r="AI112" s="73" t="s">
        <v>218</v>
      </c>
      <c r="AJ112" s="73" t="s">
        <v>12</v>
      </c>
      <c r="AK112" s="73">
        <v>7.5</v>
      </c>
      <c r="AL112" s="82"/>
      <c r="AO112" s="83"/>
      <c r="AP112" s="82"/>
      <c r="AS112" s="83"/>
      <c r="AW112" s="83"/>
      <c r="BA112" s="84"/>
    </row>
    <row r="113" spans="1:53" s="73" customFormat="1">
      <c r="A113" s="73">
        <v>2008</v>
      </c>
      <c r="B113" s="852"/>
      <c r="C113" s="917" t="s">
        <v>370</v>
      </c>
      <c r="D113" s="917"/>
      <c r="E113" s="73">
        <v>366</v>
      </c>
      <c r="G113" s="119">
        <v>10</v>
      </c>
      <c r="H113" s="73">
        <v>8</v>
      </c>
      <c r="I113" s="73">
        <v>2</v>
      </c>
      <c r="J113" s="126">
        <v>20</v>
      </c>
      <c r="K113" s="92">
        <f t="shared" si="31"/>
        <v>50</v>
      </c>
      <c r="L113" s="92">
        <f t="shared" si="32"/>
        <v>40</v>
      </c>
      <c r="M113" s="92">
        <f t="shared" si="33"/>
        <v>10</v>
      </c>
      <c r="N113" s="121">
        <f t="shared" si="26"/>
        <v>100</v>
      </c>
      <c r="O113" s="91">
        <v>30</v>
      </c>
      <c r="P113" s="92">
        <v>25.5</v>
      </c>
      <c r="Q113" s="92">
        <v>7.5</v>
      </c>
      <c r="R113" s="93">
        <f t="shared" si="27"/>
        <v>63</v>
      </c>
      <c r="S113" s="97">
        <v>3</v>
      </c>
      <c r="T113" s="839"/>
      <c r="U113" s="852"/>
      <c r="V113" s="82" t="s">
        <v>108</v>
      </c>
      <c r="W113" s="73" t="s">
        <v>75</v>
      </c>
      <c r="X113" s="73" t="s">
        <v>18</v>
      </c>
      <c r="Y113" s="83">
        <v>25.5</v>
      </c>
      <c r="Z113" s="82" t="s">
        <v>109</v>
      </c>
      <c r="AA113" s="73" t="s">
        <v>74</v>
      </c>
      <c r="AB113" s="73" t="s">
        <v>11</v>
      </c>
      <c r="AC113" s="73">
        <v>25</v>
      </c>
      <c r="AD113" s="82" t="s">
        <v>110</v>
      </c>
      <c r="AE113" s="73" t="s">
        <v>90</v>
      </c>
      <c r="AF113" s="73" t="s">
        <v>11</v>
      </c>
      <c r="AG113" s="83">
        <v>5</v>
      </c>
      <c r="AH113" s="82" t="s">
        <v>365</v>
      </c>
      <c r="AI113" s="73" t="s">
        <v>218</v>
      </c>
      <c r="AJ113" s="73" t="s">
        <v>12</v>
      </c>
      <c r="AK113" s="73">
        <v>7.5</v>
      </c>
      <c r="AL113" s="82"/>
      <c r="AO113" s="83"/>
      <c r="AP113" s="82"/>
      <c r="AS113" s="83"/>
      <c r="AW113" s="83"/>
      <c r="BA113" s="84"/>
    </row>
    <row r="114" spans="1:53" s="73" customFormat="1">
      <c r="A114" s="73">
        <v>2009</v>
      </c>
      <c r="B114" s="852"/>
      <c r="C114" s="917" t="s">
        <v>370</v>
      </c>
      <c r="D114" s="917"/>
      <c r="E114" s="73">
        <v>0</v>
      </c>
      <c r="G114" s="119">
        <v>10</v>
      </c>
      <c r="H114" s="73">
        <v>8</v>
      </c>
      <c r="I114" s="73">
        <v>2</v>
      </c>
      <c r="J114" s="126">
        <v>20</v>
      </c>
      <c r="K114" s="92">
        <f t="shared" si="31"/>
        <v>50</v>
      </c>
      <c r="L114" s="92">
        <f t="shared" si="32"/>
        <v>40</v>
      </c>
      <c r="M114" s="92">
        <f t="shared" si="33"/>
        <v>10</v>
      </c>
      <c r="N114" s="121">
        <f t="shared" si="26"/>
        <v>100</v>
      </c>
      <c r="O114" s="91">
        <v>30</v>
      </c>
      <c r="P114" s="92">
        <v>25.5</v>
      </c>
      <c r="Q114" s="92">
        <v>7.5</v>
      </c>
      <c r="R114" s="93">
        <f t="shared" si="27"/>
        <v>63</v>
      </c>
      <c r="S114" s="97">
        <v>3</v>
      </c>
      <c r="T114" s="839"/>
      <c r="U114" s="852"/>
      <c r="V114" s="82" t="s">
        <v>108</v>
      </c>
      <c r="W114" s="73" t="s">
        <v>75</v>
      </c>
      <c r="X114" s="73" t="s">
        <v>18</v>
      </c>
      <c r="Y114" s="83">
        <v>25.5</v>
      </c>
      <c r="Z114" s="82" t="s">
        <v>109</v>
      </c>
      <c r="AA114" s="73" t="s">
        <v>74</v>
      </c>
      <c r="AB114" s="73" t="s">
        <v>11</v>
      </c>
      <c r="AC114" s="73">
        <v>25</v>
      </c>
      <c r="AD114" s="82" t="s">
        <v>110</v>
      </c>
      <c r="AE114" s="73" t="s">
        <v>90</v>
      </c>
      <c r="AF114" s="73" t="s">
        <v>11</v>
      </c>
      <c r="AG114" s="83">
        <v>5</v>
      </c>
      <c r="AH114" s="82" t="s">
        <v>365</v>
      </c>
      <c r="AI114" s="73" t="s">
        <v>218</v>
      </c>
      <c r="AJ114" s="73" t="s">
        <v>12</v>
      </c>
      <c r="AK114" s="73">
        <v>7.5</v>
      </c>
      <c r="AL114" s="82"/>
      <c r="AO114" s="83"/>
      <c r="AP114" s="82"/>
      <c r="AS114" s="83"/>
      <c r="AW114" s="83"/>
      <c r="BA114" s="84"/>
    </row>
    <row r="115" spans="1:53" s="73" customFormat="1">
      <c r="A115" s="73">
        <v>2009</v>
      </c>
      <c r="B115" s="852"/>
      <c r="C115" s="917" t="s">
        <v>370</v>
      </c>
      <c r="D115" s="917"/>
      <c r="E115" s="73">
        <v>365</v>
      </c>
      <c r="G115" s="119">
        <v>10</v>
      </c>
      <c r="H115" s="73">
        <v>8</v>
      </c>
      <c r="I115" s="73">
        <v>2</v>
      </c>
      <c r="J115" s="126">
        <v>20</v>
      </c>
      <c r="K115" s="92">
        <f t="shared" si="31"/>
        <v>50</v>
      </c>
      <c r="L115" s="92">
        <f t="shared" si="32"/>
        <v>40</v>
      </c>
      <c r="M115" s="92">
        <f t="shared" si="33"/>
        <v>10</v>
      </c>
      <c r="N115" s="121">
        <f t="shared" si="26"/>
        <v>100</v>
      </c>
      <c r="O115" s="91">
        <v>30</v>
      </c>
      <c r="P115" s="92">
        <v>25.5</v>
      </c>
      <c r="Q115" s="92">
        <v>7.5</v>
      </c>
      <c r="R115" s="93">
        <f t="shared" si="27"/>
        <v>63</v>
      </c>
      <c r="S115" s="97">
        <v>3</v>
      </c>
      <c r="T115" s="839"/>
      <c r="U115" s="852"/>
      <c r="V115" s="82" t="s">
        <v>108</v>
      </c>
      <c r="W115" s="73" t="s">
        <v>75</v>
      </c>
      <c r="X115" s="73" t="s">
        <v>18</v>
      </c>
      <c r="Y115" s="83">
        <v>25.5</v>
      </c>
      <c r="Z115" s="82" t="s">
        <v>109</v>
      </c>
      <c r="AA115" s="73" t="s">
        <v>74</v>
      </c>
      <c r="AB115" s="73" t="s">
        <v>11</v>
      </c>
      <c r="AC115" s="73">
        <v>25</v>
      </c>
      <c r="AD115" s="82" t="s">
        <v>110</v>
      </c>
      <c r="AE115" s="73" t="s">
        <v>90</v>
      </c>
      <c r="AF115" s="73" t="s">
        <v>11</v>
      </c>
      <c r="AG115" s="83">
        <v>5</v>
      </c>
      <c r="AH115" s="82" t="s">
        <v>365</v>
      </c>
      <c r="AI115" s="73" t="s">
        <v>218</v>
      </c>
      <c r="AJ115" s="73" t="s">
        <v>12</v>
      </c>
      <c r="AK115" s="73">
        <v>7.5</v>
      </c>
      <c r="AL115" s="82"/>
      <c r="AO115" s="83"/>
      <c r="AP115" s="82"/>
      <c r="AS115" s="83"/>
      <c r="AW115" s="83"/>
      <c r="BA115" s="84"/>
    </row>
    <row r="116" spans="1:53" s="73" customFormat="1">
      <c r="A116" s="73">
        <v>2010</v>
      </c>
      <c r="B116" s="852"/>
      <c r="C116" s="917" t="s">
        <v>370</v>
      </c>
      <c r="D116" s="917"/>
      <c r="E116" s="73">
        <v>172</v>
      </c>
      <c r="G116" s="119">
        <v>10</v>
      </c>
      <c r="H116" s="73">
        <v>8</v>
      </c>
      <c r="I116" s="73">
        <v>2</v>
      </c>
      <c r="J116" s="126">
        <v>20</v>
      </c>
      <c r="K116" s="92">
        <f t="shared" si="31"/>
        <v>50</v>
      </c>
      <c r="L116" s="92">
        <f t="shared" si="32"/>
        <v>40</v>
      </c>
      <c r="M116" s="92">
        <f t="shared" si="33"/>
        <v>10</v>
      </c>
      <c r="N116" s="121">
        <f t="shared" si="26"/>
        <v>100</v>
      </c>
      <c r="O116" s="91">
        <v>30</v>
      </c>
      <c r="P116" s="92">
        <v>25.5</v>
      </c>
      <c r="Q116" s="92">
        <v>7.5</v>
      </c>
      <c r="R116" s="93">
        <f t="shared" si="27"/>
        <v>63</v>
      </c>
      <c r="S116" s="97">
        <v>3</v>
      </c>
      <c r="T116" s="839"/>
      <c r="U116" s="852"/>
      <c r="V116" s="82" t="s">
        <v>108</v>
      </c>
      <c r="W116" s="73" t="s">
        <v>75</v>
      </c>
      <c r="X116" s="73" t="s">
        <v>18</v>
      </c>
      <c r="Y116" s="83">
        <v>25.5</v>
      </c>
      <c r="Z116" s="82" t="s">
        <v>109</v>
      </c>
      <c r="AA116" s="73" t="s">
        <v>74</v>
      </c>
      <c r="AB116" s="73" t="s">
        <v>11</v>
      </c>
      <c r="AC116" s="73">
        <v>25</v>
      </c>
      <c r="AD116" s="82" t="s">
        <v>110</v>
      </c>
      <c r="AE116" s="73" t="s">
        <v>90</v>
      </c>
      <c r="AF116" s="73" t="s">
        <v>11</v>
      </c>
      <c r="AG116" s="83">
        <v>5</v>
      </c>
      <c r="AH116" s="82" t="s">
        <v>365</v>
      </c>
      <c r="AI116" s="73" t="s">
        <v>218</v>
      </c>
      <c r="AJ116" s="73" t="s">
        <v>12</v>
      </c>
      <c r="AK116" s="73">
        <v>7.5</v>
      </c>
      <c r="AL116" s="82"/>
      <c r="AO116" s="83"/>
      <c r="AP116" s="82"/>
      <c r="AS116" s="83"/>
      <c r="AW116" s="83"/>
      <c r="BA116" s="84"/>
    </row>
    <row r="117" spans="1:53" s="292" customFormat="1">
      <c r="A117" s="292">
        <v>2010</v>
      </c>
      <c r="B117" s="836">
        <v>40351</v>
      </c>
      <c r="C117" s="916" t="s">
        <v>371</v>
      </c>
      <c r="D117" s="916"/>
      <c r="E117" s="292">
        <f>365-E116</f>
        <v>193</v>
      </c>
      <c r="F117" s="292">
        <v>2</v>
      </c>
      <c r="G117" s="366">
        <v>10</v>
      </c>
      <c r="H117" s="292">
        <v>8</v>
      </c>
      <c r="I117" s="292">
        <v>2</v>
      </c>
      <c r="J117" s="377">
        <v>20</v>
      </c>
      <c r="K117" s="336">
        <f t="shared" si="31"/>
        <v>50</v>
      </c>
      <c r="L117" s="336">
        <f t="shared" si="32"/>
        <v>40</v>
      </c>
      <c r="M117" s="336">
        <f t="shared" si="33"/>
        <v>10</v>
      </c>
      <c r="N117" s="368">
        <f t="shared" si="26"/>
        <v>100</v>
      </c>
      <c r="O117" s="335">
        <v>30</v>
      </c>
      <c r="P117" s="336">
        <v>25.5</v>
      </c>
      <c r="Q117" s="336">
        <v>7.5</v>
      </c>
      <c r="R117" s="337">
        <f t="shared" si="27"/>
        <v>63</v>
      </c>
      <c r="S117" s="340">
        <v>3</v>
      </c>
      <c r="T117" s="838"/>
      <c r="U117" s="836">
        <v>40351</v>
      </c>
      <c r="V117" s="299" t="s">
        <v>108</v>
      </c>
      <c r="W117" s="292" t="s">
        <v>75</v>
      </c>
      <c r="X117" s="292" t="s">
        <v>18</v>
      </c>
      <c r="Y117" s="300">
        <v>25.5</v>
      </c>
      <c r="Z117" s="299" t="s">
        <v>109</v>
      </c>
      <c r="AA117" s="292" t="s">
        <v>74</v>
      </c>
      <c r="AB117" s="292" t="s">
        <v>11</v>
      </c>
      <c r="AC117" s="292">
        <v>25</v>
      </c>
      <c r="AD117" s="299" t="s">
        <v>110</v>
      </c>
      <c r="AE117" s="292" t="s">
        <v>90</v>
      </c>
      <c r="AF117" s="292" t="s">
        <v>11</v>
      </c>
      <c r="AG117" s="300">
        <v>5</v>
      </c>
      <c r="AH117" s="299" t="s">
        <v>365</v>
      </c>
      <c r="AI117" s="292" t="s">
        <v>218</v>
      </c>
      <c r="AJ117" s="292" t="s">
        <v>12</v>
      </c>
      <c r="AK117" s="292">
        <v>7.5</v>
      </c>
      <c r="AL117" s="299"/>
      <c r="AO117" s="300"/>
      <c r="AP117" s="299"/>
      <c r="AS117" s="300"/>
      <c r="AW117" s="300"/>
      <c r="BA117" s="301"/>
    </row>
    <row r="118" spans="1:53" s="292" customFormat="1">
      <c r="A118" s="292">
        <v>2011</v>
      </c>
      <c r="B118" s="836"/>
      <c r="C118" s="916" t="s">
        <v>371</v>
      </c>
      <c r="D118" s="916"/>
      <c r="E118" s="292">
        <v>172</v>
      </c>
      <c r="G118" s="366">
        <v>10</v>
      </c>
      <c r="H118" s="292">
        <v>8</v>
      </c>
      <c r="I118" s="292">
        <v>2</v>
      </c>
      <c r="J118" s="377">
        <v>20</v>
      </c>
      <c r="K118" s="336">
        <f t="shared" ref="K118:K123" si="34">G118/J118*100</f>
        <v>50</v>
      </c>
      <c r="L118" s="336">
        <f t="shared" ref="L118:L123" si="35">H118/J118*100</f>
        <v>40</v>
      </c>
      <c r="M118" s="336">
        <f t="shared" ref="M118:M123" si="36">I118/J118*100</f>
        <v>10</v>
      </c>
      <c r="N118" s="368">
        <f t="shared" si="26"/>
        <v>100</v>
      </c>
      <c r="O118" s="335">
        <v>30</v>
      </c>
      <c r="P118" s="336">
        <v>25.5</v>
      </c>
      <c r="Q118" s="336">
        <v>7.5</v>
      </c>
      <c r="R118" s="337">
        <f t="shared" si="27"/>
        <v>63</v>
      </c>
      <c r="S118" s="340">
        <v>3</v>
      </c>
      <c r="T118" s="838"/>
      <c r="U118" s="836"/>
      <c r="V118" s="299" t="s">
        <v>108</v>
      </c>
      <c r="W118" s="292" t="s">
        <v>75</v>
      </c>
      <c r="X118" s="292" t="s">
        <v>18</v>
      </c>
      <c r="Y118" s="300">
        <v>25.5</v>
      </c>
      <c r="Z118" s="299" t="s">
        <v>109</v>
      </c>
      <c r="AA118" s="292" t="s">
        <v>74</v>
      </c>
      <c r="AB118" s="292" t="s">
        <v>11</v>
      </c>
      <c r="AC118" s="292">
        <v>25</v>
      </c>
      <c r="AD118" s="299" t="s">
        <v>110</v>
      </c>
      <c r="AE118" s="292" t="s">
        <v>90</v>
      </c>
      <c r="AF118" s="292" t="s">
        <v>11</v>
      </c>
      <c r="AG118" s="300">
        <v>5</v>
      </c>
      <c r="AH118" s="299" t="s">
        <v>365</v>
      </c>
      <c r="AI118" s="292" t="s">
        <v>218</v>
      </c>
      <c r="AJ118" s="292" t="s">
        <v>12</v>
      </c>
      <c r="AK118" s="292">
        <v>7.5</v>
      </c>
      <c r="AL118" s="299"/>
      <c r="AO118" s="300"/>
      <c r="AP118" s="299"/>
      <c r="AS118" s="300"/>
      <c r="AW118" s="300"/>
      <c r="BA118" s="301"/>
    </row>
    <row r="119" spans="1:53" s="73" customFormat="1">
      <c r="A119" s="73">
        <v>2011</v>
      </c>
      <c r="B119" s="852">
        <v>40716</v>
      </c>
      <c r="C119" s="917" t="s">
        <v>372</v>
      </c>
      <c r="D119" s="917"/>
      <c r="E119" s="73">
        <v>193</v>
      </c>
      <c r="F119" s="73">
        <v>1</v>
      </c>
      <c r="G119" s="119">
        <v>8</v>
      </c>
      <c r="H119" s="73">
        <v>1</v>
      </c>
      <c r="I119" s="73">
        <v>10</v>
      </c>
      <c r="J119" s="126">
        <v>19</v>
      </c>
      <c r="K119" s="92">
        <f t="shared" si="34"/>
        <v>42.105263157894733</v>
      </c>
      <c r="L119" s="92">
        <f t="shared" si="35"/>
        <v>5.2631578947368416</v>
      </c>
      <c r="M119" s="92">
        <f t="shared" si="36"/>
        <v>52.631578947368418</v>
      </c>
      <c r="N119" s="121">
        <f t="shared" si="26"/>
        <v>100</v>
      </c>
      <c r="O119" s="91">
        <v>27</v>
      </c>
      <c r="P119" s="92">
        <v>3</v>
      </c>
      <c r="Q119" s="92">
        <v>33</v>
      </c>
      <c r="R119" s="93">
        <f t="shared" si="27"/>
        <v>63</v>
      </c>
      <c r="S119" s="97">
        <v>3</v>
      </c>
      <c r="T119" s="839">
        <v>40650</v>
      </c>
      <c r="U119" s="852">
        <v>40716</v>
      </c>
      <c r="V119" s="82" t="s">
        <v>109</v>
      </c>
      <c r="W119" s="73" t="s">
        <v>74</v>
      </c>
      <c r="X119" s="73" t="s">
        <v>11</v>
      </c>
      <c r="Y119" s="83">
        <v>22</v>
      </c>
      <c r="Z119" s="73" t="s">
        <v>112</v>
      </c>
      <c r="AA119" s="73" t="s">
        <v>20</v>
      </c>
      <c r="AB119" s="73" t="s">
        <v>12</v>
      </c>
      <c r="AC119" s="73">
        <v>21</v>
      </c>
      <c r="AD119" s="82" t="s">
        <v>110</v>
      </c>
      <c r="AE119" s="73" t="s">
        <v>90</v>
      </c>
      <c r="AF119" s="73" t="s">
        <v>11</v>
      </c>
      <c r="AG119" s="83">
        <v>5</v>
      </c>
      <c r="AH119" s="82" t="s">
        <v>365</v>
      </c>
      <c r="AI119" s="73" t="s">
        <v>218</v>
      </c>
      <c r="AJ119" s="73" t="s">
        <v>12</v>
      </c>
      <c r="AK119" s="73">
        <v>5</v>
      </c>
      <c r="AL119" s="82" t="s">
        <v>364</v>
      </c>
      <c r="AM119" s="73" t="s">
        <v>193</v>
      </c>
      <c r="AN119" s="73" t="s">
        <v>12</v>
      </c>
      <c r="AO119" s="83">
        <v>7</v>
      </c>
      <c r="AP119" s="82" t="s">
        <v>373</v>
      </c>
      <c r="AQ119" s="73" t="s">
        <v>17</v>
      </c>
      <c r="AR119" s="73" t="s">
        <v>18</v>
      </c>
      <c r="AS119" s="83">
        <v>3</v>
      </c>
      <c r="AW119" s="83"/>
      <c r="BA119" s="84"/>
    </row>
    <row r="120" spans="1:53" s="73" customFormat="1">
      <c r="A120" s="73">
        <v>2012</v>
      </c>
      <c r="B120" s="852"/>
      <c r="C120" s="917" t="s">
        <v>372</v>
      </c>
      <c r="D120" s="917"/>
      <c r="E120" s="73">
        <v>0</v>
      </c>
      <c r="G120" s="119">
        <v>8</v>
      </c>
      <c r="H120" s="73">
        <v>1</v>
      </c>
      <c r="I120" s="73">
        <v>10</v>
      </c>
      <c r="J120" s="126">
        <v>19</v>
      </c>
      <c r="K120" s="92">
        <f t="shared" si="34"/>
        <v>42.105263157894733</v>
      </c>
      <c r="L120" s="92">
        <f t="shared" si="35"/>
        <v>5.2631578947368416</v>
      </c>
      <c r="M120" s="92">
        <f t="shared" si="36"/>
        <v>52.631578947368418</v>
      </c>
      <c r="N120" s="121">
        <f t="shared" si="26"/>
        <v>100</v>
      </c>
      <c r="O120" s="91">
        <v>27</v>
      </c>
      <c r="P120" s="92">
        <v>3</v>
      </c>
      <c r="Q120" s="92">
        <v>33</v>
      </c>
      <c r="R120" s="93">
        <f t="shared" si="27"/>
        <v>63</v>
      </c>
      <c r="S120" s="97">
        <v>3</v>
      </c>
      <c r="T120" s="839"/>
      <c r="U120" s="852"/>
      <c r="V120" s="82" t="s">
        <v>109</v>
      </c>
      <c r="W120" s="73" t="s">
        <v>74</v>
      </c>
      <c r="X120" s="73" t="s">
        <v>11</v>
      </c>
      <c r="Y120" s="83">
        <v>22</v>
      </c>
      <c r="Z120" s="73" t="s">
        <v>112</v>
      </c>
      <c r="AA120" s="73" t="s">
        <v>20</v>
      </c>
      <c r="AB120" s="73" t="s">
        <v>12</v>
      </c>
      <c r="AC120" s="73">
        <v>21</v>
      </c>
      <c r="AD120" s="82" t="s">
        <v>110</v>
      </c>
      <c r="AE120" s="73" t="s">
        <v>90</v>
      </c>
      <c r="AF120" s="73" t="s">
        <v>11</v>
      </c>
      <c r="AG120" s="83">
        <v>5</v>
      </c>
      <c r="AH120" s="82" t="s">
        <v>365</v>
      </c>
      <c r="AI120" s="73" t="s">
        <v>218</v>
      </c>
      <c r="AJ120" s="73" t="s">
        <v>12</v>
      </c>
      <c r="AK120" s="73">
        <v>5</v>
      </c>
      <c r="AL120" s="82" t="s">
        <v>364</v>
      </c>
      <c r="AM120" s="73" t="s">
        <v>193</v>
      </c>
      <c r="AN120" s="73" t="s">
        <v>12</v>
      </c>
      <c r="AO120" s="83">
        <v>7</v>
      </c>
      <c r="AP120" s="82" t="s">
        <v>373</v>
      </c>
      <c r="AQ120" s="73" t="s">
        <v>17</v>
      </c>
      <c r="AR120" s="73" t="s">
        <v>18</v>
      </c>
      <c r="AS120" s="83">
        <v>3</v>
      </c>
      <c r="AW120" s="83"/>
      <c r="BA120" s="84"/>
    </row>
    <row r="121" spans="1:53" s="73" customFormat="1">
      <c r="A121" s="73">
        <v>2012</v>
      </c>
      <c r="B121" s="852"/>
      <c r="C121" s="917" t="s">
        <v>372</v>
      </c>
      <c r="D121" s="917"/>
      <c r="E121" s="73">
        <v>366</v>
      </c>
      <c r="G121" s="119">
        <v>8</v>
      </c>
      <c r="H121" s="73">
        <v>1</v>
      </c>
      <c r="I121" s="73">
        <v>10</v>
      </c>
      <c r="J121" s="126">
        <v>19</v>
      </c>
      <c r="K121" s="92">
        <f t="shared" si="34"/>
        <v>42.105263157894733</v>
      </c>
      <c r="L121" s="92">
        <f t="shared" si="35"/>
        <v>5.2631578947368416</v>
      </c>
      <c r="M121" s="92">
        <f t="shared" si="36"/>
        <v>52.631578947368418</v>
      </c>
      <c r="N121" s="121">
        <f t="shared" si="26"/>
        <v>100</v>
      </c>
      <c r="O121" s="91">
        <v>27</v>
      </c>
      <c r="P121" s="92">
        <v>3</v>
      </c>
      <c r="Q121" s="92">
        <v>33</v>
      </c>
      <c r="R121" s="93">
        <f t="shared" si="27"/>
        <v>63</v>
      </c>
      <c r="S121" s="97">
        <v>3</v>
      </c>
      <c r="T121" s="839"/>
      <c r="U121" s="852"/>
      <c r="V121" s="82" t="s">
        <v>109</v>
      </c>
      <c r="W121" s="73" t="s">
        <v>74</v>
      </c>
      <c r="X121" s="73" t="s">
        <v>11</v>
      </c>
      <c r="Y121" s="83">
        <v>22</v>
      </c>
      <c r="Z121" s="73" t="s">
        <v>112</v>
      </c>
      <c r="AA121" s="73" t="s">
        <v>20</v>
      </c>
      <c r="AB121" s="73" t="s">
        <v>12</v>
      </c>
      <c r="AC121" s="73">
        <v>21</v>
      </c>
      <c r="AD121" s="82" t="s">
        <v>110</v>
      </c>
      <c r="AE121" s="73" t="s">
        <v>90</v>
      </c>
      <c r="AF121" s="73" t="s">
        <v>11</v>
      </c>
      <c r="AG121" s="83">
        <v>5</v>
      </c>
      <c r="AH121" s="82" t="s">
        <v>365</v>
      </c>
      <c r="AI121" s="73" t="s">
        <v>218</v>
      </c>
      <c r="AJ121" s="73" t="s">
        <v>12</v>
      </c>
      <c r="AK121" s="73">
        <v>5</v>
      </c>
      <c r="AL121" s="82" t="s">
        <v>364</v>
      </c>
      <c r="AM121" s="73" t="s">
        <v>193</v>
      </c>
      <c r="AN121" s="73" t="s">
        <v>12</v>
      </c>
      <c r="AO121" s="83">
        <v>7</v>
      </c>
      <c r="AP121" s="82" t="s">
        <v>373</v>
      </c>
      <c r="AQ121" s="73" t="s">
        <v>17</v>
      </c>
      <c r="AR121" s="73" t="s">
        <v>18</v>
      </c>
      <c r="AS121" s="83">
        <v>3</v>
      </c>
      <c r="AW121" s="83"/>
      <c r="BA121" s="84"/>
    </row>
    <row r="122" spans="1:53" s="265" customFormat="1">
      <c r="A122" s="265">
        <v>2013</v>
      </c>
      <c r="B122" s="852"/>
      <c r="C122" s="917" t="s">
        <v>372</v>
      </c>
      <c r="D122" s="917"/>
      <c r="E122" s="265">
        <v>0</v>
      </c>
      <c r="G122" s="119">
        <v>8</v>
      </c>
      <c r="H122" s="265">
        <v>1</v>
      </c>
      <c r="I122" s="265">
        <v>10</v>
      </c>
      <c r="J122" s="126">
        <v>19</v>
      </c>
      <c r="K122" s="92">
        <f t="shared" si="34"/>
        <v>42.105263157894733</v>
      </c>
      <c r="L122" s="92">
        <f t="shared" si="35"/>
        <v>5.2631578947368416</v>
      </c>
      <c r="M122" s="92">
        <f t="shared" si="36"/>
        <v>52.631578947368418</v>
      </c>
      <c r="N122" s="121">
        <f t="shared" si="26"/>
        <v>100</v>
      </c>
      <c r="O122" s="91">
        <v>27</v>
      </c>
      <c r="P122" s="92">
        <v>3</v>
      </c>
      <c r="Q122" s="92">
        <v>33</v>
      </c>
      <c r="R122" s="93">
        <f t="shared" ref="R122:R127" si="37">SUM(O122:Q122)</f>
        <v>63</v>
      </c>
      <c r="S122" s="97">
        <v>3</v>
      </c>
      <c r="T122" s="839"/>
      <c r="U122" s="852"/>
      <c r="V122" s="82" t="s">
        <v>109</v>
      </c>
      <c r="W122" s="265" t="s">
        <v>74</v>
      </c>
      <c r="X122" s="265" t="s">
        <v>11</v>
      </c>
      <c r="Y122" s="83">
        <v>22</v>
      </c>
      <c r="Z122" s="265" t="s">
        <v>112</v>
      </c>
      <c r="AA122" s="265" t="s">
        <v>20</v>
      </c>
      <c r="AB122" s="265" t="s">
        <v>12</v>
      </c>
      <c r="AC122" s="265">
        <v>21</v>
      </c>
      <c r="AD122" s="82" t="s">
        <v>110</v>
      </c>
      <c r="AE122" s="265" t="s">
        <v>90</v>
      </c>
      <c r="AF122" s="265" t="s">
        <v>11</v>
      </c>
      <c r="AG122" s="83">
        <v>5</v>
      </c>
      <c r="AH122" s="82" t="s">
        <v>365</v>
      </c>
      <c r="AI122" s="265" t="s">
        <v>218</v>
      </c>
      <c r="AJ122" s="265" t="s">
        <v>12</v>
      </c>
      <c r="AK122" s="265">
        <v>5</v>
      </c>
      <c r="AL122" s="82" t="s">
        <v>364</v>
      </c>
      <c r="AM122" s="265" t="s">
        <v>193</v>
      </c>
      <c r="AN122" s="265" t="s">
        <v>12</v>
      </c>
      <c r="AO122" s="83">
        <v>7</v>
      </c>
      <c r="AP122" s="82" t="s">
        <v>373</v>
      </c>
      <c r="AQ122" s="265" t="s">
        <v>17</v>
      </c>
      <c r="AR122" s="265" t="s">
        <v>18</v>
      </c>
      <c r="AS122" s="83">
        <v>3</v>
      </c>
      <c r="AW122" s="83"/>
      <c r="BA122" s="84"/>
    </row>
    <row r="123" spans="1:53" s="448" customFormat="1">
      <c r="A123" s="448">
        <v>2013</v>
      </c>
      <c r="B123" s="852"/>
      <c r="C123" s="917" t="s">
        <v>372</v>
      </c>
      <c r="D123" s="917"/>
      <c r="E123" s="448">
        <v>365</v>
      </c>
      <c r="G123" s="411">
        <v>8</v>
      </c>
      <c r="H123" s="448">
        <v>1</v>
      </c>
      <c r="I123" s="448">
        <v>10</v>
      </c>
      <c r="J123" s="413">
        <v>19</v>
      </c>
      <c r="K123" s="409">
        <f t="shared" si="34"/>
        <v>42.105263157894733</v>
      </c>
      <c r="L123" s="409">
        <f t="shared" si="35"/>
        <v>5.2631578947368416</v>
      </c>
      <c r="M123" s="409">
        <f t="shared" si="36"/>
        <v>52.631578947368418</v>
      </c>
      <c r="N123" s="412">
        <f t="shared" si="26"/>
        <v>100</v>
      </c>
      <c r="O123" s="408">
        <v>27</v>
      </c>
      <c r="P123" s="409">
        <v>3</v>
      </c>
      <c r="Q123" s="409">
        <v>33</v>
      </c>
      <c r="R123" s="410">
        <f t="shared" si="37"/>
        <v>63</v>
      </c>
      <c r="S123" s="97">
        <v>3</v>
      </c>
      <c r="T123" s="839"/>
      <c r="U123" s="852"/>
      <c r="V123" s="405" t="s">
        <v>109</v>
      </c>
      <c r="W123" s="448" t="s">
        <v>74</v>
      </c>
      <c r="X123" s="448" t="s">
        <v>11</v>
      </c>
      <c r="Y123" s="406">
        <v>22</v>
      </c>
      <c r="Z123" s="448" t="s">
        <v>112</v>
      </c>
      <c r="AA123" s="448" t="s">
        <v>20</v>
      </c>
      <c r="AB123" s="448" t="s">
        <v>12</v>
      </c>
      <c r="AC123" s="448">
        <v>21</v>
      </c>
      <c r="AD123" s="405" t="s">
        <v>110</v>
      </c>
      <c r="AE123" s="448" t="s">
        <v>90</v>
      </c>
      <c r="AF123" s="448" t="s">
        <v>11</v>
      </c>
      <c r="AG123" s="406">
        <v>5</v>
      </c>
      <c r="AH123" s="448" t="s">
        <v>365</v>
      </c>
      <c r="AI123" s="448" t="s">
        <v>218</v>
      </c>
      <c r="AJ123" s="448" t="s">
        <v>12</v>
      </c>
      <c r="AK123" s="448">
        <v>5</v>
      </c>
      <c r="AL123" s="405" t="s">
        <v>364</v>
      </c>
      <c r="AM123" s="448" t="s">
        <v>193</v>
      </c>
      <c r="AN123" s="448" t="s">
        <v>12</v>
      </c>
      <c r="AO123" s="406">
        <v>7</v>
      </c>
      <c r="AP123" s="405" t="s">
        <v>373</v>
      </c>
      <c r="AQ123" s="448" t="s">
        <v>17</v>
      </c>
      <c r="AR123" s="448" t="s">
        <v>18</v>
      </c>
      <c r="AS123" s="406">
        <v>3</v>
      </c>
      <c r="AW123" s="406"/>
      <c r="BA123" s="407"/>
    </row>
    <row r="124" spans="1:53" s="448" customFormat="1">
      <c r="A124" s="448">
        <v>2014</v>
      </c>
      <c r="B124" s="852"/>
      <c r="C124" s="917" t="s">
        <v>372</v>
      </c>
      <c r="D124" s="917"/>
      <c r="E124" s="448">
        <v>93</v>
      </c>
      <c r="G124" s="411">
        <v>8</v>
      </c>
      <c r="H124" s="448">
        <v>1</v>
      </c>
      <c r="I124" s="448">
        <v>10</v>
      </c>
      <c r="J124" s="413">
        <v>19</v>
      </c>
      <c r="K124" s="409">
        <f t="shared" ref="K124:K129" si="38">G124/J124*100</f>
        <v>42.105263157894733</v>
      </c>
      <c r="L124" s="409">
        <f t="shared" ref="L124:L129" si="39">H124/J124*100</f>
        <v>5.2631578947368416</v>
      </c>
      <c r="M124" s="409">
        <f t="shared" ref="M124:M129" si="40">I124/J124*100</f>
        <v>52.631578947368418</v>
      </c>
      <c r="N124" s="412">
        <f t="shared" ref="N124:N129" si="41">SUM(K124:M124)</f>
        <v>100</v>
      </c>
      <c r="O124" s="408">
        <v>27</v>
      </c>
      <c r="P124" s="409">
        <v>3</v>
      </c>
      <c r="Q124" s="409">
        <v>33</v>
      </c>
      <c r="R124" s="410">
        <f t="shared" si="37"/>
        <v>63</v>
      </c>
      <c r="S124" s="97">
        <v>3</v>
      </c>
      <c r="T124" s="839"/>
      <c r="U124" s="852"/>
      <c r="V124" s="405" t="s">
        <v>109</v>
      </c>
      <c r="W124" s="448" t="s">
        <v>74</v>
      </c>
      <c r="X124" s="448" t="s">
        <v>11</v>
      </c>
      <c r="Y124" s="406">
        <v>22</v>
      </c>
      <c r="Z124" s="448" t="s">
        <v>112</v>
      </c>
      <c r="AA124" s="448" t="s">
        <v>20</v>
      </c>
      <c r="AB124" s="448" t="s">
        <v>12</v>
      </c>
      <c r="AC124" s="448">
        <v>21</v>
      </c>
      <c r="AD124" s="405" t="s">
        <v>110</v>
      </c>
      <c r="AE124" s="448" t="s">
        <v>90</v>
      </c>
      <c r="AF124" s="448" t="s">
        <v>11</v>
      </c>
      <c r="AG124" s="406">
        <v>5</v>
      </c>
      <c r="AH124" s="448" t="s">
        <v>365</v>
      </c>
      <c r="AI124" s="448" t="s">
        <v>218</v>
      </c>
      <c r="AJ124" s="448" t="s">
        <v>12</v>
      </c>
      <c r="AK124" s="448">
        <v>5</v>
      </c>
      <c r="AL124" s="405" t="s">
        <v>364</v>
      </c>
      <c r="AM124" s="448" t="s">
        <v>193</v>
      </c>
      <c r="AN124" s="448" t="s">
        <v>12</v>
      </c>
      <c r="AO124" s="406">
        <v>7</v>
      </c>
      <c r="AP124" s="405" t="s">
        <v>373</v>
      </c>
      <c r="AQ124" s="448" t="s">
        <v>17</v>
      </c>
      <c r="AR124" s="448" t="s">
        <v>18</v>
      </c>
      <c r="AS124" s="406">
        <v>3</v>
      </c>
      <c r="AW124" s="406"/>
      <c r="BA124" s="407"/>
    </row>
    <row r="125" spans="1:53" s="448" customFormat="1">
      <c r="A125" s="448">
        <v>2014</v>
      </c>
      <c r="B125" s="860">
        <v>41733</v>
      </c>
      <c r="C125" s="917" t="s">
        <v>372</v>
      </c>
      <c r="D125" s="917"/>
      <c r="E125" s="448">
        <v>81</v>
      </c>
      <c r="F125" s="414">
        <v>0</v>
      </c>
      <c r="G125" s="411">
        <v>9</v>
      </c>
      <c r="H125" s="448">
        <v>1</v>
      </c>
      <c r="I125" s="448">
        <v>9</v>
      </c>
      <c r="J125" s="413">
        <v>19</v>
      </c>
      <c r="K125" s="409">
        <f t="shared" si="38"/>
        <v>47.368421052631575</v>
      </c>
      <c r="L125" s="409">
        <f t="shared" si="39"/>
        <v>5.2631578947368416</v>
      </c>
      <c r="M125" s="409">
        <f t="shared" si="40"/>
        <v>47.368421052631575</v>
      </c>
      <c r="N125" s="412">
        <f t="shared" si="41"/>
        <v>100</v>
      </c>
      <c r="O125" s="408">
        <v>27</v>
      </c>
      <c r="P125" s="409">
        <v>3</v>
      </c>
      <c r="Q125" s="409">
        <v>26</v>
      </c>
      <c r="R125" s="410">
        <f t="shared" si="37"/>
        <v>56</v>
      </c>
      <c r="S125" s="97">
        <v>3</v>
      </c>
      <c r="T125" s="839"/>
      <c r="U125" s="852"/>
      <c r="V125" s="405" t="s">
        <v>109</v>
      </c>
      <c r="W125" s="448" t="s">
        <v>74</v>
      </c>
      <c r="X125" s="448" t="s">
        <v>11</v>
      </c>
      <c r="Y125" s="406">
        <v>22</v>
      </c>
      <c r="Z125" s="448" t="s">
        <v>112</v>
      </c>
      <c r="AA125" s="448" t="s">
        <v>20</v>
      </c>
      <c r="AB125" s="448" t="s">
        <v>12</v>
      </c>
      <c r="AC125" s="448">
        <v>21</v>
      </c>
      <c r="AD125" s="405" t="s">
        <v>110</v>
      </c>
      <c r="AE125" s="448" t="s">
        <v>90</v>
      </c>
      <c r="AF125" s="448" t="s">
        <v>11</v>
      </c>
      <c r="AG125" s="406">
        <v>5</v>
      </c>
      <c r="AH125" s="448" t="s">
        <v>365</v>
      </c>
      <c r="AI125" s="448" t="s">
        <v>218</v>
      </c>
      <c r="AJ125" s="448" t="s">
        <v>12</v>
      </c>
      <c r="AK125" s="448">
        <v>5</v>
      </c>
      <c r="AL125" s="405" t="s">
        <v>373</v>
      </c>
      <c r="AM125" s="448" t="s">
        <v>17</v>
      </c>
      <c r="AN125" s="448" t="s">
        <v>18</v>
      </c>
      <c r="AO125" s="406">
        <v>3</v>
      </c>
      <c r="AP125" s="405"/>
      <c r="AS125" s="406"/>
      <c r="AW125" s="406"/>
      <c r="BA125" s="407"/>
    </row>
    <row r="126" spans="1:53" s="449" customFormat="1">
      <c r="A126" s="449">
        <v>2014</v>
      </c>
      <c r="B126" s="836">
        <v>41814</v>
      </c>
      <c r="C126" s="916" t="s">
        <v>1311</v>
      </c>
      <c r="D126" s="916"/>
      <c r="E126" s="449">
        <v>97</v>
      </c>
      <c r="F126" s="449">
        <v>2</v>
      </c>
      <c r="G126" s="425">
        <v>8</v>
      </c>
      <c r="H126" s="449">
        <v>1</v>
      </c>
      <c r="I126" s="449">
        <v>8</v>
      </c>
      <c r="J126" s="427">
        <v>17</v>
      </c>
      <c r="K126" s="423">
        <f t="shared" si="38"/>
        <v>47.058823529411761</v>
      </c>
      <c r="L126" s="423">
        <f t="shared" si="39"/>
        <v>5.8823529411764701</v>
      </c>
      <c r="M126" s="423">
        <f t="shared" si="40"/>
        <v>47.058823529411761</v>
      </c>
      <c r="N126" s="426">
        <f t="shared" si="41"/>
        <v>100</v>
      </c>
      <c r="O126" s="422">
        <v>27</v>
      </c>
      <c r="P126" s="423">
        <v>3</v>
      </c>
      <c r="Q126" s="423">
        <v>26</v>
      </c>
      <c r="R126" s="424">
        <f t="shared" si="37"/>
        <v>56</v>
      </c>
      <c r="S126" s="340">
        <v>3</v>
      </c>
      <c r="T126" s="838"/>
      <c r="U126" s="836">
        <v>41814</v>
      </c>
      <c r="V126" s="417" t="s">
        <v>109</v>
      </c>
      <c r="W126" s="449" t="s">
        <v>74</v>
      </c>
      <c r="X126" s="449" t="s">
        <v>11</v>
      </c>
      <c r="Y126" s="418">
        <v>22</v>
      </c>
      <c r="Z126" s="417" t="s">
        <v>112</v>
      </c>
      <c r="AA126" s="449" t="s">
        <v>20</v>
      </c>
      <c r="AB126" s="449" t="s">
        <v>12</v>
      </c>
      <c r="AC126" s="449">
        <v>21</v>
      </c>
      <c r="AD126" s="417" t="s">
        <v>110</v>
      </c>
      <c r="AE126" s="449" t="s">
        <v>90</v>
      </c>
      <c r="AF126" s="449" t="s">
        <v>11</v>
      </c>
      <c r="AG126" s="418">
        <v>5</v>
      </c>
      <c r="AH126" s="417" t="s">
        <v>365</v>
      </c>
      <c r="AI126" s="449" t="s">
        <v>218</v>
      </c>
      <c r="AJ126" s="449" t="s">
        <v>12</v>
      </c>
      <c r="AK126" s="449">
        <v>5</v>
      </c>
      <c r="AL126" s="417" t="s">
        <v>373</v>
      </c>
      <c r="AM126" s="449" t="s">
        <v>17</v>
      </c>
      <c r="AN126" s="449" t="s">
        <v>18</v>
      </c>
      <c r="AO126" s="418">
        <v>3</v>
      </c>
      <c r="AP126" s="417"/>
      <c r="AS126" s="418"/>
      <c r="AW126" s="418"/>
      <c r="BA126" s="419"/>
    </row>
    <row r="127" spans="1:53" s="449" customFormat="1">
      <c r="A127" s="449">
        <v>2014</v>
      </c>
      <c r="B127" s="865">
        <v>41911</v>
      </c>
      <c r="C127" s="916" t="s">
        <v>1311</v>
      </c>
      <c r="D127" s="916"/>
      <c r="E127" s="449">
        <v>94</v>
      </c>
      <c r="F127" s="428">
        <v>0</v>
      </c>
      <c r="G127" s="425">
        <v>9</v>
      </c>
      <c r="H127" s="449">
        <v>1</v>
      </c>
      <c r="I127" s="449">
        <v>7</v>
      </c>
      <c r="J127" s="427">
        <v>17</v>
      </c>
      <c r="K127" s="423">
        <f t="shared" si="38"/>
        <v>52.941176470588239</v>
      </c>
      <c r="L127" s="423">
        <f t="shared" si="39"/>
        <v>5.8823529411764701</v>
      </c>
      <c r="M127" s="423">
        <f t="shared" si="40"/>
        <v>41.17647058823529</v>
      </c>
      <c r="N127" s="426">
        <f t="shared" si="41"/>
        <v>100</v>
      </c>
      <c r="O127" s="422">
        <v>27</v>
      </c>
      <c r="P127" s="423">
        <v>3</v>
      </c>
      <c r="Q127" s="423">
        <v>21</v>
      </c>
      <c r="R127" s="424">
        <f t="shared" si="37"/>
        <v>51</v>
      </c>
      <c r="S127" s="340">
        <v>2</v>
      </c>
      <c r="T127" s="838"/>
      <c r="U127" s="836"/>
      <c r="V127" s="417" t="s">
        <v>109</v>
      </c>
      <c r="W127" s="449" t="s">
        <v>74</v>
      </c>
      <c r="X127" s="449" t="s">
        <v>11</v>
      </c>
      <c r="Y127" s="418">
        <v>22</v>
      </c>
      <c r="Z127" s="417" t="s">
        <v>112</v>
      </c>
      <c r="AA127" s="449" t="s">
        <v>20</v>
      </c>
      <c r="AB127" s="449" t="s">
        <v>12</v>
      </c>
      <c r="AC127" s="449">
        <v>21</v>
      </c>
      <c r="AD127" s="417" t="s">
        <v>110</v>
      </c>
      <c r="AE127" s="449" t="s">
        <v>90</v>
      </c>
      <c r="AF127" s="449" t="s">
        <v>11</v>
      </c>
      <c r="AG127" s="418">
        <v>5</v>
      </c>
      <c r="AH127" s="417" t="s">
        <v>373</v>
      </c>
      <c r="AI127" s="449" t="s">
        <v>17</v>
      </c>
      <c r="AJ127" s="449" t="s">
        <v>18</v>
      </c>
      <c r="AK127" s="418">
        <v>3</v>
      </c>
      <c r="AL127" s="417"/>
      <c r="AO127" s="418"/>
      <c r="AP127" s="417"/>
      <c r="AS127" s="418"/>
      <c r="AW127" s="418"/>
      <c r="BA127" s="419"/>
    </row>
    <row r="128" spans="1:53" s="590" customFormat="1">
      <c r="A128" s="590">
        <v>2015</v>
      </c>
      <c r="B128" s="865"/>
      <c r="C128" s="916" t="s">
        <v>1311</v>
      </c>
      <c r="D128" s="916"/>
      <c r="E128" s="590">
        <v>148</v>
      </c>
      <c r="F128" s="428"/>
      <c r="G128" s="539">
        <v>9</v>
      </c>
      <c r="H128" s="590">
        <v>1</v>
      </c>
      <c r="I128" s="590">
        <v>7</v>
      </c>
      <c r="J128" s="541">
        <v>17</v>
      </c>
      <c r="K128" s="537">
        <f t="shared" si="38"/>
        <v>52.941176470588239</v>
      </c>
      <c r="L128" s="537">
        <f t="shared" si="39"/>
        <v>5.8823529411764701</v>
      </c>
      <c r="M128" s="537">
        <f t="shared" si="40"/>
        <v>41.17647058823529</v>
      </c>
      <c r="N128" s="540">
        <f t="shared" si="41"/>
        <v>100</v>
      </c>
      <c r="O128" s="536">
        <v>27</v>
      </c>
      <c r="P128" s="537">
        <v>3</v>
      </c>
      <c r="Q128" s="537">
        <v>21</v>
      </c>
      <c r="R128" s="538">
        <f t="shared" ref="R128:R129" si="42">SUM(O128:Q128)</f>
        <v>51</v>
      </c>
      <c r="S128" s="340">
        <v>2</v>
      </c>
      <c r="T128" s="838"/>
      <c r="U128" s="836"/>
      <c r="V128" s="532" t="s">
        <v>109</v>
      </c>
      <c r="W128" s="590" t="s">
        <v>74</v>
      </c>
      <c r="X128" s="590" t="s">
        <v>11</v>
      </c>
      <c r="Y128" s="533">
        <v>22</v>
      </c>
      <c r="Z128" s="532" t="s">
        <v>112</v>
      </c>
      <c r="AA128" s="590" t="s">
        <v>20</v>
      </c>
      <c r="AB128" s="590" t="s">
        <v>12</v>
      </c>
      <c r="AC128" s="590">
        <v>21</v>
      </c>
      <c r="AD128" s="532" t="s">
        <v>110</v>
      </c>
      <c r="AE128" s="590" t="s">
        <v>90</v>
      </c>
      <c r="AF128" s="590" t="s">
        <v>11</v>
      </c>
      <c r="AG128" s="533">
        <v>5</v>
      </c>
      <c r="AH128" s="532" t="s">
        <v>373</v>
      </c>
      <c r="AI128" s="590" t="s">
        <v>17</v>
      </c>
      <c r="AJ128" s="590" t="s">
        <v>18</v>
      </c>
      <c r="AK128" s="533">
        <v>3</v>
      </c>
      <c r="AL128" s="532"/>
      <c r="AO128" s="533"/>
      <c r="AP128" s="532"/>
      <c r="AS128" s="533"/>
      <c r="AW128" s="533"/>
      <c r="BA128" s="534"/>
    </row>
    <row r="129" spans="1:53" s="589" customFormat="1">
      <c r="A129" s="589">
        <v>2015</v>
      </c>
      <c r="B129" s="852">
        <v>42153</v>
      </c>
      <c r="C129" s="917" t="s">
        <v>1322</v>
      </c>
      <c r="D129" s="917"/>
      <c r="E129" s="589">
        <v>217</v>
      </c>
      <c r="F129" s="589">
        <v>1</v>
      </c>
      <c r="G129" s="498">
        <v>8</v>
      </c>
      <c r="H129" s="589">
        <v>6</v>
      </c>
      <c r="J129" s="500">
        <v>14</v>
      </c>
      <c r="K129" s="496">
        <f t="shared" si="38"/>
        <v>57.142857142857139</v>
      </c>
      <c r="L129" s="496">
        <f t="shared" si="39"/>
        <v>42.857142857142854</v>
      </c>
      <c r="M129" s="496">
        <f t="shared" si="40"/>
        <v>0</v>
      </c>
      <c r="N129" s="499">
        <f t="shared" si="41"/>
        <v>100</v>
      </c>
      <c r="O129" s="495">
        <v>37.5</v>
      </c>
      <c r="P129" s="496">
        <v>24.5</v>
      </c>
      <c r="Q129" s="496"/>
      <c r="R129" s="497">
        <f t="shared" si="42"/>
        <v>62</v>
      </c>
      <c r="S129" s="97">
        <v>2</v>
      </c>
      <c r="T129" s="839">
        <v>42113</v>
      </c>
      <c r="U129" s="852">
        <v>42153</v>
      </c>
      <c r="V129" s="492" t="s">
        <v>108</v>
      </c>
      <c r="W129" s="589" t="s">
        <v>75</v>
      </c>
      <c r="X129" s="589" t="s">
        <v>18</v>
      </c>
      <c r="Y129" s="493">
        <v>24.5</v>
      </c>
      <c r="Z129" s="589" t="s">
        <v>96</v>
      </c>
      <c r="AA129" s="589" t="s">
        <v>27</v>
      </c>
      <c r="AB129" s="633" t="s">
        <v>11</v>
      </c>
      <c r="AC129" s="589">
        <v>19</v>
      </c>
      <c r="AD129" s="492" t="s">
        <v>109</v>
      </c>
      <c r="AE129" s="589" t="s">
        <v>74</v>
      </c>
      <c r="AF129" s="589" t="s">
        <v>11</v>
      </c>
      <c r="AG129" s="493">
        <v>18.5</v>
      </c>
      <c r="AH129" s="492"/>
      <c r="AL129" s="492"/>
      <c r="AO129" s="493"/>
      <c r="AP129" s="492"/>
      <c r="AS129" s="493"/>
      <c r="AW129" s="493"/>
      <c r="BA129" s="494"/>
    </row>
    <row r="130" spans="1:53" s="659" customFormat="1">
      <c r="A130" s="659">
        <v>2016</v>
      </c>
      <c r="B130" s="852"/>
      <c r="C130" s="917" t="s">
        <v>1322</v>
      </c>
      <c r="D130" s="917"/>
      <c r="E130" s="659">
        <v>0</v>
      </c>
      <c r="G130" s="498">
        <v>8</v>
      </c>
      <c r="H130" s="659">
        <v>6</v>
      </c>
      <c r="J130" s="500">
        <v>14</v>
      </c>
      <c r="K130" s="496">
        <f t="shared" ref="K130:K135" si="43">G130/J130*100</f>
        <v>57.142857142857139</v>
      </c>
      <c r="L130" s="496">
        <f t="shared" ref="L130:L135" si="44">H130/J130*100</f>
        <v>42.857142857142854</v>
      </c>
      <c r="M130" s="496">
        <f t="shared" ref="M130:M135" si="45">I130/J130*100</f>
        <v>0</v>
      </c>
      <c r="N130" s="499">
        <f t="shared" ref="N130:N135" si="46">SUM(K130:M130)</f>
        <v>100</v>
      </c>
      <c r="O130" s="495">
        <v>37.5</v>
      </c>
      <c r="P130" s="496">
        <v>24.5</v>
      </c>
      <c r="Q130" s="496"/>
      <c r="R130" s="497">
        <f t="shared" ref="R130:R131" si="47">SUM(O130:Q130)</f>
        <v>62</v>
      </c>
      <c r="S130" s="97">
        <v>2</v>
      </c>
      <c r="T130" s="839"/>
      <c r="U130" s="852"/>
      <c r="V130" s="492" t="s">
        <v>108</v>
      </c>
      <c r="W130" s="659" t="s">
        <v>75</v>
      </c>
      <c r="X130" s="659" t="s">
        <v>18</v>
      </c>
      <c r="Y130" s="493">
        <v>24.5</v>
      </c>
      <c r="Z130" s="659" t="s">
        <v>96</v>
      </c>
      <c r="AA130" s="659" t="s">
        <v>27</v>
      </c>
      <c r="AB130" s="659" t="s">
        <v>11</v>
      </c>
      <c r="AC130" s="659">
        <v>19</v>
      </c>
      <c r="AD130" s="492" t="s">
        <v>109</v>
      </c>
      <c r="AE130" s="659" t="s">
        <v>74</v>
      </c>
      <c r="AF130" s="659" t="s">
        <v>11</v>
      </c>
      <c r="AG130" s="493">
        <v>18.5</v>
      </c>
      <c r="AH130" s="492"/>
      <c r="AL130" s="492"/>
      <c r="AO130" s="493"/>
      <c r="AP130" s="492"/>
      <c r="AS130" s="493"/>
      <c r="AW130" s="493"/>
      <c r="BA130" s="494"/>
    </row>
    <row r="131" spans="1:53" s="659" customFormat="1">
      <c r="A131" s="659">
        <v>2016</v>
      </c>
      <c r="B131" s="852"/>
      <c r="C131" s="917" t="s">
        <v>1322</v>
      </c>
      <c r="D131" s="917"/>
      <c r="E131" s="659">
        <v>366</v>
      </c>
      <c r="G131" s="498">
        <v>8</v>
      </c>
      <c r="H131" s="659">
        <v>6</v>
      </c>
      <c r="J131" s="500">
        <v>14</v>
      </c>
      <c r="K131" s="496">
        <f t="shared" si="43"/>
        <v>57.142857142857139</v>
      </c>
      <c r="L131" s="496">
        <f t="shared" si="44"/>
        <v>42.857142857142854</v>
      </c>
      <c r="M131" s="496">
        <f t="shared" si="45"/>
        <v>0</v>
      </c>
      <c r="N131" s="499">
        <f t="shared" si="46"/>
        <v>100</v>
      </c>
      <c r="O131" s="495">
        <v>37.5</v>
      </c>
      <c r="P131" s="496">
        <v>24.5</v>
      </c>
      <c r="Q131" s="496"/>
      <c r="R131" s="497">
        <f t="shared" si="47"/>
        <v>62</v>
      </c>
      <c r="S131" s="97">
        <v>2</v>
      </c>
      <c r="T131" s="839"/>
      <c r="U131" s="852"/>
      <c r="V131" s="492" t="s">
        <v>108</v>
      </c>
      <c r="W131" s="659" t="s">
        <v>75</v>
      </c>
      <c r="X131" s="659" t="s">
        <v>18</v>
      </c>
      <c r="Y131" s="493">
        <v>24.5</v>
      </c>
      <c r="Z131" s="659" t="s">
        <v>96</v>
      </c>
      <c r="AA131" s="659" t="s">
        <v>27</v>
      </c>
      <c r="AB131" s="659" t="s">
        <v>11</v>
      </c>
      <c r="AC131" s="659">
        <v>19</v>
      </c>
      <c r="AD131" s="492" t="s">
        <v>109</v>
      </c>
      <c r="AE131" s="659" t="s">
        <v>74</v>
      </c>
      <c r="AF131" s="659" t="s">
        <v>11</v>
      </c>
      <c r="AG131" s="493">
        <v>18.5</v>
      </c>
      <c r="AH131" s="492"/>
      <c r="AL131" s="492"/>
      <c r="AO131" s="493"/>
      <c r="AP131" s="492"/>
      <c r="AS131" s="493"/>
      <c r="AW131" s="493"/>
      <c r="BA131" s="494"/>
    </row>
    <row r="132" spans="1:53" s="727" customFormat="1">
      <c r="A132" s="727">
        <v>2017</v>
      </c>
      <c r="B132" s="852"/>
      <c r="C132" s="917" t="s">
        <v>1322</v>
      </c>
      <c r="D132" s="917"/>
      <c r="E132" s="727">
        <v>124</v>
      </c>
      <c r="G132" s="498">
        <v>8</v>
      </c>
      <c r="H132" s="727">
        <v>6</v>
      </c>
      <c r="J132" s="500">
        <v>14</v>
      </c>
      <c r="K132" s="496">
        <f t="shared" ref="K132" si="48">G132/J132*100</f>
        <v>57.142857142857139</v>
      </c>
      <c r="L132" s="496">
        <f t="shared" ref="L132" si="49">H132/J132*100</f>
        <v>42.857142857142854</v>
      </c>
      <c r="M132" s="496">
        <f t="shared" ref="M132" si="50">I132/J132*100</f>
        <v>0</v>
      </c>
      <c r="N132" s="499">
        <f t="shared" ref="N132" si="51">SUM(K132:M132)</f>
        <v>100</v>
      </c>
      <c r="O132" s="495">
        <v>37.5</v>
      </c>
      <c r="P132" s="496">
        <v>24.5</v>
      </c>
      <c r="Q132" s="496"/>
      <c r="R132" s="497">
        <f t="shared" ref="R132" si="52">SUM(O132:Q132)</f>
        <v>62</v>
      </c>
      <c r="S132" s="97">
        <v>2</v>
      </c>
      <c r="T132" s="839"/>
      <c r="U132" s="852"/>
      <c r="V132" s="492" t="s">
        <v>108</v>
      </c>
      <c r="W132" s="727" t="s">
        <v>75</v>
      </c>
      <c r="X132" s="727" t="s">
        <v>18</v>
      </c>
      <c r="Y132" s="493">
        <v>24.5</v>
      </c>
      <c r="Z132" s="727" t="s">
        <v>96</v>
      </c>
      <c r="AA132" s="727" t="s">
        <v>27</v>
      </c>
      <c r="AB132" s="727" t="s">
        <v>11</v>
      </c>
      <c r="AC132" s="727">
        <v>19</v>
      </c>
      <c r="AD132" s="492" t="s">
        <v>109</v>
      </c>
      <c r="AE132" s="727" t="s">
        <v>74</v>
      </c>
      <c r="AF132" s="727" t="s">
        <v>11</v>
      </c>
      <c r="AG132" s="493">
        <v>18.5</v>
      </c>
      <c r="AH132" s="492"/>
      <c r="AL132" s="492"/>
      <c r="AO132" s="493"/>
      <c r="AP132" s="492"/>
      <c r="AS132" s="493"/>
      <c r="AW132" s="493"/>
      <c r="BA132" s="494"/>
    </row>
    <row r="133" spans="1:53" s="727" customFormat="1">
      <c r="A133" s="727">
        <v>2017</v>
      </c>
      <c r="B133" s="860">
        <v>42860</v>
      </c>
      <c r="C133" s="917" t="s">
        <v>1322</v>
      </c>
      <c r="D133" s="917"/>
      <c r="E133" s="727">
        <v>54</v>
      </c>
      <c r="F133" s="502">
        <v>0</v>
      </c>
      <c r="G133" s="498">
        <v>9</v>
      </c>
      <c r="H133" s="727">
        <v>7</v>
      </c>
      <c r="J133" s="500">
        <v>16</v>
      </c>
      <c r="K133" s="496">
        <f t="shared" si="43"/>
        <v>56.25</v>
      </c>
      <c r="L133" s="496">
        <f t="shared" si="44"/>
        <v>43.75</v>
      </c>
      <c r="M133" s="496">
        <f t="shared" si="45"/>
        <v>0</v>
      </c>
      <c r="N133" s="499">
        <f t="shared" si="46"/>
        <v>100</v>
      </c>
      <c r="O133" s="495">
        <v>37.5</v>
      </c>
      <c r="P133" s="496">
        <v>24.5</v>
      </c>
      <c r="Q133" s="496"/>
      <c r="R133" s="497">
        <f t="shared" ref="R133:R134" si="53">SUM(O133:Q133)</f>
        <v>62</v>
      </c>
      <c r="S133" s="97">
        <v>2</v>
      </c>
      <c r="T133" s="839"/>
      <c r="U133" s="852"/>
      <c r="V133" s="492" t="s">
        <v>108</v>
      </c>
      <c r="W133" s="727" t="s">
        <v>75</v>
      </c>
      <c r="X133" s="727" t="s">
        <v>18</v>
      </c>
      <c r="Y133" s="493">
        <v>24.5</v>
      </c>
      <c r="Z133" s="727" t="s">
        <v>96</v>
      </c>
      <c r="AA133" s="727" t="s">
        <v>27</v>
      </c>
      <c r="AB133" s="727" t="s">
        <v>11</v>
      </c>
      <c r="AC133" s="727">
        <v>19</v>
      </c>
      <c r="AD133" s="492" t="s">
        <v>109</v>
      </c>
      <c r="AE133" s="727" t="s">
        <v>74</v>
      </c>
      <c r="AF133" s="727" t="s">
        <v>11</v>
      </c>
      <c r="AG133" s="493">
        <v>18.5</v>
      </c>
      <c r="AH133" s="492"/>
      <c r="AL133" s="492"/>
      <c r="AO133" s="493"/>
      <c r="AP133" s="492"/>
      <c r="AS133" s="493"/>
      <c r="AW133" s="493"/>
      <c r="BA133" s="494"/>
    </row>
    <row r="134" spans="1:53" s="778" customFormat="1">
      <c r="A134" s="778">
        <v>2017</v>
      </c>
      <c r="B134" s="867">
        <v>42914</v>
      </c>
      <c r="C134" s="916" t="s">
        <v>1411</v>
      </c>
      <c r="D134" s="916"/>
      <c r="E134" s="778">
        <v>187</v>
      </c>
      <c r="F134" s="462">
        <v>4</v>
      </c>
      <c r="G134" s="539">
        <v>10</v>
      </c>
      <c r="H134" s="778">
        <v>7</v>
      </c>
      <c r="J134" s="541">
        <v>17</v>
      </c>
      <c r="K134" s="537">
        <f t="shared" si="43"/>
        <v>58.82352941176471</v>
      </c>
      <c r="L134" s="537">
        <f t="shared" si="44"/>
        <v>41.17647058823529</v>
      </c>
      <c r="M134" s="537">
        <f t="shared" si="45"/>
        <v>0</v>
      </c>
      <c r="N134" s="540">
        <f t="shared" si="46"/>
        <v>100</v>
      </c>
      <c r="O134" s="536">
        <v>37.5</v>
      </c>
      <c r="P134" s="537">
        <v>24.5</v>
      </c>
      <c r="Q134" s="537"/>
      <c r="R134" s="538">
        <f t="shared" si="53"/>
        <v>62</v>
      </c>
      <c r="S134" s="340">
        <v>2</v>
      </c>
      <c r="T134" s="838"/>
      <c r="U134" s="867">
        <v>42914</v>
      </c>
      <c r="V134" s="532" t="s">
        <v>108</v>
      </c>
      <c r="W134" s="778" t="s">
        <v>75</v>
      </c>
      <c r="X134" s="778" t="s">
        <v>18</v>
      </c>
      <c r="Y134" s="533">
        <v>24.5</v>
      </c>
      <c r="Z134" s="532" t="s">
        <v>96</v>
      </c>
      <c r="AA134" s="778" t="s">
        <v>27</v>
      </c>
      <c r="AB134" s="778" t="s">
        <v>11</v>
      </c>
      <c r="AC134" s="778">
        <v>19</v>
      </c>
      <c r="AD134" s="532" t="s">
        <v>109</v>
      </c>
      <c r="AE134" s="778" t="s">
        <v>74</v>
      </c>
      <c r="AF134" s="778" t="s">
        <v>11</v>
      </c>
      <c r="AG134" s="533">
        <v>18.5</v>
      </c>
      <c r="AH134" s="532"/>
      <c r="AK134" s="533"/>
      <c r="AL134" s="532"/>
      <c r="AO134" s="533"/>
      <c r="AP134" s="532"/>
      <c r="AS134" s="533"/>
      <c r="AW134" s="533"/>
      <c r="BA134" s="534"/>
    </row>
    <row r="135" spans="1:53" s="778" customFormat="1">
      <c r="A135" s="778">
        <v>2018</v>
      </c>
      <c r="B135" s="867"/>
      <c r="C135" s="916" t="s">
        <v>1411</v>
      </c>
      <c r="D135" s="916"/>
      <c r="E135" s="778">
        <v>0</v>
      </c>
      <c r="F135" s="462"/>
      <c r="G135" s="539">
        <v>10</v>
      </c>
      <c r="H135" s="778">
        <v>7</v>
      </c>
      <c r="J135" s="541">
        <v>17</v>
      </c>
      <c r="K135" s="537">
        <f t="shared" si="43"/>
        <v>58.82352941176471</v>
      </c>
      <c r="L135" s="537">
        <f t="shared" si="44"/>
        <v>41.17647058823529</v>
      </c>
      <c r="M135" s="537">
        <f t="shared" si="45"/>
        <v>0</v>
      </c>
      <c r="N135" s="540">
        <f t="shared" si="46"/>
        <v>100</v>
      </c>
      <c r="O135" s="536">
        <v>37.5</v>
      </c>
      <c r="P135" s="537">
        <v>24.5</v>
      </c>
      <c r="Q135" s="537"/>
      <c r="R135" s="538">
        <f t="shared" ref="R135:R136" si="54">SUM(O135:Q135)</f>
        <v>62</v>
      </c>
      <c r="S135" s="340">
        <v>2</v>
      </c>
      <c r="T135" s="838"/>
      <c r="U135" s="836"/>
      <c r="V135" s="532" t="s">
        <v>108</v>
      </c>
      <c r="W135" s="778" t="s">
        <v>75</v>
      </c>
      <c r="X135" s="778" t="s">
        <v>18</v>
      </c>
      <c r="Y135" s="533">
        <v>24.5</v>
      </c>
      <c r="Z135" s="532" t="s">
        <v>1397</v>
      </c>
      <c r="AA135" s="778" t="s">
        <v>297</v>
      </c>
      <c r="AB135" s="778" t="s">
        <v>11</v>
      </c>
      <c r="AC135" s="778">
        <v>19</v>
      </c>
      <c r="AD135" s="532" t="s">
        <v>109</v>
      </c>
      <c r="AE135" s="778" t="s">
        <v>74</v>
      </c>
      <c r="AF135" s="778" t="s">
        <v>11</v>
      </c>
      <c r="AG135" s="533">
        <v>18.5</v>
      </c>
      <c r="AH135" s="532"/>
      <c r="AK135" s="533"/>
      <c r="AL135" s="532"/>
      <c r="AO135" s="533"/>
      <c r="AP135" s="532"/>
      <c r="AS135" s="533"/>
      <c r="AW135" s="533"/>
      <c r="BA135" s="534"/>
    </row>
    <row r="136" spans="1:53" s="778" customFormat="1">
      <c r="A136" s="778">
        <v>2018</v>
      </c>
      <c r="B136" s="867"/>
      <c r="C136" s="916" t="s">
        <v>1411</v>
      </c>
      <c r="D136" s="916"/>
      <c r="E136" s="778">
        <v>365</v>
      </c>
      <c r="F136" s="462"/>
      <c r="G136" s="539">
        <v>10</v>
      </c>
      <c r="H136" s="778">
        <v>7</v>
      </c>
      <c r="J136" s="541">
        <v>17</v>
      </c>
      <c r="K136" s="537">
        <f t="shared" ref="K136" si="55">G136/J136*100</f>
        <v>58.82352941176471</v>
      </c>
      <c r="L136" s="537">
        <f t="shared" ref="L136" si="56">H136/J136*100</f>
        <v>41.17647058823529</v>
      </c>
      <c r="M136" s="537">
        <f t="shared" ref="M136" si="57">I136/J136*100</f>
        <v>0</v>
      </c>
      <c r="N136" s="540">
        <f t="shared" ref="N136" si="58">SUM(K136:M136)</f>
        <v>100</v>
      </c>
      <c r="O136" s="536">
        <v>37.5</v>
      </c>
      <c r="P136" s="537">
        <v>24.5</v>
      </c>
      <c r="Q136" s="537"/>
      <c r="R136" s="538">
        <f t="shared" si="54"/>
        <v>62</v>
      </c>
      <c r="S136" s="340">
        <v>2</v>
      </c>
      <c r="T136" s="838"/>
      <c r="U136" s="836"/>
      <c r="V136" s="532" t="s">
        <v>108</v>
      </c>
      <c r="W136" s="778" t="s">
        <v>75</v>
      </c>
      <c r="X136" s="778" t="s">
        <v>18</v>
      </c>
      <c r="Y136" s="533">
        <v>24.5</v>
      </c>
      <c r="Z136" s="532" t="s">
        <v>1397</v>
      </c>
      <c r="AA136" s="778" t="s">
        <v>297</v>
      </c>
      <c r="AB136" s="778" t="s">
        <v>11</v>
      </c>
      <c r="AC136" s="778">
        <v>19</v>
      </c>
      <c r="AD136" s="532" t="s">
        <v>109</v>
      </c>
      <c r="AE136" s="778" t="s">
        <v>74</v>
      </c>
      <c r="AF136" s="778" t="s">
        <v>11</v>
      </c>
      <c r="AG136" s="533">
        <v>18.5</v>
      </c>
      <c r="AH136" s="532"/>
      <c r="AK136" s="533"/>
      <c r="AL136" s="532"/>
      <c r="AO136" s="533"/>
      <c r="AP136" s="532"/>
      <c r="AS136" s="533"/>
      <c r="AW136" s="533"/>
      <c r="BA136" s="534"/>
    </row>
    <row r="137" spans="1:53" s="786" customFormat="1">
      <c r="A137" s="786">
        <v>2019</v>
      </c>
      <c r="B137" s="867"/>
      <c r="C137" s="916" t="s">
        <v>1411</v>
      </c>
      <c r="D137" s="916"/>
      <c r="E137" s="786">
        <v>66</v>
      </c>
      <c r="F137" s="462"/>
      <c r="G137" s="539">
        <v>10</v>
      </c>
      <c r="H137" s="786">
        <v>7</v>
      </c>
      <c r="J137" s="541">
        <v>17</v>
      </c>
      <c r="K137" s="537">
        <f t="shared" ref="K137:K139" si="59">G137/J137*100</f>
        <v>58.82352941176471</v>
      </c>
      <c r="L137" s="537">
        <f t="shared" ref="L137:L139" si="60">H137/J137*100</f>
        <v>41.17647058823529</v>
      </c>
      <c r="M137" s="537">
        <f t="shared" ref="M137:M139" si="61">I137/J137*100</f>
        <v>0</v>
      </c>
      <c r="N137" s="540">
        <f t="shared" ref="N137:N139" si="62">SUM(K137:M137)</f>
        <v>100</v>
      </c>
      <c r="O137" s="536">
        <v>37.5</v>
      </c>
      <c r="P137" s="537">
        <v>24.5</v>
      </c>
      <c r="Q137" s="537"/>
      <c r="R137" s="538">
        <f t="shared" ref="R137:R139" si="63">SUM(O137:Q137)</f>
        <v>62</v>
      </c>
      <c r="S137" s="340">
        <v>2</v>
      </c>
      <c r="T137" s="838"/>
      <c r="U137" s="836"/>
      <c r="V137" s="532" t="s">
        <v>108</v>
      </c>
      <c r="W137" s="786" t="s">
        <v>75</v>
      </c>
      <c r="X137" s="786" t="s">
        <v>18</v>
      </c>
      <c r="Y137" s="533">
        <v>24.5</v>
      </c>
      <c r="Z137" s="532" t="s">
        <v>1397</v>
      </c>
      <c r="AA137" s="786" t="s">
        <v>297</v>
      </c>
      <c r="AB137" s="786" t="s">
        <v>11</v>
      </c>
      <c r="AC137" s="786">
        <v>19</v>
      </c>
      <c r="AD137" s="532" t="s">
        <v>109</v>
      </c>
      <c r="AE137" s="786" t="s">
        <v>74</v>
      </c>
      <c r="AF137" s="786" t="s">
        <v>11</v>
      </c>
      <c r="AG137" s="533">
        <v>18.5</v>
      </c>
      <c r="AH137" s="532"/>
      <c r="AL137" s="532"/>
      <c r="AO137" s="533"/>
      <c r="AP137" s="532"/>
      <c r="AS137" s="533"/>
      <c r="AW137" s="533"/>
      <c r="BA137" s="534"/>
    </row>
    <row r="138" spans="1:53" s="883" customFormat="1">
      <c r="A138" s="883">
        <v>2019</v>
      </c>
      <c r="B138" s="852">
        <v>43532</v>
      </c>
      <c r="C138" s="917" t="s">
        <v>1464</v>
      </c>
      <c r="D138" s="917"/>
      <c r="E138" s="883">
        <v>90</v>
      </c>
      <c r="F138" s="883">
        <v>2</v>
      </c>
      <c r="G138" s="498">
        <v>10</v>
      </c>
      <c r="H138" s="883">
        <v>6</v>
      </c>
      <c r="J138" s="500">
        <v>16</v>
      </c>
      <c r="K138" s="496">
        <f t="shared" si="59"/>
        <v>62.5</v>
      </c>
      <c r="L138" s="496">
        <f t="shared" si="60"/>
        <v>37.5</v>
      </c>
      <c r="M138" s="496">
        <f t="shared" si="61"/>
        <v>0</v>
      </c>
      <c r="N138" s="499">
        <f t="shared" si="62"/>
        <v>100</v>
      </c>
      <c r="O138" s="495">
        <v>37.5</v>
      </c>
      <c r="P138" s="496">
        <v>24.5</v>
      </c>
      <c r="Q138" s="496"/>
      <c r="R138" s="497">
        <f t="shared" si="63"/>
        <v>62</v>
      </c>
      <c r="S138" s="97">
        <v>6</v>
      </c>
      <c r="T138" s="839"/>
      <c r="U138" s="852">
        <v>43532</v>
      </c>
      <c r="V138" s="492" t="s">
        <v>108</v>
      </c>
      <c r="W138" s="883" t="s">
        <v>75</v>
      </c>
      <c r="X138" s="883" t="s">
        <v>18</v>
      </c>
      <c r="Y138" s="493">
        <v>24.5</v>
      </c>
      <c r="Z138" s="883" t="s">
        <v>1397</v>
      </c>
      <c r="AA138" s="883" t="s">
        <v>297</v>
      </c>
      <c r="AB138" s="883" t="s">
        <v>11</v>
      </c>
      <c r="AC138" s="883">
        <v>19</v>
      </c>
      <c r="AD138" s="492" t="s">
        <v>109</v>
      </c>
      <c r="AE138" s="883" t="s">
        <v>74</v>
      </c>
      <c r="AF138" s="883" t="s">
        <v>11</v>
      </c>
      <c r="AG138" s="493">
        <v>18.5</v>
      </c>
      <c r="AH138" s="492"/>
      <c r="AL138" s="492"/>
      <c r="AO138" s="493"/>
      <c r="AP138" s="492"/>
      <c r="AS138" s="493"/>
      <c r="AW138" s="493"/>
      <c r="BA138" s="494"/>
    </row>
    <row r="139" spans="1:53" s="884" customFormat="1">
      <c r="A139" s="884">
        <v>2019</v>
      </c>
      <c r="B139" s="867">
        <v>43622</v>
      </c>
      <c r="C139" s="916" t="s">
        <v>1417</v>
      </c>
      <c r="D139" s="916"/>
      <c r="E139" s="884">
        <v>187</v>
      </c>
      <c r="F139" s="462">
        <v>1</v>
      </c>
      <c r="G139" s="539">
        <v>2</v>
      </c>
      <c r="H139" s="884">
        <v>5</v>
      </c>
      <c r="I139" s="884">
        <v>12</v>
      </c>
      <c r="J139" s="541">
        <v>19</v>
      </c>
      <c r="K139" s="537">
        <f t="shared" si="59"/>
        <v>10.526315789473683</v>
      </c>
      <c r="L139" s="537">
        <f t="shared" si="60"/>
        <v>26.315789473684209</v>
      </c>
      <c r="M139" s="537">
        <f t="shared" si="61"/>
        <v>63.157894736842103</v>
      </c>
      <c r="N139" s="540">
        <f t="shared" si="62"/>
        <v>100</v>
      </c>
      <c r="O139" s="536">
        <v>4.5</v>
      </c>
      <c r="P139" s="537">
        <v>15.5</v>
      </c>
      <c r="Q139" s="537">
        <v>38</v>
      </c>
      <c r="R139" s="538">
        <f t="shared" si="63"/>
        <v>58</v>
      </c>
      <c r="S139" s="340">
        <v>3</v>
      </c>
      <c r="T139" s="838">
        <v>43569</v>
      </c>
      <c r="U139" s="836">
        <v>43622</v>
      </c>
      <c r="V139" s="532" t="s">
        <v>112</v>
      </c>
      <c r="W139" s="884" t="s">
        <v>20</v>
      </c>
      <c r="X139" s="884" t="s">
        <v>12</v>
      </c>
      <c r="Y139" s="533">
        <v>20</v>
      </c>
      <c r="Z139" s="532" t="s">
        <v>108</v>
      </c>
      <c r="AA139" s="884" t="s">
        <v>872</v>
      </c>
      <c r="AB139" s="884" t="s">
        <v>1419</v>
      </c>
      <c r="AC139" s="884">
        <v>15.5</v>
      </c>
      <c r="AD139" s="532" t="s">
        <v>365</v>
      </c>
      <c r="AE139" s="884" t="s">
        <v>218</v>
      </c>
      <c r="AF139" s="884" t="s">
        <v>12</v>
      </c>
      <c r="AG139" s="533">
        <v>10</v>
      </c>
      <c r="AH139" s="532" t="s">
        <v>364</v>
      </c>
      <c r="AI139" s="884" t="s">
        <v>193</v>
      </c>
      <c r="AJ139" s="884" t="s">
        <v>12</v>
      </c>
      <c r="AK139" s="533">
        <v>8</v>
      </c>
      <c r="AL139" s="532" t="s">
        <v>1420</v>
      </c>
      <c r="AM139" s="884" t="s">
        <v>90</v>
      </c>
      <c r="AN139" s="884" t="s">
        <v>11</v>
      </c>
      <c r="AO139" s="533">
        <v>4.5</v>
      </c>
      <c r="AP139" s="532"/>
      <c r="AS139" s="533"/>
      <c r="AW139" s="533"/>
      <c r="BA139" s="534"/>
    </row>
    <row r="140" spans="1:53" s="883" customFormat="1">
      <c r="A140" s="883">
        <v>2019</v>
      </c>
      <c r="B140" s="852">
        <v>43809</v>
      </c>
      <c r="C140" s="917" t="s">
        <v>1418</v>
      </c>
      <c r="D140" s="917"/>
      <c r="E140" s="883">
        <v>22</v>
      </c>
      <c r="F140" s="883">
        <v>2</v>
      </c>
      <c r="G140" s="498">
        <v>2</v>
      </c>
      <c r="H140" s="883">
        <v>5</v>
      </c>
      <c r="I140" s="883">
        <v>12</v>
      </c>
      <c r="J140" s="500">
        <v>19</v>
      </c>
      <c r="K140" s="496">
        <f t="shared" ref="K140" si="64">G140/J140*100</f>
        <v>10.526315789473683</v>
      </c>
      <c r="L140" s="496">
        <f t="shared" ref="L140" si="65">H140/J140*100</f>
        <v>26.315789473684209</v>
      </c>
      <c r="M140" s="496">
        <f t="shared" ref="M140" si="66">I140/J140*100</f>
        <v>63.157894736842103</v>
      </c>
      <c r="N140" s="499">
        <f t="shared" ref="N140" si="67">SUM(K140:M140)</f>
        <v>100</v>
      </c>
      <c r="O140" s="495">
        <v>4.5</v>
      </c>
      <c r="P140" s="496">
        <v>15.5</v>
      </c>
      <c r="Q140" s="496">
        <v>38</v>
      </c>
      <c r="R140" s="497">
        <f>SUM(O140:Q140)</f>
        <v>58</v>
      </c>
      <c r="S140" s="97">
        <v>3</v>
      </c>
      <c r="T140" s="839"/>
      <c r="U140" s="852">
        <v>43809</v>
      </c>
      <c r="V140" s="492" t="s">
        <v>112</v>
      </c>
      <c r="W140" s="883" t="s">
        <v>20</v>
      </c>
      <c r="X140" s="883" t="s">
        <v>12</v>
      </c>
      <c r="Y140" s="493">
        <v>20</v>
      </c>
      <c r="Z140" s="883" t="s">
        <v>108</v>
      </c>
      <c r="AA140" s="883" t="s">
        <v>872</v>
      </c>
      <c r="AB140" s="883" t="s">
        <v>1419</v>
      </c>
      <c r="AC140" s="883">
        <v>15.5</v>
      </c>
      <c r="AD140" s="492" t="s">
        <v>365</v>
      </c>
      <c r="AE140" s="883" t="s">
        <v>218</v>
      </c>
      <c r="AF140" s="883" t="s">
        <v>12</v>
      </c>
      <c r="AG140" s="493">
        <v>10</v>
      </c>
      <c r="AH140" s="492" t="s">
        <v>364</v>
      </c>
      <c r="AI140" s="883" t="s">
        <v>193</v>
      </c>
      <c r="AJ140" s="883" t="s">
        <v>12</v>
      </c>
      <c r="AK140" s="883">
        <v>8</v>
      </c>
      <c r="AL140" s="492" t="s">
        <v>1420</v>
      </c>
      <c r="AM140" s="883" t="s">
        <v>90</v>
      </c>
      <c r="AN140" s="883" t="s">
        <v>11</v>
      </c>
      <c r="AO140" s="493">
        <v>4.5</v>
      </c>
      <c r="AP140" s="492"/>
      <c r="AS140" s="493"/>
      <c r="AW140" s="493"/>
      <c r="BA140" s="494"/>
    </row>
    <row r="141" spans="1:53" s="727" customFormat="1">
      <c r="B141" s="725"/>
      <c r="C141" s="917"/>
      <c r="D141" s="917"/>
      <c r="G141" s="498"/>
      <c r="J141" s="500"/>
      <c r="K141" s="496"/>
      <c r="L141" s="496"/>
      <c r="M141" s="496"/>
      <c r="N141" s="499"/>
      <c r="O141" s="495"/>
      <c r="P141" s="496"/>
      <c r="Q141" s="496"/>
      <c r="R141" s="497"/>
      <c r="S141" s="97"/>
      <c r="T141" s="839"/>
      <c r="U141" s="852"/>
      <c r="V141" s="492"/>
      <c r="Y141" s="493"/>
      <c r="AD141" s="492"/>
      <c r="AG141" s="493"/>
      <c r="AH141" s="492"/>
      <c r="AL141" s="492"/>
      <c r="AO141" s="493"/>
      <c r="AP141" s="492"/>
      <c r="AS141" s="493"/>
      <c r="AW141" s="493"/>
      <c r="BA141" s="494"/>
    </row>
    <row r="142" spans="1:53" s="727" customFormat="1">
      <c r="B142" s="725"/>
      <c r="C142" s="917"/>
      <c r="D142" s="917"/>
      <c r="G142" s="498"/>
      <c r="J142" s="500"/>
      <c r="K142" s="496"/>
      <c r="L142" s="496"/>
      <c r="M142" s="496"/>
      <c r="N142" s="499"/>
      <c r="O142" s="495"/>
      <c r="P142" s="496"/>
      <c r="Q142" s="496"/>
      <c r="R142" s="497"/>
      <c r="S142" s="97"/>
      <c r="T142" s="839"/>
      <c r="U142" s="852"/>
      <c r="V142" s="492"/>
      <c r="Y142" s="493"/>
      <c r="AD142" s="492"/>
      <c r="AG142" s="493"/>
      <c r="AH142" s="492"/>
      <c r="AL142" s="492"/>
      <c r="AO142" s="493"/>
      <c r="AP142" s="492"/>
      <c r="AS142" s="493"/>
      <c r="AW142" s="493"/>
      <c r="BA142" s="494"/>
    </row>
    <row r="143" spans="1:53" s="2" customFormat="1" ht="18" customHeight="1">
      <c r="B143" s="22" t="s">
        <v>1269</v>
      </c>
    </row>
    <row r="144" spans="1:53" s="2" customFormat="1" ht="9" customHeight="1"/>
    <row r="145" spans="1:30" s="317" customFormat="1" ht="9" customHeight="1">
      <c r="A145" s="315"/>
      <c r="B145" s="316" t="s">
        <v>1220</v>
      </c>
      <c r="C145" s="316"/>
      <c r="D145" s="316"/>
      <c r="E145" s="316"/>
      <c r="F145" s="316"/>
      <c r="G145" s="316" t="s">
        <v>1221</v>
      </c>
      <c r="H145" s="316"/>
      <c r="I145" s="316"/>
      <c r="J145" s="316"/>
      <c r="K145" s="316"/>
      <c r="L145" s="316"/>
      <c r="M145" s="316"/>
      <c r="N145" s="316"/>
      <c r="R145" s="895" t="s">
        <v>1222</v>
      </c>
      <c r="S145" s="895"/>
      <c r="T145" s="895"/>
      <c r="U145" s="895"/>
      <c r="V145" s="895"/>
      <c r="W145" s="895"/>
      <c r="X145" s="318"/>
      <c r="Y145" s="318"/>
      <c r="AA145" s="318"/>
      <c r="AB145" s="318"/>
      <c r="AC145" s="318"/>
      <c r="AD145" s="318"/>
    </row>
    <row r="146" spans="1:30" s="322" customFormat="1" ht="9" customHeight="1">
      <c r="A146" s="319"/>
      <c r="B146" s="320" t="s">
        <v>1224</v>
      </c>
      <c r="C146" s="321"/>
      <c r="D146" s="321"/>
      <c r="E146" s="321"/>
      <c r="F146" s="321"/>
      <c r="G146" s="320" t="s">
        <v>1223</v>
      </c>
      <c r="H146" s="321"/>
      <c r="I146" s="321"/>
      <c r="J146" s="321"/>
      <c r="K146" s="321"/>
      <c r="L146" s="321"/>
      <c r="M146" s="321"/>
      <c r="N146" s="321"/>
      <c r="R146" s="323" t="s">
        <v>1225</v>
      </c>
      <c r="S146" s="324"/>
      <c r="T146" s="325"/>
      <c r="U146" s="325"/>
      <c r="V146" s="325"/>
      <c r="W146" s="323" t="s">
        <v>1226</v>
      </c>
      <c r="X146" s="325"/>
      <c r="Y146" s="325"/>
      <c r="AA146" s="325"/>
      <c r="AB146" s="325"/>
      <c r="AC146" s="325"/>
      <c r="AD146" s="325"/>
    </row>
    <row r="147" spans="1:30" s="307" customFormat="1" ht="12" customHeight="1">
      <c r="A147" s="326" t="s">
        <v>3</v>
      </c>
      <c r="B147" s="327" t="s">
        <v>8</v>
      </c>
      <c r="C147" s="327" t="s">
        <v>9</v>
      </c>
      <c r="D147" s="327" t="s">
        <v>10</v>
      </c>
      <c r="E147" s="328" t="s">
        <v>1200</v>
      </c>
      <c r="F147" s="327"/>
      <c r="G147" s="307" t="s">
        <v>3</v>
      </c>
      <c r="H147" s="896" t="s">
        <v>0</v>
      </c>
      <c r="I147" s="896"/>
      <c r="J147" s="896" t="s">
        <v>1</v>
      </c>
      <c r="K147" s="896"/>
      <c r="L147" s="896" t="s">
        <v>2</v>
      </c>
      <c r="M147" s="896"/>
      <c r="N147" s="897" t="s">
        <v>1200</v>
      </c>
      <c r="O147" s="897"/>
      <c r="P147" s="329"/>
      <c r="Q147" s="329"/>
      <c r="R147" s="330" t="s">
        <v>3</v>
      </c>
      <c r="S147" s="331" t="s">
        <v>136</v>
      </c>
      <c r="T147" s="329" t="s">
        <v>134</v>
      </c>
      <c r="U147" s="327" t="s">
        <v>135</v>
      </c>
      <c r="V147" s="329"/>
      <c r="W147" s="332" t="s">
        <v>26</v>
      </c>
    </row>
    <row r="148" spans="1:30" s="243" customFormat="1">
      <c r="A148" s="243">
        <v>1959</v>
      </c>
      <c r="B148" s="244">
        <f>(K6*($E6/365))+(K7*($E7/365))</f>
        <v>0.8966376089663759</v>
      </c>
      <c r="C148" s="244">
        <f>(L6*($E6/365))+(L7*($E7/365))</f>
        <v>97.907845579078469</v>
      </c>
      <c r="D148" s="244">
        <f>(M6*($E6/365))+(M7*($E7/365))</f>
        <v>0.8966376089663759</v>
      </c>
      <c r="E148" s="246">
        <f>B148+C148+D148</f>
        <v>99.701120797011214</v>
      </c>
      <c r="G148" s="243">
        <v>1959</v>
      </c>
      <c r="H148" s="898">
        <f>(O6/$R6*100*($E6/365))+(O7/$R7*100*($E7/365))</f>
        <v>1.0005955926146517</v>
      </c>
      <c r="I148" s="898"/>
      <c r="J148" s="898">
        <f>(P6/$R6*100*($E6/365))+(P7/$R7*100*($E7/365))</f>
        <v>97.855866587254326</v>
      </c>
      <c r="K148" s="898"/>
      <c r="L148" s="898">
        <f>(Q6/$R6*100*($E6/365))+(Q7/$R7*100*($E7/365))</f>
        <v>1.1435378201310302</v>
      </c>
      <c r="M148" s="898"/>
      <c r="N148" s="937">
        <f>H148+J148+K148</f>
        <v>98.856462179868984</v>
      </c>
      <c r="O148" s="937"/>
      <c r="P148" s="245"/>
      <c r="Q148" s="245"/>
      <c r="R148" s="245">
        <v>1959</v>
      </c>
      <c r="S148" s="244">
        <f>(O6*($E6/365))+(O7*($E7/365))</f>
        <v>0.69041095890410953</v>
      </c>
      <c r="T148" s="244">
        <f>(P6*($E6/365))+(P7*($E7/365))</f>
        <v>24</v>
      </c>
      <c r="U148" s="244">
        <f>(Q6*($E6/365))+(Q7*($E7/365))</f>
        <v>0.78904109589041083</v>
      </c>
      <c r="V148" s="245"/>
      <c r="W148" s="244">
        <f>S148+T148+U148</f>
        <v>25.479452054794521</v>
      </c>
      <c r="X148" s="232"/>
      <c r="Y148" s="232"/>
    </row>
    <row r="149" spans="1:30">
      <c r="A149" s="1">
        <v>1960</v>
      </c>
      <c r="B149" s="7">
        <f>(K8*($E8/366))+(K9*($E9/366))</f>
        <v>0</v>
      </c>
      <c r="C149" s="7">
        <f>(L8*($E8/366))+(L9*($E9/366))</f>
        <v>100</v>
      </c>
      <c r="D149" s="7">
        <f>(M8*($E8/366))+(M9*($E9/366))</f>
        <v>0</v>
      </c>
      <c r="E149" s="35">
        <f>SUM(B149:D149)</f>
        <v>100</v>
      </c>
      <c r="G149" s="1">
        <v>1960</v>
      </c>
      <c r="H149" s="886">
        <f>(O8/$R8*100*($E8/366))+(O9/$R9*100*($E9/366))</f>
        <v>0</v>
      </c>
      <c r="I149" s="886"/>
      <c r="J149" s="886">
        <f>(P8/$R8*100*($E8/366))+(P9/$R9*100*($E9/366))</f>
        <v>100</v>
      </c>
      <c r="K149" s="886"/>
      <c r="L149" s="886">
        <f>(Q8/$R8*100*($E8/366))+(Q9/$R9*100*($E9/366))</f>
        <v>0</v>
      </c>
      <c r="M149" s="886"/>
      <c r="N149" s="919">
        <f t="shared" ref="N149:N179" si="68">SUM(H149:M149)</f>
        <v>100</v>
      </c>
      <c r="O149" s="919"/>
      <c r="P149" s="12"/>
      <c r="Q149" s="12"/>
      <c r="R149" s="12">
        <v>1960</v>
      </c>
      <c r="S149" s="7">
        <f>(O8*($E8/366))+(O9*($E9/366))</f>
        <v>0</v>
      </c>
      <c r="T149" s="7">
        <f>(P8*($E8/366))+(P9*($E9/366))</f>
        <v>24</v>
      </c>
      <c r="U149" s="7">
        <f>(Q8*($E8/366))+(Q9*($E9/366))</f>
        <v>0</v>
      </c>
      <c r="V149" s="12"/>
      <c r="W149" s="7">
        <f>SUM(S149:U149)</f>
        <v>24</v>
      </c>
      <c r="X149" s="5"/>
      <c r="Y149" s="5"/>
    </row>
    <row r="150" spans="1:30">
      <c r="A150" s="1">
        <v>1961</v>
      </c>
      <c r="B150" s="8">
        <f>(K10*($E10/365))+(K11*($E11/365))</f>
        <v>0</v>
      </c>
      <c r="C150" s="8">
        <f>(L10*($E10/365))+(L11*($E11/365))</f>
        <v>96.396206533192839</v>
      </c>
      <c r="D150" s="8">
        <f>(M10*($E10/365))+(M11*($E11/365))</f>
        <v>0</v>
      </c>
      <c r="E150" s="35">
        <f t="shared" ref="E150:E202" si="69">SUM(B150:D150)</f>
        <v>96.396206533192839</v>
      </c>
      <c r="G150" s="1">
        <v>1961</v>
      </c>
      <c r="H150" s="886">
        <f>(O10/$R10*100*($E10/365))+(O11/$R11*100*($E11/365))</f>
        <v>0</v>
      </c>
      <c r="I150" s="886"/>
      <c r="J150" s="886">
        <f>(P10/$R10*100*($E10/365))+(P11/$R11*100*($E11/365))</f>
        <v>100</v>
      </c>
      <c r="K150" s="886"/>
      <c r="L150" s="886">
        <f>(Q10/$R10*100*($E10/365))+(Q11/$R11*100*($E11/365))</f>
        <v>0</v>
      </c>
      <c r="M150" s="886"/>
      <c r="N150" s="919">
        <f t="shared" si="68"/>
        <v>100</v>
      </c>
      <c r="O150" s="919"/>
      <c r="P150" s="12"/>
      <c r="Q150" s="12"/>
      <c r="R150" s="12">
        <v>1961</v>
      </c>
      <c r="S150" s="8">
        <f>(O10*($E10/365))+(O11*($E11/365))</f>
        <v>0</v>
      </c>
      <c r="T150" s="8">
        <f>(P10*($E10/365))+(P11*($E11/365))</f>
        <v>24</v>
      </c>
      <c r="U150" s="8">
        <f>(Q10*($E10/365))+(Q11*($E11/365))</f>
        <v>0</v>
      </c>
      <c r="V150" s="12"/>
      <c r="W150" s="7">
        <f t="shared" ref="W150:W202" si="70">SUM(S150:U150)</f>
        <v>24</v>
      </c>
      <c r="X150" s="5"/>
      <c r="Y150" s="5"/>
    </row>
    <row r="151" spans="1:30">
      <c r="A151" s="1">
        <v>1962</v>
      </c>
      <c r="B151" s="8">
        <f>(K12*($E12/365))+(K13*($E13/365))</f>
        <v>19.651307596513075</v>
      </c>
      <c r="C151" s="8">
        <f>(L12*($E12/365))+(L13*($E13/365))</f>
        <v>71.648625347255489</v>
      </c>
      <c r="D151" s="8">
        <f>(M12*($E12/365))+(M13*($E13/365))</f>
        <v>0</v>
      </c>
      <c r="E151" s="35">
        <f t="shared" si="69"/>
        <v>91.299932943768567</v>
      </c>
      <c r="G151" s="1">
        <v>1962</v>
      </c>
      <c r="H151" s="886">
        <f>(O12/$R12*100*($E12/365))+(O13/$R13*100*($E13/365))</f>
        <v>29.593933463796478</v>
      </c>
      <c r="I151" s="886"/>
      <c r="J151" s="886">
        <f>(P12/$R12*100*($E12/365))+(P13/$R13*100*($E13/365))</f>
        <v>70.406066536203525</v>
      </c>
      <c r="K151" s="886"/>
      <c r="L151" s="886">
        <f>(Q12/$R12*100*($E12/365))+(Q13/$R13*100*($E13/365))</f>
        <v>0</v>
      </c>
      <c r="M151" s="886"/>
      <c r="N151" s="919">
        <f t="shared" si="68"/>
        <v>100</v>
      </c>
      <c r="O151" s="919"/>
      <c r="P151" s="12"/>
      <c r="Q151" s="12"/>
      <c r="R151" s="12">
        <v>1962</v>
      </c>
      <c r="S151" s="8">
        <f>(O12*($E12/365))+(O13*($E13/365))</f>
        <v>16.57260273972603</v>
      </c>
      <c r="T151" s="8">
        <f>(P12*($E12/365))+(P13*($E13/365))</f>
        <v>30.484931506849314</v>
      </c>
      <c r="U151" s="8">
        <f>(Q12*($E12/365))+(Q13*($E13/365))</f>
        <v>0</v>
      </c>
      <c r="V151" s="12"/>
      <c r="W151" s="7">
        <f t="shared" si="70"/>
        <v>47.057534246575344</v>
      </c>
      <c r="X151" s="5"/>
      <c r="Y151" s="5"/>
    </row>
    <row r="152" spans="1:30">
      <c r="A152" s="1">
        <v>1963</v>
      </c>
      <c r="B152" s="8">
        <f>(K14*($E14/365))+(K15*($E15/365))+(K16*($E16/365))</f>
        <v>26.65255292652553</v>
      </c>
      <c r="C152" s="8">
        <f>(L14*($E14/365))+(L15*($E15/365))+(L16*($E16/365))</f>
        <v>62.189290161892899</v>
      </c>
      <c r="D152" s="8">
        <f>(M14*($E14/365))+(M15*($E15/365))+(M16*($E16/365))</f>
        <v>0</v>
      </c>
      <c r="E152" s="35">
        <f t="shared" si="69"/>
        <v>88.841843088418429</v>
      </c>
      <c r="G152" s="1">
        <v>1963</v>
      </c>
      <c r="H152" s="938">
        <f>(O14/$R14*100*($E14/365))+(O15/$R15*100*($E15/365))</f>
        <v>39.496086105675147</v>
      </c>
      <c r="I152" s="938"/>
      <c r="J152" s="938">
        <f>(P14/$R14*100*($E14/365))+(P15/$R15*100*($E15/365))</f>
        <v>56.668297455968691</v>
      </c>
      <c r="K152" s="938"/>
      <c r="L152" s="938">
        <f>(Q14/$R14*100*($E14/365))+(Q15/$R15*100*($E15/365))</f>
        <v>0</v>
      </c>
      <c r="M152" s="938"/>
      <c r="N152" s="930">
        <f t="shared" si="68"/>
        <v>96.164383561643831</v>
      </c>
      <c r="O152" s="930"/>
      <c r="P152" s="12"/>
      <c r="Q152" s="12"/>
      <c r="R152" s="12">
        <v>1963</v>
      </c>
      <c r="S152" s="8">
        <f>(O14*($E14/365))+(O15*($E15/365))+(O16*($E16/365))</f>
        <v>22.117808219178084</v>
      </c>
      <c r="T152" s="8">
        <f>(P14*($E14/365))+(P15*($E15/365))+(P16*($E16/365))</f>
        <v>31.734246575342468</v>
      </c>
      <c r="U152" s="8">
        <f>(Q14*($E14/365))+(Q15*($E15/365))+(Q16*($E16/365))</f>
        <v>0</v>
      </c>
      <c r="V152" s="12"/>
      <c r="W152" s="7">
        <f t="shared" si="70"/>
        <v>53.852054794520555</v>
      </c>
      <c r="X152" s="5"/>
      <c r="Y152" s="5"/>
    </row>
    <row r="153" spans="1:30">
      <c r="A153" s="1">
        <v>1964</v>
      </c>
      <c r="B153" s="8">
        <f>(K17*($E17/366))+(K18*($E18/366))</f>
        <v>11.028315946348734</v>
      </c>
      <c r="C153" s="8">
        <f>(L17*($E17/366))+(L18*($E18/366))</f>
        <v>19.299552906110282</v>
      </c>
      <c r="D153" s="8">
        <f>(M17*($E17/366))+(M18*($E18/366))</f>
        <v>0</v>
      </c>
      <c r="E153" s="35">
        <f t="shared" si="69"/>
        <v>30.327868852459016</v>
      </c>
      <c r="G153" s="1">
        <v>1964</v>
      </c>
      <c r="H153" s="938">
        <f>(O18/$R18*100*($E18/366))</f>
        <v>12.456088992974239</v>
      </c>
      <c r="I153" s="938"/>
      <c r="J153" s="938">
        <f>(P18/$R18*100*($E18/366))</f>
        <v>17.871779859484779</v>
      </c>
      <c r="K153" s="938"/>
      <c r="L153" s="938">
        <f>(Q18/$R18*100*($E18/366))</f>
        <v>0</v>
      </c>
      <c r="M153" s="938"/>
      <c r="N153" s="930">
        <f t="shared" si="68"/>
        <v>30.327868852459019</v>
      </c>
      <c r="O153" s="930"/>
      <c r="P153" s="12"/>
      <c r="Q153" s="12"/>
      <c r="R153" s="12">
        <v>1964</v>
      </c>
      <c r="S153" s="8">
        <f>(O17*($E17/366))+(O18*($E18/366))</f>
        <v>6.9754098360655741</v>
      </c>
      <c r="T153" s="8">
        <f>(P17*($E17/366))+(P18*($E18/366))</f>
        <v>10.008196721311476</v>
      </c>
      <c r="U153" s="8">
        <f>(Q17*($E17/366))+(Q18*($E18/366))</f>
        <v>0</v>
      </c>
      <c r="V153" s="12"/>
      <c r="W153" s="7">
        <f t="shared" si="70"/>
        <v>16.983606557377051</v>
      </c>
      <c r="X153" s="5"/>
      <c r="Y153" s="5"/>
    </row>
    <row r="154" spans="1:30">
      <c r="A154" s="1">
        <v>1965</v>
      </c>
      <c r="B154" s="8">
        <f>(K19*($E19/365))+(K20*($E20/365))</f>
        <v>36.363636363636367</v>
      </c>
      <c r="C154" s="8">
        <f>(L19*($E19/365))+(L20*($E20/365))</f>
        <v>63.636363636363633</v>
      </c>
      <c r="D154" s="8">
        <f>(M19*($E19/365))+(M20*($E20/365))</f>
        <v>0</v>
      </c>
      <c r="E154" s="35">
        <f t="shared" si="69"/>
        <v>100</v>
      </c>
      <c r="G154" s="1">
        <v>1965</v>
      </c>
      <c r="H154" s="886">
        <f>(O19/$R19*100*($E19/365))+(O20/$R20*100*($E20/365))</f>
        <v>41.071428571428569</v>
      </c>
      <c r="I154" s="886"/>
      <c r="J154" s="886">
        <f>(P19/$R19*100*($E19/365))+(P20/$R20*100*($E20/365))</f>
        <v>58.928571428571431</v>
      </c>
      <c r="K154" s="886"/>
      <c r="L154" s="886">
        <f>(Q19/$R19*100*($E19/365))+(Q20/$R20*100*($E20/365))</f>
        <v>0</v>
      </c>
      <c r="M154" s="886"/>
      <c r="N154" s="919">
        <f t="shared" si="68"/>
        <v>100</v>
      </c>
      <c r="O154" s="919"/>
      <c r="P154" s="12"/>
      <c r="Q154" s="12"/>
      <c r="R154" s="12">
        <v>1965</v>
      </c>
      <c r="S154" s="8">
        <f>(O19*($E19/365))+(O20*($E20/365))</f>
        <v>23</v>
      </c>
      <c r="T154" s="8">
        <f>(P19*($E19/365))+(P20*($E20/365))</f>
        <v>33</v>
      </c>
      <c r="U154" s="8">
        <f>(Q19*($E19/365))+(Q20*($E20/365))</f>
        <v>0</v>
      </c>
      <c r="V154" s="12"/>
      <c r="W154" s="7">
        <f t="shared" si="70"/>
        <v>56</v>
      </c>
      <c r="X154" s="5"/>
      <c r="Y154" s="5"/>
    </row>
    <row r="155" spans="1:30">
      <c r="A155" s="1">
        <v>1966</v>
      </c>
      <c r="B155" s="8">
        <f>(K21*($E21/365))+(K22*($E22/365))</f>
        <v>14.545454545454547</v>
      </c>
      <c r="C155" s="8">
        <f>(L21*($E21/365))+(L22*($E22/365))</f>
        <v>45.454545454545453</v>
      </c>
      <c r="D155" s="8">
        <f>(M21*($E21/365))+(M22*($E22/365))</f>
        <v>39.999999999999993</v>
      </c>
      <c r="E155" s="35">
        <f t="shared" si="69"/>
        <v>100</v>
      </c>
      <c r="G155" s="1">
        <v>1966</v>
      </c>
      <c r="H155" s="886">
        <f>(O21/$R21*100*($E21/365))+(O22/$R22*100*($E22/365))</f>
        <v>16.428571428571427</v>
      </c>
      <c r="I155" s="886"/>
      <c r="J155" s="886">
        <f>(P21/$R21*100*($E21/365))+(P22/$R22*100*($E22/365))</f>
        <v>42.913533834586467</v>
      </c>
      <c r="K155" s="886"/>
      <c r="L155" s="886">
        <f>(Q21/$R21*100*($E21/365))+(Q22/$R22*100*($E22/365))</f>
        <v>40.65789473684211</v>
      </c>
      <c r="M155" s="886"/>
      <c r="N155" s="919">
        <f t="shared" si="68"/>
        <v>100</v>
      </c>
      <c r="O155" s="919"/>
      <c r="P155" s="12"/>
      <c r="Q155" s="12"/>
      <c r="R155" s="12">
        <v>1966</v>
      </c>
      <c r="S155" s="8">
        <f>(O21*($E21/365))+(O22*($E22/365))</f>
        <v>9.2000000000000011</v>
      </c>
      <c r="T155" s="8">
        <f>(P21*($E21/365))+(P22*($E22/365))</f>
        <v>27.9</v>
      </c>
      <c r="U155" s="8">
        <f>(Q21*($E21/365))+(Q22*($E22/365))</f>
        <v>30.9</v>
      </c>
      <c r="V155" s="12"/>
      <c r="W155" s="7">
        <f t="shared" si="70"/>
        <v>68</v>
      </c>
      <c r="X155" s="5"/>
      <c r="Y155" s="5"/>
    </row>
    <row r="156" spans="1:30">
      <c r="A156" s="1">
        <v>1967</v>
      </c>
      <c r="B156" s="8">
        <f>(K23*($E23/365))+(K24*($E24/365))</f>
        <v>0</v>
      </c>
      <c r="C156" s="8">
        <f>(L23*($E23/365))+(L24*($E24/365))</f>
        <v>33.333333333333329</v>
      </c>
      <c r="D156" s="8">
        <f>(M23*($E23/365))+(M24*($E24/365))</f>
        <v>66.666666666666657</v>
      </c>
      <c r="E156" s="35">
        <f t="shared" si="69"/>
        <v>99.999999999999986</v>
      </c>
      <c r="G156" s="1">
        <v>1967</v>
      </c>
      <c r="H156" s="886">
        <f>(O23/$R23*100*($E23/365))+(O24/$R24*100*($E24/365))</f>
        <v>0</v>
      </c>
      <c r="I156" s="886"/>
      <c r="J156" s="886">
        <f>(P23/$R23*100*($E23/365))+(P24/$R24*100*($E24/365))</f>
        <v>32.236842105263158</v>
      </c>
      <c r="K156" s="886"/>
      <c r="L156" s="886">
        <f>(Q23/$R23*100*($E23/365))+(Q24/$R24*100*($E24/365))</f>
        <v>67.76315789473685</v>
      </c>
      <c r="M156" s="886"/>
      <c r="N156" s="919">
        <f t="shared" si="68"/>
        <v>100</v>
      </c>
      <c r="O156" s="919"/>
      <c r="P156" s="12"/>
      <c r="Q156" s="12"/>
      <c r="R156" s="12">
        <v>1967</v>
      </c>
      <c r="S156" s="8">
        <f>(O23*($E23/365))+(O24*($E24/365))</f>
        <v>0</v>
      </c>
      <c r="T156" s="8">
        <f>(P23*($E23/365))+(P24*($E24/365))</f>
        <v>24.5</v>
      </c>
      <c r="U156" s="8">
        <f>(Q23*($E23/365))+(Q24*($E24/365))</f>
        <v>51.5</v>
      </c>
      <c r="V156" s="12"/>
      <c r="W156" s="7">
        <f t="shared" si="70"/>
        <v>76</v>
      </c>
      <c r="X156" s="5"/>
      <c r="Y156" s="5"/>
    </row>
    <row r="157" spans="1:30">
      <c r="A157" s="1">
        <v>1968</v>
      </c>
      <c r="B157" s="8">
        <f>(K25*($E25/366))+(K26*($E26/366))</f>
        <v>6.4890710382513648</v>
      </c>
      <c r="C157" s="8">
        <f>(L25*($E25/366))+(L26*($E26/366))</f>
        <v>33.333333333333329</v>
      </c>
      <c r="D157" s="8">
        <f>(M25*($E25/366))+(M26*($E26/366))</f>
        <v>60.177595628415304</v>
      </c>
      <c r="E157" s="35">
        <f t="shared" si="69"/>
        <v>100</v>
      </c>
      <c r="G157" s="1">
        <v>1968</v>
      </c>
      <c r="H157" s="886">
        <f>(O25/$R25*100*($E25/366))+(O26/$R26*100*($E26/366))</f>
        <v>7.3170731707317067</v>
      </c>
      <c r="I157" s="886"/>
      <c r="J157" s="886">
        <f>(P25/$R25*100*($E25/366))+(P26/$R26*100*($E26/366))</f>
        <v>29.878048780487802</v>
      </c>
      <c r="K157" s="886"/>
      <c r="L157" s="886">
        <f>(Q25/$R25*100*($E25/366))+(Q26/$R26*100*($E26/366))</f>
        <v>62.804878048780481</v>
      </c>
      <c r="M157" s="886"/>
      <c r="N157" s="919">
        <f t="shared" si="68"/>
        <v>99.999999999999986</v>
      </c>
      <c r="O157" s="919"/>
      <c r="P157" s="12"/>
      <c r="Q157" s="12"/>
      <c r="R157" s="12">
        <v>1968</v>
      </c>
      <c r="S157" s="8">
        <f>(O25*($E25/366))+(O26*($E26/366))</f>
        <v>6</v>
      </c>
      <c r="T157" s="8">
        <f>(P25*($E25/366))+(P26*($E26/366))</f>
        <v>24.5</v>
      </c>
      <c r="U157" s="8">
        <f>(Q25*($E25/366))+(Q26*($E26/366))</f>
        <v>51.5</v>
      </c>
      <c r="V157" s="12"/>
      <c r="W157" s="7">
        <f t="shared" si="70"/>
        <v>82</v>
      </c>
      <c r="X157" s="5"/>
      <c r="Y157" s="5"/>
    </row>
    <row r="158" spans="1:30">
      <c r="A158" s="1">
        <v>1969</v>
      </c>
      <c r="B158" s="8">
        <f>(K27*($E27/365))+(K28*($E28/365))</f>
        <v>8.3333333333333321</v>
      </c>
      <c r="C158" s="8">
        <f>(L27*($E27/365))+(L28*($E28/365))</f>
        <v>33.333333333333329</v>
      </c>
      <c r="D158" s="8">
        <f>(M27*($E27/365))+(M28*($E28/365))</f>
        <v>58.333333333333336</v>
      </c>
      <c r="E158" s="35">
        <f t="shared" si="69"/>
        <v>100</v>
      </c>
      <c r="G158" s="1">
        <v>1969</v>
      </c>
      <c r="H158" s="886">
        <f>(O27/$R27*100*($E27/365))+(O28/$R28*100*($E28/365))</f>
        <v>7.3170731707317067</v>
      </c>
      <c r="I158" s="886"/>
      <c r="J158" s="886">
        <f>(P27/$R27*100*($E27/365))+(P28/$R28*100*($E28/365))</f>
        <v>29.878048780487802</v>
      </c>
      <c r="K158" s="886"/>
      <c r="L158" s="886">
        <f>(Q27/$R27*100*($E27/365))+(Q28/$R28*100*($E28/365))</f>
        <v>62.804878048780488</v>
      </c>
      <c r="M158" s="886"/>
      <c r="N158" s="919">
        <f t="shared" si="68"/>
        <v>100</v>
      </c>
      <c r="O158" s="919"/>
      <c r="P158" s="12"/>
      <c r="Q158" s="12"/>
      <c r="R158" s="12">
        <v>1969</v>
      </c>
      <c r="S158" s="8">
        <f>(O27*($E27/365))+(O28*($E28/365))</f>
        <v>6</v>
      </c>
      <c r="T158" s="8">
        <f>(P27*($E27/365))+(P28*($E28/365))</f>
        <v>24.5</v>
      </c>
      <c r="U158" s="8">
        <f>(Q27*($E27/365))+(Q28*($E28/365))</f>
        <v>51.5</v>
      </c>
      <c r="V158" s="12"/>
      <c r="W158" s="7">
        <f t="shared" si="70"/>
        <v>82</v>
      </c>
      <c r="X158" s="5"/>
      <c r="Y158" s="5"/>
    </row>
    <row r="159" spans="1:30">
      <c r="A159" s="1">
        <v>1970</v>
      </c>
      <c r="B159" s="8">
        <f>(K29*($E29/365))+(K30*($E30/365))+(K31*($E31/365))</f>
        <v>11.617492096944151</v>
      </c>
      <c r="C159" s="8">
        <f>(L29*($E29/365))+(L30*($E30/365))+(L31*($E31/365))</f>
        <v>39.304531085352998</v>
      </c>
      <c r="D159" s="8">
        <f>(M29*($E29/365))+(M30*($E30/365))+(M31*($E31/365))</f>
        <v>49.077976817702847</v>
      </c>
      <c r="E159" s="35">
        <f t="shared" si="69"/>
        <v>100</v>
      </c>
      <c r="G159" s="1">
        <v>1970</v>
      </c>
      <c r="H159" s="886">
        <f>(O29/$R29*100*($E29/365))+(O30/$R30*100*($E30/365))+(O31/$R31*100*($E31/365))</f>
        <v>12.287698115526265</v>
      </c>
      <c r="I159" s="886"/>
      <c r="J159" s="886">
        <f>(P29/$R29*100*($E29/365))+(P30/$R30*100*($E30/365))+(P31/$R31*100*($E31/365))</f>
        <v>30.713475120107837</v>
      </c>
      <c r="K159" s="886"/>
      <c r="L159" s="886">
        <f>(Q29/$R29*100*($E29/365))+(Q30/$R30*100*($E30/365))+(Q31/$R31*100*($E31/365))</f>
        <v>56.998826764365894</v>
      </c>
      <c r="M159" s="886"/>
      <c r="N159" s="919">
        <f t="shared" si="68"/>
        <v>100</v>
      </c>
      <c r="O159" s="919"/>
      <c r="P159" s="12"/>
      <c r="Q159" s="12"/>
      <c r="R159" s="12">
        <v>1970</v>
      </c>
      <c r="S159" s="8">
        <f>(O29*($E29/365))+(O30*($E30/365))+(O31*($E31/365))</f>
        <v>9.1424657534246556</v>
      </c>
      <c r="T159" s="8">
        <f>(P29*($E29/365))+(P30*($E30/365))+(P31*($E31/365))</f>
        <v>23.228767123287668</v>
      </c>
      <c r="U159" s="8">
        <f>(Q29*($E29/365))+(Q30*($E30/365))+(Q31*($E31/365))</f>
        <v>43.357534246575341</v>
      </c>
      <c r="V159" s="12"/>
      <c r="W159" s="7">
        <f t="shared" si="70"/>
        <v>75.728767123287668</v>
      </c>
      <c r="X159" s="5"/>
      <c r="Y159" s="5"/>
    </row>
    <row r="160" spans="1:30">
      <c r="A160" s="1">
        <v>1971</v>
      </c>
      <c r="B160" s="8">
        <f>(K32*($E32/365))+(K33*($E33/365))+(K34*($E34/365))</f>
        <v>13.382507903055847</v>
      </c>
      <c r="C160" s="8">
        <f>(L32*($E32/365))+(L33*($E33/365))+(L34*($E34/365))</f>
        <v>41.496311907270808</v>
      </c>
      <c r="D160" s="8">
        <f>(M32*($E32/365))+(M33*($E33/365))+(M34*($E34/365))</f>
        <v>38.37723919915701</v>
      </c>
      <c r="E160" s="35">
        <f t="shared" si="69"/>
        <v>93.256059009483664</v>
      </c>
      <c r="G160" s="1">
        <v>1971</v>
      </c>
      <c r="H160" s="886">
        <f>(O32/$R32*100*($E32/365))+(O33/$R33*100*($E33/365))+(O34/$R34*100*($E34/365))</f>
        <v>13.401540380631944</v>
      </c>
      <c r="I160" s="886"/>
      <c r="J160" s="886">
        <f>(P32/$R32*100*($E32/365))+(P33/$R33*100*($E33/365))+(P34/$R34*100*($E34/365))</f>
        <v>37.896110138359603</v>
      </c>
      <c r="K160" s="886"/>
      <c r="L160" s="886">
        <f>(Q32/$R32*100*($E32/365))+(Q33/$R33*100*($E33/365))+(Q34/$R34*100*($E34/365))</f>
        <v>48.702349481008454</v>
      </c>
      <c r="M160" s="886"/>
      <c r="N160" s="919">
        <f t="shared" si="68"/>
        <v>100</v>
      </c>
      <c r="O160" s="919"/>
      <c r="P160" s="12"/>
      <c r="Q160" s="12"/>
      <c r="R160" s="12">
        <v>1971</v>
      </c>
      <c r="S160" s="8">
        <f>(O32*($E32/365))+(O33*($E33/365))+(O34*($E34/365))</f>
        <v>8.1917808219178099</v>
      </c>
      <c r="T160" s="8">
        <f>(P32*($E32/365))+(P33*($E33/365))+(P34*($E34/365))</f>
        <v>22.5</v>
      </c>
      <c r="U160" s="8">
        <f>(Q32*($E32/365))+(Q33*($E33/365))+(Q34*($E34/365))</f>
        <v>29.642465753424659</v>
      </c>
      <c r="V160" s="12"/>
      <c r="W160" s="7">
        <f t="shared" si="70"/>
        <v>60.334246575342469</v>
      </c>
      <c r="X160" s="5"/>
      <c r="Y160" s="5"/>
    </row>
    <row r="161" spans="1:25">
      <c r="A161" s="1">
        <v>1972</v>
      </c>
      <c r="B161" s="8">
        <f>(K35*($E35/366))+(K36*($E36/366))+(K37*($E37/366))</f>
        <v>5.1781210592685998</v>
      </c>
      <c r="C161" s="8">
        <f>(L35*($E35/366))+(L36*($E36/366))+(L37*($E37/366))</f>
        <v>16.648276586801178</v>
      </c>
      <c r="D161" s="8">
        <f>(M35*($E35/366))+(M36*($E36/366))+(M37*($E37/366))</f>
        <v>70.571931483816726</v>
      </c>
      <c r="E161" s="35">
        <f t="shared" si="69"/>
        <v>92.398329129886505</v>
      </c>
      <c r="G161" s="1">
        <v>1972</v>
      </c>
      <c r="H161" s="886">
        <f>(O35/$R35*100*($E35/366))+(O36/$R36*100*($E36/366))+(O37/$R37*100*($E37/366))</f>
        <v>7.0671738331580443</v>
      </c>
      <c r="I161" s="886"/>
      <c r="J161" s="886">
        <f>(P35/$R35*100*($E35/366))+(P36/$R36*100*($E36/366))+(P37/$R37*100*($E37/366))</f>
        <v>17.661915628661049</v>
      </c>
      <c r="K161" s="886"/>
      <c r="L161" s="886">
        <f>(Q35/$R35*100*($E35/366))+(Q36/$R36*100*($E36/366))+(Q37/$R37*100*($E37/366))</f>
        <v>75.270910538180914</v>
      </c>
      <c r="M161" s="886"/>
      <c r="N161" s="919">
        <f t="shared" si="68"/>
        <v>100</v>
      </c>
      <c r="O161" s="919"/>
      <c r="P161" s="12"/>
      <c r="Q161" s="12"/>
      <c r="R161" s="12">
        <v>1972</v>
      </c>
      <c r="S161" s="8">
        <f>(O35*($E35/366))+(O36*($E36/366))+(O37*($E37/366))</f>
        <v>4.304644808743169</v>
      </c>
      <c r="T161" s="8">
        <f>(P35*($E35/366))+(P36*($E36/366))+(P37*($E37/366))</f>
        <v>10.08606557377049</v>
      </c>
      <c r="U161" s="8">
        <f>(Q35*($E35/366))+(Q36*($E36/366))+(Q37*($E37/366))</f>
        <v>27.210382513661202</v>
      </c>
      <c r="V161" s="12"/>
      <c r="W161" s="7">
        <f t="shared" si="70"/>
        <v>41.601092896174862</v>
      </c>
      <c r="X161" s="5"/>
      <c r="Y161" s="5"/>
    </row>
    <row r="162" spans="1:25">
      <c r="A162" s="1">
        <v>1973</v>
      </c>
      <c r="B162" s="8">
        <f>(K38*($E38/365))+(K39*($E39/365))</f>
        <v>12.5</v>
      </c>
      <c r="C162" s="8">
        <f>(L38*($E38/365))+(L39*($E39/365))</f>
        <v>37.5</v>
      </c>
      <c r="D162" s="8">
        <f>(M38*($E38/365))+(M39*($E39/365))</f>
        <v>43.75</v>
      </c>
      <c r="E162" s="35">
        <f t="shared" si="69"/>
        <v>93.75</v>
      </c>
      <c r="G162" s="1">
        <v>1973</v>
      </c>
      <c r="H162" s="886">
        <f>(O38/$R38*100*($E38/365))+(O39/$R39*100*($E39/365))</f>
        <v>9.3457943925233646</v>
      </c>
      <c r="I162" s="886"/>
      <c r="J162" s="886">
        <f>(P38/$R38*100*($E38/365))+(P39/$R39*100*($E39/365))</f>
        <v>39.252336448598129</v>
      </c>
      <c r="K162" s="886"/>
      <c r="L162" s="886">
        <f>(Q38/$R38*100*($E38/365))+(Q39/$R39*100*($E39/365))</f>
        <v>51.401869158878498</v>
      </c>
      <c r="M162" s="886"/>
      <c r="N162" s="919">
        <f t="shared" si="68"/>
        <v>100</v>
      </c>
      <c r="O162" s="919"/>
      <c r="P162" s="12"/>
      <c r="Q162" s="12"/>
      <c r="R162" s="12">
        <v>1973</v>
      </c>
      <c r="S162" s="8">
        <f>(O38*($E38/365))+(O39*($E39/365))</f>
        <v>5</v>
      </c>
      <c r="T162" s="8">
        <f>(P38*($E38/365))+(P39*($E39/365))</f>
        <v>21</v>
      </c>
      <c r="U162" s="8">
        <f>(Q38*($E38/365))+(Q39*($E39/365))</f>
        <v>27.5</v>
      </c>
      <c r="V162" s="12"/>
      <c r="W162" s="7">
        <f t="shared" si="70"/>
        <v>53.5</v>
      </c>
      <c r="X162" s="5"/>
      <c r="Y162" s="5"/>
    </row>
    <row r="163" spans="1:25">
      <c r="A163" s="1">
        <v>1974</v>
      </c>
      <c r="B163" s="8">
        <f>(K40*($E40/365))+(K41*($E41/365))</f>
        <v>12.5</v>
      </c>
      <c r="C163" s="8">
        <f>(L40*($E40/365))+(L41*($E41/365))</f>
        <v>37.5</v>
      </c>
      <c r="D163" s="8">
        <f>(M40*($E40/365))+(M41*($E41/365))</f>
        <v>43.75</v>
      </c>
      <c r="E163" s="35">
        <f t="shared" si="69"/>
        <v>93.75</v>
      </c>
      <c r="G163" s="1">
        <v>1974</v>
      </c>
      <c r="H163" s="886">
        <f>(O40/$R40*100*($E40/365))+(O41/$R41*100*($E41/365))</f>
        <v>9.3457943925233646</v>
      </c>
      <c r="I163" s="886"/>
      <c r="J163" s="886">
        <f>(P40/$R40*100*($E40/365))+(P41/$R41*100*($E41/365))</f>
        <v>39.252336448598129</v>
      </c>
      <c r="K163" s="886"/>
      <c r="L163" s="886">
        <f>(Q40/$R40*100*($E40/365))+(Q41/$R41*100*($E41/365))</f>
        <v>51.401869158878498</v>
      </c>
      <c r="M163" s="886"/>
      <c r="N163" s="919">
        <f t="shared" si="68"/>
        <v>100</v>
      </c>
      <c r="O163" s="919"/>
      <c r="P163" s="12"/>
      <c r="Q163" s="12"/>
      <c r="R163" s="12">
        <v>1974</v>
      </c>
      <c r="S163" s="8">
        <f>(O40*($E40/365))+(O41*($E41/365))</f>
        <v>5</v>
      </c>
      <c r="T163" s="8">
        <f>(P40*($E40/365))+(P41*($E41/365))</f>
        <v>21</v>
      </c>
      <c r="U163" s="8">
        <f>(Q40*($E40/365))+(Q41*($E41/365))</f>
        <v>27.5</v>
      </c>
      <c r="V163" s="12"/>
      <c r="W163" s="7">
        <f t="shared" si="70"/>
        <v>53.5</v>
      </c>
      <c r="X163" s="5"/>
      <c r="Y163" s="5"/>
    </row>
    <row r="164" spans="1:25">
      <c r="A164" s="1">
        <v>1975</v>
      </c>
      <c r="B164" s="8">
        <f>(K42*($E42/365))+(K43*($E43/365))+(K44*($E44/365))</f>
        <v>12.035768645357686</v>
      </c>
      <c r="C164" s="8">
        <f>(L42*($E42/365))+(L43*($E43/365))+(L44*($E44/365))</f>
        <v>30.140791476407916</v>
      </c>
      <c r="D164" s="8">
        <f>(M42*($E42/365))+(M43*($E43/365))+(M44*($E44/365))</f>
        <v>37.619863013698634</v>
      </c>
      <c r="E164" s="35">
        <f t="shared" si="69"/>
        <v>79.796423135464238</v>
      </c>
      <c r="G164" s="1">
        <v>1975</v>
      </c>
      <c r="H164" s="938">
        <f>(O42/$R42*100*($E42/365))+(O43/$R43*100*($E43/365))+(O44/$R44*100*($E44/365))</f>
        <v>19.388350533227189</v>
      </c>
      <c r="I164" s="938"/>
      <c r="J164" s="938">
        <f>(P42/$R42*100*($E42/365))+(P43/$R43*100*($E43/365))+(P44/$R44*100*($E44/365))</f>
        <v>34.270293580577999</v>
      </c>
      <c r="K164" s="938"/>
      <c r="L164" s="938">
        <f>(Q42/$R42*100*($E42/365))+(Q43/$R43*100*($E43/365))+(Q44/$R44*100*($E44/365))</f>
        <v>46.341355886194812</v>
      </c>
      <c r="M164" s="938"/>
      <c r="N164" s="930">
        <f t="shared" si="68"/>
        <v>100</v>
      </c>
      <c r="O164" s="930"/>
      <c r="P164" s="12"/>
      <c r="Q164" s="12"/>
      <c r="R164" s="12">
        <v>1975</v>
      </c>
      <c r="S164" s="8">
        <f>(O42*($E42/365))+(O43*($E43/365))+(O44*($E44/365))</f>
        <v>12.917808219178083</v>
      </c>
      <c r="T164" s="8">
        <f>(P42*($E42/365))+(P43*($E43/365))+(P44*($E44/365))</f>
        <v>21.263013698630132</v>
      </c>
      <c r="U164" s="8">
        <f>(Q42*($E42/365))+(Q43*($E43/365))+(Q44*($E44/365))</f>
        <v>28.976712328767121</v>
      </c>
      <c r="V164" s="12"/>
      <c r="W164" s="7">
        <f t="shared" si="70"/>
        <v>63.157534246575338</v>
      </c>
      <c r="X164" s="5"/>
      <c r="Y164" s="5"/>
    </row>
    <row r="165" spans="1:25">
      <c r="A165" s="1">
        <v>1976</v>
      </c>
      <c r="B165" s="8">
        <f>(K45*($E45/366))+(K46*($E46/366))</f>
        <v>13.073011536126291</v>
      </c>
      <c r="C165" s="8">
        <f>(L45*($E45/366))+(L46*($E46/366))</f>
        <v>39.905889496053433</v>
      </c>
      <c r="D165" s="8">
        <f>(M45*($E45/366))+(M46*($E46/366))</f>
        <v>37.158469945355193</v>
      </c>
      <c r="E165" s="35">
        <f t="shared" si="69"/>
        <v>90.137370977534914</v>
      </c>
      <c r="G165" s="1">
        <v>1976</v>
      </c>
      <c r="H165" s="886">
        <f>(O45/$R45*100*($E45/366))+(O46/$R46*100*($E46/366))</f>
        <v>9.3173861731774323</v>
      </c>
      <c r="I165" s="886"/>
      <c r="J165" s="886">
        <f>(P45/$R45*100*($E45/366))+(P46/$R46*100*($E46/366))</f>
        <v>44.723453631251672</v>
      </c>
      <c r="K165" s="886"/>
      <c r="L165" s="886">
        <f>(Q45/$R45*100*($E45/366))+(Q46/$R46*100*($E46/366))</f>
        <v>45.959160195570902</v>
      </c>
      <c r="M165" s="886"/>
      <c r="N165" s="919">
        <f t="shared" si="68"/>
        <v>100</v>
      </c>
      <c r="O165" s="919"/>
      <c r="P165" s="12"/>
      <c r="Q165" s="12"/>
      <c r="R165" s="12">
        <v>1976</v>
      </c>
      <c r="S165" s="8">
        <f>(O45*($E45/366))+(O46*($E46/366))</f>
        <v>5</v>
      </c>
      <c r="T165" s="8">
        <f>(P45*($E45/366))+(P46*($E46/366))</f>
        <v>24</v>
      </c>
      <c r="U165" s="8">
        <f>(Q45*($E45/366))+(Q46*($E46/366))</f>
        <v>34.928961748633881</v>
      </c>
      <c r="V165" s="12"/>
      <c r="W165" s="7">
        <f t="shared" si="70"/>
        <v>63.928961748633881</v>
      </c>
      <c r="X165" s="5"/>
      <c r="Y165" s="5"/>
    </row>
    <row r="166" spans="1:25">
      <c r="A166" s="1">
        <v>1977</v>
      </c>
      <c r="B166" s="8">
        <f>(K47*($E47/365))+(K48*($E48/365))</f>
        <v>11.102739726027398</v>
      </c>
      <c r="C166" s="8">
        <f>(L47*($E47/365))+(L48*($E48/365))</f>
        <v>52.849315068493148</v>
      </c>
      <c r="D166" s="8">
        <f>(M47*($E47/365))+(M48*($E48/365))</f>
        <v>29.534246575342461</v>
      </c>
      <c r="E166" s="35">
        <f t="shared" si="69"/>
        <v>93.486301369863014</v>
      </c>
      <c r="G166" s="1">
        <v>1977</v>
      </c>
      <c r="H166" s="886">
        <f>(O47/$R47*100*($E47/365))+(O48/$R48*100*($E48/365))</f>
        <v>10.493374437510877</v>
      </c>
      <c r="I166" s="886"/>
      <c r="J166" s="886">
        <f>(P47/$R47*100*($E47/365))+(P48/$R48*100*($E48/365))</f>
        <v>50.368197300052202</v>
      </c>
      <c r="K166" s="886"/>
      <c r="L166" s="886">
        <f>(Q47/$R47*100*($E47/365))+(Q48/$R48*100*($E48/365))</f>
        <v>39.138428262436911</v>
      </c>
      <c r="M166" s="886"/>
      <c r="N166" s="919">
        <f t="shared" si="68"/>
        <v>100</v>
      </c>
      <c r="O166" s="919"/>
      <c r="P166" s="12"/>
      <c r="Q166" s="12"/>
      <c r="R166" s="12">
        <v>1977</v>
      </c>
      <c r="S166" s="8">
        <f>(O47*($E47/365))+(O48*($E48/365))</f>
        <v>5</v>
      </c>
      <c r="T166" s="8">
        <f>(P47*($E47/365))+(P48*($E48/365))</f>
        <v>24</v>
      </c>
      <c r="U166" s="8">
        <f>(Q47*($E47/365))+(Q48*($E48/365))</f>
        <v>29.745205479452054</v>
      </c>
      <c r="V166" s="12"/>
      <c r="W166" s="7">
        <f t="shared" si="70"/>
        <v>58.745205479452054</v>
      </c>
      <c r="X166" s="5"/>
      <c r="Y166" s="5"/>
    </row>
    <row r="167" spans="1:25">
      <c r="A167" s="1">
        <v>1978</v>
      </c>
      <c r="B167" s="8">
        <f>(K49*($E49/365))+(K50*($E50/365))</f>
        <v>1.095890410958904</v>
      </c>
      <c r="C167" s="8">
        <f>(L49*($E49/365))+(L50*($E50/365))</f>
        <v>45.570776255707756</v>
      </c>
      <c r="D167" s="8">
        <f>(M49*($E49/365))+(M50*($E50/365))</f>
        <v>46.666666666666664</v>
      </c>
      <c r="E167" s="35">
        <f t="shared" si="69"/>
        <v>93.333333333333314</v>
      </c>
      <c r="G167" s="1">
        <v>1978</v>
      </c>
      <c r="H167" s="886">
        <f>(O49/$R49*100*($E49/365))+(O50/$R50*100*($E50/365))</f>
        <v>1.0814708002883922</v>
      </c>
      <c r="I167" s="886"/>
      <c r="J167" s="886">
        <f>(P49/$R49*100*($E49/365))+(P50/$R50*100*($E50/365))</f>
        <v>33.437249306944764</v>
      </c>
      <c r="K167" s="886"/>
      <c r="L167" s="886">
        <f>(Q49/$R49*100*($E49/365))+(Q50/$R50*100*($E50/365))</f>
        <v>65.481279892766835</v>
      </c>
      <c r="M167" s="886"/>
      <c r="N167" s="919">
        <f t="shared" si="68"/>
        <v>100</v>
      </c>
      <c r="O167" s="919"/>
      <c r="P167" s="12"/>
      <c r="Q167" s="12"/>
      <c r="R167" s="12">
        <v>1978</v>
      </c>
      <c r="S167" s="8">
        <f>(O49*($E49/365))+(O50*($E50/365))</f>
        <v>0.82191780821917804</v>
      </c>
      <c r="T167" s="8">
        <f>(P49*($E49/365))+(P50*($E50/365))</f>
        <v>24</v>
      </c>
      <c r="U167" s="8">
        <f>(Q49*($E49/365))+(Q50*($E50/365))</f>
        <v>47</v>
      </c>
      <c r="V167" s="12"/>
      <c r="W167" s="7">
        <f t="shared" si="70"/>
        <v>71.821917808219183</v>
      </c>
      <c r="X167" s="5"/>
      <c r="Y167" s="5"/>
    </row>
    <row r="168" spans="1:25">
      <c r="A168" s="1">
        <v>1979</v>
      </c>
      <c r="B168" s="8">
        <f>(K51*($E51/365))+(K52*($E52/365))</f>
        <v>7.1232876712328759</v>
      </c>
      <c r="C168" s="8">
        <f>(L51*($E51/365))+(L52*($E52/365))</f>
        <v>39.780821917808218</v>
      </c>
      <c r="D168" s="8">
        <f>(M51*($E51/365))+(M52*($E52/365))</f>
        <v>46.904109589041092</v>
      </c>
      <c r="E168" s="35">
        <f t="shared" si="69"/>
        <v>93.808219178082183</v>
      </c>
      <c r="G168" s="1">
        <v>1979</v>
      </c>
      <c r="H168" s="886">
        <f>(O51/$R51*100*($E51/365))+(O52/$R52*100*($E52/365))</f>
        <v>4.5524770831187551</v>
      </c>
      <c r="I168" s="886"/>
      <c r="J168" s="886">
        <f>(P51/$R51*100*($E51/365))+(P52/$R52*100*($E52/365))</f>
        <v>29.724823345262635</v>
      </c>
      <c r="K168" s="886"/>
      <c r="L168" s="886">
        <f>(Q51/$R51*100*($E51/365))+(Q52/$R52*100*($E52/365))</f>
        <v>65.722699571618605</v>
      </c>
      <c r="M168" s="886"/>
      <c r="N168" s="919">
        <f t="shared" si="68"/>
        <v>100</v>
      </c>
      <c r="O168" s="919"/>
      <c r="P168" s="12"/>
      <c r="Q168" s="12"/>
      <c r="R168" s="12">
        <v>1979</v>
      </c>
      <c r="S168" s="8">
        <f>(O51*($E51/365))+(O52*($E52/365))</f>
        <v>3.0273972602739723</v>
      </c>
      <c r="T168" s="8">
        <f>(P51*($E51/365))+(P52*($E52/365))</f>
        <v>20.367123287671234</v>
      </c>
      <c r="U168" s="8">
        <f>(Q51*($E51/365))+(Q52*($E52/365))</f>
        <v>44.88082191780822</v>
      </c>
      <c r="V168" s="12"/>
      <c r="W168" s="7">
        <f t="shared" si="70"/>
        <v>68.275342465753425</v>
      </c>
      <c r="X168" s="5"/>
      <c r="Y168" s="5"/>
    </row>
    <row r="169" spans="1:25">
      <c r="A169" s="1">
        <v>1980</v>
      </c>
      <c r="B169" s="8">
        <f>(K53*($E53/366))+(K54*($E54/366))</f>
        <v>11.76470588235294</v>
      </c>
      <c r="C169" s="8">
        <f>(L53*($E53/366))+(L54*($E54/366))</f>
        <v>35.294117647058826</v>
      </c>
      <c r="D169" s="8">
        <f>(M53*($E53/366))+(M54*($E54/366))</f>
        <v>47.058823529411761</v>
      </c>
      <c r="E169" s="35">
        <f t="shared" si="69"/>
        <v>94.117647058823536</v>
      </c>
      <c r="G169" s="1">
        <v>1980</v>
      </c>
      <c r="H169" s="886">
        <f>(O53/$R53*100*($E53/366))+(O54/$R54*100*($E54/366))</f>
        <v>7.518796992481203</v>
      </c>
      <c r="I169" s="886"/>
      <c r="J169" s="886">
        <f>(P53/$R53*100*($E53/366))+(P54/$R54*100*($E54/366))</f>
        <v>27.06766917293233</v>
      </c>
      <c r="K169" s="886"/>
      <c r="L169" s="886">
        <f>(Q53/$R53*100*($E53/366))+(Q54/$R54*100*($E54/366))</f>
        <v>65.413533834586474</v>
      </c>
      <c r="M169" s="886"/>
      <c r="N169" s="919">
        <f t="shared" si="68"/>
        <v>100</v>
      </c>
      <c r="O169" s="919"/>
      <c r="P169" s="12"/>
      <c r="Q169" s="12"/>
      <c r="R169" s="12">
        <v>1980</v>
      </c>
      <c r="S169" s="8">
        <f>(O53*($E53/366))+(O54*($E54/366))</f>
        <v>5</v>
      </c>
      <c r="T169" s="8">
        <f>(P53*($E53/366))+(P54*($E54/366))</f>
        <v>18</v>
      </c>
      <c r="U169" s="8">
        <f>(Q53*($E53/366))+(Q54*($E54/366))</f>
        <v>43.5</v>
      </c>
      <c r="V169" s="12"/>
      <c r="W169" s="7">
        <f t="shared" si="70"/>
        <v>66.5</v>
      </c>
      <c r="X169" s="5"/>
      <c r="Y169" s="5"/>
    </row>
    <row r="170" spans="1:25">
      <c r="A170" s="1">
        <v>1981</v>
      </c>
      <c r="B170" s="8">
        <f>(K55*($E55/365))+(K56*($E56/365))</f>
        <v>11.76470588235294</v>
      </c>
      <c r="C170" s="8">
        <f>(L55*($E55/365))+(L56*($E56/365))</f>
        <v>35.294117647058826</v>
      </c>
      <c r="D170" s="8">
        <f>(M55*($E55/365))+(M56*($E56/365))</f>
        <v>47.058823529411761</v>
      </c>
      <c r="E170" s="35">
        <f t="shared" si="69"/>
        <v>94.117647058823536</v>
      </c>
      <c r="G170" s="1">
        <v>1981</v>
      </c>
      <c r="H170" s="886">
        <f>(O55/$R55*100*($E55/365))+(O56/$R56*100*($E56/365))</f>
        <v>7.518796992481203</v>
      </c>
      <c r="I170" s="886"/>
      <c r="J170" s="886">
        <f>(P55/$R55*100*($E55/365))+(P56/$R56*100*($E56/365))</f>
        <v>27.06766917293233</v>
      </c>
      <c r="K170" s="886"/>
      <c r="L170" s="886">
        <f>(Q55/$R55*100*($E55/365))+(Q56/$R56*100*($E56/365))</f>
        <v>65.413533834586474</v>
      </c>
      <c r="M170" s="886"/>
      <c r="N170" s="919">
        <f t="shared" si="68"/>
        <v>100</v>
      </c>
      <c r="O170" s="919"/>
      <c r="P170" s="12"/>
      <c r="Q170" s="12"/>
      <c r="R170" s="12">
        <v>1981</v>
      </c>
      <c r="S170" s="8">
        <f>(O55*($E55/365))+(O56*($E56/365))</f>
        <v>5</v>
      </c>
      <c r="T170" s="8">
        <f>(P55*($E55/365))+(P56*($E56/365))</f>
        <v>18</v>
      </c>
      <c r="U170" s="8">
        <f>(Q55*($E55/365))+(Q56*($E56/365))</f>
        <v>43.5</v>
      </c>
      <c r="V170" s="12"/>
      <c r="W170" s="7">
        <f t="shared" si="70"/>
        <v>66.5</v>
      </c>
      <c r="X170" s="5"/>
      <c r="Y170" s="5"/>
    </row>
    <row r="171" spans="1:25">
      <c r="A171" s="1">
        <v>1982</v>
      </c>
      <c r="B171" s="8">
        <f>(K57*($E57/365))+(K58*($E58/365))+(K59*($E59/365))</f>
        <v>11.76470588235294</v>
      </c>
      <c r="C171" s="8">
        <f>(L57*($E57/365))+(L58*($E58/365))+(L59*($E59/365))</f>
        <v>35.326349717969379</v>
      </c>
      <c r="D171" s="8">
        <f>(M57*($E57/365))+(M58*($E58/365))+(M59*($E59/365))</f>
        <v>47.058823529411761</v>
      </c>
      <c r="E171" s="35">
        <f t="shared" si="69"/>
        <v>94.149879129734074</v>
      </c>
      <c r="G171" s="1">
        <v>1982</v>
      </c>
      <c r="H171" s="886">
        <f>(O57/$R57*100*($E57/365))+(O58/$R58*100*($E58/365))+(O59/$R59*100*($E59/365))</f>
        <v>7.5335108809204998</v>
      </c>
      <c r="I171" s="886"/>
      <c r="J171" s="886">
        <f>(P57/$R57*100*($E57/365))+(P58/$R58*100*($E58/365))+(P59/$R59*100*($E59/365))</f>
        <v>27.120639171313801</v>
      </c>
      <c r="K171" s="886"/>
      <c r="L171" s="886">
        <f>(Q57/$R57*100*($E57/365))+(Q58/$R58*100*($E58/365))+(Q59/$R59*100*($E59/365))</f>
        <v>65.3458499477657</v>
      </c>
      <c r="M171" s="886"/>
      <c r="N171" s="919">
        <f t="shared" si="68"/>
        <v>100</v>
      </c>
      <c r="O171" s="919"/>
      <c r="P171" s="12"/>
      <c r="Q171" s="12"/>
      <c r="R171" s="12">
        <v>1982</v>
      </c>
      <c r="S171" s="8">
        <f>(O57*($E57/365))+(O58*($E58/365))+(O59*($E59/365))</f>
        <v>5</v>
      </c>
      <c r="T171" s="8">
        <f>(P57*($E57/365))+(P58*($E58/365))+(P59*($E59/365))</f>
        <v>18</v>
      </c>
      <c r="U171" s="8">
        <f>(Q57*($E57/365))+(Q58*($E58/365))+(Q59*($E59/365))</f>
        <v>43.404109589041092</v>
      </c>
      <c r="V171" s="12"/>
      <c r="W171" s="7">
        <f t="shared" si="70"/>
        <v>66.404109589041099</v>
      </c>
      <c r="X171" s="5"/>
      <c r="Y171" s="5"/>
    </row>
    <row r="172" spans="1:25">
      <c r="A172" s="1">
        <v>1983</v>
      </c>
      <c r="B172" s="8">
        <f>(K60*($E60/365))+(K61*($E61/365))</f>
        <v>11.76470588235294</v>
      </c>
      <c r="C172" s="8">
        <f>(L60*($E60/365))+(L61*($E61/365))</f>
        <v>41.17647058823529</v>
      </c>
      <c r="D172" s="8">
        <f>(M60*($E60/365))+(M61*($E61/365))</f>
        <v>47.058823529411761</v>
      </c>
      <c r="E172" s="35">
        <f t="shared" si="69"/>
        <v>100</v>
      </c>
      <c r="G172" s="1">
        <v>1983</v>
      </c>
      <c r="H172" s="886">
        <f>(O60/$R60*100*($E60/365))+(O61/$R61*100*($E61/365))</f>
        <v>9.3783908484877418</v>
      </c>
      <c r="I172" s="886"/>
      <c r="J172" s="886">
        <f>(P60/$R60*100*($E60/365))+(P61/$R61*100*($E61/365))</f>
        <v>41.960447393123637</v>
      </c>
      <c r="K172" s="886"/>
      <c r="L172" s="886">
        <f>(Q60/$R60*100*($E60/365))+(Q61/$R61*100*($E61/365))</f>
        <v>48.661161758388623</v>
      </c>
      <c r="M172" s="886"/>
      <c r="N172" s="919">
        <f t="shared" si="68"/>
        <v>100</v>
      </c>
      <c r="O172" s="919"/>
      <c r="P172" s="12"/>
      <c r="Q172" s="12"/>
      <c r="R172" s="12">
        <v>1983</v>
      </c>
      <c r="S172" s="8">
        <f>(O60*($E60/365))+(O61*($E61/365))</f>
        <v>5.3273972602739725</v>
      </c>
      <c r="T172" s="8">
        <f>(P60*($E60/365))+(P61*($E61/365))</f>
        <v>24.220547945205482</v>
      </c>
      <c r="U172" s="8">
        <f>(Q60*($E60/365))+(Q61*($E61/365))</f>
        <v>27.636986301369863</v>
      </c>
      <c r="V172" s="12"/>
      <c r="W172" s="7">
        <f t="shared" si="70"/>
        <v>57.184931506849317</v>
      </c>
      <c r="X172" s="5"/>
      <c r="Y172" s="5"/>
    </row>
    <row r="173" spans="1:25">
      <c r="A173" s="1">
        <v>1984</v>
      </c>
      <c r="B173" s="8">
        <f>(K62*($E62/366))+(K63*($E63/366))</f>
        <v>11.76470588235294</v>
      </c>
      <c r="C173" s="8">
        <f>(L62*($E62/366))+(L63*($E63/366))</f>
        <v>41.17647058823529</v>
      </c>
      <c r="D173" s="8">
        <f>(M62*($E62/366))+(M63*($E63/366))</f>
        <v>47.058823529411761</v>
      </c>
      <c r="E173" s="35">
        <f t="shared" si="69"/>
        <v>100</v>
      </c>
      <c r="G173" s="1">
        <v>1984</v>
      </c>
      <c r="H173" s="886">
        <f>(O62/$R62*100*($E62/366))+(O63/$R63*100*($E63/366))</f>
        <v>8.9430894308943092</v>
      </c>
      <c r="I173" s="886"/>
      <c r="J173" s="886">
        <f>(P62/$R62*100*($E62/366))+(P63/$R63*100*($E63/366))</f>
        <v>44.715447154471541</v>
      </c>
      <c r="K173" s="886"/>
      <c r="L173" s="886">
        <f>(Q62/$R62*100*($E62/366))+(Q63/$R63*100*($E63/366))</f>
        <v>46.341463414634148</v>
      </c>
      <c r="M173" s="886"/>
      <c r="N173" s="919">
        <f t="shared" si="68"/>
        <v>100</v>
      </c>
      <c r="O173" s="919"/>
      <c r="P173" s="12"/>
      <c r="Q173" s="12"/>
      <c r="R173" s="12">
        <v>1984</v>
      </c>
      <c r="S173" s="8">
        <f>(O62*($E62/366))+(O63*($E63/366))</f>
        <v>5.5</v>
      </c>
      <c r="T173" s="8">
        <f>(P62*($E62/366))+(P63*($E63/366))</f>
        <v>27.5</v>
      </c>
      <c r="U173" s="8">
        <f>(Q62*($E62/366))+(Q63*($E63/366))</f>
        <v>28.5</v>
      </c>
      <c r="V173" s="12"/>
      <c r="W173" s="7">
        <f t="shared" si="70"/>
        <v>61.5</v>
      </c>
      <c r="X173" s="5"/>
      <c r="Y173" s="5"/>
    </row>
    <row r="174" spans="1:25">
      <c r="A174" s="1">
        <v>1985</v>
      </c>
      <c r="B174" s="8">
        <f>(K64*($E64/365))+(K65*($E65/365))</f>
        <v>11.76470588235294</v>
      </c>
      <c r="C174" s="8">
        <f>(L64*($E64/365))+(L65*($E65/365))</f>
        <v>41.17647058823529</v>
      </c>
      <c r="D174" s="8">
        <f>(M64*($E64/365))+(M65*($E65/365))</f>
        <v>47.058823529411761</v>
      </c>
      <c r="E174" s="35">
        <f t="shared" si="69"/>
        <v>100</v>
      </c>
      <c r="G174" s="1">
        <v>1985</v>
      </c>
      <c r="H174" s="886">
        <f>(O64/$R64*100*($E64/365))+(O65/$R65*100*($E65/365))</f>
        <v>8.9430894308943092</v>
      </c>
      <c r="I174" s="886"/>
      <c r="J174" s="886">
        <f>(P64/$R64*100*($E64/365))+(P65/$R65*100*($E65/365))</f>
        <v>44.715447154471541</v>
      </c>
      <c r="K174" s="886"/>
      <c r="L174" s="886">
        <f>(Q64/$R64*100*($E64/365))+(Q65/$R65*100*($E65/365))</f>
        <v>46.341463414634148</v>
      </c>
      <c r="M174" s="886"/>
      <c r="N174" s="919">
        <f t="shared" si="68"/>
        <v>100</v>
      </c>
      <c r="O174" s="919"/>
      <c r="P174" s="12"/>
      <c r="Q174" s="12"/>
      <c r="R174" s="12">
        <v>1985</v>
      </c>
      <c r="S174" s="8">
        <f>(O64*($E64/365))+(O65*($E65/365))</f>
        <v>5.5</v>
      </c>
      <c r="T174" s="8">
        <f>(P64*($E64/365))+(P65*($E65/365))</f>
        <v>27.5</v>
      </c>
      <c r="U174" s="8">
        <f>(Q64*($E64/365))+(Q65*($E65/365))</f>
        <v>28.5</v>
      </c>
      <c r="V174" s="12"/>
      <c r="W174" s="7">
        <f t="shared" si="70"/>
        <v>61.5</v>
      </c>
      <c r="X174" s="5"/>
      <c r="Y174" s="5"/>
    </row>
    <row r="175" spans="1:25" ht="9" customHeight="1">
      <c r="A175" s="1">
        <v>1986</v>
      </c>
      <c r="B175" s="8">
        <f>(K66*($E66/365))+(K67*($E67/365))</f>
        <v>11.76470588235294</v>
      </c>
      <c r="C175" s="8">
        <f>(L66*($E66/365))+(L67*($E67/365))</f>
        <v>41.17647058823529</v>
      </c>
      <c r="D175" s="8">
        <f>(M66*($E66/365))+(M67*($E67/365))</f>
        <v>47.058823529411761</v>
      </c>
      <c r="E175" s="35">
        <f t="shared" si="69"/>
        <v>100</v>
      </c>
      <c r="G175" s="1">
        <v>1986</v>
      </c>
      <c r="H175" s="886">
        <f>(O66/$R66*100*($E66/365))+(O67/$R67*100*($E67/365))</f>
        <v>8.9430894308943092</v>
      </c>
      <c r="I175" s="886"/>
      <c r="J175" s="886">
        <f>(P66/$R66*100*($E66/365))+(P67/$R67*100*($E67/365))</f>
        <v>44.715447154471541</v>
      </c>
      <c r="K175" s="886"/>
      <c r="L175" s="886">
        <f>(Q66/$R66*100*($E66/365))+(Q67/$R67*100*($E67/365))</f>
        <v>46.341463414634148</v>
      </c>
      <c r="M175" s="886"/>
      <c r="N175" s="919">
        <f t="shared" si="68"/>
        <v>100</v>
      </c>
      <c r="O175" s="919"/>
      <c r="P175" s="12"/>
      <c r="Q175" s="12"/>
      <c r="R175" s="12">
        <v>1986</v>
      </c>
      <c r="S175" s="8">
        <f>(O66*($E66/365))+(O67*($E67/365))</f>
        <v>5.5</v>
      </c>
      <c r="T175" s="8">
        <f>(P66*($E66/365))+(P67*($E67/365))</f>
        <v>27.5</v>
      </c>
      <c r="U175" s="8">
        <f>(Q66*($E66/365))+(Q67*($E67/365))</f>
        <v>28.5</v>
      </c>
      <c r="V175" s="12"/>
      <c r="W175" s="7">
        <f t="shared" si="70"/>
        <v>61.5</v>
      </c>
      <c r="X175" s="5"/>
      <c r="Y175" s="5"/>
    </row>
    <row r="176" spans="1:25" ht="9" customHeight="1">
      <c r="A176" s="1">
        <v>1987</v>
      </c>
      <c r="B176" s="8">
        <f>(K68*($E68/365))+(K69*($E69/365))</f>
        <v>37.534246575342465</v>
      </c>
      <c r="C176" s="8">
        <f>(L68*($E68/365))+(L69*($E69/365))</f>
        <v>17.168949771689498</v>
      </c>
      <c r="D176" s="8">
        <f>(M68*($E68/365))+(M69*($E69/365))</f>
        <v>45.296803652968038</v>
      </c>
      <c r="E176" s="35">
        <f t="shared" si="69"/>
        <v>100</v>
      </c>
      <c r="G176" s="1">
        <v>1987</v>
      </c>
      <c r="H176" s="886">
        <f>(O68/$R68*100*($E68/365))+(O69/$R69*100*($E69/365))</f>
        <v>36.871563759034011</v>
      </c>
      <c r="I176" s="886"/>
      <c r="J176" s="886">
        <f>(P68/$R68*100*($E68/365))+(P69/$R69*100*($E69/365))</f>
        <v>19.208806978794456</v>
      </c>
      <c r="K176" s="886"/>
      <c r="L176" s="886">
        <f>(Q68/$R68*100*($E68/365))+(Q69/$R69*100*($E69/365))</f>
        <v>43.919629262171526</v>
      </c>
      <c r="M176" s="886"/>
      <c r="N176" s="919">
        <f t="shared" si="68"/>
        <v>100</v>
      </c>
      <c r="O176" s="919"/>
      <c r="P176" s="12"/>
      <c r="Q176" s="12"/>
      <c r="R176" s="12">
        <v>1987</v>
      </c>
      <c r="S176" s="8">
        <f>(O68*($E68/365))+(O69*($E69/365))</f>
        <v>24.034246575342468</v>
      </c>
      <c r="T176" s="8">
        <f>(P68*($E68/365))+(P69*($E69/365))</f>
        <v>11.9986301369863</v>
      </c>
      <c r="U176" s="8">
        <f>(Q68*($E68/365))+(Q69*($E69/365))</f>
        <v>28.163013698630138</v>
      </c>
      <c r="V176" s="12"/>
      <c r="W176" s="7">
        <f t="shared" si="70"/>
        <v>64.19589041095891</v>
      </c>
      <c r="X176" s="5"/>
      <c r="Y176" s="5"/>
    </row>
    <row r="177" spans="1:25" ht="9" customHeight="1">
      <c r="A177" s="1">
        <v>1988</v>
      </c>
      <c r="B177" s="8">
        <f>(K70*($E70/366))+(K71*($E71/366))</f>
        <v>50</v>
      </c>
      <c r="C177" s="8">
        <f>(L70*($E70/366))+(L71*($E71/366))</f>
        <v>5.5555555555555554</v>
      </c>
      <c r="D177" s="8">
        <f>(M70*($E70/366))+(M71*($E71/366))</f>
        <v>44.444444444444443</v>
      </c>
      <c r="E177" s="35">
        <f t="shared" si="69"/>
        <v>100</v>
      </c>
      <c r="G177" s="1">
        <v>1988</v>
      </c>
      <c r="H177" s="886">
        <f>(O70/$R70*100*($E70/366))+(O71/$R71*100*($E71/366))</f>
        <v>50.381679389312971</v>
      </c>
      <c r="I177" s="886"/>
      <c r="J177" s="886">
        <f>(P70/$R70*100*($E70/366))+(P71/$R71*100*($E71/366))</f>
        <v>6.8702290076335881</v>
      </c>
      <c r="K177" s="886"/>
      <c r="L177" s="886">
        <f>(Q70/$R70*100*($E70/366))+(Q71/$R71*100*($E71/366))</f>
        <v>42.748091603053432</v>
      </c>
      <c r="M177" s="886"/>
      <c r="N177" s="919">
        <f t="shared" si="68"/>
        <v>100</v>
      </c>
      <c r="O177" s="919"/>
      <c r="P177" s="12"/>
      <c r="Q177" s="12"/>
      <c r="R177" s="12">
        <v>1988</v>
      </c>
      <c r="S177" s="8">
        <f>(O70*($E70/366))+(O71*($E71/366))</f>
        <v>33</v>
      </c>
      <c r="T177" s="8">
        <f>(P70*($E70/366))+(P71*($E71/366))</f>
        <v>4.5</v>
      </c>
      <c r="U177" s="8">
        <f>(Q70*($E70/366))+(Q71*($E71/366))</f>
        <v>28</v>
      </c>
      <c r="V177" s="12"/>
      <c r="W177" s="7">
        <f t="shared" si="70"/>
        <v>65.5</v>
      </c>
      <c r="X177" s="5"/>
      <c r="Y177" s="5"/>
    </row>
    <row r="178" spans="1:25" s="4" customFormat="1" ht="9" customHeight="1">
      <c r="A178" s="4">
        <v>1989</v>
      </c>
      <c r="B178" s="11">
        <f>(K72*($E72/365))+(K73*($E73/365))</f>
        <v>50</v>
      </c>
      <c r="C178" s="11">
        <f>(L72*($E72/365))+(L73*($E73/365))</f>
        <v>5.5555555555555554</v>
      </c>
      <c r="D178" s="11">
        <f>(M72*($E72/365))+(M73*($E73/365))</f>
        <v>44.444444444444443</v>
      </c>
      <c r="E178" s="34">
        <f t="shared" si="69"/>
        <v>100</v>
      </c>
      <c r="G178" s="4">
        <v>1989</v>
      </c>
      <c r="H178" s="892">
        <f>(O72/$R72*100*($E72/365))+(O73/$R73*100*($E73/365))</f>
        <v>50.381679389312971</v>
      </c>
      <c r="I178" s="892"/>
      <c r="J178" s="892">
        <f>(P72/$R72*100*($E72/365))+(P73/$R73*100*($E73/365))</f>
        <v>6.8702290076335881</v>
      </c>
      <c r="K178" s="892"/>
      <c r="L178" s="892">
        <f>(Q72/$R72*100*($E72/365))+(Q73/$R73*100*($E73/365))</f>
        <v>42.748091603053432</v>
      </c>
      <c r="M178" s="892"/>
      <c r="N178" s="893">
        <f t="shared" si="68"/>
        <v>100</v>
      </c>
      <c r="O178" s="893"/>
      <c r="P178" s="27"/>
      <c r="Q178" s="27"/>
      <c r="R178" s="27">
        <v>1989</v>
      </c>
      <c r="S178" s="11">
        <f>(O72*($E72/365))+(O73*($E73/365))</f>
        <v>33</v>
      </c>
      <c r="T178" s="11">
        <f>(P72*($E72/365))+(P73*($E73/365))</f>
        <v>4.5</v>
      </c>
      <c r="U178" s="11">
        <f>(Q72*($E72/365))+(Q73*($E73/365))</f>
        <v>28</v>
      </c>
      <c r="V178" s="27"/>
      <c r="W178" s="11">
        <f t="shared" si="70"/>
        <v>65.5</v>
      </c>
      <c r="X178" s="19"/>
      <c r="Y178" s="19"/>
    </row>
    <row r="179" spans="1:25" ht="9" customHeight="1">
      <c r="A179" s="1">
        <v>1990</v>
      </c>
      <c r="B179" s="8">
        <f>(K74*($E74/365))+(K75*($E75/365))</f>
        <v>47.348460918614023</v>
      </c>
      <c r="C179" s="8">
        <f>(L74*($E74/365))+(L75*($E75/365))</f>
        <v>7.268219178082191</v>
      </c>
      <c r="D179" s="8">
        <f>(M74*($E74/365))+(M75*($E75/365))</f>
        <v>45.317840451248991</v>
      </c>
      <c r="E179" s="35">
        <f t="shared" si="69"/>
        <v>99.934520547945198</v>
      </c>
      <c r="G179" s="1">
        <v>1990</v>
      </c>
      <c r="H179" s="886">
        <f>(O74/$R74*100*($E74/365))+(O75/$R75*100*($E75/365))</f>
        <v>51.664698127859594</v>
      </c>
      <c r="I179" s="886"/>
      <c r="J179" s="886">
        <f>(P74/$R74*100*($E74/365))+(P75/$R75*100*($E75/365))</f>
        <v>4.4985883091080208</v>
      </c>
      <c r="K179" s="886"/>
      <c r="L179" s="886">
        <f>(Q74/$R74*100*($E74/365))+(Q75/$R75*100*($E75/365))</f>
        <v>43.836713563032376</v>
      </c>
      <c r="M179" s="886"/>
      <c r="N179" s="919">
        <f t="shared" si="68"/>
        <v>100</v>
      </c>
      <c r="O179" s="919"/>
      <c r="P179" s="12"/>
      <c r="Q179" s="12"/>
      <c r="R179" s="12">
        <v>1990</v>
      </c>
      <c r="S179" s="8">
        <f>(O74*($E74/365))+(O75*($E75/365))</f>
        <v>33</v>
      </c>
      <c r="T179" s="8">
        <f>(P74*($E74/365))+(P75*($E75/365))</f>
        <v>2.9465753424657533</v>
      </c>
      <c r="U179" s="8">
        <f>(Q74*($E74/365))+(Q75*($E75/365))</f>
        <v>28</v>
      </c>
      <c r="V179" s="12"/>
      <c r="W179" s="7">
        <f t="shared" si="70"/>
        <v>63.946575342465756</v>
      </c>
      <c r="X179" s="5"/>
      <c r="Y179" s="5"/>
    </row>
    <row r="180" spans="1:25" ht="9" customHeight="1">
      <c r="A180" s="1">
        <v>1991</v>
      </c>
      <c r="B180" s="8">
        <f>(K76*($E76/365))+(K77*($E77/365))</f>
        <v>48.912167606768733</v>
      </c>
      <c r="C180" s="8">
        <f>(L76*($E76/365))+(L77*($E77/365))</f>
        <v>36.261079774375503</v>
      </c>
      <c r="D180" s="8">
        <f>(M76*($E76/365))+(M77*($E77/365))</f>
        <v>14.82675261885576</v>
      </c>
      <c r="E180" s="35">
        <f t="shared" si="69"/>
        <v>100</v>
      </c>
      <c r="G180" s="1">
        <v>1991</v>
      </c>
      <c r="H180" s="886">
        <f>(O76/$R76*100*($E76/365))+(O77/$R77*100*($E77/365))</f>
        <v>48.015504935607652</v>
      </c>
      <c r="I180" s="886"/>
      <c r="J180" s="886">
        <f>(P76/$R76*100*($E76/365))+(P77/$R77*100*($E77/365))</f>
        <v>37.522334723049433</v>
      </c>
      <c r="K180" s="886"/>
      <c r="L180" s="886">
        <f>(Q76/$R76*100*($E76/365))+(Q77/$R77*100*($E77/365))</f>
        <v>14.462160341342914</v>
      </c>
      <c r="M180" s="886"/>
      <c r="N180" s="919">
        <f t="shared" ref="N180:N201" si="71">SUM(H180:M180)</f>
        <v>99.999999999999986</v>
      </c>
      <c r="O180" s="919"/>
      <c r="P180" s="12"/>
      <c r="Q180" s="12"/>
      <c r="R180" s="12">
        <v>1991</v>
      </c>
      <c r="S180" s="8">
        <f>(O76*($E76/365))+(O77*($E77/365))</f>
        <v>28.205479452054792</v>
      </c>
      <c r="T180" s="8">
        <f>(P76*($E76/365))+(P77*($E77/365))</f>
        <v>21.575342465753423</v>
      </c>
      <c r="U180" s="8">
        <f>(Q76*($E76/365))+(Q77*($E77/365))</f>
        <v>8.8219178082191778</v>
      </c>
      <c r="V180" s="12"/>
      <c r="W180" s="7">
        <f t="shared" si="70"/>
        <v>58.602739726027387</v>
      </c>
      <c r="X180" s="5"/>
      <c r="Y180" s="5"/>
    </row>
    <row r="181" spans="1:25" ht="9" customHeight="1">
      <c r="A181" s="1">
        <v>1992</v>
      </c>
      <c r="B181" s="8">
        <f>(K78*($E78/366))+(K79*($E79/366))</f>
        <v>47.058823529411761</v>
      </c>
      <c r="C181" s="8">
        <f>(L78*($E78/366))+(L79*($E79/366))</f>
        <v>52.941176470588239</v>
      </c>
      <c r="D181" s="8">
        <f>(M78*($E78/366))+(M79*($E79/366))</f>
        <v>0</v>
      </c>
      <c r="E181" s="35">
        <f t="shared" si="69"/>
        <v>100</v>
      </c>
      <c r="G181" s="1">
        <v>1992</v>
      </c>
      <c r="H181" s="886">
        <f>(O78/$R78*100*($E78/366))+(O79/$R79*100*($E79/366))</f>
        <v>45.217391304347828</v>
      </c>
      <c r="I181" s="886"/>
      <c r="J181" s="886">
        <f>(P78/$R78*100*($E78/366))+(P79/$R79*100*($E79/366))</f>
        <v>54.782608695652172</v>
      </c>
      <c r="K181" s="886"/>
      <c r="L181" s="886">
        <f>(Q78/$R78*100*($E78/366))+(Q79/$R79*100*($E79/366))</f>
        <v>0</v>
      </c>
      <c r="M181" s="886"/>
      <c r="N181" s="919">
        <f t="shared" si="71"/>
        <v>100</v>
      </c>
      <c r="O181" s="919"/>
      <c r="P181" s="12"/>
      <c r="Q181" s="12"/>
      <c r="R181" s="12">
        <v>1992</v>
      </c>
      <c r="S181" s="8">
        <f>(O78*($E78/366))+(O79*($E79/366))</f>
        <v>26</v>
      </c>
      <c r="T181" s="8">
        <f>(P78*($E78/366))+(P79*($E79/366))</f>
        <v>31.5</v>
      </c>
      <c r="U181" s="8">
        <f>(Q78*($E78/366))+(Q79*($E79/366))</f>
        <v>0</v>
      </c>
      <c r="V181" s="12"/>
      <c r="W181" s="7">
        <f t="shared" si="70"/>
        <v>57.5</v>
      </c>
      <c r="X181" s="5"/>
      <c r="Y181" s="5"/>
    </row>
    <row r="182" spans="1:25" ht="9" customHeight="1">
      <c r="A182" s="1">
        <v>1993</v>
      </c>
      <c r="B182" s="8">
        <f>(K80*($E80/365))+(K81*($E81/365))</f>
        <v>47.058823529411761</v>
      </c>
      <c r="C182" s="8">
        <f>(L80*($E80/365))+(L81*($E81/365))</f>
        <v>52.941176470588239</v>
      </c>
      <c r="D182" s="8">
        <f>(M80*($E80/365))+(M81*($E81/365))</f>
        <v>0</v>
      </c>
      <c r="E182" s="35">
        <f t="shared" si="69"/>
        <v>100</v>
      </c>
      <c r="G182" s="1">
        <v>1993</v>
      </c>
      <c r="H182" s="886">
        <f>(O80/$R80*100*($E80/365))+(O81/$R81*100*($E81/365))</f>
        <v>45.217391304347828</v>
      </c>
      <c r="I182" s="886"/>
      <c r="J182" s="886">
        <f>(P80/$R80*100*($E80/365))+(P81/$R81*100*($E81/365))</f>
        <v>54.782608695652172</v>
      </c>
      <c r="K182" s="886"/>
      <c r="L182" s="886">
        <f>(Q80/$R80*100*($E80/365))+(Q81/$R81*100*($E81/365))</f>
        <v>0</v>
      </c>
      <c r="M182" s="886"/>
      <c r="N182" s="919">
        <f t="shared" si="71"/>
        <v>100</v>
      </c>
      <c r="O182" s="919"/>
      <c r="P182" s="12"/>
      <c r="Q182" s="12"/>
      <c r="R182" s="12">
        <v>1993</v>
      </c>
      <c r="S182" s="8">
        <f>(O80*($E80/365))+(O81*($E81/365))</f>
        <v>26</v>
      </c>
      <c r="T182" s="8">
        <f>(P80*($E80/365))+(P81*($E81/365))</f>
        <v>31.5</v>
      </c>
      <c r="U182" s="8">
        <f>(Q80*($E80/365))+(Q81*($E81/365))</f>
        <v>0</v>
      </c>
      <c r="V182" s="12"/>
      <c r="W182" s="7">
        <f t="shared" si="70"/>
        <v>57.5</v>
      </c>
      <c r="X182" s="5"/>
      <c r="Y182" s="5"/>
    </row>
    <row r="183" spans="1:25" ht="9" customHeight="1">
      <c r="A183" s="1">
        <v>1994</v>
      </c>
      <c r="B183" s="8">
        <f>(K82*($E82/365))+(K83*($E83/365))</f>
        <v>48.630136986301366</v>
      </c>
      <c r="C183" s="8">
        <f>(L82*($E82/365))+(L83*($E83/365))</f>
        <v>51.369863013698634</v>
      </c>
      <c r="D183" s="8">
        <f>(M82*($E82/365))+(M83*($E83/365))</f>
        <v>0</v>
      </c>
      <c r="E183" s="35">
        <f t="shared" si="69"/>
        <v>100</v>
      </c>
      <c r="G183" s="1">
        <v>1994</v>
      </c>
      <c r="H183" s="886">
        <f>(O82/$R82*100*($E82/365))+(O83/$R83*100*($E83/365))</f>
        <v>47.023539823994028</v>
      </c>
      <c r="I183" s="886"/>
      <c r="J183" s="886">
        <f>(P82/$R82*100*($E82/365))+(P83/$R83*100*($E83/365))</f>
        <v>52.976460176005965</v>
      </c>
      <c r="K183" s="886"/>
      <c r="L183" s="886">
        <f>(Q82/$R82*100*($E82/365))+(Q83/$R83*100*($E83/365))</f>
        <v>0</v>
      </c>
      <c r="M183" s="886"/>
      <c r="N183" s="919">
        <f t="shared" si="71"/>
        <v>100</v>
      </c>
      <c r="O183" s="919"/>
      <c r="P183" s="12"/>
      <c r="Q183" s="12"/>
      <c r="R183" s="12">
        <v>1994</v>
      </c>
      <c r="S183" s="8">
        <f>(O82*($E82/365))+(O83*($E83/365))</f>
        <v>26</v>
      </c>
      <c r="T183" s="8">
        <f>(P82*($E82/365))+(P83*($E83/365))</f>
        <v>29.363013698630134</v>
      </c>
      <c r="U183" s="8">
        <f>(Q82*($E82/365))+(Q83*($E83/365))</f>
        <v>0</v>
      </c>
      <c r="V183" s="12"/>
      <c r="W183" s="7">
        <f t="shared" si="70"/>
        <v>55.363013698630134</v>
      </c>
      <c r="X183" s="5"/>
      <c r="Y183" s="5"/>
    </row>
    <row r="184" spans="1:25" ht="9" customHeight="1">
      <c r="A184" s="1">
        <v>1995</v>
      </c>
      <c r="B184" s="8">
        <f>(K84*($E84/365))+(K85*($E85/365))</f>
        <v>41.993911719939121</v>
      </c>
      <c r="C184" s="8">
        <f>(L84*($E84/365))+(L85*($E85/365))</f>
        <v>13.972602739726028</v>
      </c>
      <c r="D184" s="8">
        <f>(M84*($E84/365))+(M85*($E85/365))</f>
        <v>40.030441400304419</v>
      </c>
      <c r="E184" s="35">
        <f t="shared" si="69"/>
        <v>95.996955859969574</v>
      </c>
      <c r="G184" s="1">
        <v>1995</v>
      </c>
      <c r="H184" s="886">
        <f>(O84/$R84*100*($E84/365))+(O85/$R85*100*($E85/365))</f>
        <v>38.924258009261912</v>
      </c>
      <c r="I184" s="886"/>
      <c r="J184" s="886">
        <f>(P84/$R84*100*($E84/365))+(P85/$R85*100*($E85/365))</f>
        <v>14.364357956727691</v>
      </c>
      <c r="K184" s="886"/>
      <c r="L184" s="886">
        <f>(Q84/$R84*100*($E84/365))+(Q85/$R85*100*($E85/365))</f>
        <v>46.711384034010386</v>
      </c>
      <c r="M184" s="886"/>
      <c r="N184" s="919">
        <f t="shared" si="71"/>
        <v>100</v>
      </c>
      <c r="O184" s="919"/>
      <c r="P184" s="12"/>
      <c r="Q184" s="12"/>
      <c r="R184" s="12">
        <v>1995</v>
      </c>
      <c r="S184" s="8">
        <f>(O84*($E84/365))+(O85*($E85/365))</f>
        <v>25.639726027397263</v>
      </c>
      <c r="T184" s="8">
        <f>(P84*($E84/365))+(P85*($E85/365))</f>
        <v>7.6849315068493151</v>
      </c>
      <c r="U184" s="8">
        <f>(Q84*($E84/365))+(Q85*($E85/365))</f>
        <v>33.865753424657534</v>
      </c>
      <c r="V184" s="12"/>
      <c r="W184" s="7">
        <f t="shared" si="70"/>
        <v>67.19041095890411</v>
      </c>
      <c r="X184" s="5"/>
      <c r="Y184" s="5"/>
    </row>
    <row r="185" spans="1:25" ht="9" customHeight="1">
      <c r="A185" s="1">
        <v>1996</v>
      </c>
      <c r="B185" s="8">
        <f>(K86*($E86/366))+(K87*($E87/366))</f>
        <v>38.888888888888893</v>
      </c>
      <c r="C185" s="8">
        <f>(L86*($E86/366))+(L87*($E87/366))</f>
        <v>0</v>
      </c>
      <c r="D185" s="8">
        <f>(M86*($E86/366))+(M87*($E87/366))</f>
        <v>55.555555555555557</v>
      </c>
      <c r="E185" s="35">
        <f t="shared" si="69"/>
        <v>94.444444444444457</v>
      </c>
      <c r="G185" s="1">
        <v>1996</v>
      </c>
      <c r="H185" s="886">
        <f>(O86/$R86*100*($E86/366))+(O87/$R87*100*($E87/366))</f>
        <v>35.172413793103445</v>
      </c>
      <c r="I185" s="886"/>
      <c r="J185" s="886">
        <f>(P86/$R86*100*($E86/366))+(P87/$R87*100*($E87/366))</f>
        <v>0</v>
      </c>
      <c r="K185" s="886"/>
      <c r="L185" s="886">
        <f>(Q86/$R86*100*($E86/366))+(Q87/$R87*100*($E87/366))</f>
        <v>64.827586206896541</v>
      </c>
      <c r="M185" s="886"/>
      <c r="N185" s="919">
        <f t="shared" si="71"/>
        <v>99.999999999999986</v>
      </c>
      <c r="O185" s="919"/>
      <c r="P185" s="12"/>
      <c r="Q185" s="12"/>
      <c r="R185" s="12">
        <v>1996</v>
      </c>
      <c r="S185" s="8">
        <f>(O86*($E86/366))+(O87*($E87/366))</f>
        <v>25.5</v>
      </c>
      <c r="T185" s="8">
        <f>(P86*($E86/366))+(P87*($E87/366))</f>
        <v>0</v>
      </c>
      <c r="U185" s="8">
        <f>(Q86*($E86/366))+(Q87*($E87/366))</f>
        <v>47</v>
      </c>
      <c r="V185" s="12"/>
      <c r="W185" s="7">
        <f t="shared" si="70"/>
        <v>72.5</v>
      </c>
      <c r="X185" s="5"/>
      <c r="Y185" s="5"/>
    </row>
    <row r="186" spans="1:25" ht="9" customHeight="1">
      <c r="A186" s="1">
        <v>1997</v>
      </c>
      <c r="B186" s="8">
        <f>(K88*($E88/365))+(K89*($E89/365))</f>
        <v>38.888888888888893</v>
      </c>
      <c r="C186" s="8">
        <f>(L88*($E88/365))+(L89*($E89/365))</f>
        <v>0</v>
      </c>
      <c r="D186" s="8">
        <f>(M88*($E88/365))+(M89*($E89/365))</f>
        <v>55.555555555555557</v>
      </c>
      <c r="E186" s="35">
        <f t="shared" si="69"/>
        <v>94.444444444444457</v>
      </c>
      <c r="G186" s="1">
        <v>1997</v>
      </c>
      <c r="H186" s="886">
        <f>(O88/$R88*100*($E88/365))+(O89/$R89*100*($E89/365))</f>
        <v>35.172413793103445</v>
      </c>
      <c r="I186" s="886"/>
      <c r="J186" s="886">
        <f>(P88/$R88*100*($E88/365))+(P89/$R89*100*($E89/365))</f>
        <v>0</v>
      </c>
      <c r="K186" s="886"/>
      <c r="L186" s="886">
        <f>(Q88/$R88*100*($E88/365))+(Q89/$R89*100*($E89/365))</f>
        <v>64.827586206896541</v>
      </c>
      <c r="M186" s="886"/>
      <c r="N186" s="919">
        <f t="shared" si="71"/>
        <v>99.999999999999986</v>
      </c>
      <c r="O186" s="919"/>
      <c r="P186" s="12"/>
      <c r="Q186" s="12"/>
      <c r="R186" s="12">
        <v>1997</v>
      </c>
      <c r="S186" s="8">
        <f>(O88*($E88/365))+(O89*($E89/365))</f>
        <v>25.5</v>
      </c>
      <c r="T186" s="8">
        <f>(P88*($E88/365))+(P89*($E89/365))</f>
        <v>0</v>
      </c>
      <c r="U186" s="8">
        <f>(Q88*($E88/365))+(Q89*($E89/365))</f>
        <v>47</v>
      </c>
      <c r="V186" s="12"/>
      <c r="W186" s="7">
        <f t="shared" si="70"/>
        <v>72.5</v>
      </c>
      <c r="X186" s="5"/>
      <c r="Y186" s="5"/>
    </row>
    <row r="187" spans="1:25" ht="9" customHeight="1">
      <c r="A187" s="1">
        <v>1998</v>
      </c>
      <c r="B187" s="8">
        <f>(K90*($E90/365))+(K91*($E91/365))</f>
        <v>38.888888888888893</v>
      </c>
      <c r="C187" s="8">
        <f>(L90*($E90/365))+(L91*($E91/365))</f>
        <v>0</v>
      </c>
      <c r="D187" s="8">
        <f>(M90*($E90/365))+(M91*($E91/365))</f>
        <v>55.555555555555557</v>
      </c>
      <c r="E187" s="35">
        <f t="shared" si="69"/>
        <v>94.444444444444457</v>
      </c>
      <c r="G187" s="1">
        <v>1998</v>
      </c>
      <c r="H187" s="886">
        <f>(O90/$R90*100*($E90/365))+(O91/$R91*100*($E91/365))</f>
        <v>35.172413793103445</v>
      </c>
      <c r="I187" s="886"/>
      <c r="J187" s="886">
        <f>(P90/$R90*100*($E90/365))+(P91/$R91*100*($E91/365))</f>
        <v>0</v>
      </c>
      <c r="K187" s="886"/>
      <c r="L187" s="886">
        <f>(Q90/$R90*100*($E90/365))+(Q91/$R91*100*($E91/365))</f>
        <v>64.827586206896541</v>
      </c>
      <c r="M187" s="886"/>
      <c r="N187" s="919">
        <f t="shared" si="71"/>
        <v>99.999999999999986</v>
      </c>
      <c r="O187" s="919"/>
      <c r="P187" s="12"/>
      <c r="Q187" s="12"/>
      <c r="R187" s="12">
        <v>1998</v>
      </c>
      <c r="S187" s="8">
        <f>(O90*($E90/365))+(O91*($E91/365))</f>
        <v>25.5</v>
      </c>
      <c r="T187" s="8">
        <f>(P90*($E90/365))+(P91*($E91/365))</f>
        <v>0</v>
      </c>
      <c r="U187" s="8">
        <f>(Q90*($E90/365))+(Q91*($E91/365))</f>
        <v>47</v>
      </c>
      <c r="V187" s="12"/>
      <c r="W187" s="7">
        <f t="shared" si="70"/>
        <v>72.5</v>
      </c>
      <c r="X187" s="5"/>
      <c r="Y187" s="5"/>
    </row>
    <row r="188" spans="1:25" ht="9" customHeight="1">
      <c r="A188" s="1">
        <v>1999</v>
      </c>
      <c r="B188" s="8">
        <f>(K92*($E92/365))+(K93*($E93/365))</f>
        <v>42.861491628614914</v>
      </c>
      <c r="C188" s="8">
        <f>(L92*($E92/365))+(L93*($E93/365))</f>
        <v>0</v>
      </c>
      <c r="D188" s="8">
        <f>(M92*($E92/365))+(M93*($E93/365))</f>
        <v>51.582952815829529</v>
      </c>
      <c r="E188" s="35">
        <f t="shared" si="69"/>
        <v>94.444444444444443</v>
      </c>
      <c r="G188" s="1">
        <v>1999</v>
      </c>
      <c r="H188" s="886">
        <f>(O92/$R92*100*($E92/365))+(O93/$R93*100*($E93/365))</f>
        <v>39.645995006410686</v>
      </c>
      <c r="I188" s="886"/>
      <c r="J188" s="886">
        <f>(P92/$R92*100*($E92/365))+(P93/$R93*100*($E93/365))</f>
        <v>0</v>
      </c>
      <c r="K188" s="886"/>
      <c r="L188" s="886">
        <f>(Q92/$R92*100*($E92/365))+(Q93/$R93*100*($E93/365))</f>
        <v>60.354004993589314</v>
      </c>
      <c r="M188" s="886"/>
      <c r="N188" s="919">
        <f t="shared" si="71"/>
        <v>100</v>
      </c>
      <c r="O188" s="919"/>
      <c r="P188" s="12"/>
      <c r="Q188" s="12"/>
      <c r="R188" s="12">
        <v>1999</v>
      </c>
      <c r="S188" s="8">
        <f>(O92*($E92/365))+(O93*($E93/365))</f>
        <v>28.002739726027393</v>
      </c>
      <c r="T188" s="8">
        <f>(P92*($E92/365))+(P93*($E93/365))</f>
        <v>0</v>
      </c>
      <c r="U188" s="8">
        <f>(Q92*($E92/365))+(Q93*($E93/365))</f>
        <v>42.709589041095889</v>
      </c>
      <c r="V188" s="12"/>
      <c r="W188" s="7">
        <f t="shared" si="70"/>
        <v>70.712328767123282</v>
      </c>
      <c r="X188" s="5"/>
      <c r="Y188" s="5"/>
    </row>
    <row r="189" spans="1:25" ht="9" customHeight="1">
      <c r="A189" s="1">
        <v>2000</v>
      </c>
      <c r="B189" s="8">
        <f>(K94*($E94/366))+(K95*($E95/366))</f>
        <v>44.444444444444443</v>
      </c>
      <c r="C189" s="8">
        <f>(L94*($E94/366))+(L95*($E95/366))</f>
        <v>0</v>
      </c>
      <c r="D189" s="8">
        <f>(M94*($E94/366))+(M95*($E95/366))</f>
        <v>50</v>
      </c>
      <c r="E189" s="35">
        <f t="shared" si="69"/>
        <v>94.444444444444443</v>
      </c>
      <c r="G189" s="1">
        <v>2000</v>
      </c>
      <c r="H189" s="886">
        <f>(O94/$R94*100*($E94/366))+(O95/$R95*100*($E95/366))</f>
        <v>41.428571428571431</v>
      </c>
      <c r="I189" s="886"/>
      <c r="J189" s="886">
        <f>(P94/$R94*100*($E94/366))+(P95/$R95*100*($E95/366))</f>
        <v>0</v>
      </c>
      <c r="K189" s="886"/>
      <c r="L189" s="886">
        <f>(Q94/$R94*100*($E94/366))+(Q95/$R95*100*($E95/366))</f>
        <v>58.571428571428577</v>
      </c>
      <c r="M189" s="886"/>
      <c r="N189" s="919">
        <f t="shared" si="71"/>
        <v>100</v>
      </c>
      <c r="O189" s="919"/>
      <c r="P189" s="12"/>
      <c r="Q189" s="12"/>
      <c r="R189" s="12">
        <v>2000</v>
      </c>
      <c r="S189" s="8">
        <f>(O94*($E94/366))+(O95*($E95/366))</f>
        <v>29</v>
      </c>
      <c r="T189" s="8">
        <f>(P94*($E94/366))+(P95*($E95/366))</f>
        <v>0</v>
      </c>
      <c r="U189" s="8">
        <f>(Q94*($E94/366))+(Q95*($E95/366))</f>
        <v>41</v>
      </c>
      <c r="V189" s="12"/>
      <c r="W189" s="7">
        <f t="shared" si="70"/>
        <v>70</v>
      </c>
      <c r="X189" s="5"/>
      <c r="Y189" s="5"/>
    </row>
    <row r="190" spans="1:25" ht="9" customHeight="1">
      <c r="A190" s="1">
        <v>2001</v>
      </c>
      <c r="B190" s="8">
        <f>(K96*($E96/365))+(K97*($E97/365))</f>
        <v>44.444444444444443</v>
      </c>
      <c r="C190" s="8">
        <f>(L96*($E96/365))+(L97*($E97/365))</f>
        <v>0</v>
      </c>
      <c r="D190" s="8">
        <f>(M96*($E96/365))+(M97*($E97/365))</f>
        <v>50</v>
      </c>
      <c r="E190" s="35">
        <f t="shared" si="69"/>
        <v>94.444444444444443</v>
      </c>
      <c r="G190" s="1">
        <v>2001</v>
      </c>
      <c r="H190" s="886">
        <f>(O96/$R96*100*($E96/365))+(O97/$R97*100*($E97/365))</f>
        <v>41.428571428571431</v>
      </c>
      <c r="I190" s="886"/>
      <c r="J190" s="886">
        <f>(P96/$R96*100*($E96/365))+(P97/$R97*100*($E97/365))</f>
        <v>0</v>
      </c>
      <c r="K190" s="886"/>
      <c r="L190" s="886">
        <f>(Q96/$R96*100*($E96/365))+(Q97/$R97*100*($E97/365))</f>
        <v>58.571428571428577</v>
      </c>
      <c r="M190" s="886"/>
      <c r="N190" s="919">
        <f t="shared" si="71"/>
        <v>100</v>
      </c>
      <c r="O190" s="919"/>
      <c r="P190" s="12"/>
      <c r="Q190" s="12"/>
      <c r="R190" s="12">
        <v>2001</v>
      </c>
      <c r="S190" s="8">
        <f>(O96*($E96/365))+(O97*($E97/365))</f>
        <v>29</v>
      </c>
      <c r="T190" s="8">
        <f>(P96*($E96/365))+(P97*($E97/365))</f>
        <v>0</v>
      </c>
      <c r="U190" s="8">
        <f>(Q96*($E96/365))+(Q97*($E97/365))</f>
        <v>41</v>
      </c>
      <c r="V190" s="12"/>
      <c r="W190" s="7">
        <f t="shared" si="70"/>
        <v>70</v>
      </c>
      <c r="X190" s="5"/>
      <c r="Y190" s="5"/>
    </row>
    <row r="191" spans="1:25" ht="9" customHeight="1">
      <c r="A191" s="1">
        <v>2002</v>
      </c>
      <c r="B191" s="8">
        <f>(K98*($E98/365))+(K99*($E99/365))+(K100*($E100/365))</f>
        <v>51.628614916286153</v>
      </c>
      <c r="C191" s="8">
        <f>(L98*($E98/365))+(L99*($E99/365))+(L100*($E100/365))</f>
        <v>0</v>
      </c>
      <c r="D191" s="8">
        <f>(M98*($E98/365))+(M99*($E99/365))+(M100*($E100/365))</f>
        <v>46.088280060882802</v>
      </c>
      <c r="E191" s="35">
        <f t="shared" si="69"/>
        <v>97.716894977168948</v>
      </c>
      <c r="G191" s="1">
        <v>2002</v>
      </c>
      <c r="H191" s="886">
        <f>(O98/$R98*100*($E98/365))+(O99/$R99*100*($E99/365))+(O100/$R100*100*($E100/365))</f>
        <v>43.915957462946949</v>
      </c>
      <c r="I191" s="886"/>
      <c r="J191" s="886">
        <f>(P98/$R98*100*($E98/365))+(P99/$R99*100*($E99/365))+(P100/$R100*100*($E100/365))</f>
        <v>0</v>
      </c>
      <c r="K191" s="886"/>
      <c r="L191" s="886">
        <f>(Q98/$R98*100*($E98/365))+(Q99/$R99*100*($E99/365))+(Q100/$R100*100*($E100/365))</f>
        <v>56.084042537053051</v>
      </c>
      <c r="M191" s="886"/>
      <c r="N191" s="919">
        <f t="shared" si="71"/>
        <v>100</v>
      </c>
      <c r="O191" s="919"/>
      <c r="P191" s="12"/>
      <c r="Q191" s="12"/>
      <c r="R191" s="12">
        <v>2002</v>
      </c>
      <c r="S191" s="8">
        <f>(O98*($E98/365))+(O99*($E99/365))+(O100*($E100/365))</f>
        <v>29</v>
      </c>
      <c r="T191" s="8">
        <f>(P98*($E98/365))+(P99*($E99/365))+(P100*($E100/365))</f>
        <v>0</v>
      </c>
      <c r="U191" s="8">
        <f>(Q98*($E98/365))+(Q99*($E99/365))+(Q100*($E100/365))</f>
        <v>37.127397260273973</v>
      </c>
      <c r="V191" s="12"/>
      <c r="W191" s="7">
        <f t="shared" si="70"/>
        <v>66.127397260273966</v>
      </c>
      <c r="X191" s="5"/>
      <c r="Y191" s="5"/>
    </row>
    <row r="192" spans="1:25" ht="9" customHeight="1">
      <c r="A192" s="1">
        <v>2003</v>
      </c>
      <c r="B192" s="8">
        <f>(K101*($E101/365))+(K102*($E102/365))+(K103*($E103/365))</f>
        <v>24.018264840182646</v>
      </c>
      <c r="C192" s="8">
        <f>(L101*($E101/365))+(L102*($E102/365))+(L103*($E103/365))</f>
        <v>31.537290715372905</v>
      </c>
      <c r="D192" s="8">
        <f>(M101*($E101/365))+(M102*($E102/365))+(M103*($E103/365))</f>
        <v>44.444444444444443</v>
      </c>
      <c r="E192" s="35">
        <f t="shared" si="69"/>
        <v>100</v>
      </c>
      <c r="G192" s="1">
        <v>2003</v>
      </c>
      <c r="H192" s="886">
        <f>(O101/$R101*100*($E101/365))+(O102/$R102*100*($E102/365))+(O103/$R103*100*($E103/365))</f>
        <v>18.515614151166872</v>
      </c>
      <c r="I192" s="886"/>
      <c r="J192" s="886">
        <f>(P101/$R101*100*($E101/365))+(P102/$R102*100*($E102/365))+(P103/$R103*100*($E103/365))</f>
        <v>33.356749795105955</v>
      </c>
      <c r="K192" s="886"/>
      <c r="L192" s="886">
        <f>(Q101/$R101*100*($E101/365))+(Q102/$R102*100*($E102/365))+(Q103/$R103*100*($E103/365))</f>
        <v>48.127636053727159</v>
      </c>
      <c r="M192" s="886"/>
      <c r="N192" s="919">
        <f t="shared" si="71"/>
        <v>99.999999999999986</v>
      </c>
      <c r="O192" s="919"/>
      <c r="P192" s="12"/>
      <c r="Q192" s="12"/>
      <c r="R192" s="12">
        <v>2003</v>
      </c>
      <c r="S192" s="8">
        <f>(O101*($E101/365))+(O102*($E102/365))+(O103*($E103/365))</f>
        <v>11.615068493150684</v>
      </c>
      <c r="T192" s="8">
        <f>(P101*($E101/365))+(P102*($E102/365))+(P103*($E103/365))</f>
        <v>19.513698630136986</v>
      </c>
      <c r="U192" s="8">
        <f>(Q101*($E101/365))+(Q102*($E102/365))+(Q103*($E103/365))</f>
        <v>29.113698630136987</v>
      </c>
      <c r="V192" s="12"/>
      <c r="W192" s="7">
        <f t="shared" si="70"/>
        <v>60.242465753424653</v>
      </c>
      <c r="X192" s="5"/>
      <c r="Y192" s="5"/>
    </row>
    <row r="193" spans="1:25" ht="9" customHeight="1">
      <c r="A193" s="1">
        <v>2004</v>
      </c>
      <c r="B193" s="8">
        <f>(K104*($E104/366))+(K105*($E105/366))</f>
        <v>11.111111111111111</v>
      </c>
      <c r="C193" s="8">
        <f>(L104*($E104/366))+(L105*($E105/366))</f>
        <v>44.444444444444443</v>
      </c>
      <c r="D193" s="8">
        <f>(M104*($E104/366))+(M105*($E105/366))</f>
        <v>44.444444444444443</v>
      </c>
      <c r="E193" s="35">
        <f t="shared" si="69"/>
        <v>100</v>
      </c>
      <c r="G193" s="1">
        <v>2004</v>
      </c>
      <c r="H193" s="886">
        <f>(O104/$R104*100*($E104/366))+(O105/$R105*100*($E105/366))</f>
        <v>7.6923076923076925</v>
      </c>
      <c r="I193" s="886"/>
      <c r="J193" s="886">
        <f>(P104/$R104*100*($E104/366))+(P105/$R105*100*($E105/366))</f>
        <v>47.008547008547005</v>
      </c>
      <c r="K193" s="886"/>
      <c r="L193" s="886">
        <f>(Q104/$R104*100*($E104/366))+(Q105/$R105*100*($E105/366))</f>
        <v>45.299145299145302</v>
      </c>
      <c r="M193" s="886"/>
      <c r="N193" s="919">
        <f t="shared" si="71"/>
        <v>100</v>
      </c>
      <c r="O193" s="919"/>
      <c r="P193" s="12"/>
      <c r="Q193" s="12"/>
      <c r="R193" s="12">
        <v>2004</v>
      </c>
      <c r="S193" s="8">
        <f>(O104*($E104/366))+(O105*($E105/366))</f>
        <v>4.5</v>
      </c>
      <c r="T193" s="8">
        <f>(P104*($E104/366))+(P105*($E105/366))</f>
        <v>27.5</v>
      </c>
      <c r="U193" s="8">
        <f>(Q104*($E104/366))+(Q105*($E105/366))</f>
        <v>26.5</v>
      </c>
      <c r="V193" s="12"/>
      <c r="W193" s="7">
        <f t="shared" si="70"/>
        <v>58.5</v>
      </c>
      <c r="X193" s="5"/>
      <c r="Y193" s="5"/>
    </row>
    <row r="194" spans="1:25" ht="9" customHeight="1">
      <c r="A194" s="1">
        <v>2005</v>
      </c>
      <c r="B194" s="8">
        <f>(K106*($E106/365))+(K107*($E107/365))</f>
        <v>11.111111111111111</v>
      </c>
      <c r="C194" s="8">
        <f>(L106*($E106/365))+(L107*($E107/365))</f>
        <v>44.444444444444443</v>
      </c>
      <c r="D194" s="8">
        <f>(M106*($E106/365))+(M107*($E107/365))</f>
        <v>44.444444444444443</v>
      </c>
      <c r="E194" s="35">
        <f t="shared" si="69"/>
        <v>100</v>
      </c>
      <c r="G194" s="1">
        <v>2005</v>
      </c>
      <c r="H194" s="886">
        <f>(O106/$R106*100*($E106/365))+(O107/$R107*100*($E107/365))</f>
        <v>7.6923076923076925</v>
      </c>
      <c r="I194" s="886"/>
      <c r="J194" s="886">
        <f>(P106/$R106*100*($E106/365))+(P107/$R107*100*($E107/365))</f>
        <v>47.008547008547005</v>
      </c>
      <c r="K194" s="886"/>
      <c r="L194" s="886">
        <f>(Q106/$R106*100*($E106/365))+(Q107/$R107*100*($E107/365))</f>
        <v>45.299145299145302</v>
      </c>
      <c r="M194" s="886"/>
      <c r="N194" s="919">
        <f t="shared" si="71"/>
        <v>100</v>
      </c>
      <c r="O194" s="919"/>
      <c r="P194" s="12"/>
      <c r="Q194" s="12"/>
      <c r="R194" s="12">
        <v>2005</v>
      </c>
      <c r="S194" s="8">
        <f>(O106*($E106/365))+(O107*($E107/365))</f>
        <v>4.5</v>
      </c>
      <c r="T194" s="8">
        <f>(P106*($E106/365))+(P107*($E107/365))</f>
        <v>27.5</v>
      </c>
      <c r="U194" s="8">
        <f>(Q106*($E106/365))+(Q107*($E107/365))</f>
        <v>26.5</v>
      </c>
      <c r="V194" s="12"/>
      <c r="W194" s="7">
        <f t="shared" si="70"/>
        <v>58.5</v>
      </c>
      <c r="X194" s="5"/>
      <c r="Y194" s="5"/>
    </row>
    <row r="195" spans="1:25" ht="9" customHeight="1">
      <c r="A195" s="1">
        <v>2006</v>
      </c>
      <c r="B195" s="8">
        <f>(K108*($E108/365))+(K109*($E109/365))</f>
        <v>11.111111111111111</v>
      </c>
      <c r="C195" s="8">
        <f>(L108*($E108/365))+(L109*($E109/365))</f>
        <v>44.444444444444443</v>
      </c>
      <c r="D195" s="8">
        <f>(M108*($E108/365))+(M109*($E109/365))</f>
        <v>44.444444444444443</v>
      </c>
      <c r="E195" s="35">
        <f t="shared" si="69"/>
        <v>100</v>
      </c>
      <c r="G195" s="1">
        <v>2006</v>
      </c>
      <c r="H195" s="886">
        <f>(O108/$R108*100*($E108/365))+(O109/$R109*100*($E109/365))</f>
        <v>7.6923076923076925</v>
      </c>
      <c r="I195" s="886"/>
      <c r="J195" s="886">
        <f>(P108/$R108*100*($E108/365))+(P109/$R109*100*($E109/365))</f>
        <v>47.008547008547005</v>
      </c>
      <c r="K195" s="886"/>
      <c r="L195" s="886">
        <f>(Q108/$R108*100*($E108/365))+(Q109/$R109*100*($E109/365))</f>
        <v>45.299145299145302</v>
      </c>
      <c r="M195" s="886"/>
      <c r="N195" s="919">
        <f t="shared" si="71"/>
        <v>100</v>
      </c>
      <c r="O195" s="919"/>
      <c r="P195" s="12"/>
      <c r="Q195" s="12"/>
      <c r="R195" s="12">
        <v>2006</v>
      </c>
      <c r="S195" s="8">
        <f>(O108*($E108/365))+(O109*($E109/365))</f>
        <v>4.5</v>
      </c>
      <c r="T195" s="8">
        <f>(P108*($E108/365))+(P109*($E109/365))</f>
        <v>27.5</v>
      </c>
      <c r="U195" s="8">
        <f>(Q108*($E108/365))+(Q109*($E109/365))</f>
        <v>26.5</v>
      </c>
      <c r="V195" s="12"/>
      <c r="W195" s="7">
        <f t="shared" si="70"/>
        <v>58.5</v>
      </c>
      <c r="X195" s="5"/>
      <c r="Y195" s="5"/>
    </row>
    <row r="196" spans="1:25" ht="9" customHeight="1">
      <c r="A196" s="1">
        <v>2007</v>
      </c>
      <c r="B196" s="8">
        <f>(K110*($E110/365))+(K111*($E111/365))</f>
        <v>38.493150684931507</v>
      </c>
      <c r="C196" s="8">
        <f>(L110*($E110/365))+(L111*($E111/365))</f>
        <v>41.315068493150683</v>
      </c>
      <c r="D196" s="8">
        <f>(M110*($E110/365))+(M111*($E111/365))</f>
        <v>20.191780821917806</v>
      </c>
      <c r="E196" s="35">
        <f t="shared" si="69"/>
        <v>100</v>
      </c>
      <c r="G196" s="1">
        <v>2007</v>
      </c>
      <c r="H196" s="886">
        <f>(O110/$R110*100*($E110/365))+(O111/$R111*100*($E111/365))</f>
        <v>35.805108133875251</v>
      </c>
      <c r="I196" s="886"/>
      <c r="J196" s="886">
        <f>(P110/$R110*100*($E110/365))+(P111/$R111*100*($E111/365))</f>
        <v>42.409052135079527</v>
      </c>
      <c r="K196" s="886"/>
      <c r="L196" s="886">
        <f>(Q110/$R110*100*($E110/365))+(Q111/$R111*100*($E111/365))</f>
        <v>21.785839731045211</v>
      </c>
      <c r="M196" s="886"/>
      <c r="N196" s="919">
        <f t="shared" si="71"/>
        <v>99.999999999999986</v>
      </c>
      <c r="O196" s="919"/>
      <c r="P196" s="12"/>
      <c r="Q196" s="12"/>
      <c r="R196" s="12">
        <v>2007</v>
      </c>
      <c r="S196" s="8">
        <f>(O110*($E110/365))+(O111*($E111/365))</f>
        <v>22.454794520547946</v>
      </c>
      <c r="T196" s="8">
        <f>(P110*($E110/365))+(P111*($E111/365))</f>
        <v>26.091780821917808</v>
      </c>
      <c r="U196" s="8">
        <f>(Q110*($E110/365))+(Q111*($E111/365))</f>
        <v>13.121917808219179</v>
      </c>
      <c r="V196" s="12"/>
      <c r="W196" s="7">
        <f t="shared" si="70"/>
        <v>61.668493150684938</v>
      </c>
      <c r="X196" s="5"/>
      <c r="Y196" s="5"/>
    </row>
    <row r="197" spans="1:25" ht="9" customHeight="1">
      <c r="A197" s="1">
        <v>2008</v>
      </c>
      <c r="B197" s="8">
        <f>(K112*($E112/366))+(K113*($E113/366))</f>
        <v>50</v>
      </c>
      <c r="C197" s="8">
        <f>(L112*($E112/366))+(L113*($E113/366))</f>
        <v>40</v>
      </c>
      <c r="D197" s="8">
        <f>(M112*($E112/366))+(M113*($E113/366))</f>
        <v>10</v>
      </c>
      <c r="E197" s="35">
        <f t="shared" si="69"/>
        <v>100</v>
      </c>
      <c r="G197" s="1">
        <v>2008</v>
      </c>
      <c r="H197" s="886">
        <f>(O112/$R112*100*($E112/366))+(O113/$R113*100*($E113/366))</f>
        <v>47.619047619047613</v>
      </c>
      <c r="I197" s="886"/>
      <c r="J197" s="886">
        <f>(P112/$R112*100*($E112/366))+(P113/$R113*100*($E113/366))</f>
        <v>40.476190476190474</v>
      </c>
      <c r="K197" s="886"/>
      <c r="L197" s="886">
        <f>(Q112/$R112*100*($E112/366))+(Q113/$R113*100*($E113/366))</f>
        <v>11.904761904761903</v>
      </c>
      <c r="M197" s="886"/>
      <c r="N197" s="919">
        <f t="shared" si="71"/>
        <v>99.999999999999986</v>
      </c>
      <c r="O197" s="919"/>
      <c r="P197" s="12"/>
      <c r="Q197" s="12"/>
      <c r="R197" s="12">
        <v>2008</v>
      </c>
      <c r="S197" s="8">
        <f>(O112*($E112/366))+(O113*($E113/366))</f>
        <v>30</v>
      </c>
      <c r="T197" s="8">
        <f>(P112*($E112/366))+(P113*($E113/366))</f>
        <v>25.5</v>
      </c>
      <c r="U197" s="8">
        <f>(Q112*($E112/366))+(Q113*($E113/366))</f>
        <v>7.5</v>
      </c>
      <c r="V197" s="12"/>
      <c r="W197" s="7">
        <f t="shared" si="70"/>
        <v>63</v>
      </c>
      <c r="X197" s="5"/>
      <c r="Y197" s="5"/>
    </row>
    <row r="198" spans="1:25" ht="9" customHeight="1">
      <c r="A198" s="1">
        <v>2009</v>
      </c>
      <c r="B198" s="8">
        <f>(K114*($E114/365))+(K115*($E115/365))</f>
        <v>50</v>
      </c>
      <c r="C198" s="8">
        <f>(L114*($E114/365))+(L115*($E115/365))</f>
        <v>40</v>
      </c>
      <c r="D198" s="8">
        <f>(M114*($E114/365))+(M115*($E115/365))</f>
        <v>10</v>
      </c>
      <c r="E198" s="35">
        <f t="shared" si="69"/>
        <v>100</v>
      </c>
      <c r="G198" s="1">
        <v>2009</v>
      </c>
      <c r="H198" s="886">
        <f>(O114/$R114*100*($E114/365))+(O115/$R115*100*($E115/365))</f>
        <v>47.619047619047613</v>
      </c>
      <c r="I198" s="886"/>
      <c r="J198" s="886">
        <f>(P114/$R114*100*($E114/365))+(P115/$R115*100*($E115/365))</f>
        <v>40.476190476190474</v>
      </c>
      <c r="K198" s="886"/>
      <c r="L198" s="886">
        <f>(Q114/$R114*100*($E114/365))+(Q115/$R115*100*($E115/365))</f>
        <v>11.904761904761903</v>
      </c>
      <c r="M198" s="886"/>
      <c r="N198" s="919">
        <f t="shared" si="71"/>
        <v>99.999999999999986</v>
      </c>
      <c r="O198" s="919"/>
      <c r="P198" s="12"/>
      <c r="Q198" s="12"/>
      <c r="R198" s="12">
        <v>2009</v>
      </c>
      <c r="S198" s="8">
        <f>(O114*($E114/365))+(O115*($E115/365))</f>
        <v>30</v>
      </c>
      <c r="T198" s="8">
        <f>(P114*($E114/365))+(P115*($E115/365))</f>
        <v>25.5</v>
      </c>
      <c r="U198" s="8">
        <f>(Q114*($E114/365))+(Q115*($E115/365))</f>
        <v>7.5</v>
      </c>
      <c r="V198" s="12"/>
      <c r="W198" s="7">
        <f t="shared" si="70"/>
        <v>63</v>
      </c>
      <c r="X198" s="5"/>
      <c r="Y198" s="5"/>
    </row>
    <row r="199" spans="1:25" ht="9" customHeight="1">
      <c r="A199" s="1">
        <v>2010</v>
      </c>
      <c r="B199" s="8">
        <f>(K116*($E116/365))+(K117*($E117/365))</f>
        <v>50</v>
      </c>
      <c r="C199" s="8">
        <f>(L116*($E116/365))+(L117*($E117/365))</f>
        <v>40</v>
      </c>
      <c r="D199" s="8">
        <f>(M116*($E116/365))+(M117*($E117/365))</f>
        <v>10</v>
      </c>
      <c r="E199" s="35">
        <f t="shared" si="69"/>
        <v>100</v>
      </c>
      <c r="G199" s="1">
        <v>2010</v>
      </c>
      <c r="H199" s="886">
        <f>(O116/$R116*100*($E116/365))+(O117/$R117*100*($E117/365))</f>
        <v>47.61904761904762</v>
      </c>
      <c r="I199" s="886"/>
      <c r="J199" s="886">
        <f>(P116/$R116*100*($E116/365))+(P117/$R117*100*($E117/365))</f>
        <v>40.476190476190482</v>
      </c>
      <c r="K199" s="886"/>
      <c r="L199" s="886">
        <f>(Q116/$R116*100*($E116/365))+(Q117/$R117*100*($E117/365))</f>
        <v>11.904761904761905</v>
      </c>
      <c r="M199" s="886"/>
      <c r="N199" s="919">
        <f t="shared" si="71"/>
        <v>100</v>
      </c>
      <c r="O199" s="919"/>
      <c r="P199" s="12"/>
      <c r="Q199" s="12"/>
      <c r="R199" s="12">
        <v>2010</v>
      </c>
      <c r="S199" s="8">
        <f>(O116*($E116/365))+(O117*($E117/365))</f>
        <v>30</v>
      </c>
      <c r="T199" s="8">
        <f>(P116*($E116/365))+(P117*($E117/365))</f>
        <v>25.5</v>
      </c>
      <c r="U199" s="8">
        <f>(Q116*($E116/365))+(Q117*($E117/365))</f>
        <v>7.5</v>
      </c>
      <c r="V199" s="12"/>
      <c r="W199" s="7">
        <f t="shared" si="70"/>
        <v>63</v>
      </c>
      <c r="X199" s="5"/>
      <c r="Y199" s="5"/>
    </row>
    <row r="200" spans="1:25" ht="9" customHeight="1">
      <c r="A200" s="1">
        <v>2011</v>
      </c>
      <c r="B200" s="8">
        <f>(K118*($E118/365))+(K119*($E119/365))</f>
        <v>45.825522710886808</v>
      </c>
      <c r="C200" s="8">
        <f>(L118*($E118/365))+(L119*($E119/365))</f>
        <v>21.632299927901947</v>
      </c>
      <c r="D200" s="8">
        <f>(M118*($E118/365))+(M119*($E119/365))</f>
        <v>32.542177361211245</v>
      </c>
      <c r="E200" s="35">
        <f t="shared" si="69"/>
        <v>100</v>
      </c>
      <c r="G200" s="1">
        <v>2011</v>
      </c>
      <c r="H200" s="886">
        <f>(O118/$R118*100*($E118/365))+(O119/$R119*100*($E119/365))</f>
        <v>45.101108936725367</v>
      </c>
      <c r="I200" s="886"/>
      <c r="J200" s="886">
        <f>(P118/$R118*100*($E118/365))+(P119/$R119*100*($E119/365))</f>
        <v>21.591650358773649</v>
      </c>
      <c r="K200" s="886"/>
      <c r="L200" s="886">
        <f>(Q118/$R118*100*($E118/365))+(Q119/$R119*100*($E119/365))</f>
        <v>33.307240704500984</v>
      </c>
      <c r="M200" s="886"/>
      <c r="N200" s="919">
        <f t="shared" si="71"/>
        <v>100</v>
      </c>
      <c r="O200" s="919"/>
      <c r="P200" s="12"/>
      <c r="Q200" s="12"/>
      <c r="R200" s="12">
        <v>2011</v>
      </c>
      <c r="S200" s="8">
        <f>(O118*($E118/365))+(O119*($E119/365))</f>
        <v>28.413698630136988</v>
      </c>
      <c r="T200" s="8">
        <f>(P118*($E118/365))+(P119*($E119/365))</f>
        <v>13.602739726027398</v>
      </c>
      <c r="U200" s="8">
        <f>(Q118*($E118/365))+(Q119*($E119/365))</f>
        <v>20.983561643835618</v>
      </c>
      <c r="V200" s="12"/>
      <c r="W200" s="7">
        <f t="shared" si="70"/>
        <v>63</v>
      </c>
      <c r="X200" s="5"/>
      <c r="Y200" s="5"/>
    </row>
    <row r="201" spans="1:25" ht="9" customHeight="1">
      <c r="A201" s="1">
        <v>2012</v>
      </c>
      <c r="B201" s="8">
        <f>(K120*($E120/366))+(K121*($E121/366))</f>
        <v>42.105263157894733</v>
      </c>
      <c r="C201" s="8">
        <f>(L120*($E120/366))+(L121*($E121/366))</f>
        <v>5.2631578947368416</v>
      </c>
      <c r="D201" s="8">
        <f>(M120*($E120/366))+(M121*($E121/366))</f>
        <v>52.631578947368418</v>
      </c>
      <c r="E201" s="35">
        <f t="shared" si="69"/>
        <v>100</v>
      </c>
      <c r="G201" s="1">
        <v>2012</v>
      </c>
      <c r="H201" s="886">
        <f>(O120/$R120*100*($E120/366))+(O121/$R121*100*($E121/366))</f>
        <v>42.857142857142854</v>
      </c>
      <c r="I201" s="886"/>
      <c r="J201" s="886">
        <f>(P120/$R120*100*($E120/366))+(P121/$R121*100*($E121/366))</f>
        <v>4.7619047619047619</v>
      </c>
      <c r="K201" s="886"/>
      <c r="L201" s="886">
        <f>(Q120/$R120*100*($E120/366))+(Q121/$R121*100*($E121/366))</f>
        <v>52.380952380952387</v>
      </c>
      <c r="M201" s="886"/>
      <c r="N201" s="919">
        <f t="shared" si="71"/>
        <v>100</v>
      </c>
      <c r="O201" s="919"/>
      <c r="P201" s="12"/>
      <c r="Q201" s="12"/>
      <c r="R201" s="12">
        <v>2012</v>
      </c>
      <c r="S201" s="8">
        <f>(O120*($E120/366))+(O121*($E121/366))</f>
        <v>27</v>
      </c>
      <c r="T201" s="8">
        <f>(P120*($E120/366))+(P121*($E121/366))</f>
        <v>3</v>
      </c>
      <c r="U201" s="8">
        <f>(Q120*($E120/366))+(Q121*($E121/366))</f>
        <v>33</v>
      </c>
      <c r="V201" s="12"/>
      <c r="W201" s="7">
        <f t="shared" si="70"/>
        <v>63</v>
      </c>
      <c r="X201" s="5"/>
      <c r="Y201" s="5"/>
    </row>
    <row r="202" spans="1:25" ht="9" customHeight="1">
      <c r="A202" s="1">
        <v>2013</v>
      </c>
      <c r="B202" s="8">
        <f>(K122*($E122/365))+(K123*($E123/365))</f>
        <v>42.105263157894733</v>
      </c>
      <c r="C202" s="8">
        <f>(L122*($E122/365))+(L123*($E123/365))</f>
        <v>5.2631578947368416</v>
      </c>
      <c r="D202" s="8">
        <f>(M122*($E122/365))+(M123*($E123/365))</f>
        <v>52.631578947368418</v>
      </c>
      <c r="E202" s="446">
        <f t="shared" si="69"/>
        <v>100</v>
      </c>
      <c r="G202" s="1">
        <v>2013</v>
      </c>
      <c r="H202" s="886">
        <f>(O122/$R122*100*($E122/365))+(O123/$R123*100*($E123/365))</f>
        <v>42.857142857142854</v>
      </c>
      <c r="I202" s="886"/>
      <c r="J202" s="886">
        <f>(P122/$R122*100*($E122/365))+(P123/$R123*100*($E123/365))</f>
        <v>4.7619047619047619</v>
      </c>
      <c r="K202" s="886"/>
      <c r="L202" s="886">
        <f>(Q122/$R122*100*($E122/365))+(Q123/$R123*100*($E123/365))</f>
        <v>52.380952380952387</v>
      </c>
      <c r="M202" s="886"/>
      <c r="N202" s="919">
        <f>SUM(H202:M202)</f>
        <v>100</v>
      </c>
      <c r="O202" s="919"/>
      <c r="P202" s="12"/>
      <c r="Q202" s="12"/>
      <c r="R202" s="12">
        <v>2013</v>
      </c>
      <c r="S202" s="8">
        <f>(O122*($E122/365))+(O123*($E123/365))</f>
        <v>27</v>
      </c>
      <c r="T202" s="8">
        <f>(P122*($E122/365))+(P123*($E123/365))</f>
        <v>3</v>
      </c>
      <c r="U202" s="8">
        <f>(Q122*($E122/365))+(Q123*($E123/365))</f>
        <v>33</v>
      </c>
      <c r="V202" s="12"/>
      <c r="W202" s="7">
        <f t="shared" si="70"/>
        <v>63</v>
      </c>
      <c r="X202" s="5"/>
      <c r="Y202" s="5"/>
    </row>
    <row r="203" spans="1:25" ht="9" customHeight="1">
      <c r="A203" s="1">
        <v>2014</v>
      </c>
      <c r="B203" s="8">
        <f>(K124*($E124/365))+(K125*($E125/365))+(K126*($E126/365))+(K127*($E127/365))</f>
        <v>47.380296026124938</v>
      </c>
      <c r="C203" s="8">
        <f>(L124*($E124/365))+(L125*($E125/365))+(L126*($E126/365))+(L127*($E127/365))</f>
        <v>5.5871750286271675</v>
      </c>
      <c r="D203" s="8">
        <f>(M124*($E124/365))+(M125*($E125/365))+(M126*($E126/365))+(M127*($E127/365))</f>
        <v>47.032528945247883</v>
      </c>
      <c r="E203" s="446">
        <f>SUM(B203:D203)</f>
        <v>99.999999999999986</v>
      </c>
      <c r="G203" s="1">
        <v>2014</v>
      </c>
      <c r="H203" s="886">
        <f>(O124/$R124*100*($E124/365))+(O125/$R125*100*($E125/365))+(O126/$R126*100*($E126/365))+(O127/$R127*100*($E127/365))</f>
        <v>48.066651318061474</v>
      </c>
      <c r="I203" s="886"/>
      <c r="J203" s="886">
        <f>(P124/$R124*100*($E124/365))+(P125/$R125*100*($E125/365))+(P126/$R126*100*($E126/365))+(P127/$R127*100*($E127/365))</f>
        <v>5.3407390353401638</v>
      </c>
      <c r="K203" s="886"/>
      <c r="L203" s="886">
        <f>(Q124/$R124*100*($E124/365))+(Q125/$R125*100*($E125/365))+(Q126/$R126*100*($E126/365))+(Q127/$R127*100*($E127/365))</f>
        <v>46.592609646598362</v>
      </c>
      <c r="M203" s="886"/>
      <c r="N203" s="919">
        <f>SUM(H203:M203)</f>
        <v>100</v>
      </c>
      <c r="O203" s="919"/>
      <c r="P203" s="12"/>
      <c r="Q203" s="12"/>
      <c r="R203" s="12">
        <v>2014</v>
      </c>
      <c r="S203" s="8">
        <f>(O124*($E124/365))+(O125*($E125/365))+(O126*($E126/365))+(O127*($E127/365))</f>
        <v>27</v>
      </c>
      <c r="T203" s="8">
        <f>(P124*($E124/365))+(P125*($E125/365))+(P126*($E126/365))+(P127*($E127/365))</f>
        <v>3</v>
      </c>
      <c r="U203" s="8">
        <f>(Q124*($E124/365))+(Q125*($E125/365))+(Q126*($E126/365))+(Q127*($E127/365))</f>
        <v>26.495890410958904</v>
      </c>
      <c r="V203" s="12"/>
      <c r="W203" s="7">
        <f>SUM(S203:U203)</f>
        <v>56.495890410958907</v>
      </c>
      <c r="X203" s="5"/>
      <c r="Y203" s="5"/>
    </row>
    <row r="204" spans="1:25" s="593" customFormat="1" ht="9" customHeight="1">
      <c r="A204" s="593">
        <v>2015</v>
      </c>
      <c r="B204" s="587">
        <f>(K128*($E128/365))+(K129*($E129/365))</f>
        <v>55.439161966156327</v>
      </c>
      <c r="C204" s="587">
        <f>(L128*($E128/365))+(L129*($E129/365))</f>
        <v>27.864625302175661</v>
      </c>
      <c r="D204" s="587">
        <f>(M128*($E128/365))+(M129*($E129/365))</f>
        <v>16.696212731668009</v>
      </c>
      <c r="E204" s="586">
        <f>SUM(B204:D204)</f>
        <v>100</v>
      </c>
      <c r="G204" s="593">
        <v>2015</v>
      </c>
      <c r="H204" s="886">
        <f>(O128/$R128*100*($E128/365))+(O129/$R129*100*($E129/365))</f>
        <v>57.425463336019341</v>
      </c>
      <c r="I204" s="886"/>
      <c r="J204" s="886">
        <f>(P128/$R128*100*($E128/365))+(P129/$R129*100*($E129/365))</f>
        <v>25.87832393231265</v>
      </c>
      <c r="K204" s="886"/>
      <c r="L204" s="886">
        <f>(Q128/$R128*100*($E128/365))+(Q129/$R129*100*($E129/365))</f>
        <v>16.696212731668009</v>
      </c>
      <c r="M204" s="886"/>
      <c r="N204" s="919">
        <f>SUM(H204:M204)</f>
        <v>100</v>
      </c>
      <c r="O204" s="919"/>
      <c r="P204" s="12"/>
      <c r="Q204" s="12"/>
      <c r="R204" s="12">
        <v>2015</v>
      </c>
      <c r="S204" s="587">
        <f>(O128*($E128/365))+(O129*($E129/365))</f>
        <v>33.242465753424653</v>
      </c>
      <c r="T204" s="587">
        <f>(P128*($E128/365))+(P129*($E129/365))</f>
        <v>15.782191780821918</v>
      </c>
      <c r="U204" s="587">
        <f>(Q128*($E128/365))+(Q129*($E129/365))</f>
        <v>8.5150684931506841</v>
      </c>
      <c r="V204" s="12"/>
      <c r="W204" s="591">
        <f>SUM(S204:U204)</f>
        <v>57.539726027397258</v>
      </c>
      <c r="X204" s="5"/>
      <c r="Y204" s="5"/>
    </row>
    <row r="205" spans="1:25" s="593" customFormat="1" ht="9" customHeight="1">
      <c r="A205" s="663">
        <v>2016</v>
      </c>
      <c r="B205" s="657">
        <f>(K130*($E130/366))+(K131*($E131/366))</f>
        <v>57.142857142857139</v>
      </c>
      <c r="C205" s="657">
        <f>(L130*($E130/366))+(L131*($E131/366))</f>
        <v>42.857142857142854</v>
      </c>
      <c r="D205" s="657">
        <f>(M130*($E130/366))+(M131*($E131/366))</f>
        <v>0</v>
      </c>
      <c r="E205" s="656">
        <f>SUM(B205:D205)</f>
        <v>100</v>
      </c>
      <c r="F205" s="663"/>
      <c r="G205" s="663">
        <v>2016</v>
      </c>
      <c r="H205" s="886">
        <f>(O130/$R130*100*($E130/365))+(O131/$R131*100*($E131/366))</f>
        <v>60.483870967741936</v>
      </c>
      <c r="I205" s="886"/>
      <c r="J205" s="886">
        <f>(P130/$R130*100*($E130/366))+(P131/$R131*100*($E131/366))</f>
        <v>39.516129032258064</v>
      </c>
      <c r="K205" s="886"/>
      <c r="L205" s="886">
        <f>(Q130/$R130*100*($E130/366))+(Q131/$R131*100*($E131/366))</f>
        <v>0</v>
      </c>
      <c r="M205" s="886"/>
      <c r="N205" s="919">
        <f>SUM(H205:M205)</f>
        <v>100</v>
      </c>
      <c r="O205" s="919"/>
      <c r="P205" s="12"/>
      <c r="Q205" s="12"/>
      <c r="R205" s="12">
        <v>2016</v>
      </c>
      <c r="S205" s="657">
        <f>(O130*($E130/366))+(O131*($E131/366))</f>
        <v>37.5</v>
      </c>
      <c r="T205" s="657">
        <f>(P130*($E130/366))+(P131*($E131/366))</f>
        <v>24.5</v>
      </c>
      <c r="U205" s="657">
        <f>(Q130*($E130/366))+(Q131*($E131/366))</f>
        <v>0</v>
      </c>
      <c r="V205" s="12"/>
      <c r="W205" s="661">
        <f>SUM(S205:U205)</f>
        <v>62</v>
      </c>
      <c r="X205" s="5"/>
      <c r="Y205" s="5"/>
    </row>
    <row r="206" spans="1:25" s="749" customFormat="1" ht="9" customHeight="1">
      <c r="A206" s="749">
        <v>2017</v>
      </c>
      <c r="B206" s="744">
        <f>(K132*($E132/365))+(K133*($E133/365))+(K134*($E134/365))</f>
        <v>57.87181996086106</v>
      </c>
      <c r="C206" s="744">
        <f t="shared" ref="C206:D206" si="72">(L132*($E132/365))+(L133*($E133/365))+(L134*($E134/365))</f>
        <v>42.12818003913894</v>
      </c>
      <c r="D206" s="744">
        <f t="shared" si="72"/>
        <v>0</v>
      </c>
      <c r="E206" s="743">
        <f>SUM(B206:D206)</f>
        <v>100</v>
      </c>
      <c r="G206" s="749">
        <v>2017</v>
      </c>
      <c r="H206" s="886">
        <f>(O132/$R132*100*($E132/365))+(O133/$R133*100*($E133/365))+(O134/$R134*100*($E134/365))</f>
        <v>60.483870967741936</v>
      </c>
      <c r="I206" s="886"/>
      <c r="J206" s="886">
        <f>(P132/$R132*100*($E132/365))+(P133/$R133*100*($E133/365))+(P134/$R134*100*($E134/365))</f>
        <v>39.516129032258064</v>
      </c>
      <c r="K206" s="886"/>
      <c r="L206" s="886">
        <f>(Q132/$R132*100*($E132/365))+(Q133/$R133*100*($E133/365))+(Q134/$R134*100*($E134/365))</f>
        <v>0</v>
      </c>
      <c r="M206" s="886"/>
      <c r="N206" s="919">
        <f>SUM(H206:M206)</f>
        <v>100</v>
      </c>
      <c r="O206" s="919"/>
      <c r="P206" s="12"/>
      <c r="Q206" s="12"/>
      <c r="R206" s="12">
        <v>2017</v>
      </c>
      <c r="S206" s="744">
        <f>(O132*($E132/365))+(O133*($E133/365))+(O134*($E134/365))</f>
        <v>37.5</v>
      </c>
      <c r="T206" s="744">
        <f t="shared" ref="T206:U206" si="73">(P132*($E132/365))+(P133*($E133/365))+(P134*($E134/365))</f>
        <v>24.5</v>
      </c>
      <c r="U206" s="744">
        <f t="shared" si="73"/>
        <v>0</v>
      </c>
      <c r="V206" s="12"/>
      <c r="W206" s="746">
        <f>SUM(S206:U206)</f>
        <v>62</v>
      </c>
      <c r="X206" s="5"/>
      <c r="Y206" s="5"/>
    </row>
    <row r="207" spans="1:25">
      <c r="A207" s="766">
        <v>2018</v>
      </c>
      <c r="B207" s="757">
        <f>(K135*($E135/365))+(K136*($E136/365))</f>
        <v>58.82352941176471</v>
      </c>
      <c r="C207" s="757">
        <f>(L135*($E135/365))+(L136*($E136/365))</f>
        <v>41.17647058823529</v>
      </c>
      <c r="D207" s="757">
        <f>(M135*($E135/365))+(M136*($E136/365))</f>
        <v>0</v>
      </c>
      <c r="E207" s="754">
        <f t="shared" ref="E207" si="74">SUM(B207:D207)</f>
        <v>100</v>
      </c>
      <c r="F207" s="766"/>
      <c r="G207" s="766">
        <v>2018</v>
      </c>
      <c r="H207" s="886">
        <f>(O135/$R135*100*($E135/365))+(O136/$R136*100*($E136/365))</f>
        <v>60.483870967741936</v>
      </c>
      <c r="I207" s="886"/>
      <c r="J207" s="886">
        <f>(P135/$R135*100*($E135/365))+(P136/$R136*100*($E136/365))</f>
        <v>39.516129032258064</v>
      </c>
      <c r="K207" s="886"/>
      <c r="L207" s="886">
        <f>(Q135/$R135*100*($E135/365))+(Q136/$R136*100*($E136/365))</f>
        <v>0</v>
      </c>
      <c r="M207" s="886"/>
      <c r="N207" s="919">
        <f t="shared" ref="N207" si="75">SUM(H207:M207)</f>
        <v>100</v>
      </c>
      <c r="O207" s="919"/>
      <c r="P207" s="12"/>
      <c r="Q207" s="12"/>
      <c r="R207" s="12">
        <v>2018</v>
      </c>
      <c r="S207" s="757">
        <f>(O135*($E135/365))+(O136*($E136/365))</f>
        <v>37.5</v>
      </c>
      <c r="T207" s="757">
        <f>(P135*($E135/365))+(P136*($E136/365))</f>
        <v>24.5</v>
      </c>
      <c r="U207" s="757">
        <f>(Q135*($E135/365))+(Q136*($E136/365))</f>
        <v>0</v>
      </c>
      <c r="V207" s="12"/>
      <c r="W207" s="762">
        <f t="shared" ref="W207" si="76">SUM(S207:U207)</f>
        <v>62</v>
      </c>
    </row>
    <row r="208" spans="1:25">
      <c r="A208" s="794">
        <v>2019</v>
      </c>
      <c r="B208" s="788">
        <f>(K137*($E137/365))+(K138*($E138/365))+(K139*(E139/365))+(K140*(E140/365))</f>
        <v>32.074939564867044</v>
      </c>
      <c r="C208" s="788">
        <f>(L137*($E137/365))+(L138*($E138/365))+(L139*(E139/365))+(L140*(E140/365))</f>
        <v>31.760676873489121</v>
      </c>
      <c r="D208" s="788">
        <f>(M137*($E137/365))+(M138*($E138/365))+(M139*(E139/365))+(M140*(E140/365))</f>
        <v>36.164383561643831</v>
      </c>
      <c r="E208" s="784">
        <f t="shared" ref="E208" si="77">SUM(B208:D208)</f>
        <v>100</v>
      </c>
      <c r="F208" s="794"/>
      <c r="G208" s="794">
        <v>2019</v>
      </c>
      <c r="H208" s="886">
        <f>(O137/$R137*100*($E137/365))+(O138/$R138*100*($E138/365))+(O139/R139*100*(E139/365))+(O140/R140*100*(E140/365))</f>
        <v>30.293248205768965</v>
      </c>
      <c r="I208" s="886"/>
      <c r="J208" s="886">
        <f>(P137/$R137*100*($E137/365))+(P138/$R138*100*($E138/365))+(P139/R139*100*(E139/365))+(P140/R140*100*(E140/365))</f>
        <v>32.191399881146474</v>
      </c>
      <c r="K208" s="886"/>
      <c r="L208" s="886">
        <f>(Q137/$R137*100*($E137/365))+(Q138/$R138*100*($E138/365))+(Q139/R139*100*(E139/365))+(Q140/R140*100*(E140/365))</f>
        <v>37.515351913084558</v>
      </c>
      <c r="M208" s="886"/>
      <c r="N208" s="919">
        <f t="shared" ref="N208" si="78">SUM(H208:M208)</f>
        <v>100</v>
      </c>
      <c r="O208" s="919"/>
      <c r="P208" s="12"/>
      <c r="Q208" s="12"/>
      <c r="R208" s="12">
        <v>2019</v>
      </c>
      <c r="S208" s="788">
        <f>(O137*($E137/365))+(O138*($E138/365))+(O139*(E139/365))+(O140*(E140/365))</f>
        <v>18.604109589041094</v>
      </c>
      <c r="T208" s="788">
        <f>(P137*($E137/365))+(P138*($E138/365))+(P139*(E139/365))+(P140*(E140/365))</f>
        <v>19.346575342465755</v>
      </c>
      <c r="U208" s="788">
        <f>(Q137*($E137/365))+(Q138*($E138/365))+(Q139*(E139/365))+(Q140*(E140/365))</f>
        <v>21.758904109589039</v>
      </c>
      <c r="V208" s="12"/>
      <c r="W208" s="791">
        <f t="shared" ref="W208" si="79">SUM(S208:U208)</f>
        <v>59.709589041095889</v>
      </c>
    </row>
  </sheetData>
  <mergeCells count="407">
    <mergeCell ref="H206:I206"/>
    <mergeCell ref="J206:K206"/>
    <mergeCell ref="L206:M206"/>
    <mergeCell ref="N206:O206"/>
    <mergeCell ref="H205:I205"/>
    <mergeCell ref="L205:M205"/>
    <mergeCell ref="N205:O205"/>
    <mergeCell ref="H201:I201"/>
    <mergeCell ref="H195:I195"/>
    <mergeCell ref="H196:I196"/>
    <mergeCell ref="H199:I199"/>
    <mergeCell ref="H200:I200"/>
    <mergeCell ref="J205:K205"/>
    <mergeCell ref="J201:K201"/>
    <mergeCell ref="J195:K195"/>
    <mergeCell ref="J196:K196"/>
    <mergeCell ref="J197:K197"/>
    <mergeCell ref="J198:K198"/>
    <mergeCell ref="J199:K199"/>
    <mergeCell ref="J200:K200"/>
    <mergeCell ref="L147:M147"/>
    <mergeCell ref="J181:K181"/>
    <mergeCell ref="J182:K182"/>
    <mergeCell ref="J191:K191"/>
    <mergeCell ref="J192:K192"/>
    <mergeCell ref="J193:K193"/>
    <mergeCell ref="J194:K194"/>
    <mergeCell ref="H197:I197"/>
    <mergeCell ref="H198:I198"/>
    <mergeCell ref="H189:I189"/>
    <mergeCell ref="H190:I190"/>
    <mergeCell ref="H183:I183"/>
    <mergeCell ref="H184:I184"/>
    <mergeCell ref="H185:I185"/>
    <mergeCell ref="H186:I186"/>
    <mergeCell ref="H187:I187"/>
    <mergeCell ref="H188:I188"/>
    <mergeCell ref="H191:I191"/>
    <mergeCell ref="H192:I192"/>
    <mergeCell ref="H193:I193"/>
    <mergeCell ref="H194:I194"/>
    <mergeCell ref="J183:K183"/>
    <mergeCell ref="J184:K184"/>
    <mergeCell ref="J185:K185"/>
    <mergeCell ref="H182:I182"/>
    <mergeCell ref="N202:O202"/>
    <mergeCell ref="J150:K150"/>
    <mergeCell ref="J151:K151"/>
    <mergeCell ref="J160:K160"/>
    <mergeCell ref="J161:K161"/>
    <mergeCell ref="J162:K162"/>
    <mergeCell ref="J163:K163"/>
    <mergeCell ref="J164:K164"/>
    <mergeCell ref="J165:K165"/>
    <mergeCell ref="L201:M201"/>
    <mergeCell ref="L195:M195"/>
    <mergeCell ref="L196:M196"/>
    <mergeCell ref="L197:M197"/>
    <mergeCell ref="L198:M198"/>
    <mergeCell ref="J166:K166"/>
    <mergeCell ref="J167:K167"/>
    <mergeCell ref="J168:K168"/>
    <mergeCell ref="J186:K186"/>
    <mergeCell ref="J187:K187"/>
    <mergeCell ref="J190:K190"/>
    <mergeCell ref="J188:K188"/>
    <mergeCell ref="L163:M163"/>
    <mergeCell ref="L164:M164"/>
    <mergeCell ref="N149:O149"/>
    <mergeCell ref="H149:I149"/>
    <mergeCell ref="J149:K149"/>
    <mergeCell ref="L149:M149"/>
    <mergeCell ref="H177:I177"/>
    <mergeCell ref="H178:I178"/>
    <mergeCell ref="H179:I179"/>
    <mergeCell ref="H180:I180"/>
    <mergeCell ref="H181:I181"/>
    <mergeCell ref="J177:K177"/>
    <mergeCell ref="J178:K178"/>
    <mergeCell ref="J179:K179"/>
    <mergeCell ref="J171:K171"/>
    <mergeCell ref="J172:K172"/>
    <mergeCell ref="J173:K173"/>
    <mergeCell ref="J174:K174"/>
    <mergeCell ref="J175:K175"/>
    <mergeCell ref="J176:K176"/>
    <mergeCell ref="J169:K169"/>
    <mergeCell ref="J170:K170"/>
    <mergeCell ref="L159:M159"/>
    <mergeCell ref="L160:M160"/>
    <mergeCell ref="L161:M161"/>
    <mergeCell ref="L162:M162"/>
    <mergeCell ref="N148:O148"/>
    <mergeCell ref="H173:I173"/>
    <mergeCell ref="H174:I174"/>
    <mergeCell ref="C124:D124"/>
    <mergeCell ref="C125:D125"/>
    <mergeCell ref="C126:D126"/>
    <mergeCell ref="C127:D127"/>
    <mergeCell ref="H147:I147"/>
    <mergeCell ref="J147:K147"/>
    <mergeCell ref="J158:K158"/>
    <mergeCell ref="J152:K152"/>
    <mergeCell ref="J153:K153"/>
    <mergeCell ref="J154:K154"/>
    <mergeCell ref="J155:K155"/>
    <mergeCell ref="J156:K156"/>
    <mergeCell ref="J157:K157"/>
    <mergeCell ref="C133:D133"/>
    <mergeCell ref="C134:D134"/>
    <mergeCell ref="C136:D136"/>
    <mergeCell ref="C141:D141"/>
    <mergeCell ref="C132:D132"/>
    <mergeCell ref="C130:D130"/>
    <mergeCell ref="C142:D142"/>
    <mergeCell ref="C131:D131"/>
    <mergeCell ref="C128:D128"/>
    <mergeCell ref="H175:I175"/>
    <mergeCell ref="H176:I176"/>
    <mergeCell ref="H165:I165"/>
    <mergeCell ref="H166:I166"/>
    <mergeCell ref="H167:I167"/>
    <mergeCell ref="H168:I168"/>
    <mergeCell ref="H169:I169"/>
    <mergeCell ref="H170:I170"/>
    <mergeCell ref="H171:I171"/>
    <mergeCell ref="H172:I172"/>
    <mergeCell ref="C135:D135"/>
    <mergeCell ref="C137:D137"/>
    <mergeCell ref="C138:D138"/>
    <mergeCell ref="C139:D139"/>
    <mergeCell ref="C140:D140"/>
    <mergeCell ref="C129:D129"/>
    <mergeCell ref="H148:I148"/>
    <mergeCell ref="N147:O147"/>
    <mergeCell ref="C122:D122"/>
    <mergeCell ref="C123:D123"/>
    <mergeCell ref="H202:I202"/>
    <mergeCell ref="J202:K202"/>
    <mergeCell ref="L202:M202"/>
    <mergeCell ref="J148:K148"/>
    <mergeCell ref="L148:M148"/>
    <mergeCell ref="H150:I150"/>
    <mergeCell ref="H151:I151"/>
    <mergeCell ref="H152:I152"/>
    <mergeCell ref="H159:I159"/>
    <mergeCell ref="H160:I160"/>
    <mergeCell ref="H161:I161"/>
    <mergeCell ref="H162:I162"/>
    <mergeCell ref="H163:I163"/>
    <mergeCell ref="H164:I164"/>
    <mergeCell ref="H153:I153"/>
    <mergeCell ref="H154:I154"/>
    <mergeCell ref="H155:I155"/>
    <mergeCell ref="H156:I156"/>
    <mergeCell ref="H157:I157"/>
    <mergeCell ref="H158:I158"/>
    <mergeCell ref="J180:K180"/>
    <mergeCell ref="C118:D118"/>
    <mergeCell ref="C111:D111"/>
    <mergeCell ref="C112:D112"/>
    <mergeCell ref="C119:D119"/>
    <mergeCell ref="C120:D120"/>
    <mergeCell ref="C121:D121"/>
    <mergeCell ref="C113:D113"/>
    <mergeCell ref="C114:D114"/>
    <mergeCell ref="C115:D115"/>
    <mergeCell ref="C116:D116"/>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89:D89"/>
    <mergeCell ref="C90:D90"/>
    <mergeCell ref="C91:D91"/>
    <mergeCell ref="C92:D92"/>
    <mergeCell ref="C93:D93"/>
    <mergeCell ref="C94:D94"/>
    <mergeCell ref="C95:D95"/>
    <mergeCell ref="C96:D96"/>
    <mergeCell ref="C97:D97"/>
    <mergeCell ref="C80:D80"/>
    <mergeCell ref="C81:D81"/>
    <mergeCell ref="C82:D82"/>
    <mergeCell ref="C83:D83"/>
    <mergeCell ref="C84:D84"/>
    <mergeCell ref="C85:D85"/>
    <mergeCell ref="C86:D86"/>
    <mergeCell ref="C87:D87"/>
    <mergeCell ref="C88:D88"/>
    <mergeCell ref="C71:D71"/>
    <mergeCell ref="C72:D72"/>
    <mergeCell ref="C73:D73"/>
    <mergeCell ref="C74:D74"/>
    <mergeCell ref="C75:D75"/>
    <mergeCell ref="C76:D76"/>
    <mergeCell ref="C77:D77"/>
    <mergeCell ref="C78:D78"/>
    <mergeCell ref="C79:D79"/>
    <mergeCell ref="C62:D62"/>
    <mergeCell ref="C63:D63"/>
    <mergeCell ref="C64:D64"/>
    <mergeCell ref="C65:D65"/>
    <mergeCell ref="C66:D66"/>
    <mergeCell ref="C67:D67"/>
    <mergeCell ref="C68:D68"/>
    <mergeCell ref="C69:D69"/>
    <mergeCell ref="C70:D70"/>
    <mergeCell ref="C53:D53"/>
    <mergeCell ref="C54:D54"/>
    <mergeCell ref="C55:D55"/>
    <mergeCell ref="C56:D56"/>
    <mergeCell ref="C57:D57"/>
    <mergeCell ref="C58:D58"/>
    <mergeCell ref="C59:D59"/>
    <mergeCell ref="C60:D60"/>
    <mergeCell ref="C61:D61"/>
    <mergeCell ref="C44:D44"/>
    <mergeCell ref="C45:D45"/>
    <mergeCell ref="C46:D46"/>
    <mergeCell ref="C47:D47"/>
    <mergeCell ref="C48:D48"/>
    <mergeCell ref="C49:D49"/>
    <mergeCell ref="C50:D50"/>
    <mergeCell ref="C51:D51"/>
    <mergeCell ref="C52:D52"/>
    <mergeCell ref="C35:D35"/>
    <mergeCell ref="C36:D36"/>
    <mergeCell ref="C37:D37"/>
    <mergeCell ref="C38:D38"/>
    <mergeCell ref="C39:D39"/>
    <mergeCell ref="C40:D40"/>
    <mergeCell ref="C41:D41"/>
    <mergeCell ref="C42:D42"/>
    <mergeCell ref="C43:D43"/>
    <mergeCell ref="C26:D26"/>
    <mergeCell ref="C27:D27"/>
    <mergeCell ref="C28:D28"/>
    <mergeCell ref="C29:D29"/>
    <mergeCell ref="C30:D30"/>
    <mergeCell ref="C31:D31"/>
    <mergeCell ref="C32:D32"/>
    <mergeCell ref="C33:D33"/>
    <mergeCell ref="C34:D34"/>
    <mergeCell ref="Z4:AC4"/>
    <mergeCell ref="AD4:AG4"/>
    <mergeCell ref="AH4:AK4"/>
    <mergeCell ref="C20:D20"/>
    <mergeCell ref="C21:D21"/>
    <mergeCell ref="C22:D22"/>
    <mergeCell ref="C23:D23"/>
    <mergeCell ref="C24:D24"/>
    <mergeCell ref="C25:D25"/>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G3:M3"/>
    <mergeCell ref="O3:Q3"/>
    <mergeCell ref="C9:D9"/>
    <mergeCell ref="C10:D10"/>
    <mergeCell ref="A4:A5"/>
    <mergeCell ref="B4:B5"/>
    <mergeCell ref="C4:D5"/>
    <mergeCell ref="E4:E5"/>
    <mergeCell ref="F4:F5"/>
    <mergeCell ref="G4:J4"/>
    <mergeCell ref="C8:D8"/>
    <mergeCell ref="K4:N4"/>
    <mergeCell ref="O4:R4"/>
    <mergeCell ref="J189:K189"/>
    <mergeCell ref="J159:K159"/>
    <mergeCell ref="L171:M171"/>
    <mergeCell ref="L172:M172"/>
    <mergeCell ref="L173:M173"/>
    <mergeCell ref="L174:M174"/>
    <mergeCell ref="L175:M175"/>
    <mergeCell ref="L176:M176"/>
    <mergeCell ref="L165:M165"/>
    <mergeCell ref="L166:M166"/>
    <mergeCell ref="L167:M167"/>
    <mergeCell ref="L168:M168"/>
    <mergeCell ref="L169:M169"/>
    <mergeCell ref="L170:M170"/>
    <mergeCell ref="L185:M185"/>
    <mergeCell ref="L186:M186"/>
    <mergeCell ref="L187:M187"/>
    <mergeCell ref="L188:M188"/>
    <mergeCell ref="L177:M177"/>
    <mergeCell ref="L178:M178"/>
    <mergeCell ref="L179:M179"/>
    <mergeCell ref="L180:M180"/>
    <mergeCell ref="L181:M181"/>
    <mergeCell ref="L182:M182"/>
    <mergeCell ref="L150:M150"/>
    <mergeCell ref="L151:M151"/>
    <mergeCell ref="L152:M152"/>
    <mergeCell ref="L153:M153"/>
    <mergeCell ref="L154:M154"/>
    <mergeCell ref="L155:M155"/>
    <mergeCell ref="L156:M156"/>
    <mergeCell ref="L157:M157"/>
    <mergeCell ref="L158:M158"/>
    <mergeCell ref="N186:O186"/>
    <mergeCell ref="N180:O180"/>
    <mergeCell ref="L199:M199"/>
    <mergeCell ref="L200:M200"/>
    <mergeCell ref="L189:M189"/>
    <mergeCell ref="L190:M190"/>
    <mergeCell ref="L191:M191"/>
    <mergeCell ref="L192:M192"/>
    <mergeCell ref="L193:M193"/>
    <mergeCell ref="L194:M194"/>
    <mergeCell ref="L183:M183"/>
    <mergeCell ref="L184:M184"/>
    <mergeCell ref="N179:O179"/>
    <mergeCell ref="R145:W145"/>
    <mergeCell ref="AP4:AS4"/>
    <mergeCell ref="S4:S5"/>
    <mergeCell ref="AX4:BA4"/>
    <mergeCell ref="N199:O199"/>
    <mergeCell ref="N198:O198"/>
    <mergeCell ref="N181:O181"/>
    <mergeCell ref="N182:O182"/>
    <mergeCell ref="N183:O183"/>
    <mergeCell ref="N184:O184"/>
    <mergeCell ref="N185:O185"/>
    <mergeCell ref="N174:O174"/>
    <mergeCell ref="N187:O187"/>
    <mergeCell ref="N188:O188"/>
    <mergeCell ref="N189:O189"/>
    <mergeCell ref="N190:O190"/>
    <mergeCell ref="N191:O191"/>
    <mergeCell ref="N175:O175"/>
    <mergeCell ref="N176:O176"/>
    <mergeCell ref="N177:O177"/>
    <mergeCell ref="N178:O178"/>
    <mergeCell ref="N165:O165"/>
    <mergeCell ref="N166:O166"/>
    <mergeCell ref="AT4:AW4"/>
    <mergeCell ref="N169:O169"/>
    <mergeCell ref="N170:O170"/>
    <mergeCell ref="N171:O171"/>
    <mergeCell ref="N172:O172"/>
    <mergeCell ref="N173:O173"/>
    <mergeCell ref="N159:O159"/>
    <mergeCell ref="N160:O160"/>
    <mergeCell ref="N161:O161"/>
    <mergeCell ref="N162:O162"/>
    <mergeCell ref="N163:O163"/>
    <mergeCell ref="N164:O164"/>
    <mergeCell ref="N167:O167"/>
    <mergeCell ref="N168:O168"/>
    <mergeCell ref="N150:O150"/>
    <mergeCell ref="N151:O151"/>
    <mergeCell ref="N152:O152"/>
    <mergeCell ref="N153:O153"/>
    <mergeCell ref="N154:O154"/>
    <mergeCell ref="N155:O155"/>
    <mergeCell ref="N156:O156"/>
    <mergeCell ref="N157:O157"/>
    <mergeCell ref="N158:O158"/>
    <mergeCell ref="AL4:AO4"/>
    <mergeCell ref="J208:K208"/>
    <mergeCell ref="L208:M208"/>
    <mergeCell ref="H208:I208"/>
    <mergeCell ref="N208:O208"/>
    <mergeCell ref="N200:O200"/>
    <mergeCell ref="N201:O201"/>
    <mergeCell ref="N192:O192"/>
    <mergeCell ref="N193:O193"/>
    <mergeCell ref="N194:O194"/>
    <mergeCell ref="N195:O195"/>
    <mergeCell ref="N196:O196"/>
    <mergeCell ref="N197:O197"/>
    <mergeCell ref="N204:O204"/>
    <mergeCell ref="H203:I203"/>
    <mergeCell ref="J203:K203"/>
    <mergeCell ref="L203:M203"/>
    <mergeCell ref="N203:O203"/>
    <mergeCell ref="H204:I204"/>
    <mergeCell ref="J204:K204"/>
    <mergeCell ref="L204:M204"/>
    <mergeCell ref="H207:I207"/>
    <mergeCell ref="J207:K207"/>
    <mergeCell ref="L207:M207"/>
    <mergeCell ref="N207:O20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211"/>
  <sheetViews>
    <sheetView zoomScale="169" zoomScaleNormal="120" workbookViewId="0">
      <pane xSplit="1" ySplit="5" topLeftCell="B6" activePane="bottomRight" state="frozen"/>
      <selection pane="topRight" activeCell="B1" sqref="B1"/>
      <selection pane="bottomLeft" activeCell="A6" sqref="A6"/>
      <selection pane="bottomRight" activeCell="M43" sqref="M4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54</v>
      </c>
    </row>
    <row r="3" spans="1:53" s="2" customFormat="1">
      <c r="G3" s="924"/>
      <c r="H3" s="924"/>
      <c r="I3" s="924"/>
      <c r="J3" s="924"/>
      <c r="K3" s="924"/>
      <c r="L3" s="924"/>
      <c r="M3" s="924"/>
      <c r="O3" s="924"/>
      <c r="P3" s="924"/>
      <c r="Q3" s="924"/>
      <c r="R3" s="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12" t="s">
        <v>1233</v>
      </c>
      <c r="D6" s="912"/>
      <c r="E6" s="227">
        <v>7</v>
      </c>
      <c r="G6" s="235">
        <v>5</v>
      </c>
      <c r="H6" s="227">
        <v>3</v>
      </c>
      <c r="I6" s="227">
        <v>5</v>
      </c>
      <c r="J6" s="242">
        <v>24</v>
      </c>
      <c r="K6" s="218">
        <f>G6/J6*100</f>
        <v>20.833333333333336</v>
      </c>
      <c r="L6" s="218">
        <f>H6/J6*100</f>
        <v>12.5</v>
      </c>
      <c r="M6" s="218">
        <f>I6/J6*100</f>
        <v>20.833333333333336</v>
      </c>
      <c r="N6" s="237">
        <f>SUM(K6:M6)</f>
        <v>54.166666666666671</v>
      </c>
      <c r="O6" s="217">
        <v>42.6</v>
      </c>
      <c r="P6" s="218">
        <v>12.3</v>
      </c>
      <c r="Q6" s="218">
        <v>14.3</v>
      </c>
      <c r="R6" s="219">
        <f>SUM(O6:Q6)</f>
        <v>69.2</v>
      </c>
      <c r="S6" s="224">
        <v>5</v>
      </c>
      <c r="T6" s="870"/>
      <c r="U6" s="853"/>
      <c r="V6" s="226" t="s">
        <v>374</v>
      </c>
      <c r="W6" s="227" t="s">
        <v>76</v>
      </c>
      <c r="X6" s="227" t="s">
        <v>11</v>
      </c>
      <c r="Y6" s="228">
        <v>42.6</v>
      </c>
      <c r="Z6" s="226" t="s">
        <v>121</v>
      </c>
      <c r="AA6" s="227" t="s">
        <v>17</v>
      </c>
      <c r="AB6" s="227" t="s">
        <v>18</v>
      </c>
      <c r="AC6" s="227">
        <v>12.3</v>
      </c>
      <c r="AD6" s="226" t="s">
        <v>96</v>
      </c>
      <c r="AE6" s="227" t="s">
        <v>20</v>
      </c>
      <c r="AF6" s="227" t="s">
        <v>12</v>
      </c>
      <c r="AG6" s="228">
        <v>9.4</v>
      </c>
      <c r="AH6" s="227" t="s">
        <v>122</v>
      </c>
      <c r="AI6" s="227" t="s">
        <v>22</v>
      </c>
      <c r="AJ6" s="227" t="s">
        <v>12</v>
      </c>
      <c r="AK6" s="227">
        <v>4.9000000000000004</v>
      </c>
      <c r="AL6" s="226"/>
      <c r="AO6" s="228"/>
      <c r="AP6" s="226"/>
      <c r="AS6" s="228"/>
      <c r="AW6" s="228"/>
      <c r="BA6" s="229"/>
    </row>
    <row r="7" spans="1:53" s="227" customFormat="1">
      <c r="A7" s="233">
        <v>1959</v>
      </c>
      <c r="B7" s="853">
        <v>21558</v>
      </c>
      <c r="C7" s="912" t="s">
        <v>376</v>
      </c>
      <c r="D7" s="912"/>
      <c r="E7" s="227">
        <f>365-E6</f>
        <v>358</v>
      </c>
      <c r="F7" s="227">
        <v>4</v>
      </c>
      <c r="G7" s="235">
        <v>9</v>
      </c>
      <c r="H7" s="227">
        <v>4</v>
      </c>
      <c r="I7" s="227">
        <v>1</v>
      </c>
      <c r="J7" s="242">
        <v>21</v>
      </c>
      <c r="K7" s="218">
        <f>G7/J7*100</f>
        <v>42.857142857142854</v>
      </c>
      <c r="L7" s="218">
        <f>H7/J7*100</f>
        <v>19.047619047619047</v>
      </c>
      <c r="M7" s="218">
        <f>I7/J7*100</f>
        <v>4.7619047619047619</v>
      </c>
      <c r="N7" s="237">
        <f>SUM(K7:M7)</f>
        <v>66.666666666666657</v>
      </c>
      <c r="O7" s="217">
        <v>71.2</v>
      </c>
      <c r="P7" s="218">
        <v>12.3</v>
      </c>
      <c r="Q7" s="218">
        <v>4.9000000000000004</v>
      </c>
      <c r="R7" s="219">
        <f>SUM(O7:Q7)</f>
        <v>88.4</v>
      </c>
      <c r="S7" s="224">
        <v>3</v>
      </c>
      <c r="T7" s="870"/>
      <c r="U7" s="853">
        <v>21558</v>
      </c>
      <c r="V7" s="226" t="s">
        <v>374</v>
      </c>
      <c r="W7" s="227" t="s">
        <v>76</v>
      </c>
      <c r="X7" s="227" t="s">
        <v>11</v>
      </c>
      <c r="Y7" s="228">
        <v>42.6</v>
      </c>
      <c r="Z7" s="226" t="s">
        <v>120</v>
      </c>
      <c r="AA7" s="227" t="s">
        <v>74</v>
      </c>
      <c r="AB7" s="227" t="s">
        <v>11</v>
      </c>
      <c r="AC7" s="227">
        <v>28.6</v>
      </c>
      <c r="AD7" s="226" t="s">
        <v>121</v>
      </c>
      <c r="AE7" s="227" t="s">
        <v>17</v>
      </c>
      <c r="AF7" s="227" t="s">
        <v>18</v>
      </c>
      <c r="AG7" s="228">
        <v>12.3</v>
      </c>
      <c r="AH7" s="227" t="s">
        <v>122</v>
      </c>
      <c r="AI7" s="227" t="s">
        <v>22</v>
      </c>
      <c r="AJ7" s="227" t="s">
        <v>12</v>
      </c>
      <c r="AK7" s="227">
        <v>4.9000000000000004</v>
      </c>
      <c r="AL7" s="226"/>
      <c r="AO7" s="228"/>
      <c r="AP7" s="226"/>
      <c r="AS7" s="228"/>
      <c r="AW7" s="228"/>
      <c r="BA7" s="229"/>
    </row>
    <row r="8" spans="1:53" s="73" customFormat="1">
      <c r="A8" s="101">
        <v>1960</v>
      </c>
      <c r="B8" s="852"/>
      <c r="C8" s="901" t="s">
        <v>376</v>
      </c>
      <c r="D8" s="901"/>
      <c r="E8" s="73">
        <v>0</v>
      </c>
      <c r="G8" s="119">
        <v>9</v>
      </c>
      <c r="H8" s="73">
        <v>4</v>
      </c>
      <c r="I8" s="73">
        <v>1</v>
      </c>
      <c r="J8" s="126">
        <v>21</v>
      </c>
      <c r="K8" s="92">
        <f t="shared" ref="K8:K64" si="0">G8/J8*100</f>
        <v>42.857142857142854</v>
      </c>
      <c r="L8" s="92">
        <f t="shared" ref="L8:L64" si="1">H8/J8*100</f>
        <v>19.047619047619047</v>
      </c>
      <c r="M8" s="92">
        <f t="shared" ref="M8:M64" si="2">I8/J8*100</f>
        <v>4.7619047619047619</v>
      </c>
      <c r="N8" s="121">
        <f>SUM(K8:M8)</f>
        <v>66.666666666666657</v>
      </c>
      <c r="O8" s="91">
        <v>71.2</v>
      </c>
      <c r="P8" s="92">
        <v>12.3</v>
      </c>
      <c r="Q8" s="92">
        <v>4.9000000000000004</v>
      </c>
      <c r="R8" s="93">
        <f>SUM(O8:Q8)</f>
        <v>88.4</v>
      </c>
      <c r="S8" s="97">
        <v>3</v>
      </c>
      <c r="T8" s="839"/>
      <c r="U8" s="852"/>
      <c r="V8" s="82" t="s">
        <v>374</v>
      </c>
      <c r="W8" s="73" t="s">
        <v>76</v>
      </c>
      <c r="X8" s="73" t="s">
        <v>11</v>
      </c>
      <c r="Y8" s="83">
        <v>42.6</v>
      </c>
      <c r="Z8" s="82" t="s">
        <v>120</v>
      </c>
      <c r="AA8" s="73" t="s">
        <v>74</v>
      </c>
      <c r="AB8" s="73" t="s">
        <v>11</v>
      </c>
      <c r="AC8" s="73">
        <v>28.6</v>
      </c>
      <c r="AD8" s="82" t="s">
        <v>121</v>
      </c>
      <c r="AE8" s="73" t="s">
        <v>17</v>
      </c>
      <c r="AF8" s="73" t="s">
        <v>18</v>
      </c>
      <c r="AG8" s="83">
        <v>12.3</v>
      </c>
      <c r="AH8" s="73" t="s">
        <v>122</v>
      </c>
      <c r="AI8" s="73" t="s">
        <v>22</v>
      </c>
      <c r="AJ8" s="73" t="s">
        <v>12</v>
      </c>
      <c r="AK8" s="73">
        <v>4.9000000000000004</v>
      </c>
      <c r="AL8" s="82"/>
      <c r="AO8" s="83"/>
      <c r="AP8" s="82"/>
      <c r="AS8" s="83"/>
      <c r="AW8" s="83"/>
      <c r="BA8" s="84"/>
    </row>
    <row r="9" spans="1:53" s="73" customFormat="1">
      <c r="A9" s="101">
        <v>1960</v>
      </c>
      <c r="B9" s="852"/>
      <c r="C9" s="901" t="s">
        <v>376</v>
      </c>
      <c r="D9" s="901"/>
      <c r="E9" s="73">
        <v>366</v>
      </c>
      <c r="G9" s="119">
        <v>9</v>
      </c>
      <c r="H9" s="73">
        <v>4</v>
      </c>
      <c r="I9" s="73">
        <v>1</v>
      </c>
      <c r="J9" s="126">
        <v>21</v>
      </c>
      <c r="K9" s="92">
        <f t="shared" si="0"/>
        <v>42.857142857142854</v>
      </c>
      <c r="L9" s="92">
        <f t="shared" si="1"/>
        <v>19.047619047619047</v>
      </c>
      <c r="M9" s="92">
        <f t="shared" si="2"/>
        <v>4.7619047619047619</v>
      </c>
      <c r="N9" s="121">
        <f t="shared" ref="N9:N72" si="3">SUM(K9:M9)</f>
        <v>66.666666666666657</v>
      </c>
      <c r="O9" s="91">
        <v>71.2</v>
      </c>
      <c r="P9" s="92">
        <v>12.3</v>
      </c>
      <c r="Q9" s="92">
        <v>4.9000000000000004</v>
      </c>
      <c r="R9" s="93">
        <f t="shared" ref="R9:R72" si="4">SUM(O9:Q9)</f>
        <v>88.4</v>
      </c>
      <c r="S9" s="97">
        <v>3</v>
      </c>
      <c r="T9" s="839"/>
      <c r="U9" s="852"/>
      <c r="V9" s="82" t="s">
        <v>374</v>
      </c>
      <c r="W9" s="73" t="s">
        <v>76</v>
      </c>
      <c r="X9" s="73" t="s">
        <v>11</v>
      </c>
      <c r="Y9" s="83">
        <v>42.6</v>
      </c>
      <c r="Z9" s="82" t="s">
        <v>120</v>
      </c>
      <c r="AA9" s="73" t="s">
        <v>74</v>
      </c>
      <c r="AB9" s="73" t="s">
        <v>11</v>
      </c>
      <c r="AC9" s="73">
        <v>28.6</v>
      </c>
      <c r="AD9" s="82" t="s">
        <v>121</v>
      </c>
      <c r="AE9" s="73" t="s">
        <v>17</v>
      </c>
      <c r="AF9" s="73" t="s">
        <v>18</v>
      </c>
      <c r="AG9" s="83">
        <v>12.3</v>
      </c>
      <c r="AH9" s="73" t="s">
        <v>122</v>
      </c>
      <c r="AI9" s="73" t="s">
        <v>22</v>
      </c>
      <c r="AJ9" s="73" t="s">
        <v>12</v>
      </c>
      <c r="AK9" s="73">
        <v>4.9000000000000004</v>
      </c>
      <c r="AL9" s="82"/>
      <c r="AO9" s="83"/>
      <c r="AP9" s="82"/>
      <c r="AS9" s="83"/>
      <c r="AW9" s="83"/>
      <c r="BA9" s="84"/>
    </row>
    <row r="10" spans="1:53" s="73" customFormat="1">
      <c r="A10" s="101">
        <v>1961</v>
      </c>
      <c r="B10" s="852"/>
      <c r="C10" s="901" t="s">
        <v>376</v>
      </c>
      <c r="D10" s="901"/>
      <c r="E10" s="73">
        <v>0</v>
      </c>
      <c r="G10" s="119">
        <v>9</v>
      </c>
      <c r="H10" s="73">
        <v>4</v>
      </c>
      <c r="I10" s="73">
        <v>1</v>
      </c>
      <c r="J10" s="126">
        <v>21</v>
      </c>
      <c r="K10" s="92">
        <f t="shared" si="0"/>
        <v>42.857142857142854</v>
      </c>
      <c r="L10" s="92">
        <f t="shared" si="1"/>
        <v>19.047619047619047</v>
      </c>
      <c r="M10" s="92">
        <f t="shared" si="2"/>
        <v>4.7619047619047619</v>
      </c>
      <c r="N10" s="121">
        <f t="shared" si="3"/>
        <v>66.666666666666657</v>
      </c>
      <c r="O10" s="91">
        <v>71.2</v>
      </c>
      <c r="P10" s="92">
        <v>12.3</v>
      </c>
      <c r="Q10" s="92">
        <v>4.9000000000000004</v>
      </c>
      <c r="R10" s="93">
        <f t="shared" si="4"/>
        <v>88.4</v>
      </c>
      <c r="S10" s="97">
        <v>3</v>
      </c>
      <c r="T10" s="839"/>
      <c r="U10" s="852"/>
      <c r="V10" s="82" t="s">
        <v>374</v>
      </c>
      <c r="W10" s="73" t="s">
        <v>76</v>
      </c>
      <c r="X10" s="73" t="s">
        <v>11</v>
      </c>
      <c r="Y10" s="83">
        <v>42.6</v>
      </c>
      <c r="Z10" s="82" t="s">
        <v>120</v>
      </c>
      <c r="AA10" s="73" t="s">
        <v>74</v>
      </c>
      <c r="AB10" s="73" t="s">
        <v>11</v>
      </c>
      <c r="AC10" s="73">
        <v>28.6</v>
      </c>
      <c r="AD10" s="82" t="s">
        <v>121</v>
      </c>
      <c r="AE10" s="73" t="s">
        <v>17</v>
      </c>
      <c r="AF10" s="73" t="s">
        <v>18</v>
      </c>
      <c r="AG10" s="83">
        <v>12.3</v>
      </c>
      <c r="AH10" s="73" t="s">
        <v>122</v>
      </c>
      <c r="AI10" s="73" t="s">
        <v>22</v>
      </c>
      <c r="AJ10" s="73" t="s">
        <v>12</v>
      </c>
      <c r="AK10" s="73">
        <v>4.9000000000000004</v>
      </c>
      <c r="AL10" s="82"/>
      <c r="AO10" s="83"/>
      <c r="AP10" s="82"/>
      <c r="AS10" s="83"/>
      <c r="AW10" s="83"/>
      <c r="BA10" s="84"/>
    </row>
    <row r="11" spans="1:53" s="73" customFormat="1">
      <c r="A11" s="101">
        <v>1961</v>
      </c>
      <c r="B11" s="852"/>
      <c r="C11" s="901" t="s">
        <v>376</v>
      </c>
      <c r="D11" s="901"/>
      <c r="E11" s="73">
        <v>365</v>
      </c>
      <c r="G11" s="119">
        <v>9</v>
      </c>
      <c r="H11" s="73">
        <v>4</v>
      </c>
      <c r="I11" s="73">
        <v>1</v>
      </c>
      <c r="J11" s="126">
        <v>21</v>
      </c>
      <c r="K11" s="92">
        <f t="shared" si="0"/>
        <v>42.857142857142854</v>
      </c>
      <c r="L11" s="92">
        <f t="shared" si="1"/>
        <v>19.047619047619047</v>
      </c>
      <c r="M11" s="92">
        <f t="shared" si="2"/>
        <v>4.7619047619047619</v>
      </c>
      <c r="N11" s="121">
        <f t="shared" si="3"/>
        <v>66.666666666666657</v>
      </c>
      <c r="O11" s="91">
        <v>71.2</v>
      </c>
      <c r="P11" s="92">
        <v>12.3</v>
      </c>
      <c r="Q11" s="92">
        <v>4.9000000000000004</v>
      </c>
      <c r="R11" s="93">
        <f t="shared" si="4"/>
        <v>88.4</v>
      </c>
      <c r="S11" s="97">
        <v>3</v>
      </c>
      <c r="T11" s="839"/>
      <c r="U11" s="852"/>
      <c r="V11" s="82" t="s">
        <v>374</v>
      </c>
      <c r="W11" s="73" t="s">
        <v>76</v>
      </c>
      <c r="X11" s="73" t="s">
        <v>11</v>
      </c>
      <c r="Y11" s="83">
        <v>42.6</v>
      </c>
      <c r="Z11" s="82" t="s">
        <v>120</v>
      </c>
      <c r="AA11" s="73" t="s">
        <v>74</v>
      </c>
      <c r="AB11" s="73" t="s">
        <v>11</v>
      </c>
      <c r="AC11" s="73">
        <v>28.6</v>
      </c>
      <c r="AD11" s="82" t="s">
        <v>121</v>
      </c>
      <c r="AE11" s="73" t="s">
        <v>17</v>
      </c>
      <c r="AF11" s="73" t="s">
        <v>18</v>
      </c>
      <c r="AG11" s="83">
        <v>12.3</v>
      </c>
      <c r="AH11" s="73" t="s">
        <v>122</v>
      </c>
      <c r="AI11" s="73" t="s">
        <v>22</v>
      </c>
      <c r="AJ11" s="73" t="s">
        <v>12</v>
      </c>
      <c r="AK11" s="73">
        <v>4.9000000000000004</v>
      </c>
      <c r="AL11" s="82"/>
      <c r="AO11" s="83"/>
      <c r="AP11" s="82"/>
      <c r="AS11" s="83"/>
      <c r="AW11" s="83"/>
      <c r="BA11" s="84"/>
    </row>
    <row r="12" spans="1:53" s="73" customFormat="1">
      <c r="A12" s="101">
        <v>1962</v>
      </c>
      <c r="B12" s="852"/>
      <c r="C12" s="901" t="s">
        <v>376</v>
      </c>
      <c r="D12" s="901"/>
      <c r="E12" s="73">
        <v>104</v>
      </c>
      <c r="G12" s="119">
        <v>9</v>
      </c>
      <c r="H12" s="73">
        <v>4</v>
      </c>
      <c r="I12" s="73">
        <v>1</v>
      </c>
      <c r="J12" s="126">
        <v>21</v>
      </c>
      <c r="K12" s="92">
        <f t="shared" si="0"/>
        <v>42.857142857142854</v>
      </c>
      <c r="L12" s="92">
        <f t="shared" si="1"/>
        <v>19.047619047619047</v>
      </c>
      <c r="M12" s="92">
        <f t="shared" si="2"/>
        <v>4.7619047619047619</v>
      </c>
      <c r="N12" s="121">
        <f t="shared" si="3"/>
        <v>66.666666666666657</v>
      </c>
      <c r="O12" s="91">
        <v>71.2</v>
      </c>
      <c r="P12" s="92">
        <v>12.3</v>
      </c>
      <c r="Q12" s="92">
        <v>4.9000000000000004</v>
      </c>
      <c r="R12" s="93">
        <f t="shared" si="4"/>
        <v>88.4</v>
      </c>
      <c r="S12" s="97">
        <v>3</v>
      </c>
      <c r="T12" s="839"/>
      <c r="U12" s="852"/>
      <c r="V12" s="82" t="s">
        <v>374</v>
      </c>
      <c r="W12" s="73" t="s">
        <v>76</v>
      </c>
      <c r="X12" s="73" t="s">
        <v>11</v>
      </c>
      <c r="Y12" s="83">
        <v>42.6</v>
      </c>
      <c r="Z12" s="82" t="s">
        <v>120</v>
      </c>
      <c r="AA12" s="73" t="s">
        <v>74</v>
      </c>
      <c r="AB12" s="73" t="s">
        <v>11</v>
      </c>
      <c r="AC12" s="73">
        <v>28.6</v>
      </c>
      <c r="AD12" s="82" t="s">
        <v>121</v>
      </c>
      <c r="AE12" s="73" t="s">
        <v>17</v>
      </c>
      <c r="AF12" s="73" t="s">
        <v>18</v>
      </c>
      <c r="AG12" s="83">
        <v>12.3</v>
      </c>
      <c r="AH12" s="73" t="s">
        <v>122</v>
      </c>
      <c r="AI12" s="73" t="s">
        <v>22</v>
      </c>
      <c r="AJ12" s="73" t="s">
        <v>12</v>
      </c>
      <c r="AK12" s="73">
        <v>4.9000000000000004</v>
      </c>
      <c r="AL12" s="82"/>
      <c r="AO12" s="83"/>
      <c r="AP12" s="82"/>
      <c r="AS12" s="83"/>
      <c r="AW12" s="83"/>
      <c r="BA12" s="84"/>
    </row>
    <row r="13" spans="1:53" s="292" customFormat="1">
      <c r="A13" s="338">
        <v>1962</v>
      </c>
      <c r="B13" s="836">
        <v>22751</v>
      </c>
      <c r="C13" s="909" t="s">
        <v>377</v>
      </c>
      <c r="D13" s="909"/>
      <c r="E13" s="292">
        <v>31</v>
      </c>
      <c r="F13" s="292">
        <v>1</v>
      </c>
      <c r="G13" s="366">
        <v>11</v>
      </c>
      <c r="H13" s="292">
        <v>4</v>
      </c>
      <c r="J13" s="377">
        <v>22</v>
      </c>
      <c r="K13" s="336">
        <f t="shared" si="0"/>
        <v>50</v>
      </c>
      <c r="L13" s="336">
        <f t="shared" si="1"/>
        <v>18.181818181818183</v>
      </c>
      <c r="M13" s="336">
        <f t="shared" si="2"/>
        <v>0</v>
      </c>
      <c r="N13" s="368">
        <f t="shared" si="3"/>
        <v>68.181818181818187</v>
      </c>
      <c r="O13" s="335">
        <v>71.2</v>
      </c>
      <c r="P13" s="336">
        <v>12.3</v>
      </c>
      <c r="Q13" s="336"/>
      <c r="R13" s="337">
        <f t="shared" si="4"/>
        <v>83.5</v>
      </c>
      <c r="S13" s="340">
        <v>3</v>
      </c>
      <c r="T13" s="838"/>
      <c r="U13" s="836">
        <v>22751</v>
      </c>
      <c r="V13" s="299" t="s">
        <v>374</v>
      </c>
      <c r="W13" s="292" t="s">
        <v>76</v>
      </c>
      <c r="X13" s="292" t="s">
        <v>11</v>
      </c>
      <c r="Y13" s="300">
        <v>42.6</v>
      </c>
      <c r="Z13" s="299" t="s">
        <v>120</v>
      </c>
      <c r="AA13" s="292" t="s">
        <v>74</v>
      </c>
      <c r="AB13" s="292" t="s">
        <v>11</v>
      </c>
      <c r="AC13" s="292">
        <v>28.6</v>
      </c>
      <c r="AD13" s="299" t="s">
        <v>121</v>
      </c>
      <c r="AE13" s="292" t="s">
        <v>17</v>
      </c>
      <c r="AF13" s="292" t="s">
        <v>18</v>
      </c>
      <c r="AG13" s="300">
        <v>12.3</v>
      </c>
      <c r="AL13" s="299"/>
      <c r="AO13" s="300"/>
      <c r="AP13" s="299"/>
      <c r="AS13" s="300"/>
      <c r="AW13" s="300"/>
      <c r="BA13" s="301"/>
    </row>
    <row r="14" spans="1:53" s="73" customFormat="1">
      <c r="A14" s="101">
        <v>1962</v>
      </c>
      <c r="B14" s="852">
        <v>22782</v>
      </c>
      <c r="C14" s="901" t="s">
        <v>378</v>
      </c>
      <c r="D14" s="901"/>
      <c r="E14" s="73">
        <v>204</v>
      </c>
      <c r="F14" s="73">
        <v>5</v>
      </c>
      <c r="G14" s="119">
        <v>15</v>
      </c>
      <c r="J14" s="126">
        <v>20</v>
      </c>
      <c r="K14" s="92">
        <f t="shared" si="0"/>
        <v>75</v>
      </c>
      <c r="L14" s="92">
        <f t="shared" si="1"/>
        <v>0</v>
      </c>
      <c r="M14" s="92">
        <f t="shared" si="2"/>
        <v>0</v>
      </c>
      <c r="N14" s="121">
        <f t="shared" si="3"/>
        <v>75</v>
      </c>
      <c r="O14" s="91">
        <v>71.2</v>
      </c>
      <c r="P14" s="92"/>
      <c r="Q14" s="92"/>
      <c r="R14" s="93">
        <f t="shared" si="4"/>
        <v>71.2</v>
      </c>
      <c r="S14" s="97">
        <v>2</v>
      </c>
      <c r="T14" s="839"/>
      <c r="U14" s="852">
        <v>22782</v>
      </c>
      <c r="V14" s="82" t="s">
        <v>374</v>
      </c>
      <c r="W14" s="73" t="s">
        <v>76</v>
      </c>
      <c r="X14" s="73" t="s">
        <v>11</v>
      </c>
      <c r="Y14" s="83">
        <v>42.6</v>
      </c>
      <c r="Z14" s="82" t="s">
        <v>120</v>
      </c>
      <c r="AA14" s="73" t="s">
        <v>74</v>
      </c>
      <c r="AB14" s="73" t="s">
        <v>11</v>
      </c>
      <c r="AC14" s="73">
        <v>28.6</v>
      </c>
      <c r="AD14" s="82"/>
      <c r="AG14" s="83"/>
      <c r="AL14" s="82"/>
      <c r="AO14" s="83"/>
      <c r="AP14" s="82"/>
      <c r="AS14" s="83"/>
      <c r="AW14" s="83"/>
      <c r="BA14" s="84"/>
    </row>
    <row r="15" spans="1:53" s="292" customFormat="1">
      <c r="A15" s="338">
        <v>1962</v>
      </c>
      <c r="B15" s="836">
        <v>22986</v>
      </c>
      <c r="C15" s="909" t="s">
        <v>379</v>
      </c>
      <c r="D15" s="909"/>
      <c r="E15" s="292">
        <v>26</v>
      </c>
      <c r="F15" s="292">
        <v>7</v>
      </c>
      <c r="G15" s="366">
        <v>16</v>
      </c>
      <c r="J15" s="377">
        <v>22</v>
      </c>
      <c r="K15" s="336">
        <f t="shared" si="0"/>
        <v>72.727272727272734</v>
      </c>
      <c r="L15" s="336">
        <f t="shared" si="1"/>
        <v>0</v>
      </c>
      <c r="M15" s="336">
        <f t="shared" si="2"/>
        <v>0</v>
      </c>
      <c r="N15" s="368">
        <f t="shared" si="3"/>
        <v>72.727272727272734</v>
      </c>
      <c r="O15" s="335">
        <v>49.5</v>
      </c>
      <c r="P15" s="336">
        <v>3.8</v>
      </c>
      <c r="Q15" s="336"/>
      <c r="R15" s="337">
        <f t="shared" si="4"/>
        <v>53.3</v>
      </c>
      <c r="S15" s="340">
        <v>2</v>
      </c>
      <c r="T15" s="838">
        <v>22968</v>
      </c>
      <c r="U15" s="836">
        <v>22986</v>
      </c>
      <c r="V15" s="299" t="s">
        <v>374</v>
      </c>
      <c r="W15" s="292" t="s">
        <v>76</v>
      </c>
      <c r="X15" s="292" t="s">
        <v>11</v>
      </c>
      <c r="Y15" s="300">
        <v>49.5</v>
      </c>
      <c r="Z15" s="299" t="s">
        <v>123</v>
      </c>
      <c r="AA15" s="292" t="s">
        <v>77</v>
      </c>
      <c r="AB15" s="292" t="s">
        <v>18</v>
      </c>
      <c r="AC15" s="292">
        <v>3.8</v>
      </c>
      <c r="AD15" s="299"/>
      <c r="AG15" s="300"/>
      <c r="AL15" s="299"/>
      <c r="AO15" s="300"/>
      <c r="AP15" s="299"/>
      <c r="AS15" s="300"/>
      <c r="AW15" s="300"/>
      <c r="BA15" s="301"/>
    </row>
    <row r="16" spans="1:53" s="292" customFormat="1">
      <c r="A16" s="338">
        <v>1962.6</v>
      </c>
      <c r="B16" s="836"/>
      <c r="C16" s="909" t="s">
        <v>379</v>
      </c>
      <c r="D16" s="909"/>
      <c r="E16" s="292">
        <v>0</v>
      </c>
      <c r="G16" s="366">
        <v>16</v>
      </c>
      <c r="J16" s="377">
        <v>22</v>
      </c>
      <c r="K16" s="336">
        <f t="shared" si="0"/>
        <v>72.727272727272734</v>
      </c>
      <c r="L16" s="336">
        <f t="shared" si="1"/>
        <v>0</v>
      </c>
      <c r="M16" s="336">
        <f t="shared" si="2"/>
        <v>0</v>
      </c>
      <c r="N16" s="368">
        <f t="shared" si="3"/>
        <v>72.727272727272734</v>
      </c>
      <c r="O16" s="335">
        <v>49.5</v>
      </c>
      <c r="P16" s="336">
        <v>3.8</v>
      </c>
      <c r="Q16" s="336"/>
      <c r="R16" s="337">
        <f t="shared" si="4"/>
        <v>53.3</v>
      </c>
      <c r="S16" s="340">
        <v>2</v>
      </c>
      <c r="T16" s="838"/>
      <c r="U16" s="836"/>
      <c r="V16" s="299" t="s">
        <v>374</v>
      </c>
      <c r="W16" s="292" t="s">
        <v>76</v>
      </c>
      <c r="X16" s="292" t="s">
        <v>11</v>
      </c>
      <c r="Y16" s="300">
        <v>49.5</v>
      </c>
      <c r="Z16" s="299" t="s">
        <v>123</v>
      </c>
      <c r="AA16" s="292" t="s">
        <v>77</v>
      </c>
      <c r="AB16" s="292" t="s">
        <v>18</v>
      </c>
      <c r="AC16" s="292">
        <v>3.8</v>
      </c>
      <c r="AD16" s="299"/>
      <c r="AG16" s="300"/>
      <c r="AL16" s="299"/>
      <c r="AO16" s="300"/>
      <c r="AP16" s="299"/>
      <c r="AS16" s="300"/>
      <c r="AW16" s="300"/>
      <c r="BA16" s="301"/>
    </row>
    <row r="17" spans="1:53" s="292" customFormat="1">
      <c r="A17" s="338">
        <v>1963.05714285714</v>
      </c>
      <c r="B17" s="836"/>
      <c r="C17" s="909" t="s">
        <v>379</v>
      </c>
      <c r="D17" s="909"/>
      <c r="E17" s="292">
        <v>365</v>
      </c>
      <c r="G17" s="366">
        <v>16</v>
      </c>
      <c r="J17" s="377">
        <v>22</v>
      </c>
      <c r="K17" s="336">
        <f t="shared" si="0"/>
        <v>72.727272727272734</v>
      </c>
      <c r="L17" s="336">
        <f t="shared" si="1"/>
        <v>0</v>
      </c>
      <c r="M17" s="336">
        <f t="shared" si="2"/>
        <v>0</v>
      </c>
      <c r="N17" s="368">
        <f t="shared" si="3"/>
        <v>72.727272727272734</v>
      </c>
      <c r="O17" s="335">
        <v>49.5</v>
      </c>
      <c r="P17" s="336">
        <v>3.8</v>
      </c>
      <c r="Q17" s="336"/>
      <c r="R17" s="337">
        <f t="shared" si="4"/>
        <v>53.3</v>
      </c>
      <c r="S17" s="340">
        <v>2</v>
      </c>
      <c r="T17" s="838"/>
      <c r="U17" s="836"/>
      <c r="V17" s="299" t="s">
        <v>374</v>
      </c>
      <c r="W17" s="292" t="s">
        <v>76</v>
      </c>
      <c r="X17" s="292" t="s">
        <v>11</v>
      </c>
      <c r="Y17" s="300">
        <v>49.5</v>
      </c>
      <c r="Z17" s="299" t="s">
        <v>123</v>
      </c>
      <c r="AA17" s="292" t="s">
        <v>77</v>
      </c>
      <c r="AB17" s="292" t="s">
        <v>18</v>
      </c>
      <c r="AC17" s="292">
        <v>3.8</v>
      </c>
      <c r="AD17" s="299"/>
      <c r="AG17" s="300"/>
      <c r="AL17" s="299"/>
      <c r="AO17" s="300"/>
      <c r="AP17" s="299"/>
      <c r="AS17" s="300"/>
      <c r="AW17" s="300"/>
      <c r="BA17" s="301"/>
    </row>
    <row r="18" spans="1:53" s="292" customFormat="1">
      <c r="A18" s="338">
        <v>1963.5142857142901</v>
      </c>
      <c r="B18" s="836"/>
      <c r="C18" s="909" t="s">
        <v>379</v>
      </c>
      <c r="D18" s="909"/>
      <c r="E18" s="292">
        <v>0</v>
      </c>
      <c r="G18" s="366">
        <v>16</v>
      </c>
      <c r="J18" s="377">
        <v>22</v>
      </c>
      <c r="K18" s="336">
        <f t="shared" si="0"/>
        <v>72.727272727272734</v>
      </c>
      <c r="L18" s="336">
        <f t="shared" si="1"/>
        <v>0</v>
      </c>
      <c r="M18" s="336">
        <f t="shared" si="2"/>
        <v>0</v>
      </c>
      <c r="N18" s="368">
        <f t="shared" si="3"/>
        <v>72.727272727272734</v>
      </c>
      <c r="O18" s="335">
        <v>49.5</v>
      </c>
      <c r="P18" s="336">
        <v>3.8</v>
      </c>
      <c r="Q18" s="336"/>
      <c r="R18" s="337">
        <f t="shared" si="4"/>
        <v>53.3</v>
      </c>
      <c r="S18" s="340">
        <v>2</v>
      </c>
      <c r="T18" s="838"/>
      <c r="U18" s="836"/>
      <c r="V18" s="299" t="s">
        <v>374</v>
      </c>
      <c r="W18" s="292" t="s">
        <v>76</v>
      </c>
      <c r="X18" s="292" t="s">
        <v>11</v>
      </c>
      <c r="Y18" s="300">
        <v>49.5</v>
      </c>
      <c r="Z18" s="299" t="s">
        <v>123</v>
      </c>
      <c r="AA18" s="292" t="s">
        <v>77</v>
      </c>
      <c r="AB18" s="292" t="s">
        <v>18</v>
      </c>
      <c r="AC18" s="292">
        <v>3.8</v>
      </c>
      <c r="AD18" s="299"/>
      <c r="AG18" s="300"/>
      <c r="AL18" s="299"/>
      <c r="AO18" s="300"/>
      <c r="AP18" s="299"/>
      <c r="AS18" s="300"/>
      <c r="AW18" s="300"/>
      <c r="BA18" s="301"/>
    </row>
    <row r="19" spans="1:53" s="292" customFormat="1">
      <c r="A19" s="338">
        <v>1963.9714285714299</v>
      </c>
      <c r="B19" s="836"/>
      <c r="C19" s="909" t="s">
        <v>379</v>
      </c>
      <c r="D19" s="909"/>
      <c r="E19" s="292">
        <v>366</v>
      </c>
      <c r="G19" s="366">
        <v>16</v>
      </c>
      <c r="J19" s="377">
        <v>22</v>
      </c>
      <c r="K19" s="336">
        <f t="shared" si="0"/>
        <v>72.727272727272734</v>
      </c>
      <c r="L19" s="336">
        <f t="shared" si="1"/>
        <v>0</v>
      </c>
      <c r="M19" s="336">
        <f t="shared" si="2"/>
        <v>0</v>
      </c>
      <c r="N19" s="368">
        <f t="shared" si="3"/>
        <v>72.727272727272734</v>
      </c>
      <c r="O19" s="335">
        <v>49.5</v>
      </c>
      <c r="P19" s="336">
        <v>3.8</v>
      </c>
      <c r="Q19" s="336"/>
      <c r="R19" s="337">
        <f t="shared" si="4"/>
        <v>53.3</v>
      </c>
      <c r="S19" s="340">
        <v>2</v>
      </c>
      <c r="T19" s="838"/>
      <c r="U19" s="836"/>
      <c r="V19" s="299" t="s">
        <v>374</v>
      </c>
      <c r="W19" s="292" t="s">
        <v>76</v>
      </c>
      <c r="X19" s="292" t="s">
        <v>11</v>
      </c>
      <c r="Y19" s="300">
        <v>49.5</v>
      </c>
      <c r="Z19" s="299" t="s">
        <v>123</v>
      </c>
      <c r="AA19" s="292" t="s">
        <v>77</v>
      </c>
      <c r="AB19" s="292" t="s">
        <v>18</v>
      </c>
      <c r="AC19" s="292">
        <v>3.8</v>
      </c>
      <c r="AD19" s="299"/>
      <c r="AG19" s="300"/>
      <c r="AL19" s="299"/>
      <c r="AO19" s="300"/>
      <c r="AP19" s="299"/>
      <c r="AS19" s="300"/>
      <c r="AW19" s="300"/>
      <c r="BA19" s="301"/>
    </row>
    <row r="20" spans="1:53" s="292" customFormat="1">
      <c r="A20" s="338">
        <v>1965</v>
      </c>
      <c r="B20" s="836"/>
      <c r="C20" s="909" t="s">
        <v>379</v>
      </c>
      <c r="D20" s="909"/>
      <c r="E20" s="292">
        <v>0</v>
      </c>
      <c r="G20" s="366">
        <v>16</v>
      </c>
      <c r="J20" s="377">
        <v>22</v>
      </c>
      <c r="K20" s="336">
        <f t="shared" si="0"/>
        <v>72.727272727272734</v>
      </c>
      <c r="L20" s="336">
        <f t="shared" si="1"/>
        <v>0</v>
      </c>
      <c r="M20" s="336">
        <f t="shared" si="2"/>
        <v>0</v>
      </c>
      <c r="N20" s="368">
        <f t="shared" si="3"/>
        <v>72.727272727272734</v>
      </c>
      <c r="O20" s="335">
        <v>49.5</v>
      </c>
      <c r="P20" s="336">
        <v>3.8</v>
      </c>
      <c r="Q20" s="336"/>
      <c r="R20" s="337">
        <f t="shared" si="4"/>
        <v>53.3</v>
      </c>
      <c r="S20" s="340">
        <v>2</v>
      </c>
      <c r="T20" s="838"/>
      <c r="U20" s="836"/>
      <c r="V20" s="299" t="s">
        <v>374</v>
      </c>
      <c r="W20" s="292" t="s">
        <v>76</v>
      </c>
      <c r="X20" s="292" t="s">
        <v>11</v>
      </c>
      <c r="Y20" s="300">
        <v>49.5</v>
      </c>
      <c r="Z20" s="299" t="s">
        <v>123</v>
      </c>
      <c r="AA20" s="292" t="s">
        <v>77</v>
      </c>
      <c r="AB20" s="292" t="s">
        <v>18</v>
      </c>
      <c r="AC20" s="292">
        <v>3.8</v>
      </c>
      <c r="AD20" s="299"/>
      <c r="AG20" s="300"/>
      <c r="AL20" s="299"/>
      <c r="AO20" s="300"/>
      <c r="AP20" s="299"/>
      <c r="AS20" s="300"/>
      <c r="AW20" s="300"/>
      <c r="BA20" s="301"/>
    </row>
    <row r="21" spans="1:53" s="292" customFormat="1">
      <c r="A21" s="338">
        <v>1964.88571428572</v>
      </c>
      <c r="B21" s="836"/>
      <c r="C21" s="909" t="s">
        <v>379</v>
      </c>
      <c r="D21" s="909"/>
      <c r="E21" s="292">
        <v>365</v>
      </c>
      <c r="G21" s="366">
        <v>16</v>
      </c>
      <c r="J21" s="377">
        <v>22</v>
      </c>
      <c r="K21" s="336">
        <f t="shared" si="0"/>
        <v>72.727272727272734</v>
      </c>
      <c r="L21" s="336">
        <f t="shared" si="1"/>
        <v>0</v>
      </c>
      <c r="M21" s="336">
        <f t="shared" si="2"/>
        <v>0</v>
      </c>
      <c r="N21" s="368">
        <f t="shared" si="3"/>
        <v>72.727272727272734</v>
      </c>
      <c r="O21" s="335">
        <v>49.5</v>
      </c>
      <c r="P21" s="336">
        <v>3.8</v>
      </c>
      <c r="Q21" s="336"/>
      <c r="R21" s="337">
        <f t="shared" si="4"/>
        <v>53.3</v>
      </c>
      <c r="S21" s="340">
        <v>2</v>
      </c>
      <c r="T21" s="838"/>
      <c r="U21" s="836"/>
      <c r="V21" s="299" t="s">
        <v>374</v>
      </c>
      <c r="W21" s="292" t="s">
        <v>76</v>
      </c>
      <c r="X21" s="292" t="s">
        <v>11</v>
      </c>
      <c r="Y21" s="300">
        <v>49.5</v>
      </c>
      <c r="Z21" s="299" t="s">
        <v>123</v>
      </c>
      <c r="AA21" s="292" t="s">
        <v>77</v>
      </c>
      <c r="AB21" s="292" t="s">
        <v>18</v>
      </c>
      <c r="AC21" s="292">
        <v>3.8</v>
      </c>
      <c r="AD21" s="299"/>
      <c r="AG21" s="300"/>
      <c r="AL21" s="299"/>
      <c r="AO21" s="300"/>
      <c r="AP21" s="299"/>
      <c r="AS21" s="300"/>
      <c r="AW21" s="300"/>
      <c r="BA21" s="301"/>
    </row>
    <row r="22" spans="1:53" s="292" customFormat="1">
      <c r="A22" s="338">
        <v>1966</v>
      </c>
      <c r="B22" s="836"/>
      <c r="C22" s="909" t="s">
        <v>379</v>
      </c>
      <c r="D22" s="909"/>
      <c r="E22" s="292">
        <v>8</v>
      </c>
      <c r="G22" s="366">
        <v>16</v>
      </c>
      <c r="J22" s="377">
        <v>22</v>
      </c>
      <c r="K22" s="336">
        <f t="shared" si="0"/>
        <v>72.727272727272734</v>
      </c>
      <c r="L22" s="336">
        <f t="shared" si="1"/>
        <v>0</v>
      </c>
      <c r="M22" s="336">
        <f t="shared" si="2"/>
        <v>0</v>
      </c>
      <c r="N22" s="368">
        <f t="shared" si="3"/>
        <v>72.727272727272734</v>
      </c>
      <c r="O22" s="335">
        <v>49.5</v>
      </c>
      <c r="P22" s="336">
        <v>3.8</v>
      </c>
      <c r="Q22" s="336"/>
      <c r="R22" s="337">
        <f t="shared" si="4"/>
        <v>53.3</v>
      </c>
      <c r="S22" s="340">
        <v>2</v>
      </c>
      <c r="T22" s="838"/>
      <c r="U22" s="836"/>
      <c r="V22" s="299" t="s">
        <v>374</v>
      </c>
      <c r="W22" s="292" t="s">
        <v>76</v>
      </c>
      <c r="X22" s="292" t="s">
        <v>11</v>
      </c>
      <c r="Y22" s="300">
        <v>49.5</v>
      </c>
      <c r="Z22" s="299" t="s">
        <v>123</v>
      </c>
      <c r="AA22" s="292" t="s">
        <v>77</v>
      </c>
      <c r="AB22" s="292" t="s">
        <v>18</v>
      </c>
      <c r="AC22" s="292">
        <v>3.8</v>
      </c>
      <c r="AD22" s="299"/>
      <c r="AG22" s="300"/>
      <c r="AL22" s="299"/>
      <c r="AO22" s="300"/>
      <c r="AP22" s="299"/>
      <c r="AS22" s="300"/>
      <c r="AW22" s="300"/>
      <c r="BA22" s="301"/>
    </row>
    <row r="23" spans="1:53" s="73" customFormat="1">
      <c r="A23" s="101">
        <v>1965.8</v>
      </c>
      <c r="B23" s="852">
        <v>24116</v>
      </c>
      <c r="C23" s="901" t="s">
        <v>380</v>
      </c>
      <c r="D23" s="901"/>
      <c r="E23" s="73">
        <v>357</v>
      </c>
      <c r="F23" s="73">
        <v>1</v>
      </c>
      <c r="G23" s="119">
        <v>12</v>
      </c>
      <c r="J23" s="126">
        <v>18</v>
      </c>
      <c r="K23" s="92">
        <f t="shared" si="0"/>
        <v>66.666666666666657</v>
      </c>
      <c r="L23" s="92">
        <f t="shared" si="1"/>
        <v>0</v>
      </c>
      <c r="M23" s="92">
        <f t="shared" si="2"/>
        <v>0</v>
      </c>
      <c r="N23" s="121">
        <f t="shared" si="3"/>
        <v>66.666666666666657</v>
      </c>
      <c r="O23" s="91">
        <v>49.5</v>
      </c>
      <c r="P23" s="92">
        <v>3.8</v>
      </c>
      <c r="Q23" s="92"/>
      <c r="R23" s="93">
        <f t="shared" si="4"/>
        <v>53.3</v>
      </c>
      <c r="S23" s="97">
        <v>2</v>
      </c>
      <c r="T23" s="839"/>
      <c r="U23" s="852">
        <v>24116</v>
      </c>
      <c r="V23" s="82" t="s">
        <v>374</v>
      </c>
      <c r="W23" s="73" t="s">
        <v>76</v>
      </c>
      <c r="X23" s="73" t="s">
        <v>11</v>
      </c>
      <c r="Y23" s="83">
        <v>49.5</v>
      </c>
      <c r="Z23" s="82" t="s">
        <v>123</v>
      </c>
      <c r="AA23" s="73" t="s">
        <v>77</v>
      </c>
      <c r="AB23" s="73" t="s">
        <v>18</v>
      </c>
      <c r="AC23" s="73">
        <v>3.8</v>
      </c>
      <c r="AD23" s="82"/>
      <c r="AG23" s="83"/>
      <c r="AL23" s="82"/>
      <c r="AO23" s="83"/>
      <c r="AP23" s="82"/>
      <c r="AS23" s="83"/>
      <c r="AW23" s="83"/>
      <c r="BA23" s="84"/>
    </row>
    <row r="24" spans="1:53" s="73" customFormat="1">
      <c r="A24" s="101">
        <v>1967</v>
      </c>
      <c r="B24" s="852"/>
      <c r="C24" s="901" t="s">
        <v>380</v>
      </c>
      <c r="D24" s="901"/>
      <c r="E24" s="73">
        <v>97</v>
      </c>
      <c r="G24" s="119">
        <v>12</v>
      </c>
      <c r="J24" s="126">
        <v>18</v>
      </c>
      <c r="K24" s="92">
        <f t="shared" si="0"/>
        <v>66.666666666666657</v>
      </c>
      <c r="L24" s="92">
        <f t="shared" si="1"/>
        <v>0</v>
      </c>
      <c r="M24" s="92">
        <f t="shared" si="2"/>
        <v>0</v>
      </c>
      <c r="N24" s="121">
        <f t="shared" si="3"/>
        <v>66.666666666666657</v>
      </c>
      <c r="O24" s="91">
        <v>49.5</v>
      </c>
      <c r="P24" s="92">
        <v>3.8</v>
      </c>
      <c r="Q24" s="92"/>
      <c r="R24" s="93">
        <f t="shared" si="4"/>
        <v>53.3</v>
      </c>
      <c r="S24" s="97">
        <v>2</v>
      </c>
      <c r="T24" s="839"/>
      <c r="U24" s="852"/>
      <c r="V24" s="82" t="s">
        <v>374</v>
      </c>
      <c r="W24" s="73" t="s">
        <v>76</v>
      </c>
      <c r="X24" s="73" t="s">
        <v>11</v>
      </c>
      <c r="Y24" s="83">
        <v>49.5</v>
      </c>
      <c r="Z24" s="82" t="s">
        <v>123</v>
      </c>
      <c r="AA24" s="73" t="s">
        <v>77</v>
      </c>
      <c r="AB24" s="73" t="s">
        <v>18</v>
      </c>
      <c r="AC24" s="73">
        <v>3.8</v>
      </c>
      <c r="AD24" s="82"/>
      <c r="AG24" s="83"/>
      <c r="AL24" s="82"/>
      <c r="AO24" s="83"/>
      <c r="AP24" s="82"/>
      <c r="AS24" s="83"/>
      <c r="AW24" s="83"/>
      <c r="BA24" s="84"/>
    </row>
    <row r="25" spans="1:53" s="292" customFormat="1">
      <c r="A25" s="338">
        <v>1966.7142857142901</v>
      </c>
      <c r="B25" s="836">
        <v>24570</v>
      </c>
      <c r="C25" s="909" t="s">
        <v>381</v>
      </c>
      <c r="D25" s="909"/>
      <c r="E25" s="292">
        <v>268</v>
      </c>
      <c r="F25" s="292">
        <v>2</v>
      </c>
      <c r="G25" s="366">
        <v>12</v>
      </c>
      <c r="H25" s="292">
        <v>6</v>
      </c>
      <c r="J25" s="377">
        <v>22</v>
      </c>
      <c r="K25" s="336">
        <f t="shared" si="0"/>
        <v>54.54545454545454</v>
      </c>
      <c r="L25" s="336">
        <f t="shared" si="1"/>
        <v>27.27272727272727</v>
      </c>
      <c r="M25" s="336">
        <f t="shared" si="2"/>
        <v>0</v>
      </c>
      <c r="N25" s="368">
        <f t="shared" si="3"/>
        <v>81.818181818181813</v>
      </c>
      <c r="O25" s="335">
        <v>40.6</v>
      </c>
      <c r="P25" s="336">
        <v>8.6999999999999993</v>
      </c>
      <c r="Q25" s="336"/>
      <c r="R25" s="337">
        <f t="shared" si="4"/>
        <v>49.3</v>
      </c>
      <c r="S25" s="340">
        <v>5</v>
      </c>
      <c r="T25" s="838">
        <v>24536</v>
      </c>
      <c r="U25" s="836">
        <v>24570</v>
      </c>
      <c r="V25" s="299" t="s">
        <v>374</v>
      </c>
      <c r="W25" s="292" t="s">
        <v>76</v>
      </c>
      <c r="X25" s="292" t="s">
        <v>11</v>
      </c>
      <c r="Y25" s="292">
        <v>40.6</v>
      </c>
      <c r="Z25" s="299" t="s">
        <v>123</v>
      </c>
      <c r="AA25" s="292" t="s">
        <v>77</v>
      </c>
      <c r="AB25" s="292" t="s">
        <v>18</v>
      </c>
      <c r="AC25" s="292">
        <v>8.6999999999999993</v>
      </c>
      <c r="AD25" s="299"/>
      <c r="AG25" s="300"/>
      <c r="AL25" s="299"/>
      <c r="AO25" s="300"/>
      <c r="AP25" s="299"/>
      <c r="AS25" s="300"/>
      <c r="AW25" s="300"/>
      <c r="BA25" s="301"/>
    </row>
    <row r="26" spans="1:53" s="292" customFormat="1">
      <c r="A26" s="338">
        <v>1968</v>
      </c>
      <c r="B26" s="836"/>
      <c r="C26" s="909" t="s">
        <v>381</v>
      </c>
      <c r="D26" s="909"/>
      <c r="E26" s="292">
        <v>151</v>
      </c>
      <c r="G26" s="366">
        <v>12</v>
      </c>
      <c r="H26" s="292">
        <v>6</v>
      </c>
      <c r="J26" s="377">
        <v>22</v>
      </c>
      <c r="K26" s="336">
        <f t="shared" si="0"/>
        <v>54.54545454545454</v>
      </c>
      <c r="L26" s="336">
        <f t="shared" si="1"/>
        <v>27.27272727272727</v>
      </c>
      <c r="M26" s="336">
        <f t="shared" si="2"/>
        <v>0</v>
      </c>
      <c r="N26" s="368">
        <f t="shared" si="3"/>
        <v>81.818181818181813</v>
      </c>
      <c r="O26" s="335">
        <v>40.6</v>
      </c>
      <c r="P26" s="336">
        <v>8.6999999999999993</v>
      </c>
      <c r="Q26" s="336"/>
      <c r="R26" s="337">
        <f t="shared" si="4"/>
        <v>49.3</v>
      </c>
      <c r="S26" s="340">
        <v>5</v>
      </c>
      <c r="T26" s="838"/>
      <c r="U26" s="836"/>
      <c r="V26" s="299" t="s">
        <v>374</v>
      </c>
      <c r="W26" s="292" t="s">
        <v>76</v>
      </c>
      <c r="X26" s="292" t="s">
        <v>11</v>
      </c>
      <c r="Y26" s="292">
        <v>40.6</v>
      </c>
      <c r="Z26" s="299" t="s">
        <v>123</v>
      </c>
      <c r="AA26" s="292" t="s">
        <v>77</v>
      </c>
      <c r="AB26" s="292" t="s">
        <v>18</v>
      </c>
      <c r="AC26" s="292">
        <v>8.6999999999999993</v>
      </c>
      <c r="AD26" s="299"/>
      <c r="AG26" s="300"/>
      <c r="AL26" s="299"/>
      <c r="AO26" s="300"/>
      <c r="AP26" s="299"/>
      <c r="AS26" s="300"/>
      <c r="AW26" s="300"/>
      <c r="BA26" s="301"/>
    </row>
    <row r="27" spans="1:53" s="73" customFormat="1">
      <c r="A27" s="101">
        <v>1967.62857142857</v>
      </c>
      <c r="B27" s="852">
        <v>24989</v>
      </c>
      <c r="C27" s="901" t="s">
        <v>382</v>
      </c>
      <c r="D27" s="901"/>
      <c r="E27" s="73">
        <v>42</v>
      </c>
      <c r="F27" s="73">
        <v>6</v>
      </c>
      <c r="G27" s="119">
        <v>14</v>
      </c>
      <c r="H27" s="73">
        <v>3</v>
      </c>
      <c r="J27" s="126">
        <v>22</v>
      </c>
      <c r="K27" s="92">
        <f t="shared" si="0"/>
        <v>63.636363636363633</v>
      </c>
      <c r="L27" s="92">
        <f t="shared" si="1"/>
        <v>13.636363636363635</v>
      </c>
      <c r="M27" s="92">
        <f t="shared" si="2"/>
        <v>0</v>
      </c>
      <c r="N27" s="121">
        <f t="shared" si="3"/>
        <v>77.272727272727266</v>
      </c>
      <c r="O27" s="91">
        <v>40.6</v>
      </c>
      <c r="P27" s="92">
        <v>8.6999999999999993</v>
      </c>
      <c r="Q27" s="92"/>
      <c r="R27" s="93">
        <f t="shared" si="4"/>
        <v>49.3</v>
      </c>
      <c r="S27" s="97">
        <v>5</v>
      </c>
      <c r="T27" s="839"/>
      <c r="U27" s="852">
        <v>24989</v>
      </c>
      <c r="V27" s="82" t="s">
        <v>374</v>
      </c>
      <c r="W27" s="73" t="s">
        <v>76</v>
      </c>
      <c r="X27" s="73" t="s">
        <v>11</v>
      </c>
      <c r="Y27" s="73">
        <v>40.6</v>
      </c>
      <c r="Z27" s="82" t="s">
        <v>123</v>
      </c>
      <c r="AA27" s="73" t="s">
        <v>77</v>
      </c>
      <c r="AB27" s="73" t="s">
        <v>18</v>
      </c>
      <c r="AC27" s="73">
        <v>8.6999999999999993</v>
      </c>
      <c r="AD27" s="82"/>
      <c r="AG27" s="83"/>
      <c r="AL27" s="82"/>
      <c r="AO27" s="83"/>
      <c r="AP27" s="82"/>
      <c r="AS27" s="83"/>
      <c r="AW27" s="83"/>
      <c r="BA27" s="84"/>
    </row>
    <row r="28" spans="1:53" s="292" customFormat="1">
      <c r="A28" s="338">
        <v>1967.62857142857</v>
      </c>
      <c r="B28" s="836">
        <v>25031</v>
      </c>
      <c r="C28" s="909" t="s">
        <v>383</v>
      </c>
      <c r="D28" s="909"/>
      <c r="E28" s="292">
        <v>173</v>
      </c>
      <c r="F28" s="292">
        <v>1</v>
      </c>
      <c r="G28" s="366">
        <v>14</v>
      </c>
      <c r="H28" s="292">
        <v>2</v>
      </c>
      <c r="J28" s="377">
        <v>19</v>
      </c>
      <c r="K28" s="336">
        <f t="shared" si="0"/>
        <v>73.68421052631578</v>
      </c>
      <c r="L28" s="336">
        <f t="shared" si="1"/>
        <v>10.526315789473683</v>
      </c>
      <c r="M28" s="336">
        <f t="shared" si="2"/>
        <v>0</v>
      </c>
      <c r="N28" s="368">
        <f t="shared" si="3"/>
        <v>84.210526315789465</v>
      </c>
      <c r="O28" s="335">
        <v>60</v>
      </c>
      <c r="P28" s="336">
        <v>13.6</v>
      </c>
      <c r="Q28" s="336"/>
      <c r="R28" s="337">
        <f t="shared" si="4"/>
        <v>73.599999999999994</v>
      </c>
      <c r="S28" s="340">
        <v>3</v>
      </c>
      <c r="T28" s="838">
        <v>25012</v>
      </c>
      <c r="U28" s="836">
        <v>25031</v>
      </c>
      <c r="V28" s="299" t="s">
        <v>374</v>
      </c>
      <c r="W28" s="292" t="s">
        <v>76</v>
      </c>
      <c r="X28" s="292" t="s">
        <v>11</v>
      </c>
      <c r="Y28" s="292">
        <v>60</v>
      </c>
      <c r="Z28" s="299" t="s">
        <v>123</v>
      </c>
      <c r="AA28" s="292" t="s">
        <v>77</v>
      </c>
      <c r="AB28" s="292" t="s">
        <v>18</v>
      </c>
      <c r="AC28" s="292">
        <v>13.6</v>
      </c>
      <c r="AD28" s="299"/>
      <c r="AG28" s="300"/>
      <c r="AL28" s="299"/>
      <c r="AO28" s="300"/>
      <c r="AP28" s="299"/>
      <c r="AS28" s="300"/>
      <c r="AW28" s="300"/>
      <c r="BA28" s="301"/>
    </row>
    <row r="29" spans="1:53" s="292" customFormat="1">
      <c r="A29" s="338">
        <v>1969</v>
      </c>
      <c r="B29" s="836"/>
      <c r="C29" s="909" t="s">
        <v>383</v>
      </c>
      <c r="D29" s="909"/>
      <c r="E29" s="292">
        <v>172</v>
      </c>
      <c r="G29" s="366">
        <v>14</v>
      </c>
      <c r="H29" s="292">
        <v>2</v>
      </c>
      <c r="J29" s="377">
        <v>19</v>
      </c>
      <c r="K29" s="336">
        <f t="shared" si="0"/>
        <v>73.68421052631578</v>
      </c>
      <c r="L29" s="336">
        <f t="shared" si="1"/>
        <v>10.526315789473683</v>
      </c>
      <c r="M29" s="336">
        <f t="shared" si="2"/>
        <v>0</v>
      </c>
      <c r="N29" s="368">
        <f t="shared" si="3"/>
        <v>84.210526315789465</v>
      </c>
      <c r="O29" s="335">
        <v>60</v>
      </c>
      <c r="P29" s="336">
        <v>13.6</v>
      </c>
      <c r="Q29" s="336"/>
      <c r="R29" s="337">
        <f t="shared" si="4"/>
        <v>73.599999999999994</v>
      </c>
      <c r="S29" s="340">
        <v>3</v>
      </c>
      <c r="T29" s="838"/>
      <c r="U29" s="836"/>
      <c r="V29" s="299" t="s">
        <v>374</v>
      </c>
      <c r="W29" s="292" t="s">
        <v>76</v>
      </c>
      <c r="X29" s="292" t="s">
        <v>11</v>
      </c>
      <c r="Y29" s="292">
        <v>60</v>
      </c>
      <c r="Z29" s="299" t="s">
        <v>123</v>
      </c>
      <c r="AA29" s="292" t="s">
        <v>77</v>
      </c>
      <c r="AB29" s="292" t="s">
        <v>18</v>
      </c>
      <c r="AC29" s="292">
        <v>13.6</v>
      </c>
      <c r="AD29" s="299"/>
      <c r="AG29" s="300"/>
      <c r="AL29" s="299"/>
      <c r="AO29" s="300"/>
      <c r="AP29" s="299"/>
      <c r="AS29" s="300"/>
      <c r="AW29" s="300"/>
      <c r="BA29" s="301"/>
    </row>
    <row r="30" spans="1:53" s="73" customFormat="1">
      <c r="A30" s="101">
        <v>1968.5428571428599</v>
      </c>
      <c r="B30" s="852">
        <v>25376</v>
      </c>
      <c r="C30" s="901" t="s">
        <v>384</v>
      </c>
      <c r="D30" s="901"/>
      <c r="E30" s="73">
        <v>193</v>
      </c>
      <c r="F30" s="73">
        <v>2</v>
      </c>
      <c r="G30" s="119">
        <v>16</v>
      </c>
      <c r="H30" s="73">
        <v>3</v>
      </c>
      <c r="J30" s="126">
        <v>19</v>
      </c>
      <c r="K30" s="92">
        <f t="shared" si="0"/>
        <v>84.210526315789465</v>
      </c>
      <c r="L30" s="92">
        <f t="shared" si="1"/>
        <v>15.789473684210526</v>
      </c>
      <c r="M30" s="92">
        <f t="shared" si="2"/>
        <v>0</v>
      </c>
      <c r="N30" s="121">
        <f t="shared" si="3"/>
        <v>99.999999999999986</v>
      </c>
      <c r="O30" s="91">
        <v>60</v>
      </c>
      <c r="P30" s="92">
        <v>19.100000000000001</v>
      </c>
      <c r="Q30" s="92"/>
      <c r="R30" s="93">
        <f t="shared" si="4"/>
        <v>79.099999999999994</v>
      </c>
      <c r="S30" s="97">
        <v>3</v>
      </c>
      <c r="T30" s="839"/>
      <c r="U30" s="852">
        <v>25376</v>
      </c>
      <c r="V30" s="82" t="s">
        <v>374</v>
      </c>
      <c r="W30" s="73" t="s">
        <v>76</v>
      </c>
      <c r="X30" s="73" t="s">
        <v>11</v>
      </c>
      <c r="Y30" s="73">
        <v>60</v>
      </c>
      <c r="Z30" s="82" t="s">
        <v>123</v>
      </c>
      <c r="AA30" s="73" t="s">
        <v>77</v>
      </c>
      <c r="AB30" s="73" t="s">
        <v>18</v>
      </c>
      <c r="AC30" s="73">
        <v>13.6</v>
      </c>
      <c r="AD30" s="82" t="s">
        <v>124</v>
      </c>
      <c r="AE30" s="73" t="s">
        <v>82</v>
      </c>
      <c r="AF30" s="73" t="s">
        <v>18</v>
      </c>
      <c r="AG30" s="83">
        <v>5.5</v>
      </c>
      <c r="AL30" s="82"/>
      <c r="AO30" s="83"/>
      <c r="AP30" s="82"/>
      <c r="AS30" s="83"/>
      <c r="AW30" s="83"/>
      <c r="BA30" s="84"/>
    </row>
    <row r="31" spans="1:53" s="73" customFormat="1">
      <c r="A31" s="101">
        <v>1970</v>
      </c>
      <c r="B31" s="852"/>
      <c r="C31" s="901" t="s">
        <v>384</v>
      </c>
      <c r="D31" s="901"/>
      <c r="E31" s="73">
        <v>0</v>
      </c>
      <c r="G31" s="119">
        <v>16</v>
      </c>
      <c r="H31" s="73">
        <v>3</v>
      </c>
      <c r="J31" s="126">
        <v>19</v>
      </c>
      <c r="K31" s="92">
        <f t="shared" si="0"/>
        <v>84.210526315789465</v>
      </c>
      <c r="L31" s="92">
        <f t="shared" si="1"/>
        <v>15.789473684210526</v>
      </c>
      <c r="M31" s="92">
        <f t="shared" si="2"/>
        <v>0</v>
      </c>
      <c r="N31" s="121">
        <f t="shared" si="3"/>
        <v>99.999999999999986</v>
      </c>
      <c r="O31" s="91">
        <v>60</v>
      </c>
      <c r="P31" s="92">
        <v>19.100000000000001</v>
      </c>
      <c r="Q31" s="92"/>
      <c r="R31" s="93">
        <f t="shared" si="4"/>
        <v>79.099999999999994</v>
      </c>
      <c r="S31" s="97">
        <v>3</v>
      </c>
      <c r="T31" s="839"/>
      <c r="U31" s="852"/>
      <c r="V31" s="82" t="s">
        <v>374</v>
      </c>
      <c r="W31" s="73" t="s">
        <v>76</v>
      </c>
      <c r="X31" s="73" t="s">
        <v>11</v>
      </c>
      <c r="Y31" s="73">
        <v>60</v>
      </c>
      <c r="Z31" s="82" t="s">
        <v>123</v>
      </c>
      <c r="AA31" s="73" t="s">
        <v>77</v>
      </c>
      <c r="AB31" s="73" t="s">
        <v>18</v>
      </c>
      <c r="AC31" s="73">
        <v>13.6</v>
      </c>
      <c r="AD31" s="82" t="s">
        <v>124</v>
      </c>
      <c r="AE31" s="73" t="s">
        <v>82</v>
      </c>
      <c r="AF31" s="73" t="s">
        <v>18</v>
      </c>
      <c r="AG31" s="83">
        <v>5.5</v>
      </c>
      <c r="AL31" s="82"/>
      <c r="AO31" s="83"/>
      <c r="AP31" s="82"/>
      <c r="AS31" s="83"/>
      <c r="AW31" s="83"/>
      <c r="BA31" s="84"/>
    </row>
    <row r="32" spans="1:53" s="73" customFormat="1">
      <c r="A32" s="101">
        <v>1970</v>
      </c>
      <c r="B32" s="852"/>
      <c r="C32" s="901" t="s">
        <v>384</v>
      </c>
      <c r="D32" s="901"/>
      <c r="E32" s="73">
        <v>365</v>
      </c>
      <c r="G32" s="119">
        <v>16</v>
      </c>
      <c r="H32" s="73">
        <v>3</v>
      </c>
      <c r="J32" s="126">
        <v>19</v>
      </c>
      <c r="K32" s="92">
        <f t="shared" si="0"/>
        <v>84.210526315789465</v>
      </c>
      <c r="L32" s="92">
        <f t="shared" si="1"/>
        <v>15.789473684210526</v>
      </c>
      <c r="M32" s="92">
        <f t="shared" si="2"/>
        <v>0</v>
      </c>
      <c r="N32" s="121">
        <f t="shared" si="3"/>
        <v>99.999999999999986</v>
      </c>
      <c r="O32" s="91">
        <v>60</v>
      </c>
      <c r="P32" s="92">
        <v>19.100000000000001</v>
      </c>
      <c r="Q32" s="92"/>
      <c r="R32" s="93">
        <f t="shared" si="4"/>
        <v>79.099999999999994</v>
      </c>
      <c r="S32" s="97">
        <v>3</v>
      </c>
      <c r="T32" s="839"/>
      <c r="U32" s="852"/>
      <c r="V32" s="82" t="s">
        <v>374</v>
      </c>
      <c r="W32" s="73" t="s">
        <v>76</v>
      </c>
      <c r="X32" s="73" t="s">
        <v>11</v>
      </c>
      <c r="Y32" s="73">
        <v>60</v>
      </c>
      <c r="Z32" s="82" t="s">
        <v>123</v>
      </c>
      <c r="AA32" s="73" t="s">
        <v>77</v>
      </c>
      <c r="AB32" s="73" t="s">
        <v>18</v>
      </c>
      <c r="AC32" s="73">
        <v>13.6</v>
      </c>
      <c r="AD32" s="82" t="s">
        <v>124</v>
      </c>
      <c r="AE32" s="73" t="s">
        <v>82</v>
      </c>
      <c r="AF32" s="73" t="s">
        <v>18</v>
      </c>
      <c r="AG32" s="83">
        <v>5.5</v>
      </c>
      <c r="AL32" s="82"/>
      <c r="AO32" s="83"/>
      <c r="AP32" s="82"/>
      <c r="AS32" s="83"/>
      <c r="AW32" s="83"/>
      <c r="BA32" s="84"/>
    </row>
    <row r="33" spans="1:53" s="73" customFormat="1">
      <c r="A33" s="101">
        <v>1971</v>
      </c>
      <c r="B33" s="852"/>
      <c r="C33" s="901" t="s">
        <v>384</v>
      </c>
      <c r="D33" s="901"/>
      <c r="E33" s="73">
        <v>0</v>
      </c>
      <c r="G33" s="119">
        <v>16</v>
      </c>
      <c r="H33" s="73">
        <v>3</v>
      </c>
      <c r="J33" s="126">
        <v>19</v>
      </c>
      <c r="K33" s="92">
        <f t="shared" si="0"/>
        <v>84.210526315789465</v>
      </c>
      <c r="L33" s="92">
        <f t="shared" si="1"/>
        <v>15.789473684210526</v>
      </c>
      <c r="M33" s="92">
        <f t="shared" si="2"/>
        <v>0</v>
      </c>
      <c r="N33" s="121">
        <f t="shared" si="3"/>
        <v>99.999999999999986</v>
      </c>
      <c r="O33" s="91">
        <v>60</v>
      </c>
      <c r="P33" s="92">
        <v>19.100000000000001</v>
      </c>
      <c r="Q33" s="92"/>
      <c r="R33" s="93">
        <f t="shared" si="4"/>
        <v>79.099999999999994</v>
      </c>
      <c r="S33" s="97">
        <v>3</v>
      </c>
      <c r="T33" s="839"/>
      <c r="U33" s="852"/>
      <c r="V33" s="82" t="s">
        <v>374</v>
      </c>
      <c r="W33" s="73" t="s">
        <v>76</v>
      </c>
      <c r="X33" s="73" t="s">
        <v>11</v>
      </c>
      <c r="Y33" s="73">
        <v>60</v>
      </c>
      <c r="Z33" s="82" t="s">
        <v>123</v>
      </c>
      <c r="AA33" s="73" t="s">
        <v>77</v>
      </c>
      <c r="AB33" s="73" t="s">
        <v>18</v>
      </c>
      <c r="AC33" s="73">
        <v>13.6</v>
      </c>
      <c r="AD33" s="82" t="s">
        <v>124</v>
      </c>
      <c r="AE33" s="73" t="s">
        <v>82</v>
      </c>
      <c r="AF33" s="73" t="s">
        <v>18</v>
      </c>
      <c r="AG33" s="83">
        <v>5.5</v>
      </c>
      <c r="AL33" s="82"/>
      <c r="AO33" s="83"/>
      <c r="AP33" s="82"/>
      <c r="AS33" s="83"/>
      <c r="AW33" s="83"/>
      <c r="BA33" s="84"/>
    </row>
    <row r="34" spans="1:53" s="73" customFormat="1">
      <c r="A34" s="101">
        <v>1971</v>
      </c>
      <c r="B34" s="852"/>
      <c r="C34" s="901" t="s">
        <v>384</v>
      </c>
      <c r="D34" s="901"/>
      <c r="E34" s="73">
        <v>365</v>
      </c>
      <c r="G34" s="119">
        <v>16</v>
      </c>
      <c r="H34" s="73">
        <v>3</v>
      </c>
      <c r="J34" s="126">
        <v>19</v>
      </c>
      <c r="K34" s="92">
        <f t="shared" si="0"/>
        <v>84.210526315789465</v>
      </c>
      <c r="L34" s="92">
        <f t="shared" si="1"/>
        <v>15.789473684210526</v>
      </c>
      <c r="M34" s="92">
        <f t="shared" si="2"/>
        <v>0</v>
      </c>
      <c r="N34" s="121">
        <f t="shared" si="3"/>
        <v>99.999999999999986</v>
      </c>
      <c r="O34" s="91">
        <v>60</v>
      </c>
      <c r="P34" s="92">
        <v>19.100000000000001</v>
      </c>
      <c r="Q34" s="92"/>
      <c r="R34" s="93">
        <f t="shared" si="4"/>
        <v>79.099999999999994</v>
      </c>
      <c r="S34" s="97">
        <v>3</v>
      </c>
      <c r="T34" s="839"/>
      <c r="U34" s="852"/>
      <c r="V34" s="82" t="s">
        <v>374</v>
      </c>
      <c r="W34" s="73" t="s">
        <v>76</v>
      </c>
      <c r="X34" s="73" t="s">
        <v>11</v>
      </c>
      <c r="Y34" s="73">
        <v>60</v>
      </c>
      <c r="Z34" s="82" t="s">
        <v>123</v>
      </c>
      <c r="AA34" s="73" t="s">
        <v>77</v>
      </c>
      <c r="AB34" s="73" t="s">
        <v>18</v>
      </c>
      <c r="AC34" s="73">
        <v>13.6</v>
      </c>
      <c r="AD34" s="82" t="s">
        <v>124</v>
      </c>
      <c r="AE34" s="73" t="s">
        <v>82</v>
      </c>
      <c r="AF34" s="73" t="s">
        <v>18</v>
      </c>
      <c r="AG34" s="83">
        <v>5.5</v>
      </c>
      <c r="AL34" s="82"/>
      <c r="AO34" s="83"/>
      <c r="AP34" s="82"/>
      <c r="AS34" s="83"/>
      <c r="AW34" s="83"/>
      <c r="BA34" s="84"/>
    </row>
    <row r="35" spans="1:53" s="73" customFormat="1">
      <c r="A35" s="101">
        <v>1972</v>
      </c>
      <c r="B35" s="852"/>
      <c r="C35" s="901" t="s">
        <v>384</v>
      </c>
      <c r="D35" s="901"/>
      <c r="E35" s="73">
        <v>188</v>
      </c>
      <c r="G35" s="119">
        <v>16</v>
      </c>
      <c r="H35" s="73">
        <v>3</v>
      </c>
      <c r="J35" s="126">
        <v>19</v>
      </c>
      <c r="K35" s="92">
        <f t="shared" si="0"/>
        <v>84.210526315789465</v>
      </c>
      <c r="L35" s="92">
        <f t="shared" si="1"/>
        <v>15.789473684210526</v>
      </c>
      <c r="M35" s="92">
        <f t="shared" si="2"/>
        <v>0</v>
      </c>
      <c r="N35" s="121">
        <f t="shared" si="3"/>
        <v>99.999999999999986</v>
      </c>
      <c r="O35" s="91">
        <v>60</v>
      </c>
      <c r="P35" s="92">
        <v>19.100000000000001</v>
      </c>
      <c r="Q35" s="92"/>
      <c r="R35" s="93">
        <f t="shared" si="4"/>
        <v>79.099999999999994</v>
      </c>
      <c r="S35" s="97">
        <v>3</v>
      </c>
      <c r="T35" s="839"/>
      <c r="U35" s="852"/>
      <c r="V35" s="82" t="s">
        <v>374</v>
      </c>
      <c r="W35" s="73" t="s">
        <v>76</v>
      </c>
      <c r="X35" s="73" t="s">
        <v>11</v>
      </c>
      <c r="Y35" s="73">
        <v>60</v>
      </c>
      <c r="Z35" s="82" t="s">
        <v>123</v>
      </c>
      <c r="AA35" s="73" t="s">
        <v>77</v>
      </c>
      <c r="AB35" s="73" t="s">
        <v>18</v>
      </c>
      <c r="AC35" s="73">
        <v>13.6</v>
      </c>
      <c r="AD35" s="82" t="s">
        <v>124</v>
      </c>
      <c r="AE35" s="73" t="s">
        <v>82</v>
      </c>
      <c r="AF35" s="73" t="s">
        <v>18</v>
      </c>
      <c r="AG35" s="83">
        <v>5.5</v>
      </c>
      <c r="AL35" s="82"/>
      <c r="AO35" s="83"/>
      <c r="AP35" s="82"/>
      <c r="AS35" s="83"/>
      <c r="AW35" s="83"/>
      <c r="BA35" s="84"/>
    </row>
    <row r="36" spans="1:53" s="292" customFormat="1">
      <c r="A36" s="338">
        <v>1972</v>
      </c>
      <c r="B36" s="836">
        <v>26487</v>
      </c>
      <c r="C36" s="909" t="s">
        <v>385</v>
      </c>
      <c r="D36" s="909"/>
      <c r="E36" s="292">
        <v>178</v>
      </c>
      <c r="F36" s="292">
        <v>6</v>
      </c>
      <c r="G36" s="366">
        <v>17</v>
      </c>
      <c r="H36" s="292">
        <v>3</v>
      </c>
      <c r="J36" s="377">
        <v>20</v>
      </c>
      <c r="K36" s="336">
        <f t="shared" si="0"/>
        <v>85</v>
      </c>
      <c r="L36" s="336">
        <f t="shared" si="1"/>
        <v>15</v>
      </c>
      <c r="M36" s="336">
        <f t="shared" si="2"/>
        <v>0</v>
      </c>
      <c r="N36" s="368">
        <f t="shared" si="3"/>
        <v>100</v>
      </c>
      <c r="O36" s="335">
        <v>60</v>
      </c>
      <c r="P36" s="336">
        <v>19.100000000000001</v>
      </c>
      <c r="Q36" s="336"/>
      <c r="R36" s="337">
        <f t="shared" si="4"/>
        <v>79.099999999999994</v>
      </c>
      <c r="S36" s="340">
        <v>3</v>
      </c>
      <c r="T36" s="838"/>
      <c r="U36" s="836">
        <v>26487</v>
      </c>
      <c r="V36" s="299" t="s">
        <v>374</v>
      </c>
      <c r="W36" s="292" t="s">
        <v>76</v>
      </c>
      <c r="X36" s="292" t="s">
        <v>11</v>
      </c>
      <c r="Y36" s="292">
        <v>60</v>
      </c>
      <c r="Z36" s="299" t="s">
        <v>123</v>
      </c>
      <c r="AA36" s="292" t="s">
        <v>77</v>
      </c>
      <c r="AB36" s="292" t="s">
        <v>18</v>
      </c>
      <c r="AC36" s="292">
        <v>13.6</v>
      </c>
      <c r="AD36" s="299" t="s">
        <v>124</v>
      </c>
      <c r="AE36" s="292" t="s">
        <v>82</v>
      </c>
      <c r="AF36" s="292" t="s">
        <v>18</v>
      </c>
      <c r="AG36" s="300">
        <v>5.5</v>
      </c>
      <c r="AL36" s="299"/>
      <c r="AO36" s="300"/>
      <c r="AP36" s="299"/>
      <c r="AS36" s="300"/>
      <c r="AW36" s="300"/>
      <c r="BA36" s="301"/>
    </row>
    <row r="37" spans="1:53" s="292" customFormat="1">
      <c r="A37" s="338">
        <v>1973</v>
      </c>
      <c r="B37" s="836"/>
      <c r="C37" s="909" t="s">
        <v>385</v>
      </c>
      <c r="D37" s="909"/>
      <c r="E37" s="292">
        <v>94</v>
      </c>
      <c r="G37" s="366">
        <v>17</v>
      </c>
      <c r="H37" s="292">
        <v>3</v>
      </c>
      <c r="J37" s="377">
        <v>20</v>
      </c>
      <c r="K37" s="336">
        <f t="shared" si="0"/>
        <v>85</v>
      </c>
      <c r="L37" s="336">
        <f t="shared" si="1"/>
        <v>15</v>
      </c>
      <c r="M37" s="336">
        <f t="shared" si="2"/>
        <v>0</v>
      </c>
      <c r="N37" s="368">
        <f t="shared" si="3"/>
        <v>100</v>
      </c>
      <c r="O37" s="335">
        <v>60</v>
      </c>
      <c r="P37" s="336">
        <v>19.100000000000001</v>
      </c>
      <c r="Q37" s="336"/>
      <c r="R37" s="337">
        <f t="shared" si="4"/>
        <v>79.099999999999994</v>
      </c>
      <c r="S37" s="340">
        <v>3</v>
      </c>
      <c r="T37" s="838"/>
      <c r="U37" s="836"/>
      <c r="V37" s="299" t="s">
        <v>374</v>
      </c>
      <c r="W37" s="292" t="s">
        <v>76</v>
      </c>
      <c r="X37" s="292" t="s">
        <v>11</v>
      </c>
      <c r="Y37" s="292">
        <v>60</v>
      </c>
      <c r="Z37" s="299" t="s">
        <v>123</v>
      </c>
      <c r="AA37" s="292" t="s">
        <v>77</v>
      </c>
      <c r="AB37" s="292" t="s">
        <v>18</v>
      </c>
      <c r="AC37" s="292">
        <v>13.6</v>
      </c>
      <c r="AD37" s="299" t="s">
        <v>124</v>
      </c>
      <c r="AE37" s="292" t="s">
        <v>82</v>
      </c>
      <c r="AF37" s="292" t="s">
        <v>18</v>
      </c>
      <c r="AG37" s="300">
        <v>5.5</v>
      </c>
      <c r="AL37" s="299"/>
      <c r="AO37" s="300"/>
      <c r="AP37" s="299"/>
      <c r="AS37" s="300"/>
      <c r="AW37" s="300"/>
      <c r="BA37" s="301"/>
    </row>
    <row r="38" spans="1:53" s="73" customFormat="1">
      <c r="A38" s="101">
        <v>1973</v>
      </c>
      <c r="B38" s="852">
        <v>26759</v>
      </c>
      <c r="C38" s="901" t="s">
        <v>386</v>
      </c>
      <c r="D38" s="901"/>
      <c r="E38" s="73">
        <v>271</v>
      </c>
      <c r="F38" s="73">
        <v>1</v>
      </c>
      <c r="G38" s="119">
        <v>19</v>
      </c>
      <c r="J38" s="126">
        <v>22</v>
      </c>
      <c r="K38" s="92">
        <f t="shared" si="0"/>
        <v>86.36363636363636</v>
      </c>
      <c r="L38" s="92">
        <f t="shared" si="1"/>
        <v>0</v>
      </c>
      <c r="M38" s="92">
        <f t="shared" si="2"/>
        <v>0</v>
      </c>
      <c r="N38" s="121">
        <f t="shared" si="3"/>
        <v>86.36363636363636</v>
      </c>
      <c r="O38" s="91">
        <v>42</v>
      </c>
      <c r="P38" s="92">
        <v>11.4</v>
      </c>
      <c r="Q38" s="92"/>
      <c r="R38" s="93">
        <f t="shared" si="4"/>
        <v>53.4</v>
      </c>
      <c r="S38" s="97">
        <v>2</v>
      </c>
      <c r="T38" s="839">
        <v>26727</v>
      </c>
      <c r="U38" s="852">
        <v>26759</v>
      </c>
      <c r="V38" s="82" t="s">
        <v>374</v>
      </c>
      <c r="W38" s="73" t="s">
        <v>76</v>
      </c>
      <c r="X38" s="73" t="s">
        <v>11</v>
      </c>
      <c r="Y38" s="73">
        <v>37.6</v>
      </c>
      <c r="Z38" s="82" t="s">
        <v>123</v>
      </c>
      <c r="AA38" s="73" t="s">
        <v>77</v>
      </c>
      <c r="AB38" s="73" t="s">
        <v>18</v>
      </c>
      <c r="AC38" s="73">
        <v>11.4</v>
      </c>
      <c r="AD38" s="82" t="s">
        <v>125</v>
      </c>
      <c r="AE38" s="73" t="s">
        <v>80</v>
      </c>
      <c r="AF38" s="73" t="s">
        <v>11</v>
      </c>
      <c r="AG38" s="83">
        <v>4.4000000000000004</v>
      </c>
      <c r="AL38" s="82"/>
      <c r="AO38" s="83"/>
      <c r="AP38" s="82"/>
      <c r="AS38" s="83"/>
      <c r="AW38" s="83"/>
      <c r="BA38" s="84"/>
    </row>
    <row r="39" spans="1:53" s="73" customFormat="1">
      <c r="A39" s="101">
        <v>1974</v>
      </c>
      <c r="B39" s="852"/>
      <c r="C39" s="901" t="s">
        <v>386</v>
      </c>
      <c r="D39" s="901"/>
      <c r="E39" s="73">
        <v>59</v>
      </c>
      <c r="G39" s="119">
        <v>19</v>
      </c>
      <c r="J39" s="126">
        <v>22</v>
      </c>
      <c r="K39" s="92">
        <f t="shared" si="0"/>
        <v>86.36363636363636</v>
      </c>
      <c r="L39" s="92">
        <f t="shared" si="1"/>
        <v>0</v>
      </c>
      <c r="M39" s="92">
        <f t="shared" si="2"/>
        <v>0</v>
      </c>
      <c r="N39" s="121">
        <f t="shared" si="3"/>
        <v>86.36363636363636</v>
      </c>
      <c r="O39" s="91">
        <v>42</v>
      </c>
      <c r="P39" s="92">
        <v>11.4</v>
      </c>
      <c r="Q39" s="92"/>
      <c r="R39" s="93">
        <f t="shared" si="4"/>
        <v>53.4</v>
      </c>
      <c r="S39" s="97">
        <v>2</v>
      </c>
      <c r="T39" s="839"/>
      <c r="U39" s="852"/>
      <c r="V39" s="82" t="s">
        <v>374</v>
      </c>
      <c r="W39" s="73" t="s">
        <v>76</v>
      </c>
      <c r="X39" s="73" t="s">
        <v>11</v>
      </c>
      <c r="Y39" s="73">
        <v>37.6</v>
      </c>
      <c r="Z39" s="82" t="s">
        <v>123</v>
      </c>
      <c r="AA39" s="73" t="s">
        <v>77</v>
      </c>
      <c r="AB39" s="73" t="s">
        <v>18</v>
      </c>
      <c r="AC39" s="73">
        <v>11.4</v>
      </c>
      <c r="AD39" s="82" t="s">
        <v>125</v>
      </c>
      <c r="AE39" s="73" t="s">
        <v>80</v>
      </c>
      <c r="AF39" s="73" t="s">
        <v>11</v>
      </c>
      <c r="AG39" s="83">
        <v>4.4000000000000004</v>
      </c>
      <c r="AL39" s="82"/>
      <c r="AO39" s="83"/>
      <c r="AP39" s="82"/>
      <c r="AS39" s="83"/>
      <c r="AW39" s="83"/>
      <c r="BA39" s="84"/>
    </row>
    <row r="40" spans="1:53" s="292" customFormat="1">
      <c r="A40" s="338">
        <v>1974</v>
      </c>
      <c r="B40" s="836">
        <v>27089</v>
      </c>
      <c r="C40" s="909" t="s">
        <v>387</v>
      </c>
      <c r="D40" s="909"/>
      <c r="E40" s="292">
        <v>88</v>
      </c>
      <c r="F40" s="292">
        <v>7</v>
      </c>
      <c r="G40" s="366">
        <v>14</v>
      </c>
      <c r="J40" s="377">
        <v>16</v>
      </c>
      <c r="K40" s="336">
        <f t="shared" si="0"/>
        <v>87.5</v>
      </c>
      <c r="L40" s="336">
        <f t="shared" si="1"/>
        <v>0</v>
      </c>
      <c r="M40" s="336">
        <f t="shared" si="2"/>
        <v>0</v>
      </c>
      <c r="N40" s="368">
        <f t="shared" si="3"/>
        <v>87.5</v>
      </c>
      <c r="O40" s="335">
        <v>42</v>
      </c>
      <c r="P40" s="336">
        <v>11.4</v>
      </c>
      <c r="Q40" s="336"/>
      <c r="R40" s="337">
        <f t="shared" si="4"/>
        <v>53.4</v>
      </c>
      <c r="S40" s="340">
        <v>2</v>
      </c>
      <c r="T40" s="838"/>
      <c r="U40" s="836">
        <v>27089</v>
      </c>
      <c r="V40" s="299" t="s">
        <v>374</v>
      </c>
      <c r="W40" s="292" t="s">
        <v>76</v>
      </c>
      <c r="X40" s="292" t="s">
        <v>11</v>
      </c>
      <c r="Y40" s="292">
        <v>37.6</v>
      </c>
      <c r="Z40" s="299" t="s">
        <v>123</v>
      </c>
      <c r="AA40" s="292" t="s">
        <v>77</v>
      </c>
      <c r="AB40" s="292" t="s">
        <v>18</v>
      </c>
      <c r="AC40" s="292">
        <v>11.4</v>
      </c>
      <c r="AD40" s="299" t="s">
        <v>125</v>
      </c>
      <c r="AE40" s="292" t="s">
        <v>80</v>
      </c>
      <c r="AF40" s="292" t="s">
        <v>11</v>
      </c>
      <c r="AG40" s="300">
        <v>4.4000000000000004</v>
      </c>
      <c r="AL40" s="299"/>
      <c r="AO40" s="300"/>
      <c r="AP40" s="299"/>
      <c r="AS40" s="300"/>
      <c r="AW40" s="300"/>
      <c r="BA40" s="301"/>
    </row>
    <row r="41" spans="1:53" s="73" customFormat="1">
      <c r="A41" s="101">
        <v>1974</v>
      </c>
      <c r="B41" s="852">
        <v>27177</v>
      </c>
      <c r="C41" s="901" t="s">
        <v>388</v>
      </c>
      <c r="D41" s="901"/>
      <c r="E41" s="73">
        <v>218</v>
      </c>
      <c r="F41" s="73">
        <v>1</v>
      </c>
      <c r="G41" s="119">
        <v>11</v>
      </c>
      <c r="H41" s="73">
        <v>1</v>
      </c>
      <c r="I41" s="73">
        <v>1</v>
      </c>
      <c r="J41" s="126">
        <v>16</v>
      </c>
      <c r="K41" s="92">
        <f t="shared" si="0"/>
        <v>68.75</v>
      </c>
      <c r="L41" s="92">
        <f t="shared" si="1"/>
        <v>6.25</v>
      </c>
      <c r="M41" s="92">
        <f t="shared" si="2"/>
        <v>6.25</v>
      </c>
      <c r="N41" s="121">
        <f t="shared" si="3"/>
        <v>81.25</v>
      </c>
      <c r="O41" s="91">
        <v>42</v>
      </c>
      <c r="P41" s="92">
        <v>11.4</v>
      </c>
      <c r="Q41" s="92">
        <v>2.2999999999999998</v>
      </c>
      <c r="R41" s="93">
        <f t="shared" si="4"/>
        <v>55.699999999999996</v>
      </c>
      <c r="S41" s="97">
        <v>3</v>
      </c>
      <c r="T41" s="839"/>
      <c r="U41" s="852">
        <v>27177</v>
      </c>
      <c r="V41" s="82" t="s">
        <v>374</v>
      </c>
      <c r="W41" s="73" t="s">
        <v>76</v>
      </c>
      <c r="X41" s="73" t="s">
        <v>11</v>
      </c>
      <c r="Y41" s="73">
        <v>37.6</v>
      </c>
      <c r="Z41" s="82" t="s">
        <v>123</v>
      </c>
      <c r="AA41" s="73" t="s">
        <v>77</v>
      </c>
      <c r="AB41" s="73" t="s">
        <v>18</v>
      </c>
      <c r="AC41" s="73">
        <v>11.4</v>
      </c>
      <c r="AD41" s="82" t="s">
        <v>125</v>
      </c>
      <c r="AE41" s="73" t="s">
        <v>80</v>
      </c>
      <c r="AF41" s="73" t="s">
        <v>11</v>
      </c>
      <c r="AG41" s="83">
        <v>4.4000000000000004</v>
      </c>
      <c r="AH41" s="73" t="s">
        <v>126</v>
      </c>
      <c r="AI41" s="73" t="s">
        <v>88</v>
      </c>
      <c r="AJ41" s="73" t="s">
        <v>12</v>
      </c>
      <c r="AK41" s="73">
        <v>2.2999999999999998</v>
      </c>
      <c r="AL41" s="82"/>
      <c r="AO41" s="83"/>
      <c r="AP41" s="82"/>
      <c r="AS41" s="83"/>
      <c r="AW41" s="83"/>
      <c r="BA41" s="84"/>
    </row>
    <row r="42" spans="1:53" s="73" customFormat="1">
      <c r="A42" s="101">
        <v>1975</v>
      </c>
      <c r="B42" s="852"/>
      <c r="C42" s="901" t="s">
        <v>388</v>
      </c>
      <c r="D42" s="901"/>
      <c r="E42" s="73">
        <v>0</v>
      </c>
      <c r="G42" s="119">
        <v>11</v>
      </c>
      <c r="H42" s="73">
        <v>1</v>
      </c>
      <c r="I42" s="73">
        <v>1</v>
      </c>
      <c r="J42" s="126">
        <v>16</v>
      </c>
      <c r="K42" s="92">
        <f t="shared" si="0"/>
        <v>68.75</v>
      </c>
      <c r="L42" s="92">
        <f t="shared" si="1"/>
        <v>6.25</v>
      </c>
      <c r="M42" s="92">
        <f t="shared" si="2"/>
        <v>6.25</v>
      </c>
      <c r="N42" s="121">
        <f t="shared" si="3"/>
        <v>81.25</v>
      </c>
      <c r="O42" s="91">
        <v>42</v>
      </c>
      <c r="P42" s="92">
        <v>11.4</v>
      </c>
      <c r="Q42" s="92">
        <v>2.2999999999999998</v>
      </c>
      <c r="R42" s="93">
        <f t="shared" si="4"/>
        <v>55.699999999999996</v>
      </c>
      <c r="S42" s="97">
        <v>3</v>
      </c>
      <c r="T42" s="839"/>
      <c r="U42" s="852"/>
      <c r="V42" s="82" t="s">
        <v>374</v>
      </c>
      <c r="W42" s="73" t="s">
        <v>76</v>
      </c>
      <c r="X42" s="73" t="s">
        <v>11</v>
      </c>
      <c r="Y42" s="73">
        <v>37.6</v>
      </c>
      <c r="Z42" s="82" t="s">
        <v>123</v>
      </c>
      <c r="AA42" s="73" t="s">
        <v>77</v>
      </c>
      <c r="AB42" s="73" t="s">
        <v>18</v>
      </c>
      <c r="AC42" s="73">
        <v>11.4</v>
      </c>
      <c r="AD42" s="82" t="s">
        <v>125</v>
      </c>
      <c r="AE42" s="73" t="s">
        <v>80</v>
      </c>
      <c r="AF42" s="73" t="s">
        <v>11</v>
      </c>
      <c r="AG42" s="83">
        <v>4.4000000000000004</v>
      </c>
      <c r="AH42" s="73" t="s">
        <v>126</v>
      </c>
      <c r="AI42" s="73" t="s">
        <v>88</v>
      </c>
      <c r="AJ42" s="73" t="s">
        <v>12</v>
      </c>
      <c r="AK42" s="73">
        <v>2.2999999999999998</v>
      </c>
      <c r="AL42" s="82"/>
      <c r="AO42" s="83"/>
      <c r="AP42" s="82"/>
      <c r="AS42" s="83"/>
      <c r="AW42" s="83"/>
      <c r="BA42" s="84"/>
    </row>
    <row r="43" spans="1:53" s="73" customFormat="1">
      <c r="A43" s="101">
        <v>1975</v>
      </c>
      <c r="B43" s="852"/>
      <c r="C43" s="901" t="s">
        <v>388</v>
      </c>
      <c r="D43" s="901"/>
      <c r="E43" s="73">
        <v>365</v>
      </c>
      <c r="G43" s="119">
        <v>11</v>
      </c>
      <c r="H43" s="73">
        <v>1</v>
      </c>
      <c r="I43" s="73">
        <v>1</v>
      </c>
      <c r="J43" s="126">
        <v>16</v>
      </c>
      <c r="K43" s="92">
        <f t="shared" si="0"/>
        <v>68.75</v>
      </c>
      <c r="L43" s="92">
        <f t="shared" si="1"/>
        <v>6.25</v>
      </c>
      <c r="M43" s="92">
        <f t="shared" si="2"/>
        <v>6.25</v>
      </c>
      <c r="N43" s="121">
        <f t="shared" si="3"/>
        <v>81.25</v>
      </c>
      <c r="O43" s="91">
        <v>42</v>
      </c>
      <c r="P43" s="92">
        <v>11.4</v>
      </c>
      <c r="Q43" s="92">
        <v>2.2999999999999998</v>
      </c>
      <c r="R43" s="93">
        <f t="shared" si="4"/>
        <v>55.699999999999996</v>
      </c>
      <c r="S43" s="97">
        <v>3</v>
      </c>
      <c r="T43" s="839"/>
      <c r="U43" s="852"/>
      <c r="V43" s="82" t="s">
        <v>374</v>
      </c>
      <c r="W43" s="73" t="s">
        <v>76</v>
      </c>
      <c r="X43" s="73" t="s">
        <v>11</v>
      </c>
      <c r="Y43" s="73">
        <v>37.6</v>
      </c>
      <c r="Z43" s="82" t="s">
        <v>123</v>
      </c>
      <c r="AA43" s="73" t="s">
        <v>77</v>
      </c>
      <c r="AB43" s="73" t="s">
        <v>18</v>
      </c>
      <c r="AC43" s="73">
        <v>11.4</v>
      </c>
      <c r="AD43" s="82" t="s">
        <v>125</v>
      </c>
      <c r="AE43" s="73" t="s">
        <v>80</v>
      </c>
      <c r="AF43" s="73" t="s">
        <v>11</v>
      </c>
      <c r="AG43" s="83">
        <v>4.4000000000000004</v>
      </c>
      <c r="AH43" s="73" t="s">
        <v>126</v>
      </c>
      <c r="AI43" s="73" t="s">
        <v>88</v>
      </c>
      <c r="AJ43" s="73" t="s">
        <v>12</v>
      </c>
      <c r="AK43" s="73">
        <v>2.2999999999999998</v>
      </c>
      <c r="AL43" s="82"/>
      <c r="AO43" s="83"/>
      <c r="AP43" s="82"/>
      <c r="AS43" s="83"/>
      <c r="AW43" s="83"/>
      <c r="BA43" s="84"/>
    </row>
    <row r="44" spans="1:53" s="73" customFormat="1">
      <c r="A44" s="101">
        <v>1976</v>
      </c>
      <c r="B44" s="852"/>
      <c r="C44" s="901" t="s">
        <v>388</v>
      </c>
      <c r="D44" s="901"/>
      <c r="E44" s="73">
        <v>229</v>
      </c>
      <c r="G44" s="119">
        <v>11</v>
      </c>
      <c r="H44" s="73">
        <v>1</v>
      </c>
      <c r="I44" s="73">
        <v>1</v>
      </c>
      <c r="J44" s="126">
        <v>16</v>
      </c>
      <c r="K44" s="92">
        <f t="shared" si="0"/>
        <v>68.75</v>
      </c>
      <c r="L44" s="92">
        <f t="shared" si="1"/>
        <v>6.25</v>
      </c>
      <c r="M44" s="92">
        <f t="shared" si="2"/>
        <v>6.25</v>
      </c>
      <c r="N44" s="121">
        <f t="shared" si="3"/>
        <v>81.25</v>
      </c>
      <c r="O44" s="91">
        <v>42</v>
      </c>
      <c r="P44" s="92">
        <v>11.4</v>
      </c>
      <c r="Q44" s="92">
        <v>2.2999999999999998</v>
      </c>
      <c r="R44" s="93">
        <f t="shared" si="4"/>
        <v>55.699999999999996</v>
      </c>
      <c r="S44" s="97">
        <v>3</v>
      </c>
      <c r="T44" s="839"/>
      <c r="U44" s="852"/>
      <c r="V44" s="82" t="s">
        <v>374</v>
      </c>
      <c r="W44" s="73" t="s">
        <v>76</v>
      </c>
      <c r="X44" s="73" t="s">
        <v>11</v>
      </c>
      <c r="Y44" s="73">
        <v>37.6</v>
      </c>
      <c r="Z44" s="82" t="s">
        <v>123</v>
      </c>
      <c r="AA44" s="73" t="s">
        <v>77</v>
      </c>
      <c r="AB44" s="73" t="s">
        <v>18</v>
      </c>
      <c r="AC44" s="73">
        <v>11.4</v>
      </c>
      <c r="AD44" s="82" t="s">
        <v>125</v>
      </c>
      <c r="AE44" s="73" t="s">
        <v>80</v>
      </c>
      <c r="AF44" s="73" t="s">
        <v>11</v>
      </c>
      <c r="AG44" s="83">
        <v>4.4000000000000004</v>
      </c>
      <c r="AH44" s="73" t="s">
        <v>126</v>
      </c>
      <c r="AI44" s="73" t="s">
        <v>88</v>
      </c>
      <c r="AJ44" s="73" t="s">
        <v>12</v>
      </c>
      <c r="AK44" s="73">
        <v>2.2999999999999998</v>
      </c>
      <c r="AL44" s="82"/>
      <c r="AO44" s="83"/>
      <c r="AP44" s="82"/>
      <c r="AS44" s="83"/>
      <c r="AW44" s="83"/>
      <c r="BA44" s="84"/>
    </row>
    <row r="45" spans="1:53" s="292" customFormat="1">
      <c r="A45" s="338">
        <v>1976</v>
      </c>
      <c r="B45" s="836">
        <v>27989</v>
      </c>
      <c r="C45" s="909" t="s">
        <v>389</v>
      </c>
      <c r="D45" s="909"/>
      <c r="E45" s="292">
        <v>137</v>
      </c>
      <c r="F45" s="292">
        <v>6</v>
      </c>
      <c r="G45" s="366">
        <v>9</v>
      </c>
      <c r="H45" s="292">
        <v>1</v>
      </c>
      <c r="I45" s="292">
        <v>3</v>
      </c>
      <c r="J45" s="377">
        <v>18</v>
      </c>
      <c r="K45" s="336">
        <f t="shared" si="0"/>
        <v>50</v>
      </c>
      <c r="L45" s="336">
        <f t="shared" si="1"/>
        <v>5.5555555555555554</v>
      </c>
      <c r="M45" s="336">
        <f t="shared" si="2"/>
        <v>16.666666666666664</v>
      </c>
      <c r="N45" s="368">
        <f t="shared" si="3"/>
        <v>72.222222222222229</v>
      </c>
      <c r="O45" s="335">
        <v>42</v>
      </c>
      <c r="P45" s="336">
        <v>11.4</v>
      </c>
      <c r="Q45" s="336">
        <v>2.2999999999999998</v>
      </c>
      <c r="R45" s="337">
        <f t="shared" si="4"/>
        <v>55.699999999999996</v>
      </c>
      <c r="S45" s="340">
        <v>3</v>
      </c>
      <c r="T45" s="838"/>
      <c r="U45" s="836">
        <v>27989</v>
      </c>
      <c r="V45" s="299" t="s">
        <v>374</v>
      </c>
      <c r="W45" s="292" t="s">
        <v>76</v>
      </c>
      <c r="X45" s="292" t="s">
        <v>11</v>
      </c>
      <c r="Y45" s="292">
        <v>37.6</v>
      </c>
      <c r="Z45" s="299" t="s">
        <v>123</v>
      </c>
      <c r="AA45" s="292" t="s">
        <v>77</v>
      </c>
      <c r="AB45" s="292" t="s">
        <v>18</v>
      </c>
      <c r="AC45" s="292">
        <v>11.4</v>
      </c>
      <c r="AD45" s="299" t="s">
        <v>125</v>
      </c>
      <c r="AE45" s="292" t="s">
        <v>80</v>
      </c>
      <c r="AF45" s="292" t="s">
        <v>11</v>
      </c>
      <c r="AG45" s="300">
        <v>4.4000000000000004</v>
      </c>
      <c r="AH45" s="292" t="s">
        <v>126</v>
      </c>
      <c r="AI45" s="292" t="s">
        <v>88</v>
      </c>
      <c r="AJ45" s="292" t="s">
        <v>12</v>
      </c>
      <c r="AK45" s="292">
        <v>2.2999999999999998</v>
      </c>
      <c r="AL45" s="299"/>
      <c r="AO45" s="300"/>
      <c r="AP45" s="299"/>
      <c r="AS45" s="300"/>
      <c r="AW45" s="300"/>
      <c r="BA45" s="301"/>
    </row>
    <row r="46" spans="1:53" s="292" customFormat="1">
      <c r="A46" s="338">
        <v>1977</v>
      </c>
      <c r="B46" s="836"/>
      <c r="C46" s="909" t="s">
        <v>389</v>
      </c>
      <c r="D46" s="909"/>
      <c r="E46" s="292">
        <v>88</v>
      </c>
      <c r="G46" s="366">
        <v>9</v>
      </c>
      <c r="H46" s="292">
        <v>1</v>
      </c>
      <c r="I46" s="292">
        <v>3</v>
      </c>
      <c r="J46" s="377">
        <v>18</v>
      </c>
      <c r="K46" s="336">
        <f t="shared" si="0"/>
        <v>50</v>
      </c>
      <c r="L46" s="336">
        <f t="shared" si="1"/>
        <v>5.5555555555555554</v>
      </c>
      <c r="M46" s="336">
        <f t="shared" si="2"/>
        <v>16.666666666666664</v>
      </c>
      <c r="N46" s="368">
        <f t="shared" si="3"/>
        <v>72.222222222222229</v>
      </c>
      <c r="O46" s="335">
        <v>42</v>
      </c>
      <c r="P46" s="336">
        <v>11.4</v>
      </c>
      <c r="Q46" s="336">
        <v>2.2999999999999998</v>
      </c>
      <c r="R46" s="337">
        <f t="shared" si="4"/>
        <v>55.699999999999996</v>
      </c>
      <c r="S46" s="340">
        <v>3</v>
      </c>
      <c r="T46" s="838"/>
      <c r="U46" s="836"/>
      <c r="V46" s="299" t="s">
        <v>374</v>
      </c>
      <c r="W46" s="292" t="s">
        <v>76</v>
      </c>
      <c r="X46" s="292" t="s">
        <v>11</v>
      </c>
      <c r="Y46" s="292">
        <v>37.6</v>
      </c>
      <c r="Z46" s="299" t="s">
        <v>123</v>
      </c>
      <c r="AA46" s="292" t="s">
        <v>77</v>
      </c>
      <c r="AB46" s="292" t="s">
        <v>18</v>
      </c>
      <c r="AC46" s="292">
        <v>11.4</v>
      </c>
      <c r="AD46" s="299" t="s">
        <v>125</v>
      </c>
      <c r="AE46" s="292" t="s">
        <v>80</v>
      </c>
      <c r="AF46" s="292" t="s">
        <v>11</v>
      </c>
      <c r="AG46" s="300">
        <v>4.4000000000000004</v>
      </c>
      <c r="AH46" s="292" t="s">
        <v>126</v>
      </c>
      <c r="AI46" s="292" t="s">
        <v>88</v>
      </c>
      <c r="AJ46" s="292" t="s">
        <v>12</v>
      </c>
      <c r="AK46" s="292">
        <v>2.2999999999999998</v>
      </c>
      <c r="AL46" s="299"/>
      <c r="AO46" s="300"/>
      <c r="AP46" s="299"/>
      <c r="AS46" s="300"/>
      <c r="AW46" s="300"/>
      <c r="BA46" s="301"/>
    </row>
    <row r="47" spans="1:53" s="73" customFormat="1">
      <c r="A47" s="101">
        <v>1977</v>
      </c>
      <c r="B47" s="852">
        <v>28214</v>
      </c>
      <c r="C47" s="901" t="s">
        <v>390</v>
      </c>
      <c r="D47" s="901"/>
      <c r="E47" s="73">
        <v>277</v>
      </c>
      <c r="F47" s="73">
        <v>4</v>
      </c>
      <c r="G47" s="119">
        <v>6</v>
      </c>
      <c r="H47" s="73">
        <v>2</v>
      </c>
      <c r="I47" s="73">
        <v>2</v>
      </c>
      <c r="J47" s="126">
        <v>15</v>
      </c>
      <c r="K47" s="92">
        <f t="shared" si="0"/>
        <v>40</v>
      </c>
      <c r="L47" s="92">
        <f t="shared" si="1"/>
        <v>13.333333333333334</v>
      </c>
      <c r="M47" s="92">
        <f t="shared" si="2"/>
        <v>13.333333333333334</v>
      </c>
      <c r="N47" s="121">
        <f t="shared" si="3"/>
        <v>66.666666666666671</v>
      </c>
      <c r="O47" s="91">
        <v>42</v>
      </c>
      <c r="P47" s="92">
        <v>11.4</v>
      </c>
      <c r="Q47" s="92">
        <v>2.2999999999999998</v>
      </c>
      <c r="R47" s="93">
        <f t="shared" si="4"/>
        <v>55.699999999999996</v>
      </c>
      <c r="S47" s="97">
        <v>3</v>
      </c>
      <c r="T47" s="839"/>
      <c r="U47" s="852">
        <v>28214</v>
      </c>
      <c r="V47" s="82" t="s">
        <v>375</v>
      </c>
      <c r="W47" s="73" t="s">
        <v>76</v>
      </c>
      <c r="X47" s="73" t="s">
        <v>11</v>
      </c>
      <c r="Y47" s="73">
        <v>37.6</v>
      </c>
      <c r="Z47" s="82" t="s">
        <v>123</v>
      </c>
      <c r="AA47" s="73" t="s">
        <v>77</v>
      </c>
      <c r="AB47" s="73" t="s">
        <v>18</v>
      </c>
      <c r="AC47" s="73">
        <v>11.4</v>
      </c>
      <c r="AD47" s="82" t="s">
        <v>125</v>
      </c>
      <c r="AE47" s="73" t="s">
        <v>80</v>
      </c>
      <c r="AF47" s="73" t="s">
        <v>11</v>
      </c>
      <c r="AG47" s="83">
        <v>4.4000000000000004</v>
      </c>
      <c r="AH47" s="73" t="s">
        <v>126</v>
      </c>
      <c r="AI47" s="73" t="s">
        <v>88</v>
      </c>
      <c r="AJ47" s="73" t="s">
        <v>12</v>
      </c>
      <c r="AK47" s="73">
        <v>2.2999999999999998</v>
      </c>
      <c r="AL47" s="82"/>
      <c r="AO47" s="83"/>
      <c r="AP47" s="82"/>
      <c r="AS47" s="83"/>
      <c r="AW47" s="83"/>
      <c r="BA47" s="84"/>
    </row>
    <row r="48" spans="1:53" s="73" customFormat="1">
      <c r="A48" s="101">
        <v>1978</v>
      </c>
      <c r="B48" s="852"/>
      <c r="C48" s="901" t="s">
        <v>390</v>
      </c>
      <c r="D48" s="901"/>
      <c r="E48" s="73">
        <v>93</v>
      </c>
      <c r="G48" s="119">
        <v>6</v>
      </c>
      <c r="H48" s="73">
        <v>2</v>
      </c>
      <c r="I48" s="73">
        <v>2</v>
      </c>
      <c r="J48" s="126">
        <v>15</v>
      </c>
      <c r="K48" s="92">
        <f t="shared" si="0"/>
        <v>40</v>
      </c>
      <c r="L48" s="92">
        <f t="shared" si="1"/>
        <v>13.333333333333334</v>
      </c>
      <c r="M48" s="92">
        <f t="shared" si="2"/>
        <v>13.333333333333334</v>
      </c>
      <c r="N48" s="121">
        <f t="shared" si="3"/>
        <v>66.666666666666671</v>
      </c>
      <c r="O48" s="91">
        <v>42</v>
      </c>
      <c r="P48" s="92">
        <v>11.4</v>
      </c>
      <c r="Q48" s="92">
        <v>2.2999999999999998</v>
      </c>
      <c r="R48" s="93">
        <f t="shared" si="4"/>
        <v>55.699999999999996</v>
      </c>
      <c r="S48" s="97">
        <v>3</v>
      </c>
      <c r="T48" s="839"/>
      <c r="U48" s="852"/>
      <c r="V48" s="82" t="s">
        <v>375</v>
      </c>
      <c r="W48" s="73" t="s">
        <v>76</v>
      </c>
      <c r="X48" s="73" t="s">
        <v>11</v>
      </c>
      <c r="Y48" s="73">
        <v>37.6</v>
      </c>
      <c r="Z48" s="82" t="s">
        <v>123</v>
      </c>
      <c r="AA48" s="73" t="s">
        <v>77</v>
      </c>
      <c r="AB48" s="73" t="s">
        <v>18</v>
      </c>
      <c r="AC48" s="73">
        <v>11.4</v>
      </c>
      <c r="AD48" s="82" t="s">
        <v>125</v>
      </c>
      <c r="AE48" s="73" t="s">
        <v>80</v>
      </c>
      <c r="AF48" s="73" t="s">
        <v>11</v>
      </c>
      <c r="AG48" s="83">
        <v>4.4000000000000004</v>
      </c>
      <c r="AH48" s="73" t="s">
        <v>126</v>
      </c>
      <c r="AI48" s="73" t="s">
        <v>88</v>
      </c>
      <c r="AJ48" s="73" t="s">
        <v>12</v>
      </c>
      <c r="AK48" s="73">
        <v>2.2999999999999998</v>
      </c>
      <c r="AL48" s="82"/>
      <c r="AO48" s="83"/>
      <c r="AP48" s="82"/>
      <c r="AS48" s="83"/>
      <c r="AW48" s="83"/>
      <c r="BA48" s="84"/>
    </row>
    <row r="49" spans="1:53" s="292" customFormat="1">
      <c r="A49" s="338">
        <v>1978</v>
      </c>
      <c r="B49" s="836">
        <v>28584</v>
      </c>
      <c r="C49" s="909" t="s">
        <v>391</v>
      </c>
      <c r="D49" s="909"/>
      <c r="E49" s="292">
        <v>272</v>
      </c>
      <c r="F49" s="292">
        <v>1</v>
      </c>
      <c r="G49" s="366">
        <v>6</v>
      </c>
      <c r="H49" s="292">
        <v>9</v>
      </c>
      <c r="J49" s="377">
        <v>20</v>
      </c>
      <c r="K49" s="336">
        <f t="shared" si="0"/>
        <v>30</v>
      </c>
      <c r="L49" s="336">
        <f t="shared" si="1"/>
        <v>45</v>
      </c>
      <c r="M49" s="336">
        <f t="shared" si="2"/>
        <v>0</v>
      </c>
      <c r="N49" s="368">
        <f t="shared" si="3"/>
        <v>75</v>
      </c>
      <c r="O49" s="335">
        <v>30</v>
      </c>
      <c r="P49" s="336">
        <v>26.2</v>
      </c>
      <c r="Q49" s="336"/>
      <c r="R49" s="337">
        <f t="shared" si="4"/>
        <v>56.2</v>
      </c>
      <c r="S49" s="340">
        <v>2</v>
      </c>
      <c r="T49" s="838">
        <v>28561</v>
      </c>
      <c r="U49" s="836">
        <v>28584</v>
      </c>
      <c r="V49" s="299" t="s">
        <v>375</v>
      </c>
      <c r="W49" s="292" t="s">
        <v>76</v>
      </c>
      <c r="X49" s="292" t="s">
        <v>11</v>
      </c>
      <c r="Y49" s="292">
        <v>30</v>
      </c>
      <c r="Z49" s="299" t="s">
        <v>127</v>
      </c>
      <c r="AA49" s="292" t="s">
        <v>79</v>
      </c>
      <c r="AB49" s="292" t="s">
        <v>18</v>
      </c>
      <c r="AC49" s="292">
        <v>26.2</v>
      </c>
      <c r="AD49" s="299"/>
      <c r="AG49" s="300"/>
      <c r="AL49" s="299"/>
      <c r="AO49" s="300"/>
      <c r="AP49" s="299"/>
      <c r="AS49" s="300"/>
      <c r="AW49" s="300"/>
      <c r="BA49" s="301"/>
    </row>
    <row r="50" spans="1:53" s="292" customFormat="1">
      <c r="A50" s="338">
        <v>1979</v>
      </c>
      <c r="B50" s="836"/>
      <c r="C50" s="909" t="s">
        <v>391</v>
      </c>
      <c r="D50" s="909"/>
      <c r="E50" s="292">
        <v>0</v>
      </c>
      <c r="G50" s="366">
        <v>6</v>
      </c>
      <c r="H50" s="292">
        <v>9</v>
      </c>
      <c r="J50" s="377">
        <v>20</v>
      </c>
      <c r="K50" s="336">
        <f t="shared" si="0"/>
        <v>30</v>
      </c>
      <c r="L50" s="336">
        <f t="shared" si="1"/>
        <v>45</v>
      </c>
      <c r="M50" s="336">
        <f t="shared" si="2"/>
        <v>0</v>
      </c>
      <c r="N50" s="368">
        <f t="shared" si="3"/>
        <v>75</v>
      </c>
      <c r="O50" s="335">
        <v>30</v>
      </c>
      <c r="P50" s="336">
        <v>26.2</v>
      </c>
      <c r="Q50" s="336"/>
      <c r="R50" s="337">
        <f t="shared" si="4"/>
        <v>56.2</v>
      </c>
      <c r="S50" s="340">
        <v>2</v>
      </c>
      <c r="T50" s="838"/>
      <c r="U50" s="836"/>
      <c r="V50" s="299" t="s">
        <v>375</v>
      </c>
      <c r="W50" s="292" t="s">
        <v>76</v>
      </c>
      <c r="X50" s="292" t="s">
        <v>11</v>
      </c>
      <c r="Y50" s="292">
        <v>30</v>
      </c>
      <c r="Z50" s="299" t="s">
        <v>127</v>
      </c>
      <c r="AA50" s="292" t="s">
        <v>79</v>
      </c>
      <c r="AB50" s="292" t="s">
        <v>18</v>
      </c>
      <c r="AC50" s="292">
        <v>26.2</v>
      </c>
      <c r="AD50" s="299"/>
      <c r="AG50" s="300"/>
      <c r="AL50" s="299"/>
      <c r="AO50" s="300"/>
      <c r="AP50" s="299"/>
      <c r="AS50" s="300"/>
      <c r="AW50" s="300"/>
      <c r="BA50" s="301"/>
    </row>
    <row r="51" spans="1:53" s="292" customFormat="1">
      <c r="A51" s="338">
        <v>1979</v>
      </c>
      <c r="B51" s="836"/>
      <c r="C51" s="909" t="s">
        <v>391</v>
      </c>
      <c r="D51" s="909"/>
      <c r="E51" s="292">
        <v>365</v>
      </c>
      <c r="G51" s="366">
        <v>6</v>
      </c>
      <c r="H51" s="292">
        <v>9</v>
      </c>
      <c r="J51" s="377">
        <v>20</v>
      </c>
      <c r="K51" s="336">
        <f t="shared" si="0"/>
        <v>30</v>
      </c>
      <c r="L51" s="336">
        <f t="shared" si="1"/>
        <v>45</v>
      </c>
      <c r="M51" s="336">
        <f t="shared" si="2"/>
        <v>0</v>
      </c>
      <c r="N51" s="368">
        <f t="shared" si="3"/>
        <v>75</v>
      </c>
      <c r="O51" s="335">
        <v>30</v>
      </c>
      <c r="P51" s="336">
        <v>26.2</v>
      </c>
      <c r="Q51" s="336"/>
      <c r="R51" s="337">
        <f t="shared" si="4"/>
        <v>56.2</v>
      </c>
      <c r="S51" s="340">
        <v>2</v>
      </c>
      <c r="T51" s="838"/>
      <c r="U51" s="836"/>
      <c r="V51" s="299" t="s">
        <v>375</v>
      </c>
      <c r="W51" s="292" t="s">
        <v>76</v>
      </c>
      <c r="X51" s="292" t="s">
        <v>11</v>
      </c>
      <c r="Y51" s="292">
        <v>30</v>
      </c>
      <c r="Z51" s="299" t="s">
        <v>127</v>
      </c>
      <c r="AA51" s="292" t="s">
        <v>79</v>
      </c>
      <c r="AB51" s="292" t="s">
        <v>18</v>
      </c>
      <c r="AC51" s="292">
        <v>26.2</v>
      </c>
      <c r="AD51" s="299"/>
      <c r="AG51" s="300"/>
      <c r="AL51" s="299"/>
      <c r="AO51" s="300"/>
      <c r="AP51" s="299"/>
      <c r="AS51" s="300"/>
      <c r="AW51" s="300"/>
      <c r="BA51" s="301"/>
    </row>
    <row r="52" spans="1:53" s="292" customFormat="1">
      <c r="A52" s="338">
        <v>1980</v>
      </c>
      <c r="B52" s="836"/>
      <c r="C52" s="909" t="s">
        <v>391</v>
      </c>
      <c r="D52" s="909"/>
      <c r="E52" s="292">
        <v>0</v>
      </c>
      <c r="G52" s="366">
        <v>6</v>
      </c>
      <c r="H52" s="292">
        <v>9</v>
      </c>
      <c r="J52" s="377">
        <v>20</v>
      </c>
      <c r="K52" s="336">
        <f t="shared" si="0"/>
        <v>30</v>
      </c>
      <c r="L52" s="336">
        <f t="shared" si="1"/>
        <v>45</v>
      </c>
      <c r="M52" s="336">
        <f t="shared" si="2"/>
        <v>0</v>
      </c>
      <c r="N52" s="368">
        <f t="shared" si="3"/>
        <v>75</v>
      </c>
      <c r="O52" s="335">
        <v>30</v>
      </c>
      <c r="P52" s="336">
        <v>26.2</v>
      </c>
      <c r="Q52" s="336"/>
      <c r="R52" s="337">
        <f t="shared" si="4"/>
        <v>56.2</v>
      </c>
      <c r="S52" s="340">
        <v>2</v>
      </c>
      <c r="T52" s="838"/>
      <c r="U52" s="836"/>
      <c r="V52" s="299" t="s">
        <v>375</v>
      </c>
      <c r="W52" s="292" t="s">
        <v>76</v>
      </c>
      <c r="X52" s="292" t="s">
        <v>11</v>
      </c>
      <c r="Y52" s="292">
        <v>30</v>
      </c>
      <c r="Z52" s="299" t="s">
        <v>127</v>
      </c>
      <c r="AA52" s="292" t="s">
        <v>79</v>
      </c>
      <c r="AB52" s="292" t="s">
        <v>18</v>
      </c>
      <c r="AC52" s="292">
        <v>26.2</v>
      </c>
      <c r="AD52" s="299"/>
      <c r="AG52" s="300"/>
      <c r="AL52" s="299"/>
      <c r="AO52" s="300"/>
      <c r="AP52" s="299"/>
      <c r="AS52" s="300"/>
      <c r="AW52" s="300"/>
      <c r="BA52" s="301"/>
    </row>
    <row r="53" spans="1:53" s="292" customFormat="1">
      <c r="A53" s="338">
        <v>1980</v>
      </c>
      <c r="B53" s="836"/>
      <c r="C53" s="909" t="s">
        <v>391</v>
      </c>
      <c r="D53" s="909"/>
      <c r="E53" s="292">
        <v>366</v>
      </c>
      <c r="G53" s="366">
        <v>6</v>
      </c>
      <c r="H53" s="292">
        <v>9</v>
      </c>
      <c r="J53" s="377">
        <v>20</v>
      </c>
      <c r="K53" s="336">
        <f t="shared" si="0"/>
        <v>30</v>
      </c>
      <c r="L53" s="336">
        <f t="shared" si="1"/>
        <v>45</v>
      </c>
      <c r="M53" s="336">
        <f t="shared" si="2"/>
        <v>0</v>
      </c>
      <c r="N53" s="368">
        <f t="shared" si="3"/>
        <v>75</v>
      </c>
      <c r="O53" s="335">
        <v>30</v>
      </c>
      <c r="P53" s="336">
        <v>26.2</v>
      </c>
      <c r="Q53" s="336"/>
      <c r="R53" s="337">
        <f t="shared" si="4"/>
        <v>56.2</v>
      </c>
      <c r="S53" s="340">
        <v>2</v>
      </c>
      <c r="T53" s="838"/>
      <c r="U53" s="836"/>
      <c r="V53" s="299" t="s">
        <v>375</v>
      </c>
      <c r="W53" s="292" t="s">
        <v>76</v>
      </c>
      <c r="X53" s="292" t="s">
        <v>11</v>
      </c>
      <c r="Y53" s="292">
        <v>30</v>
      </c>
      <c r="Z53" s="299" t="s">
        <v>127</v>
      </c>
      <c r="AA53" s="292" t="s">
        <v>79</v>
      </c>
      <c r="AB53" s="292" t="s">
        <v>18</v>
      </c>
      <c r="AC53" s="292">
        <v>26.2</v>
      </c>
      <c r="AD53" s="299"/>
      <c r="AG53" s="300"/>
      <c r="AL53" s="299"/>
      <c r="AO53" s="300"/>
      <c r="AP53" s="299"/>
      <c r="AS53" s="300"/>
      <c r="AW53" s="300"/>
      <c r="BA53" s="301"/>
    </row>
    <row r="54" spans="1:53" s="292" customFormat="1">
      <c r="A54" s="338">
        <v>1981</v>
      </c>
      <c r="B54" s="836"/>
      <c r="C54" s="909" t="s">
        <v>391</v>
      </c>
      <c r="D54" s="909"/>
      <c r="E54" s="292">
        <v>141</v>
      </c>
      <c r="G54" s="366">
        <v>6</v>
      </c>
      <c r="H54" s="292">
        <v>9</v>
      </c>
      <c r="J54" s="377">
        <v>20</v>
      </c>
      <c r="K54" s="336">
        <f t="shared" si="0"/>
        <v>30</v>
      </c>
      <c r="L54" s="336">
        <f t="shared" si="1"/>
        <v>45</v>
      </c>
      <c r="M54" s="336">
        <f t="shared" si="2"/>
        <v>0</v>
      </c>
      <c r="N54" s="368">
        <f t="shared" si="3"/>
        <v>75</v>
      </c>
      <c r="O54" s="335">
        <v>30</v>
      </c>
      <c r="P54" s="336">
        <v>26.2</v>
      </c>
      <c r="Q54" s="336"/>
      <c r="R54" s="337">
        <f t="shared" si="4"/>
        <v>56.2</v>
      </c>
      <c r="S54" s="340">
        <v>2</v>
      </c>
      <c r="T54" s="838"/>
      <c r="U54" s="836"/>
      <c r="V54" s="299" t="s">
        <v>375</v>
      </c>
      <c r="W54" s="292" t="s">
        <v>76</v>
      </c>
      <c r="X54" s="292" t="s">
        <v>11</v>
      </c>
      <c r="Y54" s="292">
        <v>30</v>
      </c>
      <c r="Z54" s="299" t="s">
        <v>127</v>
      </c>
      <c r="AA54" s="292" t="s">
        <v>79</v>
      </c>
      <c r="AB54" s="292" t="s">
        <v>18</v>
      </c>
      <c r="AC54" s="292">
        <v>26.2</v>
      </c>
      <c r="AD54" s="299"/>
      <c r="AG54" s="300"/>
      <c r="AL54" s="299"/>
      <c r="AO54" s="300"/>
      <c r="AP54" s="299"/>
      <c r="AS54" s="300"/>
      <c r="AW54" s="300"/>
      <c r="BA54" s="301"/>
    </row>
    <row r="55" spans="1:53" s="73" customFormat="1">
      <c r="A55" s="101">
        <v>1981</v>
      </c>
      <c r="B55" s="852">
        <v>29728</v>
      </c>
      <c r="C55" s="901" t="s">
        <v>392</v>
      </c>
      <c r="D55" s="901"/>
      <c r="E55" s="73">
        <v>32</v>
      </c>
      <c r="F55" s="73">
        <v>1</v>
      </c>
      <c r="G55" s="119"/>
      <c r="I55" s="73">
        <v>31</v>
      </c>
      <c r="J55" s="126">
        <v>31</v>
      </c>
      <c r="K55" s="92">
        <f t="shared" si="0"/>
        <v>0</v>
      </c>
      <c r="L55" s="92">
        <f t="shared" si="1"/>
        <v>0</v>
      </c>
      <c r="M55" s="92">
        <f t="shared" si="2"/>
        <v>100</v>
      </c>
      <c r="N55" s="121">
        <f t="shared" si="3"/>
        <v>100</v>
      </c>
      <c r="O55" s="91"/>
      <c r="P55" s="92"/>
      <c r="Q55" s="92">
        <v>21.5</v>
      </c>
      <c r="R55" s="93">
        <f t="shared" si="4"/>
        <v>21.5</v>
      </c>
      <c r="S55" s="97">
        <v>6</v>
      </c>
      <c r="T55" s="839"/>
      <c r="U55" s="852">
        <v>29728</v>
      </c>
      <c r="V55" s="82" t="s">
        <v>96</v>
      </c>
      <c r="W55" s="73" t="s">
        <v>20</v>
      </c>
      <c r="X55" s="73" t="s">
        <v>12</v>
      </c>
      <c r="Y55" s="73">
        <v>21.5</v>
      </c>
      <c r="Z55" s="82"/>
      <c r="AD55" s="82"/>
      <c r="AG55" s="83"/>
      <c r="AL55" s="82"/>
      <c r="AO55" s="83"/>
      <c r="AP55" s="82"/>
      <c r="AS55" s="83"/>
      <c r="AW55" s="83"/>
      <c r="BA55" s="84"/>
    </row>
    <row r="56" spans="1:53" s="292" customFormat="1">
      <c r="A56" s="338">
        <v>1981</v>
      </c>
      <c r="B56" s="836">
        <v>29760</v>
      </c>
      <c r="C56" s="909" t="s">
        <v>393</v>
      </c>
      <c r="D56" s="909"/>
      <c r="E56" s="292">
        <v>192</v>
      </c>
      <c r="F56" s="292">
        <v>1</v>
      </c>
      <c r="G56" s="366"/>
      <c r="I56" s="292">
        <v>36</v>
      </c>
      <c r="J56" s="377">
        <v>36</v>
      </c>
      <c r="K56" s="336">
        <f t="shared" si="0"/>
        <v>0</v>
      </c>
      <c r="L56" s="336">
        <f t="shared" si="1"/>
        <v>0</v>
      </c>
      <c r="M56" s="336">
        <f t="shared" si="2"/>
        <v>100</v>
      </c>
      <c r="N56" s="368">
        <f t="shared" si="3"/>
        <v>100</v>
      </c>
      <c r="O56" s="335"/>
      <c r="P56" s="336"/>
      <c r="Q56" s="336">
        <v>65.7</v>
      </c>
      <c r="R56" s="337">
        <f t="shared" si="4"/>
        <v>65.7</v>
      </c>
      <c r="S56" s="340">
        <v>3</v>
      </c>
      <c r="T56" s="838">
        <v>29751</v>
      </c>
      <c r="U56" s="836">
        <v>29760</v>
      </c>
      <c r="V56" s="299" t="s">
        <v>96</v>
      </c>
      <c r="W56" s="292" t="s">
        <v>20</v>
      </c>
      <c r="X56" s="292" t="s">
        <v>12</v>
      </c>
      <c r="Y56" s="292">
        <v>56.5</v>
      </c>
      <c r="Z56" s="299" t="s">
        <v>128</v>
      </c>
      <c r="AA56" s="292" t="s">
        <v>114</v>
      </c>
      <c r="AB56" s="292" t="s">
        <v>12</v>
      </c>
      <c r="AC56" s="292">
        <v>9.1999999999999993</v>
      </c>
      <c r="AD56" s="299"/>
      <c r="AG56" s="300"/>
      <c r="AL56" s="299"/>
      <c r="AO56" s="300"/>
      <c r="AP56" s="299"/>
      <c r="AS56" s="300"/>
      <c r="AW56" s="300"/>
      <c r="BA56" s="301"/>
    </row>
    <row r="57" spans="1:53" s="292" customFormat="1">
      <c r="A57" s="338">
        <v>1982</v>
      </c>
      <c r="B57" s="836"/>
      <c r="C57" s="909" t="s">
        <v>393</v>
      </c>
      <c r="D57" s="909"/>
      <c r="E57" s="292">
        <v>0</v>
      </c>
      <c r="G57" s="366"/>
      <c r="I57" s="292">
        <v>36</v>
      </c>
      <c r="J57" s="377">
        <v>36</v>
      </c>
      <c r="K57" s="336">
        <f t="shared" si="0"/>
        <v>0</v>
      </c>
      <c r="L57" s="336">
        <f t="shared" si="1"/>
        <v>0</v>
      </c>
      <c r="M57" s="336">
        <f t="shared" si="2"/>
        <v>100</v>
      </c>
      <c r="N57" s="368">
        <f t="shared" si="3"/>
        <v>100</v>
      </c>
      <c r="O57" s="335"/>
      <c r="P57" s="336"/>
      <c r="Q57" s="336">
        <v>65.7</v>
      </c>
      <c r="R57" s="337">
        <f t="shared" si="4"/>
        <v>65.7</v>
      </c>
      <c r="S57" s="340">
        <v>3</v>
      </c>
      <c r="T57" s="838"/>
      <c r="U57" s="836"/>
      <c r="V57" s="299" t="s">
        <v>96</v>
      </c>
      <c r="W57" s="292" t="s">
        <v>20</v>
      </c>
      <c r="X57" s="292" t="s">
        <v>12</v>
      </c>
      <c r="Y57" s="292">
        <v>56.5</v>
      </c>
      <c r="Z57" s="299" t="s">
        <v>128</v>
      </c>
      <c r="AA57" s="292" t="s">
        <v>114</v>
      </c>
      <c r="AB57" s="292" t="s">
        <v>12</v>
      </c>
      <c r="AC57" s="292">
        <v>9.1999999999999993</v>
      </c>
      <c r="AD57" s="299"/>
      <c r="AG57" s="300"/>
      <c r="AL57" s="299"/>
      <c r="AO57" s="300"/>
      <c r="AP57" s="299"/>
      <c r="AS57" s="300"/>
      <c r="AW57" s="300"/>
      <c r="BA57" s="301"/>
    </row>
    <row r="58" spans="1:53" s="292" customFormat="1">
      <c r="A58" s="338">
        <v>1982</v>
      </c>
      <c r="B58" s="836"/>
      <c r="C58" s="909" t="s">
        <v>393</v>
      </c>
      <c r="D58" s="909"/>
      <c r="E58" s="292">
        <v>365</v>
      </c>
      <c r="G58" s="366"/>
      <c r="I58" s="292">
        <v>36</v>
      </c>
      <c r="J58" s="377">
        <v>36</v>
      </c>
      <c r="K58" s="336">
        <f t="shared" si="0"/>
        <v>0</v>
      </c>
      <c r="L58" s="336">
        <f t="shared" si="1"/>
        <v>0</v>
      </c>
      <c r="M58" s="336">
        <f t="shared" si="2"/>
        <v>100</v>
      </c>
      <c r="N58" s="368">
        <f t="shared" si="3"/>
        <v>100</v>
      </c>
      <c r="O58" s="335"/>
      <c r="P58" s="336"/>
      <c r="Q58" s="336">
        <v>65.7</v>
      </c>
      <c r="R58" s="337">
        <f t="shared" si="4"/>
        <v>65.7</v>
      </c>
      <c r="S58" s="340">
        <v>3</v>
      </c>
      <c r="T58" s="838"/>
      <c r="U58" s="836"/>
      <c r="V58" s="299" t="s">
        <v>96</v>
      </c>
      <c r="W58" s="292" t="s">
        <v>20</v>
      </c>
      <c r="X58" s="292" t="s">
        <v>12</v>
      </c>
      <c r="Y58" s="292">
        <v>56.5</v>
      </c>
      <c r="Z58" s="299" t="s">
        <v>128</v>
      </c>
      <c r="AA58" s="292" t="s">
        <v>114</v>
      </c>
      <c r="AB58" s="292" t="s">
        <v>12</v>
      </c>
      <c r="AC58" s="292">
        <v>9.1999999999999993</v>
      </c>
      <c r="AD58" s="299"/>
      <c r="AG58" s="300"/>
      <c r="AL58" s="299"/>
      <c r="AO58" s="300"/>
      <c r="AP58" s="299"/>
      <c r="AS58" s="300"/>
      <c r="AW58" s="300"/>
      <c r="BA58" s="301"/>
    </row>
    <row r="59" spans="1:53" s="292" customFormat="1">
      <c r="A59" s="338">
        <v>1983</v>
      </c>
      <c r="B59" s="836"/>
      <c r="C59" s="909" t="s">
        <v>393</v>
      </c>
      <c r="D59" s="909"/>
      <c r="E59" s="292">
        <v>80</v>
      </c>
      <c r="G59" s="366"/>
      <c r="I59" s="292">
        <v>36</v>
      </c>
      <c r="J59" s="377">
        <v>36</v>
      </c>
      <c r="K59" s="336">
        <f t="shared" si="0"/>
        <v>0</v>
      </c>
      <c r="L59" s="336">
        <f t="shared" si="1"/>
        <v>0</v>
      </c>
      <c r="M59" s="336">
        <f t="shared" si="2"/>
        <v>100</v>
      </c>
      <c r="N59" s="368">
        <f t="shared" si="3"/>
        <v>100</v>
      </c>
      <c r="O59" s="335"/>
      <c r="P59" s="336"/>
      <c r="Q59" s="336">
        <v>65.7</v>
      </c>
      <c r="R59" s="337">
        <f t="shared" si="4"/>
        <v>65.7</v>
      </c>
      <c r="S59" s="340">
        <v>3</v>
      </c>
      <c r="T59" s="838"/>
      <c r="U59" s="836"/>
      <c r="V59" s="299" t="s">
        <v>96</v>
      </c>
      <c r="W59" s="292" t="s">
        <v>20</v>
      </c>
      <c r="X59" s="292" t="s">
        <v>12</v>
      </c>
      <c r="Y59" s="292">
        <v>56.5</v>
      </c>
      <c r="Z59" s="299" t="s">
        <v>128</v>
      </c>
      <c r="AA59" s="292" t="s">
        <v>114</v>
      </c>
      <c r="AB59" s="292" t="s">
        <v>12</v>
      </c>
      <c r="AC59" s="292">
        <v>9.1999999999999993</v>
      </c>
      <c r="AD59" s="299"/>
      <c r="AG59" s="300"/>
      <c r="AL59" s="299"/>
      <c r="AO59" s="300"/>
      <c r="AP59" s="299"/>
      <c r="AS59" s="300"/>
      <c r="AW59" s="300"/>
      <c r="BA59" s="301"/>
    </row>
    <row r="60" spans="1:53" s="73" customFormat="1">
      <c r="A60" s="101">
        <v>1983</v>
      </c>
      <c r="B60" s="852">
        <v>30397</v>
      </c>
      <c r="C60" s="901" t="s">
        <v>394</v>
      </c>
      <c r="D60" s="901"/>
      <c r="E60" s="73">
        <v>285</v>
      </c>
      <c r="F60" s="73">
        <v>6</v>
      </c>
      <c r="G60" s="119"/>
      <c r="I60" s="73">
        <v>23</v>
      </c>
      <c r="J60" s="126">
        <v>23</v>
      </c>
      <c r="K60" s="92">
        <f t="shared" si="0"/>
        <v>0</v>
      </c>
      <c r="L60" s="92">
        <f t="shared" si="1"/>
        <v>0</v>
      </c>
      <c r="M60" s="92">
        <f t="shared" si="2"/>
        <v>100</v>
      </c>
      <c r="N60" s="121">
        <f t="shared" si="3"/>
        <v>100</v>
      </c>
      <c r="O60" s="91"/>
      <c r="P60" s="92"/>
      <c r="Q60" s="92">
        <v>65.7</v>
      </c>
      <c r="R60" s="93">
        <f t="shared" si="4"/>
        <v>65.7</v>
      </c>
      <c r="S60" s="97">
        <v>3</v>
      </c>
      <c r="T60" s="839"/>
      <c r="U60" s="852">
        <v>30397</v>
      </c>
      <c r="V60" s="82" t="s">
        <v>96</v>
      </c>
      <c r="W60" s="73" t="s">
        <v>20</v>
      </c>
      <c r="X60" s="73" t="s">
        <v>12</v>
      </c>
      <c r="Y60" s="73">
        <v>56.5</v>
      </c>
      <c r="Z60" s="82" t="s">
        <v>128</v>
      </c>
      <c r="AA60" s="73" t="s">
        <v>114</v>
      </c>
      <c r="AB60" s="73" t="s">
        <v>12</v>
      </c>
      <c r="AC60" s="73">
        <v>9.1999999999999993</v>
      </c>
      <c r="AD60" s="82"/>
      <c r="AG60" s="83"/>
      <c r="AL60" s="82"/>
      <c r="AO60" s="83"/>
      <c r="AP60" s="82"/>
      <c r="AS60" s="83"/>
      <c r="AW60" s="83"/>
      <c r="BA60" s="84"/>
    </row>
    <row r="61" spans="1:53" s="73" customFormat="1">
      <c r="A61" s="101">
        <v>1984</v>
      </c>
      <c r="B61" s="852"/>
      <c r="C61" s="901" t="s">
        <v>394</v>
      </c>
      <c r="D61" s="901"/>
      <c r="E61" s="73">
        <v>204</v>
      </c>
      <c r="G61" s="119"/>
      <c r="I61" s="73">
        <v>23</v>
      </c>
      <c r="J61" s="126">
        <v>23</v>
      </c>
      <c r="K61" s="92">
        <f t="shared" si="0"/>
        <v>0</v>
      </c>
      <c r="L61" s="92">
        <f t="shared" si="1"/>
        <v>0</v>
      </c>
      <c r="M61" s="92">
        <f t="shared" si="2"/>
        <v>100</v>
      </c>
      <c r="N61" s="121">
        <f t="shared" si="3"/>
        <v>100</v>
      </c>
      <c r="O61" s="91"/>
      <c r="P61" s="92"/>
      <c r="Q61" s="92">
        <v>65.7</v>
      </c>
      <c r="R61" s="93">
        <f t="shared" si="4"/>
        <v>65.7</v>
      </c>
      <c r="S61" s="97">
        <v>3</v>
      </c>
      <c r="T61" s="839"/>
      <c r="U61" s="852"/>
      <c r="V61" s="82" t="s">
        <v>96</v>
      </c>
      <c r="W61" s="73" t="s">
        <v>20</v>
      </c>
      <c r="X61" s="73" t="s">
        <v>12</v>
      </c>
      <c r="Y61" s="73">
        <v>56.5</v>
      </c>
      <c r="Z61" s="82" t="s">
        <v>128</v>
      </c>
      <c r="AA61" s="73" t="s">
        <v>114</v>
      </c>
      <c r="AB61" s="73" t="s">
        <v>12</v>
      </c>
      <c r="AC61" s="73">
        <v>9.1999999999999993</v>
      </c>
      <c r="AD61" s="82"/>
      <c r="AG61" s="83"/>
      <c r="AL61" s="82"/>
      <c r="AO61" s="83"/>
      <c r="AP61" s="82"/>
      <c r="AS61" s="83"/>
      <c r="AW61" s="83"/>
      <c r="BA61" s="84"/>
    </row>
    <row r="62" spans="1:53" s="292" customFormat="1">
      <c r="A62" s="338">
        <v>1984</v>
      </c>
      <c r="B62" s="836">
        <v>30886</v>
      </c>
      <c r="C62" s="909" t="s">
        <v>395</v>
      </c>
      <c r="D62" s="909"/>
      <c r="E62" s="292">
        <v>162</v>
      </c>
      <c r="F62" s="292">
        <v>6</v>
      </c>
      <c r="G62" s="366"/>
      <c r="I62" s="292">
        <v>23</v>
      </c>
      <c r="J62" s="377">
        <v>23</v>
      </c>
      <c r="K62" s="336">
        <f t="shared" si="0"/>
        <v>0</v>
      </c>
      <c r="L62" s="336">
        <f t="shared" si="1"/>
        <v>0</v>
      </c>
      <c r="M62" s="336">
        <f t="shared" si="2"/>
        <v>100</v>
      </c>
      <c r="N62" s="368">
        <f t="shared" si="3"/>
        <v>100</v>
      </c>
      <c r="O62" s="335"/>
      <c r="P62" s="336"/>
      <c r="Q62" s="336">
        <v>56.5</v>
      </c>
      <c r="R62" s="337">
        <f t="shared" si="4"/>
        <v>56.5</v>
      </c>
      <c r="S62" s="340">
        <v>1</v>
      </c>
      <c r="T62" s="838"/>
      <c r="U62" s="836">
        <v>30886</v>
      </c>
      <c r="V62" s="299" t="s">
        <v>96</v>
      </c>
      <c r="W62" s="292" t="s">
        <v>20</v>
      </c>
      <c r="X62" s="292" t="s">
        <v>12</v>
      </c>
      <c r="Y62" s="292">
        <v>56.5</v>
      </c>
      <c r="Z62" s="299"/>
      <c r="AD62" s="299"/>
      <c r="AG62" s="300"/>
      <c r="AL62" s="299"/>
      <c r="AO62" s="300"/>
      <c r="AP62" s="299"/>
      <c r="AS62" s="300"/>
      <c r="AW62" s="300"/>
      <c r="BA62" s="301"/>
    </row>
    <row r="63" spans="1:53" s="292" customFormat="1">
      <c r="A63" s="338">
        <v>1985</v>
      </c>
      <c r="B63" s="836"/>
      <c r="C63" s="909" t="s">
        <v>395</v>
      </c>
      <c r="D63" s="909"/>
      <c r="E63" s="292">
        <v>0</v>
      </c>
      <c r="G63" s="366"/>
      <c r="I63" s="292">
        <v>23</v>
      </c>
      <c r="J63" s="377">
        <v>23</v>
      </c>
      <c r="K63" s="336">
        <f t="shared" si="0"/>
        <v>0</v>
      </c>
      <c r="L63" s="336">
        <f t="shared" si="1"/>
        <v>0</v>
      </c>
      <c r="M63" s="336">
        <f t="shared" si="2"/>
        <v>100</v>
      </c>
      <c r="N63" s="368">
        <f t="shared" si="3"/>
        <v>100</v>
      </c>
      <c r="O63" s="335"/>
      <c r="P63" s="336"/>
      <c r="Q63" s="336">
        <v>56.5</v>
      </c>
      <c r="R63" s="337">
        <f t="shared" si="4"/>
        <v>56.5</v>
      </c>
      <c r="S63" s="340">
        <v>1</v>
      </c>
      <c r="T63" s="838"/>
      <c r="U63" s="836"/>
      <c r="V63" s="299" t="s">
        <v>96</v>
      </c>
      <c r="W63" s="292" t="s">
        <v>20</v>
      </c>
      <c r="X63" s="292" t="s">
        <v>12</v>
      </c>
      <c r="Y63" s="292">
        <v>56.5</v>
      </c>
      <c r="Z63" s="299"/>
      <c r="AD63" s="299"/>
      <c r="AG63" s="300"/>
      <c r="AL63" s="299"/>
      <c r="AO63" s="300"/>
      <c r="AP63" s="299"/>
      <c r="AS63" s="300"/>
      <c r="AW63" s="300"/>
      <c r="BA63" s="301"/>
    </row>
    <row r="64" spans="1:53" s="292" customFormat="1">
      <c r="A64" s="338">
        <v>1985</v>
      </c>
      <c r="B64" s="836"/>
      <c r="C64" s="909" t="s">
        <v>395</v>
      </c>
      <c r="D64" s="909"/>
      <c r="E64" s="292">
        <v>365</v>
      </c>
      <c r="G64" s="366"/>
      <c r="I64" s="292">
        <v>23</v>
      </c>
      <c r="J64" s="377">
        <v>23</v>
      </c>
      <c r="K64" s="336">
        <f t="shared" si="0"/>
        <v>0</v>
      </c>
      <c r="L64" s="336">
        <f t="shared" si="1"/>
        <v>0</v>
      </c>
      <c r="M64" s="336">
        <f t="shared" si="2"/>
        <v>100</v>
      </c>
      <c r="N64" s="368">
        <f t="shared" si="3"/>
        <v>100</v>
      </c>
      <c r="O64" s="335"/>
      <c r="P64" s="336"/>
      <c r="Q64" s="336">
        <v>56.5</v>
      </c>
      <c r="R64" s="337">
        <f t="shared" si="4"/>
        <v>56.5</v>
      </c>
      <c r="S64" s="340">
        <v>1</v>
      </c>
      <c r="T64" s="838"/>
      <c r="U64" s="836"/>
      <c r="V64" s="299" t="s">
        <v>96</v>
      </c>
      <c r="W64" s="292" t="s">
        <v>20</v>
      </c>
      <c r="X64" s="292" t="s">
        <v>12</v>
      </c>
      <c r="Y64" s="292">
        <v>56.5</v>
      </c>
      <c r="Z64" s="299"/>
      <c r="AD64" s="299"/>
      <c r="AG64" s="300"/>
      <c r="AL64" s="299"/>
      <c r="AO64" s="300"/>
      <c r="AP64" s="299"/>
      <c r="AS64" s="300"/>
      <c r="AW64" s="300"/>
      <c r="BA64" s="301"/>
    </row>
    <row r="65" spans="1:53" s="292" customFormat="1">
      <c r="A65" s="292">
        <v>1986</v>
      </c>
      <c r="B65" s="836"/>
      <c r="C65" s="909" t="s">
        <v>395</v>
      </c>
      <c r="D65" s="909"/>
      <c r="E65" s="292">
        <v>78</v>
      </c>
      <c r="G65" s="366"/>
      <c r="I65" s="292">
        <v>23</v>
      </c>
      <c r="J65" s="377">
        <v>23</v>
      </c>
      <c r="K65" s="336">
        <f>G65/J65*100</f>
        <v>0</v>
      </c>
      <c r="L65" s="336">
        <f>H65/J65*100</f>
        <v>0</v>
      </c>
      <c r="M65" s="336">
        <f>I65/J65*100</f>
        <v>100</v>
      </c>
      <c r="N65" s="368">
        <f t="shared" si="3"/>
        <v>100</v>
      </c>
      <c r="O65" s="335"/>
      <c r="P65" s="336"/>
      <c r="Q65" s="336">
        <v>56.5</v>
      </c>
      <c r="R65" s="337">
        <f t="shared" si="4"/>
        <v>56.5</v>
      </c>
      <c r="S65" s="340">
        <v>1</v>
      </c>
      <c r="T65" s="838"/>
      <c r="U65" s="836"/>
      <c r="V65" s="299" t="s">
        <v>96</v>
      </c>
      <c r="W65" s="292" t="s">
        <v>20</v>
      </c>
      <c r="X65" s="292" t="s">
        <v>12</v>
      </c>
      <c r="Y65" s="292">
        <v>56.5</v>
      </c>
      <c r="Z65" s="299"/>
      <c r="AD65" s="299"/>
      <c r="AG65" s="300"/>
      <c r="AL65" s="299"/>
      <c r="AO65" s="300"/>
      <c r="AP65" s="299"/>
      <c r="AS65" s="300"/>
      <c r="AW65" s="300"/>
      <c r="BA65" s="301"/>
    </row>
    <row r="66" spans="1:53" s="73" customFormat="1">
      <c r="A66" s="73">
        <v>1986</v>
      </c>
      <c r="B66" s="852">
        <v>31491</v>
      </c>
      <c r="C66" s="901" t="s">
        <v>402</v>
      </c>
      <c r="D66" s="901"/>
      <c r="E66" s="73">
        <v>287</v>
      </c>
      <c r="F66" s="73">
        <v>1</v>
      </c>
      <c r="G66" s="119">
        <v>14</v>
      </c>
      <c r="H66" s="73">
        <v>8</v>
      </c>
      <c r="J66" s="126">
        <v>25</v>
      </c>
      <c r="K66" s="92">
        <f t="shared" ref="K66:K73" si="5">G66/J66*100</f>
        <v>56.000000000000007</v>
      </c>
      <c r="L66" s="92">
        <f t="shared" ref="L66:L73" si="6">H66/J66*100</f>
        <v>32</v>
      </c>
      <c r="M66" s="92">
        <f t="shared" ref="M66:M73" si="7">I66/J66*100</f>
        <v>0</v>
      </c>
      <c r="N66" s="121">
        <f t="shared" si="3"/>
        <v>88</v>
      </c>
      <c r="O66" s="91">
        <v>26.3</v>
      </c>
      <c r="P66" s="92">
        <v>23</v>
      </c>
      <c r="Q66" s="92"/>
      <c r="R66" s="93">
        <f t="shared" si="4"/>
        <v>49.3</v>
      </c>
      <c r="S66" s="97">
        <v>5</v>
      </c>
      <c r="T66" s="839">
        <v>31487</v>
      </c>
      <c r="U66" s="852">
        <v>31491</v>
      </c>
      <c r="V66" s="82" t="s">
        <v>375</v>
      </c>
      <c r="W66" s="73" t="s">
        <v>76</v>
      </c>
      <c r="X66" s="73" t="s">
        <v>11</v>
      </c>
      <c r="Y66" s="73">
        <v>26.3</v>
      </c>
      <c r="Z66" s="82" t="s">
        <v>127</v>
      </c>
      <c r="AA66" s="73" t="s">
        <v>79</v>
      </c>
      <c r="AB66" s="73" t="s">
        <v>18</v>
      </c>
      <c r="AC66" s="73">
        <v>23</v>
      </c>
      <c r="AD66" s="82"/>
      <c r="AG66" s="83"/>
      <c r="AL66" s="82"/>
      <c r="AO66" s="83"/>
      <c r="AP66" s="82"/>
      <c r="AS66" s="83"/>
      <c r="AW66" s="83"/>
      <c r="BA66" s="84"/>
    </row>
    <row r="67" spans="1:53" s="73" customFormat="1">
      <c r="A67" s="73">
        <v>1987</v>
      </c>
      <c r="B67" s="852"/>
      <c r="C67" s="901" t="s">
        <v>402</v>
      </c>
      <c r="D67" s="901"/>
      <c r="E67" s="73">
        <v>0</v>
      </c>
      <c r="G67" s="119">
        <v>14</v>
      </c>
      <c r="H67" s="73">
        <v>8</v>
      </c>
      <c r="J67" s="126">
        <v>25</v>
      </c>
      <c r="K67" s="92">
        <f t="shared" si="5"/>
        <v>56.000000000000007</v>
      </c>
      <c r="L67" s="92">
        <f t="shared" si="6"/>
        <v>32</v>
      </c>
      <c r="M67" s="92">
        <f t="shared" si="7"/>
        <v>0</v>
      </c>
      <c r="N67" s="121">
        <f t="shared" si="3"/>
        <v>88</v>
      </c>
      <c r="O67" s="91">
        <v>26.3</v>
      </c>
      <c r="P67" s="92">
        <v>23</v>
      </c>
      <c r="Q67" s="92"/>
      <c r="R67" s="93">
        <f t="shared" si="4"/>
        <v>49.3</v>
      </c>
      <c r="S67" s="97">
        <v>5</v>
      </c>
      <c r="T67" s="839"/>
      <c r="U67" s="852"/>
      <c r="V67" s="82" t="s">
        <v>375</v>
      </c>
      <c r="W67" s="73" t="s">
        <v>76</v>
      </c>
      <c r="X67" s="73" t="s">
        <v>11</v>
      </c>
      <c r="Y67" s="73">
        <v>26.3</v>
      </c>
      <c r="Z67" s="82" t="s">
        <v>127</v>
      </c>
      <c r="AA67" s="73" t="s">
        <v>79</v>
      </c>
      <c r="AB67" s="73" t="s">
        <v>18</v>
      </c>
      <c r="AC67" s="73">
        <v>23</v>
      </c>
      <c r="AD67" s="82"/>
      <c r="AG67" s="83"/>
      <c r="AL67" s="82"/>
      <c r="AO67" s="83"/>
      <c r="AP67" s="82"/>
      <c r="AS67" s="83"/>
      <c r="AW67" s="83"/>
      <c r="BA67" s="84"/>
    </row>
    <row r="68" spans="1:53" s="73" customFormat="1">
      <c r="A68" s="73">
        <v>1987</v>
      </c>
      <c r="B68" s="852"/>
      <c r="C68" s="901" t="s">
        <v>402</v>
      </c>
      <c r="D68" s="901"/>
      <c r="E68" s="73">
        <v>365</v>
      </c>
      <c r="G68" s="119">
        <v>14</v>
      </c>
      <c r="H68" s="73">
        <v>8</v>
      </c>
      <c r="J68" s="126">
        <v>25</v>
      </c>
      <c r="K68" s="92">
        <f t="shared" si="5"/>
        <v>56.000000000000007</v>
      </c>
      <c r="L68" s="92">
        <f t="shared" si="6"/>
        <v>32</v>
      </c>
      <c r="M68" s="92">
        <f t="shared" si="7"/>
        <v>0</v>
      </c>
      <c r="N68" s="121">
        <f t="shared" si="3"/>
        <v>88</v>
      </c>
      <c r="O68" s="91">
        <v>26.3</v>
      </c>
      <c r="P68" s="92">
        <v>23</v>
      </c>
      <c r="Q68" s="92"/>
      <c r="R68" s="93">
        <f t="shared" si="4"/>
        <v>49.3</v>
      </c>
      <c r="S68" s="97">
        <v>5</v>
      </c>
      <c r="T68" s="839"/>
      <c r="U68" s="852"/>
      <c r="V68" s="82" t="s">
        <v>375</v>
      </c>
      <c r="W68" s="73" t="s">
        <v>76</v>
      </c>
      <c r="X68" s="73" t="s">
        <v>11</v>
      </c>
      <c r="Y68" s="73">
        <v>26.3</v>
      </c>
      <c r="Z68" s="82" t="s">
        <v>127</v>
      </c>
      <c r="AA68" s="73" t="s">
        <v>79</v>
      </c>
      <c r="AB68" s="73" t="s">
        <v>18</v>
      </c>
      <c r="AC68" s="73">
        <v>23</v>
      </c>
      <c r="AD68" s="82"/>
      <c r="AG68" s="83"/>
      <c r="AL68" s="82"/>
      <c r="AO68" s="83"/>
      <c r="AP68" s="82"/>
      <c r="AS68" s="83"/>
      <c r="AW68" s="83"/>
      <c r="BA68" s="84"/>
    </row>
    <row r="69" spans="1:53" s="73" customFormat="1">
      <c r="A69" s="73">
        <v>1988</v>
      </c>
      <c r="B69" s="852"/>
      <c r="C69" s="901" t="s">
        <v>402</v>
      </c>
      <c r="D69" s="901"/>
      <c r="E69" s="73">
        <v>133</v>
      </c>
      <c r="G69" s="119">
        <v>14</v>
      </c>
      <c r="H69" s="73">
        <v>8</v>
      </c>
      <c r="J69" s="126">
        <v>25</v>
      </c>
      <c r="K69" s="92">
        <f t="shared" si="5"/>
        <v>56.000000000000007</v>
      </c>
      <c r="L69" s="92">
        <f t="shared" si="6"/>
        <v>32</v>
      </c>
      <c r="M69" s="92">
        <f t="shared" si="7"/>
        <v>0</v>
      </c>
      <c r="N69" s="121">
        <f t="shared" si="3"/>
        <v>88</v>
      </c>
      <c r="O69" s="91">
        <v>26.3</v>
      </c>
      <c r="P69" s="92">
        <v>23</v>
      </c>
      <c r="Q69" s="92"/>
      <c r="R69" s="93">
        <f t="shared" si="4"/>
        <v>49.3</v>
      </c>
      <c r="S69" s="97">
        <v>5</v>
      </c>
      <c r="T69" s="839"/>
      <c r="U69" s="852"/>
      <c r="V69" s="82" t="s">
        <v>375</v>
      </c>
      <c r="W69" s="73" t="s">
        <v>76</v>
      </c>
      <c r="X69" s="73" t="s">
        <v>11</v>
      </c>
      <c r="Y69" s="73">
        <v>26.3</v>
      </c>
      <c r="Z69" s="82" t="s">
        <v>127</v>
      </c>
      <c r="AA69" s="73" t="s">
        <v>79</v>
      </c>
      <c r="AB69" s="73" t="s">
        <v>18</v>
      </c>
      <c r="AC69" s="73">
        <v>23</v>
      </c>
      <c r="AD69" s="82"/>
      <c r="AG69" s="83"/>
      <c r="AL69" s="82"/>
      <c r="AO69" s="83"/>
      <c r="AP69" s="82"/>
      <c r="AS69" s="83"/>
      <c r="AW69" s="83"/>
      <c r="BA69" s="84"/>
    </row>
    <row r="70" spans="1:53" s="292" customFormat="1">
      <c r="A70" s="292">
        <v>1988</v>
      </c>
      <c r="B70" s="836">
        <v>32276</v>
      </c>
      <c r="C70" s="909" t="s">
        <v>396</v>
      </c>
      <c r="D70" s="909"/>
      <c r="E70" s="292">
        <v>46</v>
      </c>
      <c r="F70" s="292">
        <v>1</v>
      </c>
      <c r="G70" s="366"/>
      <c r="H70" s="292">
        <v>2</v>
      </c>
      <c r="I70" s="292">
        <v>14</v>
      </c>
      <c r="J70" s="377">
        <v>19</v>
      </c>
      <c r="K70" s="336">
        <f>G70/J70*100</f>
        <v>0</v>
      </c>
      <c r="L70" s="336">
        <f>H70/J70*100</f>
        <v>10.526315789473683</v>
      </c>
      <c r="M70" s="336">
        <f>I70/J70*100</f>
        <v>73.68421052631578</v>
      </c>
      <c r="N70" s="368">
        <f t="shared" si="3"/>
        <v>84.210526315789465</v>
      </c>
      <c r="O70" s="335"/>
      <c r="P70" s="336">
        <v>23</v>
      </c>
      <c r="Q70" s="336">
        <v>35.6</v>
      </c>
      <c r="R70" s="337">
        <f t="shared" si="4"/>
        <v>58.6</v>
      </c>
      <c r="S70" s="340">
        <v>2</v>
      </c>
      <c r="T70" s="838"/>
      <c r="U70" s="836">
        <v>32276</v>
      </c>
      <c r="V70" s="299" t="s">
        <v>96</v>
      </c>
      <c r="W70" s="292" t="s">
        <v>20</v>
      </c>
      <c r="X70" s="292" t="s">
        <v>12</v>
      </c>
      <c r="Y70" s="292">
        <v>35.6</v>
      </c>
      <c r="Z70" s="299" t="s">
        <v>127</v>
      </c>
      <c r="AA70" s="292" t="s">
        <v>79</v>
      </c>
      <c r="AB70" s="292" t="s">
        <v>18</v>
      </c>
      <c r="AC70" s="292">
        <v>23</v>
      </c>
      <c r="AD70" s="299"/>
      <c r="AG70" s="300"/>
      <c r="AL70" s="299"/>
      <c r="AO70" s="300"/>
      <c r="AP70" s="299"/>
      <c r="AS70" s="300"/>
      <c r="AW70" s="300"/>
      <c r="BA70" s="301"/>
    </row>
    <row r="71" spans="1:53" s="73" customFormat="1">
      <c r="A71" s="73">
        <v>1988</v>
      </c>
      <c r="B71" s="852">
        <v>32322</v>
      </c>
      <c r="C71" s="901" t="s">
        <v>397</v>
      </c>
      <c r="D71" s="901"/>
      <c r="E71" s="73">
        <v>187</v>
      </c>
      <c r="F71" s="73">
        <v>6</v>
      </c>
      <c r="G71" s="119"/>
      <c r="I71" s="73">
        <v>14</v>
      </c>
      <c r="J71" s="126">
        <v>20</v>
      </c>
      <c r="K71" s="92">
        <f t="shared" si="5"/>
        <v>0</v>
      </c>
      <c r="L71" s="92">
        <f t="shared" si="6"/>
        <v>0</v>
      </c>
      <c r="M71" s="92">
        <f t="shared" si="7"/>
        <v>70</v>
      </c>
      <c r="N71" s="121">
        <f t="shared" si="3"/>
        <v>70</v>
      </c>
      <c r="O71" s="91"/>
      <c r="P71" s="92"/>
      <c r="Q71" s="92">
        <v>48.4</v>
      </c>
      <c r="R71" s="93">
        <f t="shared" si="4"/>
        <v>48.4</v>
      </c>
      <c r="S71" s="97">
        <v>5</v>
      </c>
      <c r="T71" s="839">
        <v>32299</v>
      </c>
      <c r="U71" s="852">
        <v>32322</v>
      </c>
      <c r="V71" s="82" t="s">
        <v>96</v>
      </c>
      <c r="W71" s="73" t="s">
        <v>20</v>
      </c>
      <c r="X71" s="73" t="s">
        <v>12</v>
      </c>
      <c r="Y71" s="83">
        <v>46.8</v>
      </c>
      <c r="Z71" s="73" t="s">
        <v>126</v>
      </c>
      <c r="AA71" s="73" t="s">
        <v>88</v>
      </c>
      <c r="AB71" s="73" t="s">
        <v>12</v>
      </c>
      <c r="AC71" s="73">
        <v>1.6</v>
      </c>
      <c r="AD71" s="82" t="s">
        <v>399</v>
      </c>
      <c r="AE71" s="73" t="s">
        <v>219</v>
      </c>
      <c r="AF71" s="73" t="s">
        <v>12</v>
      </c>
      <c r="AG71" s="83">
        <v>0</v>
      </c>
      <c r="AL71" s="82"/>
      <c r="AO71" s="83"/>
      <c r="AP71" s="82"/>
      <c r="AS71" s="83"/>
      <c r="AW71" s="83"/>
      <c r="BA71" s="84"/>
    </row>
    <row r="72" spans="1:53" s="73" customFormat="1">
      <c r="A72" s="73">
        <v>1989</v>
      </c>
      <c r="B72" s="852"/>
      <c r="C72" s="901" t="s">
        <v>397</v>
      </c>
      <c r="D72" s="901"/>
      <c r="E72" s="73">
        <v>0</v>
      </c>
      <c r="G72" s="119"/>
      <c r="I72" s="73">
        <v>14</v>
      </c>
      <c r="J72" s="126">
        <v>20</v>
      </c>
      <c r="K72" s="92">
        <f t="shared" si="5"/>
        <v>0</v>
      </c>
      <c r="L72" s="92">
        <f t="shared" si="6"/>
        <v>0</v>
      </c>
      <c r="M72" s="92">
        <f t="shared" si="7"/>
        <v>70</v>
      </c>
      <c r="N72" s="121">
        <f t="shared" si="3"/>
        <v>70</v>
      </c>
      <c r="O72" s="91"/>
      <c r="P72" s="92"/>
      <c r="Q72" s="92">
        <v>48.4</v>
      </c>
      <c r="R72" s="93">
        <f t="shared" si="4"/>
        <v>48.4</v>
      </c>
      <c r="S72" s="97">
        <v>5</v>
      </c>
      <c r="T72" s="839"/>
      <c r="U72" s="852"/>
      <c r="V72" s="82" t="s">
        <v>96</v>
      </c>
      <c r="W72" s="73" t="s">
        <v>20</v>
      </c>
      <c r="X72" s="73" t="s">
        <v>12</v>
      </c>
      <c r="Y72" s="83">
        <v>46.8</v>
      </c>
      <c r="Z72" s="73" t="s">
        <v>126</v>
      </c>
      <c r="AA72" s="73" t="s">
        <v>88</v>
      </c>
      <c r="AB72" s="73" t="s">
        <v>12</v>
      </c>
      <c r="AC72" s="73">
        <v>1.6</v>
      </c>
      <c r="AD72" s="82" t="s">
        <v>399</v>
      </c>
      <c r="AE72" s="73" t="s">
        <v>219</v>
      </c>
      <c r="AF72" s="73" t="s">
        <v>12</v>
      </c>
      <c r="AG72" s="83">
        <v>0</v>
      </c>
      <c r="AL72" s="82"/>
      <c r="AO72" s="83"/>
      <c r="AP72" s="82"/>
      <c r="AS72" s="83"/>
      <c r="AW72" s="83"/>
      <c r="BA72" s="84"/>
    </row>
    <row r="73" spans="1:53" s="128" customFormat="1">
      <c r="A73" s="128">
        <v>1989</v>
      </c>
      <c r="B73" s="859"/>
      <c r="C73" s="932" t="s">
        <v>397</v>
      </c>
      <c r="D73" s="932"/>
      <c r="E73" s="128">
        <f>365-E72</f>
        <v>365</v>
      </c>
      <c r="G73" s="129"/>
      <c r="I73" s="128">
        <v>14</v>
      </c>
      <c r="J73" s="130">
        <v>20</v>
      </c>
      <c r="K73" s="131">
        <f t="shared" si="5"/>
        <v>0</v>
      </c>
      <c r="L73" s="131">
        <f t="shared" si="6"/>
        <v>0</v>
      </c>
      <c r="M73" s="131">
        <f t="shared" si="7"/>
        <v>70</v>
      </c>
      <c r="N73" s="132">
        <f t="shared" ref="N73:N129" si="8">SUM(K73:M73)</f>
        <v>70</v>
      </c>
      <c r="O73" s="133"/>
      <c r="P73" s="131"/>
      <c r="Q73" s="131">
        <v>48.4</v>
      </c>
      <c r="R73" s="134">
        <f t="shared" ref="R73:R126" si="9">SUM(O73:Q73)</f>
        <v>48.4</v>
      </c>
      <c r="S73" s="135">
        <v>5</v>
      </c>
      <c r="T73" s="861"/>
      <c r="U73" s="859"/>
      <c r="V73" s="136" t="s">
        <v>96</v>
      </c>
      <c r="W73" s="128" t="s">
        <v>20</v>
      </c>
      <c r="X73" s="128" t="s">
        <v>12</v>
      </c>
      <c r="Y73" s="137">
        <v>46.8</v>
      </c>
      <c r="Z73" s="128" t="s">
        <v>126</v>
      </c>
      <c r="AA73" s="128" t="s">
        <v>88</v>
      </c>
      <c r="AB73" s="128" t="s">
        <v>12</v>
      </c>
      <c r="AC73" s="128">
        <v>1.6</v>
      </c>
      <c r="AD73" s="136" t="s">
        <v>399</v>
      </c>
      <c r="AE73" s="128" t="s">
        <v>219</v>
      </c>
      <c r="AF73" s="128" t="s">
        <v>12</v>
      </c>
      <c r="AG73" s="137">
        <v>0</v>
      </c>
      <c r="AL73" s="136"/>
      <c r="AO73" s="137"/>
      <c r="AP73" s="136"/>
      <c r="AS73" s="137"/>
      <c r="AW73" s="137"/>
      <c r="BA73" s="138"/>
    </row>
    <row r="74" spans="1:53" s="73" customFormat="1">
      <c r="A74" s="73">
        <v>1990</v>
      </c>
      <c r="B74" s="852"/>
      <c r="C74" s="901" t="s">
        <v>397</v>
      </c>
      <c r="D74" s="901"/>
      <c r="E74" s="73">
        <v>0</v>
      </c>
      <c r="G74" s="119"/>
      <c r="I74" s="73">
        <v>14</v>
      </c>
      <c r="J74" s="126">
        <v>20</v>
      </c>
      <c r="K74" s="92">
        <v>0</v>
      </c>
      <c r="L74" s="92">
        <v>0</v>
      </c>
      <c r="M74" s="92">
        <v>70</v>
      </c>
      <c r="N74" s="121">
        <f t="shared" si="8"/>
        <v>70</v>
      </c>
      <c r="O74" s="91"/>
      <c r="P74" s="92"/>
      <c r="Q74" s="92">
        <v>48.4</v>
      </c>
      <c r="R74" s="93">
        <f t="shared" si="9"/>
        <v>48.4</v>
      </c>
      <c r="S74" s="97">
        <v>5</v>
      </c>
      <c r="T74" s="839"/>
      <c r="U74" s="852"/>
      <c r="V74" s="82" t="s">
        <v>96</v>
      </c>
      <c r="W74" s="73" t="s">
        <v>20</v>
      </c>
      <c r="X74" s="73" t="s">
        <v>12</v>
      </c>
      <c r="Y74" s="83">
        <v>46.8</v>
      </c>
      <c r="Z74" s="73" t="s">
        <v>126</v>
      </c>
      <c r="AA74" s="73" t="s">
        <v>88</v>
      </c>
      <c r="AB74" s="73" t="s">
        <v>12</v>
      </c>
      <c r="AC74" s="73">
        <v>1.6</v>
      </c>
      <c r="AD74" s="82" t="s">
        <v>399</v>
      </c>
      <c r="AE74" s="73" t="s">
        <v>219</v>
      </c>
      <c r="AF74" s="73" t="s">
        <v>12</v>
      </c>
      <c r="AG74" s="83">
        <v>0</v>
      </c>
      <c r="AL74" s="82"/>
      <c r="AO74" s="83"/>
      <c r="AP74" s="82"/>
      <c r="AS74" s="83"/>
      <c r="AW74" s="83"/>
      <c r="BA74" s="84"/>
    </row>
    <row r="75" spans="1:53" s="73" customFormat="1">
      <c r="A75" s="73">
        <v>1990</v>
      </c>
      <c r="B75" s="852"/>
      <c r="C75" s="901" t="s">
        <v>397</v>
      </c>
      <c r="D75" s="901"/>
      <c r="E75" s="73">
        <f>365-E74</f>
        <v>365</v>
      </c>
      <c r="G75" s="119"/>
      <c r="I75" s="73">
        <v>14</v>
      </c>
      <c r="J75" s="126">
        <v>20</v>
      </c>
      <c r="K75" s="92">
        <f>G75/J75*100</f>
        <v>0</v>
      </c>
      <c r="L75" s="92">
        <f>H75/J75*100</f>
        <v>0</v>
      </c>
      <c r="M75" s="92">
        <f>I75/J75*100</f>
        <v>70</v>
      </c>
      <c r="N75" s="121">
        <f t="shared" si="8"/>
        <v>70</v>
      </c>
      <c r="O75" s="91"/>
      <c r="P75" s="92"/>
      <c r="Q75" s="92">
        <v>48.4</v>
      </c>
      <c r="R75" s="93">
        <f t="shared" si="9"/>
        <v>48.4</v>
      </c>
      <c r="S75" s="97">
        <v>5</v>
      </c>
      <c r="T75" s="839"/>
      <c r="U75" s="852"/>
      <c r="V75" s="82" t="s">
        <v>96</v>
      </c>
      <c r="W75" s="73" t="s">
        <v>20</v>
      </c>
      <c r="X75" s="73" t="s">
        <v>12</v>
      </c>
      <c r="Y75" s="83">
        <v>46.8</v>
      </c>
      <c r="Z75" s="73" t="s">
        <v>126</v>
      </c>
      <c r="AA75" s="73" t="s">
        <v>88</v>
      </c>
      <c r="AB75" s="73" t="s">
        <v>12</v>
      </c>
      <c r="AC75" s="73">
        <v>1.6</v>
      </c>
      <c r="AD75" s="82" t="s">
        <v>399</v>
      </c>
      <c r="AE75" s="73" t="s">
        <v>219</v>
      </c>
      <c r="AF75" s="73" t="s">
        <v>12</v>
      </c>
      <c r="AG75" s="83">
        <v>0</v>
      </c>
      <c r="AL75" s="82"/>
      <c r="AO75" s="83"/>
      <c r="AP75" s="82"/>
      <c r="AS75" s="83"/>
      <c r="AW75" s="83"/>
      <c r="BA75" s="84"/>
    </row>
    <row r="76" spans="1:53" s="73" customFormat="1">
      <c r="A76" s="73">
        <v>1991</v>
      </c>
      <c r="B76" s="852"/>
      <c r="C76" s="901" t="s">
        <v>397</v>
      </c>
      <c r="D76" s="901"/>
      <c r="E76" s="73">
        <v>134</v>
      </c>
      <c r="G76" s="119"/>
      <c r="I76" s="73">
        <v>14</v>
      </c>
      <c r="J76" s="126">
        <v>20</v>
      </c>
      <c r="K76" s="92">
        <f>G76/J76*100</f>
        <v>0</v>
      </c>
      <c r="L76" s="92">
        <f>H76/J76*100</f>
        <v>0</v>
      </c>
      <c r="M76" s="92">
        <f>I76/J76*100</f>
        <v>70</v>
      </c>
      <c r="N76" s="121">
        <f t="shared" si="8"/>
        <v>70</v>
      </c>
      <c r="O76" s="91"/>
      <c r="P76" s="92"/>
      <c r="Q76" s="92">
        <v>48.4</v>
      </c>
      <c r="R76" s="93">
        <f t="shared" si="9"/>
        <v>48.4</v>
      </c>
      <c r="S76" s="97">
        <v>5</v>
      </c>
      <c r="T76" s="839"/>
      <c r="U76" s="852"/>
      <c r="V76" s="82" t="s">
        <v>96</v>
      </c>
      <c r="W76" s="73" t="s">
        <v>20</v>
      </c>
      <c r="X76" s="73" t="s">
        <v>12</v>
      </c>
      <c r="Y76" s="83">
        <v>46.8</v>
      </c>
      <c r="Z76" s="73" t="s">
        <v>126</v>
      </c>
      <c r="AA76" s="73" t="s">
        <v>88</v>
      </c>
      <c r="AB76" s="73" t="s">
        <v>12</v>
      </c>
      <c r="AC76" s="73">
        <v>1.6</v>
      </c>
      <c r="AD76" s="82" t="s">
        <v>399</v>
      </c>
      <c r="AE76" s="73" t="s">
        <v>219</v>
      </c>
      <c r="AF76" s="73" t="s">
        <v>12</v>
      </c>
      <c r="AG76" s="83">
        <v>0</v>
      </c>
      <c r="AL76" s="82"/>
      <c r="AO76" s="83"/>
      <c r="AP76" s="82"/>
      <c r="AS76" s="83"/>
      <c r="AW76" s="83"/>
      <c r="BA76" s="84"/>
    </row>
    <row r="77" spans="1:53" s="292" customFormat="1">
      <c r="A77" s="292">
        <v>1991</v>
      </c>
      <c r="B77" s="836">
        <v>33373</v>
      </c>
      <c r="C77" s="916" t="s">
        <v>398</v>
      </c>
      <c r="D77" s="916"/>
      <c r="E77" s="292">
        <f>365-E76</f>
        <v>231</v>
      </c>
      <c r="F77" s="292">
        <v>6</v>
      </c>
      <c r="G77" s="366"/>
      <c r="I77" s="292">
        <v>17</v>
      </c>
      <c r="J77" s="377">
        <v>20</v>
      </c>
      <c r="K77" s="336">
        <f>G77/J77*100</f>
        <v>0</v>
      </c>
      <c r="L77" s="336">
        <f>H77/J77*100</f>
        <v>0</v>
      </c>
      <c r="M77" s="336">
        <f>I77/J77*100</f>
        <v>85</v>
      </c>
      <c r="N77" s="368">
        <f t="shared" si="8"/>
        <v>85</v>
      </c>
      <c r="O77" s="335"/>
      <c r="P77" s="336"/>
      <c r="Q77" s="336">
        <v>48.4</v>
      </c>
      <c r="R77" s="337">
        <f t="shared" si="9"/>
        <v>48.4</v>
      </c>
      <c r="S77" s="340">
        <v>5</v>
      </c>
      <c r="T77" s="838"/>
      <c r="U77" s="836">
        <v>33373</v>
      </c>
      <c r="V77" s="299" t="s">
        <v>96</v>
      </c>
      <c r="W77" s="292" t="s">
        <v>20</v>
      </c>
      <c r="X77" s="292" t="s">
        <v>12</v>
      </c>
      <c r="Y77" s="300">
        <v>46.8</v>
      </c>
      <c r="Z77" s="292" t="s">
        <v>126</v>
      </c>
      <c r="AA77" s="292" t="s">
        <v>88</v>
      </c>
      <c r="AB77" s="292" t="s">
        <v>12</v>
      </c>
      <c r="AC77" s="292">
        <v>1.6</v>
      </c>
      <c r="AD77" s="299" t="s">
        <v>399</v>
      </c>
      <c r="AE77" s="292" t="s">
        <v>219</v>
      </c>
      <c r="AF77" s="292" t="s">
        <v>12</v>
      </c>
      <c r="AG77" s="300">
        <v>0</v>
      </c>
      <c r="AL77" s="299"/>
      <c r="AO77" s="300"/>
      <c r="AP77" s="299"/>
      <c r="AS77" s="300"/>
      <c r="AW77" s="300"/>
      <c r="BA77" s="301"/>
    </row>
    <row r="78" spans="1:53" s="292" customFormat="1">
      <c r="A78" s="292">
        <v>1992</v>
      </c>
      <c r="B78" s="836"/>
      <c r="C78" s="916" t="s">
        <v>398</v>
      </c>
      <c r="D78" s="916"/>
      <c r="E78" s="292">
        <v>92</v>
      </c>
      <c r="G78" s="366"/>
      <c r="I78" s="292">
        <v>17</v>
      </c>
      <c r="J78" s="377">
        <v>20</v>
      </c>
      <c r="K78" s="336">
        <f>G78/J78*100</f>
        <v>0</v>
      </c>
      <c r="L78" s="336">
        <f>H78/J78*100</f>
        <v>0</v>
      </c>
      <c r="M78" s="336">
        <f>I78/J78*100</f>
        <v>85</v>
      </c>
      <c r="N78" s="368">
        <f t="shared" si="8"/>
        <v>85</v>
      </c>
      <c r="O78" s="335"/>
      <c r="P78" s="336"/>
      <c r="Q78" s="336">
        <v>48.4</v>
      </c>
      <c r="R78" s="337">
        <f t="shared" si="9"/>
        <v>48.4</v>
      </c>
      <c r="S78" s="340">
        <v>5</v>
      </c>
      <c r="T78" s="838"/>
      <c r="U78" s="836"/>
      <c r="V78" s="299" t="s">
        <v>96</v>
      </c>
      <c r="W78" s="292" t="s">
        <v>20</v>
      </c>
      <c r="X78" s="292" t="s">
        <v>12</v>
      </c>
      <c r="Y78" s="300">
        <v>46.8</v>
      </c>
      <c r="Z78" s="292" t="s">
        <v>126</v>
      </c>
      <c r="AA78" s="292" t="s">
        <v>88</v>
      </c>
      <c r="AB78" s="292" t="s">
        <v>12</v>
      </c>
      <c r="AC78" s="292">
        <v>1.6</v>
      </c>
      <c r="AD78" s="299" t="s">
        <v>399</v>
      </c>
      <c r="AE78" s="292" t="s">
        <v>219</v>
      </c>
      <c r="AF78" s="292" t="s">
        <v>12</v>
      </c>
      <c r="AG78" s="300">
        <v>0</v>
      </c>
      <c r="AL78" s="299"/>
      <c r="AO78" s="300"/>
      <c r="AP78" s="299"/>
      <c r="AS78" s="300"/>
      <c r="AW78" s="300"/>
      <c r="BA78" s="301"/>
    </row>
    <row r="79" spans="1:53" s="73" customFormat="1">
      <c r="A79" s="73">
        <v>1992</v>
      </c>
      <c r="B79" s="852">
        <v>33696</v>
      </c>
      <c r="C79" s="917" t="s">
        <v>400</v>
      </c>
      <c r="D79" s="917"/>
      <c r="E79" s="73">
        <v>274</v>
      </c>
      <c r="F79" s="73">
        <v>6</v>
      </c>
      <c r="G79" s="119"/>
      <c r="I79" s="73">
        <v>20</v>
      </c>
      <c r="J79" s="126">
        <v>27</v>
      </c>
      <c r="K79" s="92">
        <f>G79/J79*100</f>
        <v>0</v>
      </c>
      <c r="L79" s="92">
        <f>H79/J79*100</f>
        <v>0</v>
      </c>
      <c r="M79" s="92">
        <f>I79/J79*100</f>
        <v>74.074074074074076</v>
      </c>
      <c r="N79" s="121">
        <f t="shared" si="8"/>
        <v>74.074074074074076</v>
      </c>
      <c r="O79" s="91"/>
      <c r="P79" s="92"/>
      <c r="Q79" s="92">
        <v>48.4</v>
      </c>
      <c r="R79" s="93">
        <f t="shared" si="9"/>
        <v>48.4</v>
      </c>
      <c r="S79" s="97">
        <v>5</v>
      </c>
      <c r="T79" s="839"/>
      <c r="U79" s="852">
        <v>33696</v>
      </c>
      <c r="V79" s="82" t="s">
        <v>96</v>
      </c>
      <c r="W79" s="73" t="s">
        <v>20</v>
      </c>
      <c r="X79" s="73" t="s">
        <v>12</v>
      </c>
      <c r="Y79" s="83">
        <v>46.8</v>
      </c>
      <c r="Z79" s="73" t="s">
        <v>126</v>
      </c>
      <c r="AA79" s="73" t="s">
        <v>88</v>
      </c>
      <c r="AB79" s="73" t="s">
        <v>12</v>
      </c>
      <c r="AC79" s="73">
        <v>1.6</v>
      </c>
      <c r="AD79" s="82"/>
      <c r="AG79" s="83"/>
      <c r="AL79" s="82"/>
      <c r="AO79" s="83"/>
      <c r="AP79" s="82"/>
      <c r="AS79" s="83"/>
      <c r="AW79" s="83"/>
      <c r="BA79" s="84"/>
    </row>
    <row r="80" spans="1:53" s="73" customFormat="1">
      <c r="A80" s="73">
        <v>1993</v>
      </c>
      <c r="B80" s="852"/>
      <c r="C80" s="917" t="s">
        <v>400</v>
      </c>
      <c r="D80" s="917"/>
      <c r="E80" s="73">
        <v>87</v>
      </c>
      <c r="G80" s="119"/>
      <c r="I80" s="73">
        <v>20</v>
      </c>
      <c r="J80" s="126">
        <v>27</v>
      </c>
      <c r="K80" s="92">
        <f t="shared" ref="K80:K107" si="10">G80/J80*100</f>
        <v>0</v>
      </c>
      <c r="L80" s="92">
        <f t="shared" ref="L80:L107" si="11">H80/J80*100</f>
        <v>0</v>
      </c>
      <c r="M80" s="92">
        <f t="shared" ref="M80:M107" si="12">I80/J80*100</f>
        <v>74.074074074074076</v>
      </c>
      <c r="N80" s="121">
        <f t="shared" si="8"/>
        <v>74.074074074074076</v>
      </c>
      <c r="O80" s="91"/>
      <c r="P80" s="92"/>
      <c r="Q80" s="92">
        <v>48.4</v>
      </c>
      <c r="R80" s="93">
        <f t="shared" si="9"/>
        <v>48.4</v>
      </c>
      <c r="S80" s="97">
        <v>5</v>
      </c>
      <c r="T80" s="839"/>
      <c r="U80" s="852"/>
      <c r="V80" s="82" t="s">
        <v>96</v>
      </c>
      <c r="W80" s="73" t="s">
        <v>20</v>
      </c>
      <c r="X80" s="73" t="s">
        <v>12</v>
      </c>
      <c r="Y80" s="83">
        <v>46.8</v>
      </c>
      <c r="Z80" s="73" t="s">
        <v>126</v>
      </c>
      <c r="AA80" s="73" t="s">
        <v>88</v>
      </c>
      <c r="AB80" s="73" t="s">
        <v>12</v>
      </c>
      <c r="AC80" s="73">
        <v>1.6</v>
      </c>
      <c r="AD80" s="82"/>
      <c r="AG80" s="83"/>
      <c r="AL80" s="82"/>
      <c r="AO80" s="83"/>
      <c r="AP80" s="82"/>
      <c r="AS80" s="83"/>
      <c r="AW80" s="83"/>
      <c r="BA80" s="84"/>
    </row>
    <row r="81" spans="1:53" s="292" customFormat="1">
      <c r="A81" s="292">
        <v>1993</v>
      </c>
      <c r="B81" s="836">
        <v>34057</v>
      </c>
      <c r="C81" s="916" t="s">
        <v>401</v>
      </c>
      <c r="D81" s="916"/>
      <c r="E81" s="292">
        <f>365-E80</f>
        <v>278</v>
      </c>
      <c r="F81" s="292">
        <v>1</v>
      </c>
      <c r="G81" s="366">
        <v>15</v>
      </c>
      <c r="H81" s="292">
        <v>14</v>
      </c>
      <c r="J81" s="377">
        <v>30</v>
      </c>
      <c r="K81" s="336">
        <f t="shared" si="10"/>
        <v>50</v>
      </c>
      <c r="L81" s="336">
        <f t="shared" si="11"/>
        <v>46.666666666666664</v>
      </c>
      <c r="M81" s="336">
        <f t="shared" si="12"/>
        <v>0</v>
      </c>
      <c r="N81" s="368">
        <f t="shared" si="8"/>
        <v>96.666666666666657</v>
      </c>
      <c r="O81" s="335">
        <v>44.5</v>
      </c>
      <c r="P81" s="336">
        <v>37.299999999999997</v>
      </c>
      <c r="Q81" s="336"/>
      <c r="R81" s="337">
        <f t="shared" si="9"/>
        <v>81.8</v>
      </c>
      <c r="S81" s="340">
        <v>2</v>
      </c>
      <c r="T81" s="838">
        <v>34056</v>
      </c>
      <c r="U81" s="836">
        <v>34057</v>
      </c>
      <c r="V81" s="299" t="s">
        <v>375</v>
      </c>
      <c r="W81" s="292" t="s">
        <v>76</v>
      </c>
      <c r="X81" s="292" t="s">
        <v>11</v>
      </c>
      <c r="Y81" s="300">
        <v>44.5</v>
      </c>
      <c r="Z81" s="299" t="s">
        <v>127</v>
      </c>
      <c r="AA81" s="292" t="s">
        <v>79</v>
      </c>
      <c r="AB81" s="292" t="s">
        <v>18</v>
      </c>
      <c r="AC81" s="292">
        <v>37.299999999999997</v>
      </c>
      <c r="AD81" s="299"/>
      <c r="AG81" s="300"/>
      <c r="AL81" s="299"/>
      <c r="AO81" s="300"/>
      <c r="AP81" s="299"/>
      <c r="AS81" s="300"/>
      <c r="AW81" s="300"/>
      <c r="BA81" s="301"/>
    </row>
    <row r="82" spans="1:53" s="292" customFormat="1">
      <c r="A82" s="292">
        <v>1994</v>
      </c>
      <c r="B82" s="836"/>
      <c r="C82" s="916" t="s">
        <v>401</v>
      </c>
      <c r="D82" s="916"/>
      <c r="E82" s="292">
        <v>0</v>
      </c>
      <c r="G82" s="366">
        <v>14</v>
      </c>
      <c r="H82" s="292">
        <v>14</v>
      </c>
      <c r="J82" s="377">
        <v>29</v>
      </c>
      <c r="K82" s="336">
        <f t="shared" si="10"/>
        <v>48.275862068965516</v>
      </c>
      <c r="L82" s="336">
        <f t="shared" si="11"/>
        <v>48.275862068965516</v>
      </c>
      <c r="M82" s="336">
        <f t="shared" si="12"/>
        <v>0</v>
      </c>
      <c r="N82" s="368">
        <f t="shared" si="8"/>
        <v>96.551724137931032</v>
      </c>
      <c r="O82" s="335">
        <v>44.5</v>
      </c>
      <c r="P82" s="336">
        <v>37.299999999999997</v>
      </c>
      <c r="Q82" s="336"/>
      <c r="R82" s="337">
        <f t="shared" si="9"/>
        <v>81.8</v>
      </c>
      <c r="S82" s="340">
        <v>2</v>
      </c>
      <c r="T82" s="838"/>
      <c r="U82" s="836"/>
      <c r="V82" s="299" t="s">
        <v>375</v>
      </c>
      <c r="W82" s="292" t="s">
        <v>76</v>
      </c>
      <c r="X82" s="292" t="s">
        <v>11</v>
      </c>
      <c r="Y82" s="300">
        <v>44.5</v>
      </c>
      <c r="Z82" s="299" t="s">
        <v>127</v>
      </c>
      <c r="AA82" s="292" t="s">
        <v>79</v>
      </c>
      <c r="AB82" s="292" t="s">
        <v>18</v>
      </c>
      <c r="AC82" s="292">
        <v>37.299999999999997</v>
      </c>
      <c r="AD82" s="299"/>
      <c r="AG82" s="300"/>
      <c r="AL82" s="299"/>
      <c r="AO82" s="300"/>
      <c r="AP82" s="299"/>
      <c r="AS82" s="300"/>
      <c r="AW82" s="300"/>
      <c r="BA82" s="301"/>
    </row>
    <row r="83" spans="1:53" s="292" customFormat="1">
      <c r="A83" s="292">
        <v>1994</v>
      </c>
      <c r="B83" s="836"/>
      <c r="C83" s="916" t="s">
        <v>401</v>
      </c>
      <c r="D83" s="916"/>
      <c r="E83" s="292">
        <f>365-E82</f>
        <v>365</v>
      </c>
      <c r="G83" s="366">
        <v>14</v>
      </c>
      <c r="H83" s="292">
        <v>14</v>
      </c>
      <c r="J83" s="377">
        <v>29</v>
      </c>
      <c r="K83" s="336">
        <f t="shared" si="10"/>
        <v>48.275862068965516</v>
      </c>
      <c r="L83" s="336">
        <f t="shared" si="11"/>
        <v>48.275862068965516</v>
      </c>
      <c r="M83" s="336">
        <f t="shared" si="12"/>
        <v>0</v>
      </c>
      <c r="N83" s="368">
        <f t="shared" si="8"/>
        <v>96.551724137931032</v>
      </c>
      <c r="O83" s="335">
        <v>44.5</v>
      </c>
      <c r="P83" s="336">
        <v>37.299999999999997</v>
      </c>
      <c r="Q83" s="336"/>
      <c r="R83" s="337">
        <f t="shared" si="9"/>
        <v>81.8</v>
      </c>
      <c r="S83" s="340">
        <v>2</v>
      </c>
      <c r="T83" s="838"/>
      <c r="U83" s="836"/>
      <c r="V83" s="299" t="s">
        <v>375</v>
      </c>
      <c r="W83" s="292" t="s">
        <v>76</v>
      </c>
      <c r="X83" s="292" t="s">
        <v>11</v>
      </c>
      <c r="Y83" s="300">
        <v>44.5</v>
      </c>
      <c r="Z83" s="299" t="s">
        <v>127</v>
      </c>
      <c r="AA83" s="292" t="s">
        <v>79</v>
      </c>
      <c r="AB83" s="292" t="s">
        <v>18</v>
      </c>
      <c r="AC83" s="292">
        <v>37.299999999999997</v>
      </c>
      <c r="AD83" s="299"/>
      <c r="AG83" s="300"/>
      <c r="AL83" s="299"/>
      <c r="AO83" s="300"/>
      <c r="AP83" s="299"/>
      <c r="AS83" s="300"/>
      <c r="AW83" s="300"/>
      <c r="BA83" s="301"/>
    </row>
    <row r="84" spans="1:53" s="292" customFormat="1">
      <c r="A84" s="292">
        <v>1995</v>
      </c>
      <c r="B84" s="836"/>
      <c r="C84" s="916" t="s">
        <v>401</v>
      </c>
      <c r="D84" s="916"/>
      <c r="E84" s="292">
        <v>137</v>
      </c>
      <c r="G84" s="366">
        <v>14</v>
      </c>
      <c r="H84" s="292">
        <v>14</v>
      </c>
      <c r="J84" s="377">
        <v>29</v>
      </c>
      <c r="K84" s="336">
        <f t="shared" si="10"/>
        <v>48.275862068965516</v>
      </c>
      <c r="L84" s="336">
        <f t="shared" si="11"/>
        <v>48.275862068965516</v>
      </c>
      <c r="M84" s="336">
        <f t="shared" si="12"/>
        <v>0</v>
      </c>
      <c r="N84" s="368">
        <f t="shared" si="8"/>
        <v>96.551724137931032</v>
      </c>
      <c r="O84" s="335">
        <v>44.5</v>
      </c>
      <c r="P84" s="336">
        <v>37.299999999999997</v>
      </c>
      <c r="Q84" s="336"/>
      <c r="R84" s="337">
        <f t="shared" si="9"/>
        <v>81.8</v>
      </c>
      <c r="S84" s="340">
        <v>2</v>
      </c>
      <c r="T84" s="838"/>
      <c r="U84" s="836"/>
      <c r="V84" s="299" t="s">
        <v>375</v>
      </c>
      <c r="W84" s="292" t="s">
        <v>76</v>
      </c>
      <c r="X84" s="292" t="s">
        <v>11</v>
      </c>
      <c r="Y84" s="300">
        <v>44.5</v>
      </c>
      <c r="Z84" s="299" t="s">
        <v>127</v>
      </c>
      <c r="AA84" s="292" t="s">
        <v>79</v>
      </c>
      <c r="AB84" s="292" t="s">
        <v>18</v>
      </c>
      <c r="AC84" s="292">
        <v>37.299999999999997</v>
      </c>
      <c r="AD84" s="299"/>
      <c r="AG84" s="300"/>
      <c r="AL84" s="299"/>
      <c r="AO84" s="300"/>
      <c r="AP84" s="299"/>
      <c r="AS84" s="300"/>
      <c r="AW84" s="300"/>
      <c r="BA84" s="301"/>
    </row>
    <row r="85" spans="1:53" s="73" customFormat="1">
      <c r="A85" s="73">
        <v>1995</v>
      </c>
      <c r="B85" s="852">
        <v>34837</v>
      </c>
      <c r="C85" s="917" t="s">
        <v>403</v>
      </c>
      <c r="D85" s="917"/>
      <c r="E85" s="73">
        <v>173</v>
      </c>
      <c r="F85" s="73">
        <v>2</v>
      </c>
      <c r="G85" s="119">
        <v>17</v>
      </c>
      <c r="H85" s="73">
        <v>11</v>
      </c>
      <c r="J85" s="126">
        <v>29</v>
      </c>
      <c r="K85" s="92">
        <f>G85/J85*100</f>
        <v>58.620689655172406</v>
      </c>
      <c r="L85" s="92">
        <f>H85/J85*100</f>
        <v>37.931034482758619</v>
      </c>
      <c r="M85" s="92">
        <f>I85/J85*100</f>
        <v>0</v>
      </c>
      <c r="N85" s="121">
        <f>SUM(K85:M85)</f>
        <v>96.551724137931018</v>
      </c>
      <c r="O85" s="91">
        <v>44.5</v>
      </c>
      <c r="P85" s="92">
        <v>37.299999999999997</v>
      </c>
      <c r="Q85" s="92"/>
      <c r="R85" s="93">
        <f>SUM(O85:Q85)</f>
        <v>81.8</v>
      </c>
      <c r="S85" s="97">
        <v>2</v>
      </c>
      <c r="T85" s="839"/>
      <c r="U85" s="852">
        <v>34837</v>
      </c>
      <c r="V85" s="82" t="s">
        <v>375</v>
      </c>
      <c r="W85" s="73" t="s">
        <v>76</v>
      </c>
      <c r="X85" s="73" t="s">
        <v>11</v>
      </c>
      <c r="Y85" s="83">
        <v>44.5</v>
      </c>
      <c r="Z85" s="82" t="s">
        <v>127</v>
      </c>
      <c r="AA85" s="73" t="s">
        <v>79</v>
      </c>
      <c r="AB85" s="73" t="s">
        <v>18</v>
      </c>
      <c r="AC85" s="73">
        <v>37.299999999999997</v>
      </c>
      <c r="AD85" s="82"/>
      <c r="AG85" s="83"/>
      <c r="AL85" s="82"/>
      <c r="AO85" s="83"/>
      <c r="AP85" s="82"/>
      <c r="AS85" s="83"/>
      <c r="AW85" s="83"/>
      <c r="BA85" s="84"/>
    </row>
    <row r="86" spans="1:53" s="292" customFormat="1">
      <c r="A86" s="292">
        <v>1995</v>
      </c>
      <c r="B86" s="836">
        <v>35010</v>
      </c>
      <c r="C86" s="916" t="s">
        <v>404</v>
      </c>
      <c r="D86" s="916"/>
      <c r="E86" s="292">
        <v>55</v>
      </c>
      <c r="F86" s="292">
        <v>2</v>
      </c>
      <c r="G86" s="366">
        <v>17</v>
      </c>
      <c r="H86" s="292">
        <v>10</v>
      </c>
      <c r="J86" s="377">
        <v>29</v>
      </c>
      <c r="K86" s="336">
        <f t="shared" si="10"/>
        <v>58.620689655172406</v>
      </c>
      <c r="L86" s="336">
        <f t="shared" si="11"/>
        <v>34.482758620689658</v>
      </c>
      <c r="M86" s="336">
        <f t="shared" si="12"/>
        <v>0</v>
      </c>
      <c r="N86" s="368">
        <f t="shared" si="8"/>
        <v>93.103448275862064</v>
      </c>
      <c r="O86" s="335">
        <v>44.5</v>
      </c>
      <c r="P86" s="336">
        <v>37.299999999999997</v>
      </c>
      <c r="Q86" s="336"/>
      <c r="R86" s="337">
        <f t="shared" si="9"/>
        <v>81.8</v>
      </c>
      <c r="S86" s="340">
        <v>2</v>
      </c>
      <c r="T86" s="838"/>
      <c r="U86" s="836">
        <v>35010</v>
      </c>
      <c r="V86" s="299" t="s">
        <v>375</v>
      </c>
      <c r="W86" s="292" t="s">
        <v>76</v>
      </c>
      <c r="X86" s="292" t="s">
        <v>11</v>
      </c>
      <c r="Y86" s="300">
        <v>44.5</v>
      </c>
      <c r="Z86" s="299" t="s">
        <v>127</v>
      </c>
      <c r="AA86" s="292" t="s">
        <v>79</v>
      </c>
      <c r="AB86" s="292" t="s">
        <v>18</v>
      </c>
      <c r="AC86" s="292">
        <v>37.299999999999997</v>
      </c>
      <c r="AD86" s="299"/>
      <c r="AG86" s="300"/>
      <c r="AL86" s="299"/>
      <c r="AO86" s="300"/>
      <c r="AP86" s="299"/>
      <c r="AS86" s="300"/>
      <c r="AW86" s="300"/>
      <c r="BA86" s="301"/>
    </row>
    <row r="87" spans="1:53" s="292" customFormat="1">
      <c r="A87" s="292">
        <v>1996</v>
      </c>
      <c r="B87" s="836"/>
      <c r="C87" s="916" t="s">
        <v>404</v>
      </c>
      <c r="D87" s="916"/>
      <c r="E87" s="292">
        <v>0</v>
      </c>
      <c r="G87" s="366">
        <v>17</v>
      </c>
      <c r="H87" s="292">
        <v>10</v>
      </c>
      <c r="J87" s="377">
        <v>29</v>
      </c>
      <c r="K87" s="336">
        <f t="shared" si="10"/>
        <v>58.620689655172406</v>
      </c>
      <c r="L87" s="336">
        <f t="shared" si="11"/>
        <v>34.482758620689658</v>
      </c>
      <c r="M87" s="336">
        <f t="shared" si="12"/>
        <v>0</v>
      </c>
      <c r="N87" s="368">
        <f t="shared" si="8"/>
        <v>93.103448275862064</v>
      </c>
      <c r="O87" s="335">
        <v>44.5</v>
      </c>
      <c r="P87" s="336">
        <v>37.299999999999997</v>
      </c>
      <c r="Q87" s="336"/>
      <c r="R87" s="337">
        <f t="shared" si="9"/>
        <v>81.8</v>
      </c>
      <c r="S87" s="340">
        <v>2</v>
      </c>
      <c r="T87" s="838"/>
      <c r="U87" s="836"/>
      <c r="V87" s="299" t="s">
        <v>375</v>
      </c>
      <c r="W87" s="292" t="s">
        <v>76</v>
      </c>
      <c r="X87" s="292" t="s">
        <v>11</v>
      </c>
      <c r="Y87" s="300">
        <v>44.5</v>
      </c>
      <c r="Z87" s="299" t="s">
        <v>127</v>
      </c>
      <c r="AA87" s="292" t="s">
        <v>79</v>
      </c>
      <c r="AB87" s="292" t="s">
        <v>18</v>
      </c>
      <c r="AC87" s="292">
        <v>37.299999999999997</v>
      </c>
      <c r="AD87" s="299"/>
      <c r="AG87" s="300"/>
      <c r="AL87" s="299"/>
      <c r="AO87" s="300"/>
      <c r="AP87" s="299"/>
      <c r="AS87" s="300"/>
      <c r="AW87" s="300"/>
      <c r="BA87" s="301"/>
    </row>
    <row r="88" spans="1:53" s="292" customFormat="1">
      <c r="A88" s="292">
        <v>1996</v>
      </c>
      <c r="B88" s="836"/>
      <c r="C88" s="916" t="s">
        <v>404</v>
      </c>
      <c r="D88" s="916"/>
      <c r="E88" s="292">
        <v>366</v>
      </c>
      <c r="G88" s="366">
        <v>17</v>
      </c>
      <c r="H88" s="292">
        <v>10</v>
      </c>
      <c r="J88" s="377">
        <v>29</v>
      </c>
      <c r="K88" s="336">
        <f t="shared" si="10"/>
        <v>58.620689655172406</v>
      </c>
      <c r="L88" s="336">
        <f t="shared" si="11"/>
        <v>34.482758620689658</v>
      </c>
      <c r="M88" s="336">
        <f t="shared" si="12"/>
        <v>0</v>
      </c>
      <c r="N88" s="368">
        <f t="shared" si="8"/>
        <v>93.103448275862064</v>
      </c>
      <c r="O88" s="335">
        <v>44.5</v>
      </c>
      <c r="P88" s="336">
        <v>37.299999999999997</v>
      </c>
      <c r="Q88" s="336"/>
      <c r="R88" s="337">
        <f t="shared" si="9"/>
        <v>81.8</v>
      </c>
      <c r="S88" s="340">
        <v>2</v>
      </c>
      <c r="T88" s="838"/>
      <c r="U88" s="836"/>
      <c r="V88" s="299" t="s">
        <v>375</v>
      </c>
      <c r="W88" s="292" t="s">
        <v>76</v>
      </c>
      <c r="X88" s="292" t="s">
        <v>11</v>
      </c>
      <c r="Y88" s="300">
        <v>44.5</v>
      </c>
      <c r="Z88" s="299" t="s">
        <v>127</v>
      </c>
      <c r="AA88" s="292" t="s">
        <v>79</v>
      </c>
      <c r="AB88" s="292" t="s">
        <v>18</v>
      </c>
      <c r="AC88" s="292">
        <v>37.299999999999997</v>
      </c>
      <c r="AD88" s="299"/>
      <c r="AG88" s="300"/>
      <c r="AL88" s="299"/>
      <c r="AO88" s="300"/>
      <c r="AP88" s="299"/>
      <c r="AS88" s="300"/>
      <c r="AW88" s="300"/>
      <c r="BA88" s="301"/>
    </row>
    <row r="89" spans="1:53" s="292" customFormat="1">
      <c r="A89" s="292">
        <v>1997</v>
      </c>
      <c r="B89" s="836"/>
      <c r="C89" s="916" t="s">
        <v>404</v>
      </c>
      <c r="D89" s="916"/>
      <c r="E89" s="292">
        <v>154</v>
      </c>
      <c r="G89" s="366">
        <v>17</v>
      </c>
      <c r="H89" s="292">
        <v>10</v>
      </c>
      <c r="J89" s="377">
        <v>29</v>
      </c>
      <c r="K89" s="336">
        <f t="shared" si="10"/>
        <v>58.620689655172406</v>
      </c>
      <c r="L89" s="336">
        <f t="shared" si="11"/>
        <v>34.482758620689658</v>
      </c>
      <c r="M89" s="336">
        <f t="shared" si="12"/>
        <v>0</v>
      </c>
      <c r="N89" s="368">
        <f t="shared" si="8"/>
        <v>93.103448275862064</v>
      </c>
      <c r="O89" s="335">
        <v>44.5</v>
      </c>
      <c r="P89" s="336">
        <v>37.299999999999997</v>
      </c>
      <c r="Q89" s="336"/>
      <c r="R89" s="337">
        <f t="shared" si="9"/>
        <v>81.8</v>
      </c>
      <c r="S89" s="340">
        <v>2</v>
      </c>
      <c r="T89" s="838"/>
      <c r="U89" s="836"/>
      <c r="V89" s="299" t="s">
        <v>375</v>
      </c>
      <c r="W89" s="292" t="s">
        <v>76</v>
      </c>
      <c r="X89" s="292" t="s">
        <v>11</v>
      </c>
      <c r="Y89" s="300">
        <v>44.5</v>
      </c>
      <c r="Z89" s="299" t="s">
        <v>127</v>
      </c>
      <c r="AA89" s="292" t="s">
        <v>79</v>
      </c>
      <c r="AB89" s="292" t="s">
        <v>18</v>
      </c>
      <c r="AC89" s="292">
        <v>37.299999999999997</v>
      </c>
      <c r="AD89" s="299"/>
      <c r="AG89" s="300"/>
      <c r="AL89" s="299"/>
      <c r="AO89" s="300"/>
      <c r="AP89" s="299"/>
      <c r="AS89" s="300"/>
      <c r="AW89" s="300"/>
      <c r="BA89" s="301"/>
    </row>
    <row r="90" spans="1:53" s="73" customFormat="1">
      <c r="A90" s="73">
        <v>1997</v>
      </c>
      <c r="B90" s="852">
        <v>35585</v>
      </c>
      <c r="C90" s="917" t="s">
        <v>405</v>
      </c>
      <c r="D90" s="917"/>
      <c r="E90" s="73">
        <f>365-E89</f>
        <v>211</v>
      </c>
      <c r="F90" s="73">
        <v>1</v>
      </c>
      <c r="G90" s="119"/>
      <c r="I90" s="73">
        <v>17</v>
      </c>
      <c r="J90" s="126">
        <v>17</v>
      </c>
      <c r="K90" s="92">
        <f t="shared" si="10"/>
        <v>0</v>
      </c>
      <c r="L90" s="92">
        <f t="shared" si="11"/>
        <v>0</v>
      </c>
      <c r="M90" s="92">
        <f t="shared" si="12"/>
        <v>100</v>
      </c>
      <c r="N90" s="121">
        <f t="shared" si="8"/>
        <v>100</v>
      </c>
      <c r="O90" s="91"/>
      <c r="P90" s="92"/>
      <c r="Q90" s="92">
        <v>53.8</v>
      </c>
      <c r="R90" s="93">
        <f t="shared" si="9"/>
        <v>53.8</v>
      </c>
      <c r="S90" s="97">
        <v>3</v>
      </c>
      <c r="T90" s="839">
        <v>35582</v>
      </c>
      <c r="U90" s="852">
        <v>35585</v>
      </c>
      <c r="V90" s="82" t="s">
        <v>96</v>
      </c>
      <c r="W90" s="73" t="s">
        <v>20</v>
      </c>
      <c r="X90" s="73" t="s">
        <v>12</v>
      </c>
      <c r="Y90" s="83">
        <v>42.6</v>
      </c>
      <c r="Z90" s="82" t="s">
        <v>128</v>
      </c>
      <c r="AA90" s="73" t="s">
        <v>114</v>
      </c>
      <c r="AB90" s="73" t="s">
        <v>12</v>
      </c>
      <c r="AC90" s="73">
        <v>6.4</v>
      </c>
      <c r="AD90" s="82" t="s">
        <v>407</v>
      </c>
      <c r="AE90" s="73" t="s">
        <v>218</v>
      </c>
      <c r="AF90" s="73" t="s">
        <v>12</v>
      </c>
      <c r="AG90" s="83">
        <v>1.4</v>
      </c>
      <c r="AH90" s="73" t="s">
        <v>126</v>
      </c>
      <c r="AI90" s="73" t="s">
        <v>88</v>
      </c>
      <c r="AJ90" s="73" t="s">
        <v>12</v>
      </c>
      <c r="AK90" s="73">
        <v>2.2000000000000002</v>
      </c>
      <c r="AL90" s="82" t="s">
        <v>406</v>
      </c>
      <c r="AM90" s="73" t="s">
        <v>330</v>
      </c>
      <c r="AN90" s="73" t="s">
        <v>12</v>
      </c>
      <c r="AO90" s="83">
        <v>1.2</v>
      </c>
      <c r="AP90" s="82"/>
      <c r="AS90" s="83"/>
      <c r="AW90" s="83"/>
      <c r="BA90" s="84"/>
    </row>
    <row r="91" spans="1:53" s="73" customFormat="1">
      <c r="A91" s="73">
        <v>1998</v>
      </c>
      <c r="B91" s="852"/>
      <c r="C91" s="917" t="s">
        <v>405</v>
      </c>
      <c r="D91" s="917"/>
      <c r="E91" s="73">
        <v>88</v>
      </c>
      <c r="G91" s="119"/>
      <c r="I91" s="73">
        <v>17</v>
      </c>
      <c r="J91" s="126">
        <v>17</v>
      </c>
      <c r="K91" s="92">
        <f t="shared" si="10"/>
        <v>0</v>
      </c>
      <c r="L91" s="92">
        <f t="shared" si="11"/>
        <v>0</v>
      </c>
      <c r="M91" s="92">
        <f t="shared" si="12"/>
        <v>100</v>
      </c>
      <c r="N91" s="121">
        <f t="shared" si="8"/>
        <v>100</v>
      </c>
      <c r="O91" s="91"/>
      <c r="P91" s="92"/>
      <c r="Q91" s="92">
        <v>53.8</v>
      </c>
      <c r="R91" s="93">
        <f t="shared" si="9"/>
        <v>53.8</v>
      </c>
      <c r="S91" s="97">
        <v>3</v>
      </c>
      <c r="T91" s="839"/>
      <c r="U91" s="852"/>
      <c r="V91" s="82" t="s">
        <v>96</v>
      </c>
      <c r="W91" s="73" t="s">
        <v>20</v>
      </c>
      <c r="X91" s="73" t="s">
        <v>12</v>
      </c>
      <c r="Y91" s="83">
        <v>42.6</v>
      </c>
      <c r="Z91" s="82" t="s">
        <v>128</v>
      </c>
      <c r="AA91" s="73" t="s">
        <v>114</v>
      </c>
      <c r="AB91" s="73" t="s">
        <v>12</v>
      </c>
      <c r="AC91" s="73">
        <v>6.4</v>
      </c>
      <c r="AD91" s="82" t="s">
        <v>407</v>
      </c>
      <c r="AE91" s="73" t="s">
        <v>218</v>
      </c>
      <c r="AF91" s="73" t="s">
        <v>12</v>
      </c>
      <c r="AG91" s="83">
        <v>1.4</v>
      </c>
      <c r="AH91" s="73" t="s">
        <v>1323</v>
      </c>
      <c r="AI91" s="73" t="s">
        <v>88</v>
      </c>
      <c r="AJ91" s="73" t="s">
        <v>12</v>
      </c>
      <c r="AK91" s="73">
        <v>2.2000000000000002</v>
      </c>
      <c r="AL91" s="82" t="s">
        <v>406</v>
      </c>
      <c r="AM91" s="73" t="s">
        <v>330</v>
      </c>
      <c r="AN91" s="73" t="s">
        <v>12</v>
      </c>
      <c r="AO91" s="83">
        <v>1.2</v>
      </c>
      <c r="AP91" s="82"/>
      <c r="AS91" s="83"/>
      <c r="AW91" s="83"/>
      <c r="BA91" s="84"/>
    </row>
    <row r="92" spans="1:53" s="73" customFormat="1">
      <c r="A92" s="73">
        <v>1998</v>
      </c>
      <c r="B92" s="860">
        <v>35884</v>
      </c>
      <c r="C92" s="917" t="s">
        <v>405</v>
      </c>
      <c r="D92" s="917"/>
      <c r="E92" s="73">
        <f>365-E91</f>
        <v>277</v>
      </c>
      <c r="F92" s="139">
        <v>0</v>
      </c>
      <c r="G92" s="119"/>
      <c r="I92" s="73">
        <v>18</v>
      </c>
      <c r="J92" s="126">
        <v>18</v>
      </c>
      <c r="K92" s="92">
        <f t="shared" si="10"/>
        <v>0</v>
      </c>
      <c r="L92" s="92">
        <f t="shared" si="11"/>
        <v>0</v>
      </c>
      <c r="M92" s="92">
        <f t="shared" si="12"/>
        <v>100</v>
      </c>
      <c r="N92" s="121">
        <f t="shared" si="8"/>
        <v>100</v>
      </c>
      <c r="O92" s="91"/>
      <c r="P92" s="92"/>
      <c r="Q92" s="92">
        <v>53.8</v>
      </c>
      <c r="R92" s="93">
        <f t="shared" si="9"/>
        <v>53.8</v>
      </c>
      <c r="S92" s="97">
        <v>3</v>
      </c>
      <c r="T92" s="839"/>
      <c r="U92" s="860"/>
      <c r="V92" s="82" t="s">
        <v>96</v>
      </c>
      <c r="W92" s="73" t="s">
        <v>20</v>
      </c>
      <c r="X92" s="73" t="s">
        <v>12</v>
      </c>
      <c r="Y92" s="83">
        <v>42.6</v>
      </c>
      <c r="Z92" s="82" t="s">
        <v>128</v>
      </c>
      <c r="AA92" s="73" t="s">
        <v>114</v>
      </c>
      <c r="AB92" s="73" t="s">
        <v>12</v>
      </c>
      <c r="AC92" s="73">
        <v>6.4</v>
      </c>
      <c r="AD92" s="82" t="s">
        <v>407</v>
      </c>
      <c r="AE92" s="73" t="s">
        <v>218</v>
      </c>
      <c r="AF92" s="73" t="s">
        <v>12</v>
      </c>
      <c r="AG92" s="83">
        <v>1.4</v>
      </c>
      <c r="AH92" s="589" t="s">
        <v>1323</v>
      </c>
      <c r="AI92" s="73" t="s">
        <v>88</v>
      </c>
      <c r="AJ92" s="73" t="s">
        <v>12</v>
      </c>
      <c r="AK92" s="73">
        <v>2.2000000000000002</v>
      </c>
      <c r="AL92" s="82" t="s">
        <v>406</v>
      </c>
      <c r="AM92" s="73" t="s">
        <v>330</v>
      </c>
      <c r="AN92" s="73" t="s">
        <v>12</v>
      </c>
      <c r="AO92" s="83">
        <v>1.2</v>
      </c>
      <c r="AP92" s="82"/>
      <c r="AS92" s="83"/>
      <c r="AW92" s="83"/>
      <c r="BA92" s="84"/>
    </row>
    <row r="93" spans="1:53" s="73" customFormat="1">
      <c r="A93" s="73">
        <v>1999</v>
      </c>
      <c r="B93" s="852"/>
      <c r="C93" s="917" t="s">
        <v>405</v>
      </c>
      <c r="D93" s="917"/>
      <c r="E93" s="73">
        <v>0</v>
      </c>
      <c r="G93" s="119"/>
      <c r="I93" s="73">
        <v>18</v>
      </c>
      <c r="J93" s="126">
        <v>18</v>
      </c>
      <c r="K93" s="92">
        <f t="shared" si="10"/>
        <v>0</v>
      </c>
      <c r="L93" s="92">
        <f t="shared" si="11"/>
        <v>0</v>
      </c>
      <c r="M93" s="92">
        <f t="shared" si="12"/>
        <v>100</v>
      </c>
      <c r="N93" s="121">
        <f t="shared" si="8"/>
        <v>100</v>
      </c>
      <c r="O93" s="91"/>
      <c r="P93" s="92"/>
      <c r="Q93" s="92">
        <v>53.8</v>
      </c>
      <c r="R93" s="93">
        <f t="shared" si="9"/>
        <v>53.8</v>
      </c>
      <c r="S93" s="97">
        <v>3</v>
      </c>
      <c r="T93" s="839"/>
      <c r="U93" s="852"/>
      <c r="V93" s="82" t="s">
        <v>96</v>
      </c>
      <c r="W93" s="73" t="s">
        <v>20</v>
      </c>
      <c r="X93" s="73" t="s">
        <v>12</v>
      </c>
      <c r="Y93" s="83">
        <v>42.6</v>
      </c>
      <c r="Z93" s="82" t="s">
        <v>128</v>
      </c>
      <c r="AA93" s="73" t="s">
        <v>114</v>
      </c>
      <c r="AB93" s="73" t="s">
        <v>12</v>
      </c>
      <c r="AC93" s="73">
        <v>6.4</v>
      </c>
      <c r="AD93" s="82" t="s">
        <v>407</v>
      </c>
      <c r="AE93" s="73" t="s">
        <v>218</v>
      </c>
      <c r="AF93" s="73" t="s">
        <v>12</v>
      </c>
      <c r="AG93" s="83">
        <v>1.4</v>
      </c>
      <c r="AH93" s="589" t="s">
        <v>1323</v>
      </c>
      <c r="AI93" s="73" t="s">
        <v>88</v>
      </c>
      <c r="AJ93" s="73" t="s">
        <v>12</v>
      </c>
      <c r="AK93" s="73">
        <v>2.2000000000000002</v>
      </c>
      <c r="AL93" s="82" t="s">
        <v>406</v>
      </c>
      <c r="AM93" s="73" t="s">
        <v>330</v>
      </c>
      <c r="AN93" s="73" t="s">
        <v>12</v>
      </c>
      <c r="AO93" s="83">
        <v>1.2</v>
      </c>
      <c r="AP93" s="82"/>
      <c r="AS93" s="83"/>
      <c r="AW93" s="83"/>
      <c r="BA93" s="84"/>
    </row>
    <row r="94" spans="1:53" s="73" customFormat="1">
      <c r="A94" s="73">
        <v>1999</v>
      </c>
      <c r="B94" s="852"/>
      <c r="C94" s="917" t="s">
        <v>405</v>
      </c>
      <c r="D94" s="917"/>
      <c r="E94" s="73">
        <f>365-E93</f>
        <v>365</v>
      </c>
      <c r="G94" s="119"/>
      <c r="I94" s="73">
        <v>18</v>
      </c>
      <c r="J94" s="126">
        <v>18</v>
      </c>
      <c r="K94" s="92">
        <f t="shared" si="10"/>
        <v>0</v>
      </c>
      <c r="L94" s="92">
        <f t="shared" si="11"/>
        <v>0</v>
      </c>
      <c r="M94" s="92">
        <f t="shared" si="12"/>
        <v>100</v>
      </c>
      <c r="N94" s="121">
        <f t="shared" si="8"/>
        <v>100</v>
      </c>
      <c r="O94" s="91"/>
      <c r="P94" s="92"/>
      <c r="Q94" s="92">
        <v>53.8</v>
      </c>
      <c r="R94" s="93">
        <f t="shared" si="9"/>
        <v>53.8</v>
      </c>
      <c r="S94" s="97">
        <v>3</v>
      </c>
      <c r="T94" s="839"/>
      <c r="U94" s="852"/>
      <c r="V94" s="82" t="s">
        <v>96</v>
      </c>
      <c r="W94" s="73" t="s">
        <v>20</v>
      </c>
      <c r="X94" s="73" t="s">
        <v>12</v>
      </c>
      <c r="Y94" s="83">
        <v>42.6</v>
      </c>
      <c r="Z94" s="82" t="s">
        <v>128</v>
      </c>
      <c r="AA94" s="73" t="s">
        <v>114</v>
      </c>
      <c r="AB94" s="73" t="s">
        <v>12</v>
      </c>
      <c r="AC94" s="73">
        <v>6.4</v>
      </c>
      <c r="AD94" s="82" t="s">
        <v>407</v>
      </c>
      <c r="AE94" s="73" t="s">
        <v>218</v>
      </c>
      <c r="AF94" s="73" t="s">
        <v>12</v>
      </c>
      <c r="AG94" s="83">
        <v>1.4</v>
      </c>
      <c r="AH94" s="589" t="s">
        <v>1323</v>
      </c>
      <c r="AI94" s="73" t="s">
        <v>88</v>
      </c>
      <c r="AJ94" s="73" t="s">
        <v>12</v>
      </c>
      <c r="AK94" s="73">
        <v>2.2000000000000002</v>
      </c>
      <c r="AL94" s="82" t="s">
        <v>406</v>
      </c>
      <c r="AM94" s="73" t="s">
        <v>330</v>
      </c>
      <c r="AN94" s="73" t="s">
        <v>12</v>
      </c>
      <c r="AO94" s="83">
        <v>1.2</v>
      </c>
      <c r="AP94" s="82"/>
      <c r="AS94" s="83"/>
      <c r="AW94" s="83"/>
      <c r="BA94" s="84"/>
    </row>
    <row r="95" spans="1:53" s="73" customFormat="1">
      <c r="A95" s="73">
        <v>2000</v>
      </c>
      <c r="B95" s="852"/>
      <c r="C95" s="917" t="s">
        <v>405</v>
      </c>
      <c r="D95" s="917"/>
      <c r="E95" s="73">
        <v>86</v>
      </c>
      <c r="G95" s="119"/>
      <c r="I95" s="73">
        <v>18</v>
      </c>
      <c r="J95" s="126">
        <v>18</v>
      </c>
      <c r="K95" s="92">
        <f t="shared" si="10"/>
        <v>0</v>
      </c>
      <c r="L95" s="92">
        <f t="shared" si="11"/>
        <v>0</v>
      </c>
      <c r="M95" s="92">
        <f t="shared" si="12"/>
        <v>100</v>
      </c>
      <c r="N95" s="121">
        <f t="shared" si="8"/>
        <v>100</v>
      </c>
      <c r="O95" s="91"/>
      <c r="P95" s="92"/>
      <c r="Q95" s="92">
        <v>53.8</v>
      </c>
      <c r="R95" s="93">
        <f t="shared" si="9"/>
        <v>53.8</v>
      </c>
      <c r="S95" s="97">
        <v>3</v>
      </c>
      <c r="T95" s="839"/>
      <c r="U95" s="852"/>
      <c r="V95" s="82" t="s">
        <v>96</v>
      </c>
      <c r="W95" s="73" t="s">
        <v>20</v>
      </c>
      <c r="X95" s="73" t="s">
        <v>12</v>
      </c>
      <c r="Y95" s="83">
        <v>42.6</v>
      </c>
      <c r="Z95" s="82" t="s">
        <v>128</v>
      </c>
      <c r="AA95" s="73" t="s">
        <v>114</v>
      </c>
      <c r="AB95" s="73" t="s">
        <v>12</v>
      </c>
      <c r="AC95" s="73">
        <v>6.4</v>
      </c>
      <c r="AD95" s="82" t="s">
        <v>407</v>
      </c>
      <c r="AE95" s="73" t="s">
        <v>218</v>
      </c>
      <c r="AF95" s="73" t="s">
        <v>12</v>
      </c>
      <c r="AG95" s="83">
        <v>1.4</v>
      </c>
      <c r="AH95" s="589" t="s">
        <v>1323</v>
      </c>
      <c r="AI95" s="73" t="s">
        <v>88</v>
      </c>
      <c r="AJ95" s="73" t="s">
        <v>12</v>
      </c>
      <c r="AK95" s="73">
        <v>2.2000000000000002</v>
      </c>
      <c r="AL95" s="82" t="s">
        <v>406</v>
      </c>
      <c r="AM95" s="73" t="s">
        <v>330</v>
      </c>
      <c r="AN95" s="73" t="s">
        <v>12</v>
      </c>
      <c r="AO95" s="83">
        <v>1.2</v>
      </c>
      <c r="AP95" s="82"/>
      <c r="AS95" s="83"/>
      <c r="AW95" s="83"/>
      <c r="BA95" s="84"/>
    </row>
    <row r="96" spans="1:53" s="73" customFormat="1">
      <c r="A96" s="73">
        <v>2000</v>
      </c>
      <c r="B96" s="860">
        <v>36612</v>
      </c>
      <c r="C96" s="917" t="s">
        <v>405</v>
      </c>
      <c r="D96" s="917"/>
      <c r="E96" s="73">
        <v>280</v>
      </c>
      <c r="F96" s="139">
        <v>0</v>
      </c>
      <c r="G96" s="119"/>
      <c r="I96" s="73">
        <v>21</v>
      </c>
      <c r="J96" s="126">
        <v>21</v>
      </c>
      <c r="K96" s="92">
        <f t="shared" si="10"/>
        <v>0</v>
      </c>
      <c r="L96" s="92">
        <f t="shared" si="11"/>
        <v>0</v>
      </c>
      <c r="M96" s="92">
        <f t="shared" si="12"/>
        <v>100</v>
      </c>
      <c r="N96" s="121">
        <f t="shared" si="8"/>
        <v>100</v>
      </c>
      <c r="O96" s="91"/>
      <c r="P96" s="92"/>
      <c r="Q96" s="92">
        <v>53.8</v>
      </c>
      <c r="R96" s="93">
        <f t="shared" si="9"/>
        <v>53.8</v>
      </c>
      <c r="S96" s="97">
        <v>3</v>
      </c>
      <c r="T96" s="839"/>
      <c r="U96" s="860"/>
      <c r="V96" s="82" t="s">
        <v>96</v>
      </c>
      <c r="W96" s="73" t="s">
        <v>20</v>
      </c>
      <c r="X96" s="73" t="s">
        <v>12</v>
      </c>
      <c r="Y96" s="83">
        <v>42.6</v>
      </c>
      <c r="Z96" s="82" t="s">
        <v>128</v>
      </c>
      <c r="AA96" s="73" t="s">
        <v>114</v>
      </c>
      <c r="AB96" s="73" t="s">
        <v>12</v>
      </c>
      <c r="AC96" s="73">
        <v>6.4</v>
      </c>
      <c r="AD96" s="82" t="s">
        <v>407</v>
      </c>
      <c r="AE96" s="73" t="s">
        <v>218</v>
      </c>
      <c r="AF96" s="73" t="s">
        <v>12</v>
      </c>
      <c r="AG96" s="83">
        <v>1.4</v>
      </c>
      <c r="AH96" s="589" t="s">
        <v>1323</v>
      </c>
      <c r="AI96" s="73" t="s">
        <v>88</v>
      </c>
      <c r="AJ96" s="73" t="s">
        <v>12</v>
      </c>
      <c r="AK96" s="73">
        <v>2.2000000000000002</v>
      </c>
      <c r="AL96" s="82" t="s">
        <v>406</v>
      </c>
      <c r="AM96" s="73" t="s">
        <v>330</v>
      </c>
      <c r="AN96" s="73" t="s">
        <v>12</v>
      </c>
      <c r="AO96" s="83">
        <v>1.2</v>
      </c>
      <c r="AP96" s="82"/>
      <c r="AS96" s="83"/>
      <c r="AW96" s="83"/>
      <c r="BA96" s="84"/>
    </row>
    <row r="97" spans="1:53" s="73" customFormat="1">
      <c r="A97" s="73">
        <v>2001</v>
      </c>
      <c r="B97" s="852"/>
      <c r="C97" s="917" t="s">
        <v>405</v>
      </c>
      <c r="D97" s="917"/>
      <c r="E97" s="73">
        <v>0</v>
      </c>
      <c r="G97" s="119"/>
      <c r="I97" s="73">
        <v>21</v>
      </c>
      <c r="J97" s="126">
        <v>21</v>
      </c>
      <c r="K97" s="92">
        <f t="shared" si="10"/>
        <v>0</v>
      </c>
      <c r="L97" s="92">
        <f t="shared" si="11"/>
        <v>0</v>
      </c>
      <c r="M97" s="92">
        <f t="shared" si="12"/>
        <v>100</v>
      </c>
      <c r="N97" s="121">
        <f t="shared" si="8"/>
        <v>100</v>
      </c>
      <c r="O97" s="91"/>
      <c r="P97" s="92"/>
      <c r="Q97" s="92">
        <v>53.8</v>
      </c>
      <c r="R97" s="93">
        <f t="shared" si="9"/>
        <v>53.8</v>
      </c>
      <c r="S97" s="97">
        <v>3</v>
      </c>
      <c r="T97" s="839"/>
      <c r="U97" s="852"/>
      <c r="V97" s="82" t="s">
        <v>96</v>
      </c>
      <c r="W97" s="73" t="s">
        <v>20</v>
      </c>
      <c r="X97" s="73" t="s">
        <v>12</v>
      </c>
      <c r="Y97" s="83">
        <v>42.6</v>
      </c>
      <c r="Z97" s="82" t="s">
        <v>128</v>
      </c>
      <c r="AA97" s="73" t="s">
        <v>114</v>
      </c>
      <c r="AB97" s="73" t="s">
        <v>12</v>
      </c>
      <c r="AC97" s="73">
        <v>6.4</v>
      </c>
      <c r="AD97" s="82" t="s">
        <v>407</v>
      </c>
      <c r="AE97" s="73" t="s">
        <v>218</v>
      </c>
      <c r="AF97" s="73" t="s">
        <v>12</v>
      </c>
      <c r="AG97" s="83">
        <v>1.4</v>
      </c>
      <c r="AH97" s="589" t="s">
        <v>1323</v>
      </c>
      <c r="AI97" s="73" t="s">
        <v>88</v>
      </c>
      <c r="AJ97" s="73" t="s">
        <v>12</v>
      </c>
      <c r="AK97" s="73">
        <v>2.2000000000000002</v>
      </c>
      <c r="AL97" s="82" t="s">
        <v>406</v>
      </c>
      <c r="AM97" s="73" t="s">
        <v>330</v>
      </c>
      <c r="AN97" s="73" t="s">
        <v>12</v>
      </c>
      <c r="AO97" s="83">
        <v>1.2</v>
      </c>
      <c r="AP97" s="82"/>
      <c r="AS97" s="83"/>
      <c r="AW97" s="83"/>
      <c r="BA97" s="84"/>
    </row>
    <row r="98" spans="1:53" s="73" customFormat="1">
      <c r="A98" s="73">
        <v>2001</v>
      </c>
      <c r="B98" s="852"/>
      <c r="C98" s="917" t="s">
        <v>405</v>
      </c>
      <c r="D98" s="917"/>
      <c r="E98" s="73">
        <f>365-E97</f>
        <v>365</v>
      </c>
      <c r="G98" s="119"/>
      <c r="I98" s="73">
        <v>21</v>
      </c>
      <c r="J98" s="126">
        <v>21</v>
      </c>
      <c r="K98" s="92">
        <f t="shared" si="10"/>
        <v>0</v>
      </c>
      <c r="L98" s="92">
        <f t="shared" si="11"/>
        <v>0</v>
      </c>
      <c r="M98" s="92">
        <f t="shared" si="12"/>
        <v>100</v>
      </c>
      <c r="N98" s="121">
        <f t="shared" si="8"/>
        <v>100</v>
      </c>
      <c r="O98" s="91"/>
      <c r="P98" s="92"/>
      <c r="Q98" s="92">
        <v>53.8</v>
      </c>
      <c r="R98" s="93">
        <f t="shared" si="9"/>
        <v>53.8</v>
      </c>
      <c r="S98" s="97">
        <v>3</v>
      </c>
      <c r="T98" s="839"/>
      <c r="U98" s="852"/>
      <c r="V98" s="82" t="s">
        <v>96</v>
      </c>
      <c r="W98" s="73" t="s">
        <v>20</v>
      </c>
      <c r="X98" s="73" t="s">
        <v>12</v>
      </c>
      <c r="Y98" s="83">
        <v>42.6</v>
      </c>
      <c r="Z98" s="82" t="s">
        <v>128</v>
      </c>
      <c r="AA98" s="73" t="s">
        <v>114</v>
      </c>
      <c r="AB98" s="73" t="s">
        <v>12</v>
      </c>
      <c r="AC98" s="73">
        <v>6.4</v>
      </c>
      <c r="AD98" s="82" t="s">
        <v>407</v>
      </c>
      <c r="AE98" s="73" t="s">
        <v>218</v>
      </c>
      <c r="AF98" s="73" t="s">
        <v>12</v>
      </c>
      <c r="AG98" s="83">
        <v>1.4</v>
      </c>
      <c r="AH98" s="589" t="s">
        <v>1323</v>
      </c>
      <c r="AI98" s="73" t="s">
        <v>88</v>
      </c>
      <c r="AJ98" s="73" t="s">
        <v>12</v>
      </c>
      <c r="AK98" s="73">
        <v>2.2000000000000002</v>
      </c>
      <c r="AL98" s="82" t="s">
        <v>406</v>
      </c>
      <c r="AM98" s="73" t="s">
        <v>330</v>
      </c>
      <c r="AN98" s="73" t="s">
        <v>12</v>
      </c>
      <c r="AO98" s="83">
        <v>1.2</v>
      </c>
      <c r="AP98" s="82"/>
      <c r="AS98" s="83"/>
      <c r="AW98" s="83"/>
      <c r="BA98" s="84"/>
    </row>
    <row r="99" spans="1:53" s="73" customFormat="1">
      <c r="A99" s="73">
        <v>2002</v>
      </c>
      <c r="B99" s="852"/>
      <c r="C99" s="917" t="s">
        <v>405</v>
      </c>
      <c r="D99" s="917"/>
      <c r="E99" s="73">
        <v>126</v>
      </c>
      <c r="G99" s="119"/>
      <c r="I99" s="73">
        <v>21</v>
      </c>
      <c r="J99" s="126">
        <v>21</v>
      </c>
      <c r="K99" s="92">
        <f t="shared" si="10"/>
        <v>0</v>
      </c>
      <c r="L99" s="92">
        <f t="shared" si="11"/>
        <v>0</v>
      </c>
      <c r="M99" s="92">
        <f t="shared" si="12"/>
        <v>100</v>
      </c>
      <c r="N99" s="121">
        <f t="shared" si="8"/>
        <v>100</v>
      </c>
      <c r="O99" s="91"/>
      <c r="P99" s="92"/>
      <c r="Q99" s="92">
        <v>53.8</v>
      </c>
      <c r="R99" s="93">
        <f t="shared" si="9"/>
        <v>53.8</v>
      </c>
      <c r="S99" s="97">
        <v>3</v>
      </c>
      <c r="T99" s="839"/>
      <c r="U99" s="852"/>
      <c r="V99" s="82" t="s">
        <v>96</v>
      </c>
      <c r="W99" s="73" t="s">
        <v>20</v>
      </c>
      <c r="X99" s="73" t="s">
        <v>12</v>
      </c>
      <c r="Y99" s="83">
        <v>42.6</v>
      </c>
      <c r="Z99" s="82" t="s">
        <v>128</v>
      </c>
      <c r="AA99" s="73" t="s">
        <v>114</v>
      </c>
      <c r="AB99" s="73" t="s">
        <v>12</v>
      </c>
      <c r="AC99" s="73">
        <v>6.4</v>
      </c>
      <c r="AD99" s="82" t="s">
        <v>407</v>
      </c>
      <c r="AE99" s="73" t="s">
        <v>218</v>
      </c>
      <c r="AF99" s="73" t="s">
        <v>12</v>
      </c>
      <c r="AG99" s="83">
        <v>1.4</v>
      </c>
      <c r="AH99" s="589" t="s">
        <v>1323</v>
      </c>
      <c r="AI99" s="73" t="s">
        <v>88</v>
      </c>
      <c r="AJ99" s="73" t="s">
        <v>12</v>
      </c>
      <c r="AK99" s="73">
        <v>2.2000000000000002</v>
      </c>
      <c r="AL99" s="82" t="s">
        <v>406</v>
      </c>
      <c r="AM99" s="73" t="s">
        <v>330</v>
      </c>
      <c r="AN99" s="73" t="s">
        <v>12</v>
      </c>
      <c r="AO99" s="83">
        <v>1.2</v>
      </c>
      <c r="AP99" s="82"/>
      <c r="AS99" s="83"/>
      <c r="AW99" s="83"/>
      <c r="BA99" s="84"/>
    </row>
    <row r="100" spans="1:53" s="292" customFormat="1">
      <c r="A100" s="292">
        <v>2002</v>
      </c>
      <c r="B100" s="836">
        <v>37383</v>
      </c>
      <c r="C100" s="916" t="s">
        <v>408</v>
      </c>
      <c r="D100" s="916"/>
      <c r="E100" s="292">
        <v>43</v>
      </c>
      <c r="F100" s="292">
        <v>1</v>
      </c>
      <c r="G100" s="366">
        <v>15</v>
      </c>
      <c r="H100" s="292">
        <v>2</v>
      </c>
      <c r="J100" s="377">
        <v>22</v>
      </c>
      <c r="K100" s="336">
        <f>G100/J100*100</f>
        <v>68.181818181818173</v>
      </c>
      <c r="L100" s="336">
        <f>H100/J100*100</f>
        <v>9.0909090909090917</v>
      </c>
      <c r="M100" s="336">
        <f>I100/J100*100</f>
        <v>0</v>
      </c>
      <c r="N100" s="368">
        <f>SUM(K100:M100)</f>
        <v>77.272727272727266</v>
      </c>
      <c r="O100" s="335">
        <v>24.1</v>
      </c>
      <c r="P100" s="336">
        <v>18.899999999999999</v>
      </c>
      <c r="Q100" s="336"/>
      <c r="R100" s="337">
        <f>SUM(O100:Q100)</f>
        <v>43</v>
      </c>
      <c r="S100" s="340">
        <v>6</v>
      </c>
      <c r="T100" s="838"/>
      <c r="U100" s="836">
        <v>37383</v>
      </c>
      <c r="V100" s="299" t="s">
        <v>119</v>
      </c>
      <c r="W100" s="292" t="s">
        <v>76</v>
      </c>
      <c r="X100" s="292" t="s">
        <v>11</v>
      </c>
      <c r="Y100" s="300">
        <v>24.1</v>
      </c>
      <c r="Z100" s="299" t="s">
        <v>127</v>
      </c>
      <c r="AA100" s="292" t="s">
        <v>79</v>
      </c>
      <c r="AB100" s="292" t="s">
        <v>18</v>
      </c>
      <c r="AC100" s="292">
        <v>18.899999999999999</v>
      </c>
      <c r="AD100" s="299"/>
      <c r="AG100" s="300"/>
      <c r="AL100" s="299"/>
      <c r="AO100" s="300"/>
      <c r="AP100" s="299"/>
      <c r="AS100" s="300"/>
      <c r="AW100" s="300"/>
      <c r="BA100" s="301"/>
    </row>
    <row r="101" spans="1:53" s="73" customFormat="1">
      <c r="A101" s="73">
        <v>2002</v>
      </c>
      <c r="B101" s="852">
        <v>37426</v>
      </c>
      <c r="C101" s="917" t="s">
        <v>409</v>
      </c>
      <c r="D101" s="917"/>
      <c r="E101" s="73">
        <v>196</v>
      </c>
      <c r="F101" s="73">
        <v>1</v>
      </c>
      <c r="G101" s="119">
        <v>18</v>
      </c>
      <c r="H101" s="73">
        <v>2</v>
      </c>
      <c r="J101" s="126">
        <v>27</v>
      </c>
      <c r="K101" s="92">
        <f t="shared" si="10"/>
        <v>66.666666666666657</v>
      </c>
      <c r="L101" s="92">
        <f t="shared" si="11"/>
        <v>7.4074074074074066</v>
      </c>
      <c r="M101" s="92">
        <f t="shared" si="12"/>
        <v>0</v>
      </c>
      <c r="N101" s="121">
        <f t="shared" si="8"/>
        <v>74.074074074074062</v>
      </c>
      <c r="O101" s="91">
        <v>63.3</v>
      </c>
      <c r="P101" s="92">
        <v>5</v>
      </c>
      <c r="Q101" s="92"/>
      <c r="R101" s="93">
        <f t="shared" si="9"/>
        <v>68.3</v>
      </c>
      <c r="S101" s="97">
        <v>3</v>
      </c>
      <c r="T101" s="839">
        <v>37423</v>
      </c>
      <c r="U101" s="852">
        <v>37426</v>
      </c>
      <c r="V101" s="82" t="s">
        <v>119</v>
      </c>
      <c r="W101" s="73" t="s">
        <v>76</v>
      </c>
      <c r="X101" s="73" t="s">
        <v>11</v>
      </c>
      <c r="Y101" s="83">
        <v>63.3</v>
      </c>
      <c r="Z101" s="82" t="s">
        <v>127</v>
      </c>
      <c r="AA101" s="73" t="s">
        <v>79</v>
      </c>
      <c r="AB101" s="73" t="s">
        <v>18</v>
      </c>
      <c r="AC101" s="73">
        <v>5</v>
      </c>
      <c r="AD101" s="82"/>
      <c r="AG101" s="83"/>
      <c r="AL101" s="82"/>
      <c r="AO101" s="83"/>
      <c r="AP101" s="82"/>
      <c r="AS101" s="83"/>
      <c r="AW101" s="83"/>
      <c r="BA101" s="84"/>
    </row>
    <row r="102" spans="1:53" s="73" customFormat="1">
      <c r="A102" s="73">
        <v>2003</v>
      </c>
      <c r="B102" s="852"/>
      <c r="C102" s="917" t="s">
        <v>409</v>
      </c>
      <c r="D102" s="917"/>
      <c r="E102" s="73">
        <v>0</v>
      </c>
      <c r="G102" s="119">
        <v>18</v>
      </c>
      <c r="H102" s="73">
        <v>2</v>
      </c>
      <c r="J102" s="126">
        <v>27</v>
      </c>
      <c r="K102" s="92">
        <f t="shared" si="10"/>
        <v>66.666666666666657</v>
      </c>
      <c r="L102" s="92">
        <f t="shared" si="11"/>
        <v>7.4074074074074066</v>
      </c>
      <c r="M102" s="92">
        <f t="shared" si="12"/>
        <v>0</v>
      </c>
      <c r="N102" s="121">
        <f t="shared" si="8"/>
        <v>74.074074074074062</v>
      </c>
      <c r="O102" s="91">
        <v>63.3</v>
      </c>
      <c r="P102" s="92">
        <v>5</v>
      </c>
      <c r="Q102" s="92"/>
      <c r="R102" s="93">
        <f t="shared" si="9"/>
        <v>68.3</v>
      </c>
      <c r="S102" s="97">
        <v>3</v>
      </c>
      <c r="T102" s="839"/>
      <c r="U102" s="852"/>
      <c r="V102" s="82" t="s">
        <v>119</v>
      </c>
      <c r="W102" s="73" t="s">
        <v>76</v>
      </c>
      <c r="X102" s="73" t="s">
        <v>11</v>
      </c>
      <c r="Y102" s="83">
        <v>63.3</v>
      </c>
      <c r="Z102" s="82" t="s">
        <v>127</v>
      </c>
      <c r="AA102" s="73" t="s">
        <v>79</v>
      </c>
      <c r="AB102" s="73" t="s">
        <v>18</v>
      </c>
      <c r="AC102" s="73">
        <v>5</v>
      </c>
      <c r="AD102" s="82"/>
      <c r="AG102" s="83"/>
      <c r="AL102" s="82"/>
      <c r="AO102" s="83"/>
      <c r="AP102" s="82"/>
      <c r="AS102" s="83"/>
      <c r="AW102" s="83"/>
      <c r="BA102" s="84"/>
    </row>
    <row r="103" spans="1:53" s="73" customFormat="1">
      <c r="A103" s="73">
        <v>2003</v>
      </c>
      <c r="B103" s="852"/>
      <c r="C103" s="917" t="s">
        <v>409</v>
      </c>
      <c r="D103" s="917"/>
      <c r="E103" s="73">
        <f>365-E102</f>
        <v>365</v>
      </c>
      <c r="G103" s="119">
        <v>18</v>
      </c>
      <c r="H103" s="73">
        <v>2</v>
      </c>
      <c r="J103" s="126">
        <v>27</v>
      </c>
      <c r="K103" s="92">
        <f t="shared" si="10"/>
        <v>66.666666666666657</v>
      </c>
      <c r="L103" s="92">
        <f t="shared" si="11"/>
        <v>7.4074074074074066</v>
      </c>
      <c r="M103" s="92">
        <f t="shared" si="12"/>
        <v>0</v>
      </c>
      <c r="N103" s="121">
        <f t="shared" si="8"/>
        <v>74.074074074074062</v>
      </c>
      <c r="O103" s="91">
        <v>63.3</v>
      </c>
      <c r="P103" s="92">
        <v>5</v>
      </c>
      <c r="Q103" s="92"/>
      <c r="R103" s="93">
        <f t="shared" si="9"/>
        <v>68.3</v>
      </c>
      <c r="S103" s="97">
        <v>3</v>
      </c>
      <c r="T103" s="839"/>
      <c r="U103" s="852"/>
      <c r="V103" s="82" t="s">
        <v>119</v>
      </c>
      <c r="W103" s="73" t="s">
        <v>76</v>
      </c>
      <c r="X103" s="73" t="s">
        <v>11</v>
      </c>
      <c r="Y103" s="83">
        <v>63.3</v>
      </c>
      <c r="Z103" s="82" t="s">
        <v>127</v>
      </c>
      <c r="AA103" s="73" t="s">
        <v>79</v>
      </c>
      <c r="AB103" s="73" t="s">
        <v>18</v>
      </c>
      <c r="AC103" s="73">
        <v>5</v>
      </c>
      <c r="AD103" s="82"/>
      <c r="AG103" s="83"/>
      <c r="AL103" s="82"/>
      <c r="AO103" s="83"/>
      <c r="AP103" s="82"/>
      <c r="AS103" s="83"/>
      <c r="AW103" s="83"/>
      <c r="BA103" s="84"/>
    </row>
    <row r="104" spans="1:53" s="73" customFormat="1">
      <c r="A104" s="73">
        <v>2004</v>
      </c>
      <c r="B104" s="852"/>
      <c r="C104" s="917" t="s">
        <v>409</v>
      </c>
      <c r="D104" s="917"/>
      <c r="E104" s="73">
        <v>90</v>
      </c>
      <c r="G104" s="119">
        <v>18</v>
      </c>
      <c r="H104" s="73">
        <v>2</v>
      </c>
      <c r="J104" s="126">
        <v>27</v>
      </c>
      <c r="K104" s="92">
        <f t="shared" si="10"/>
        <v>66.666666666666657</v>
      </c>
      <c r="L104" s="92">
        <f t="shared" si="11"/>
        <v>7.4074074074074066</v>
      </c>
      <c r="M104" s="92">
        <f t="shared" si="12"/>
        <v>0</v>
      </c>
      <c r="N104" s="121">
        <f t="shared" si="8"/>
        <v>74.074074074074062</v>
      </c>
      <c r="O104" s="91">
        <v>63.3</v>
      </c>
      <c r="P104" s="92">
        <v>5</v>
      </c>
      <c r="Q104" s="92"/>
      <c r="R104" s="93">
        <f t="shared" si="9"/>
        <v>68.3</v>
      </c>
      <c r="S104" s="97">
        <v>3</v>
      </c>
      <c r="T104" s="839"/>
      <c r="U104" s="852"/>
      <c r="V104" s="82" t="s">
        <v>119</v>
      </c>
      <c r="W104" s="73" t="s">
        <v>76</v>
      </c>
      <c r="X104" s="73" t="s">
        <v>11</v>
      </c>
      <c r="Y104" s="83">
        <v>63.3</v>
      </c>
      <c r="Z104" s="82" t="s">
        <v>127</v>
      </c>
      <c r="AA104" s="73" t="s">
        <v>79</v>
      </c>
      <c r="AB104" s="73" t="s">
        <v>18</v>
      </c>
      <c r="AC104" s="73">
        <v>5</v>
      </c>
      <c r="AD104" s="82"/>
      <c r="AG104" s="83"/>
      <c r="AL104" s="82"/>
      <c r="AO104" s="83"/>
      <c r="AP104" s="82"/>
      <c r="AS104" s="83"/>
      <c r="AW104" s="83"/>
      <c r="BA104" s="84"/>
    </row>
    <row r="105" spans="1:53" s="292" customFormat="1">
      <c r="A105" s="292">
        <v>2004</v>
      </c>
      <c r="B105" s="836">
        <v>38077</v>
      </c>
      <c r="C105" s="916" t="s">
        <v>410</v>
      </c>
      <c r="D105" s="916"/>
      <c r="E105" s="292">
        <v>276</v>
      </c>
      <c r="F105" s="292">
        <v>2</v>
      </c>
      <c r="G105" s="366">
        <v>29</v>
      </c>
      <c r="H105" s="292">
        <v>1</v>
      </c>
      <c r="J105" s="377">
        <v>31</v>
      </c>
      <c r="K105" s="336">
        <f t="shared" si="10"/>
        <v>93.548387096774192</v>
      </c>
      <c r="L105" s="336">
        <f t="shared" si="11"/>
        <v>3.225806451612903</v>
      </c>
      <c r="M105" s="336">
        <f t="shared" si="12"/>
        <v>0</v>
      </c>
      <c r="N105" s="368">
        <f t="shared" si="8"/>
        <v>96.774193548387089</v>
      </c>
      <c r="O105" s="335">
        <v>63.3</v>
      </c>
      <c r="P105" s="336">
        <v>5</v>
      </c>
      <c r="Q105" s="336"/>
      <c r="R105" s="337">
        <f t="shared" si="9"/>
        <v>68.3</v>
      </c>
      <c r="S105" s="340">
        <v>3</v>
      </c>
      <c r="T105" s="838"/>
      <c r="U105" s="836">
        <v>38077</v>
      </c>
      <c r="V105" s="299" t="s">
        <v>119</v>
      </c>
      <c r="W105" s="292" t="s">
        <v>76</v>
      </c>
      <c r="X105" s="292" t="s">
        <v>11</v>
      </c>
      <c r="Y105" s="300">
        <v>63.3</v>
      </c>
      <c r="Z105" s="299" t="s">
        <v>127</v>
      </c>
      <c r="AA105" s="292" t="s">
        <v>79</v>
      </c>
      <c r="AB105" s="292" t="s">
        <v>18</v>
      </c>
      <c r="AC105" s="292">
        <v>5</v>
      </c>
      <c r="AD105" s="299"/>
      <c r="AG105" s="300"/>
      <c r="AL105" s="299"/>
      <c r="AO105" s="300"/>
      <c r="AP105" s="299"/>
      <c r="AS105" s="300"/>
      <c r="AW105" s="300"/>
      <c r="BA105" s="301"/>
    </row>
    <row r="106" spans="1:53" s="292" customFormat="1">
      <c r="A106" s="292">
        <v>2005</v>
      </c>
      <c r="B106" s="836"/>
      <c r="C106" s="916" t="s">
        <v>410</v>
      </c>
      <c r="D106" s="916"/>
      <c r="E106" s="292">
        <v>150</v>
      </c>
      <c r="G106" s="366">
        <v>29</v>
      </c>
      <c r="H106" s="292">
        <v>1</v>
      </c>
      <c r="J106" s="377">
        <v>31</v>
      </c>
      <c r="K106" s="336">
        <f t="shared" si="10"/>
        <v>93.548387096774192</v>
      </c>
      <c r="L106" s="336">
        <f t="shared" si="11"/>
        <v>3.225806451612903</v>
      </c>
      <c r="M106" s="336">
        <f t="shared" si="12"/>
        <v>0</v>
      </c>
      <c r="N106" s="368">
        <f t="shared" si="8"/>
        <v>96.774193548387089</v>
      </c>
      <c r="O106" s="335">
        <v>63.3</v>
      </c>
      <c r="P106" s="336">
        <v>5</v>
      </c>
      <c r="Q106" s="336"/>
      <c r="R106" s="337">
        <f t="shared" si="9"/>
        <v>68.3</v>
      </c>
      <c r="S106" s="340">
        <v>3</v>
      </c>
      <c r="T106" s="838"/>
      <c r="U106" s="836"/>
      <c r="V106" s="299" t="s">
        <v>119</v>
      </c>
      <c r="W106" s="292" t="s">
        <v>76</v>
      </c>
      <c r="X106" s="292" t="s">
        <v>11</v>
      </c>
      <c r="Y106" s="300">
        <v>63.3</v>
      </c>
      <c r="Z106" s="299" t="s">
        <v>127</v>
      </c>
      <c r="AA106" s="292" t="s">
        <v>79</v>
      </c>
      <c r="AB106" s="292" t="s">
        <v>18</v>
      </c>
      <c r="AC106" s="292">
        <v>5</v>
      </c>
      <c r="AD106" s="299"/>
      <c r="AG106" s="300"/>
      <c r="AL106" s="299"/>
      <c r="AO106" s="300"/>
      <c r="AP106" s="299"/>
      <c r="AS106" s="300"/>
      <c r="AW106" s="300"/>
      <c r="BA106" s="301"/>
    </row>
    <row r="107" spans="1:53" s="73" customFormat="1">
      <c r="A107" s="73">
        <v>2005</v>
      </c>
      <c r="B107" s="852">
        <v>38503</v>
      </c>
      <c r="C107" s="917" t="s">
        <v>411</v>
      </c>
      <c r="D107" s="917"/>
      <c r="E107" s="73">
        <f>365-E106</f>
        <v>215</v>
      </c>
      <c r="F107" s="73">
        <v>2</v>
      </c>
      <c r="G107" s="119">
        <v>27</v>
      </c>
      <c r="H107" s="73">
        <v>1</v>
      </c>
      <c r="J107" s="126">
        <v>31</v>
      </c>
      <c r="K107" s="92">
        <f t="shared" si="10"/>
        <v>87.096774193548384</v>
      </c>
      <c r="L107" s="92">
        <f t="shared" si="11"/>
        <v>3.225806451612903</v>
      </c>
      <c r="M107" s="92">
        <f t="shared" si="12"/>
        <v>0</v>
      </c>
      <c r="N107" s="121">
        <f t="shared" si="8"/>
        <v>90.322580645161281</v>
      </c>
      <c r="O107" s="91">
        <v>63.3</v>
      </c>
      <c r="P107" s="92">
        <v>5</v>
      </c>
      <c r="Q107" s="92"/>
      <c r="R107" s="93">
        <f t="shared" si="9"/>
        <v>68.3</v>
      </c>
      <c r="S107" s="97">
        <v>3</v>
      </c>
      <c r="T107" s="839"/>
      <c r="U107" s="852">
        <v>38503</v>
      </c>
      <c r="V107" s="82" t="s">
        <v>119</v>
      </c>
      <c r="W107" s="73" t="s">
        <v>76</v>
      </c>
      <c r="X107" s="73" t="s">
        <v>11</v>
      </c>
      <c r="Y107" s="83">
        <v>63.3</v>
      </c>
      <c r="Z107" s="82" t="s">
        <v>127</v>
      </c>
      <c r="AA107" s="73" t="s">
        <v>79</v>
      </c>
      <c r="AB107" s="73" t="s">
        <v>18</v>
      </c>
      <c r="AC107" s="73">
        <v>5</v>
      </c>
      <c r="AD107" s="82"/>
      <c r="AG107" s="83"/>
      <c r="AL107" s="82"/>
      <c r="AO107" s="83"/>
      <c r="AP107" s="82"/>
      <c r="AS107" s="83"/>
      <c r="AW107" s="83"/>
      <c r="BA107" s="84"/>
    </row>
    <row r="108" spans="1:53" s="73" customFormat="1">
      <c r="A108" s="73">
        <v>2006</v>
      </c>
      <c r="B108" s="852"/>
      <c r="C108" s="917" t="s">
        <v>411</v>
      </c>
      <c r="D108" s="917"/>
      <c r="E108" s="73">
        <v>0</v>
      </c>
      <c r="G108" s="119">
        <v>27</v>
      </c>
      <c r="H108" s="73">
        <v>1</v>
      </c>
      <c r="J108" s="126">
        <v>31</v>
      </c>
      <c r="K108" s="92">
        <f t="shared" ref="K108:L119" si="13">G108/J108*100</f>
        <v>87.096774193548384</v>
      </c>
      <c r="L108" s="92">
        <f t="shared" ref="L108:L118" si="14">H108/J108*100</f>
        <v>3.225806451612903</v>
      </c>
      <c r="M108" s="92">
        <f t="shared" ref="M108:M119" si="15">I108/J108*100</f>
        <v>0</v>
      </c>
      <c r="N108" s="121">
        <f t="shared" si="8"/>
        <v>90.322580645161281</v>
      </c>
      <c r="O108" s="91">
        <v>63.3</v>
      </c>
      <c r="P108" s="92">
        <v>5</v>
      </c>
      <c r="Q108" s="92"/>
      <c r="R108" s="93">
        <f t="shared" si="9"/>
        <v>68.3</v>
      </c>
      <c r="S108" s="97">
        <v>3</v>
      </c>
      <c r="T108" s="839"/>
      <c r="U108" s="852"/>
      <c r="V108" s="82" t="s">
        <v>119</v>
      </c>
      <c r="W108" s="73" t="s">
        <v>76</v>
      </c>
      <c r="X108" s="73" t="s">
        <v>11</v>
      </c>
      <c r="Y108" s="83">
        <v>63.3</v>
      </c>
      <c r="Z108" s="82" t="s">
        <v>127</v>
      </c>
      <c r="AA108" s="73" t="s">
        <v>79</v>
      </c>
      <c r="AB108" s="73" t="s">
        <v>18</v>
      </c>
      <c r="AC108" s="73">
        <v>5</v>
      </c>
      <c r="AD108" s="82"/>
      <c r="AG108" s="83"/>
      <c r="AL108" s="82"/>
      <c r="AO108" s="83"/>
      <c r="AP108" s="82"/>
      <c r="AS108" s="83"/>
      <c r="AW108" s="83"/>
      <c r="BA108" s="84"/>
    </row>
    <row r="109" spans="1:53" s="73" customFormat="1">
      <c r="A109" s="73">
        <v>2006</v>
      </c>
      <c r="B109" s="852"/>
      <c r="C109" s="917" t="s">
        <v>411</v>
      </c>
      <c r="D109" s="917"/>
      <c r="E109" s="73">
        <v>365</v>
      </c>
      <c r="G109" s="119">
        <v>27</v>
      </c>
      <c r="H109" s="73">
        <v>1</v>
      </c>
      <c r="J109" s="126">
        <v>31</v>
      </c>
      <c r="K109" s="92">
        <f t="shared" si="13"/>
        <v>87.096774193548384</v>
      </c>
      <c r="L109" s="92">
        <f t="shared" si="14"/>
        <v>3.225806451612903</v>
      </c>
      <c r="M109" s="92">
        <f t="shared" si="15"/>
        <v>0</v>
      </c>
      <c r="N109" s="121">
        <f t="shared" si="8"/>
        <v>90.322580645161281</v>
      </c>
      <c r="O109" s="91">
        <v>63.3</v>
      </c>
      <c r="P109" s="92">
        <v>5</v>
      </c>
      <c r="Q109" s="92"/>
      <c r="R109" s="93">
        <f t="shared" si="9"/>
        <v>68.3</v>
      </c>
      <c r="S109" s="97">
        <v>3</v>
      </c>
      <c r="T109" s="839"/>
      <c r="U109" s="852"/>
      <c r="V109" s="82" t="s">
        <v>119</v>
      </c>
      <c r="W109" s="73" t="s">
        <v>76</v>
      </c>
      <c r="X109" s="73" t="s">
        <v>11</v>
      </c>
      <c r="Y109" s="83">
        <v>63.3</v>
      </c>
      <c r="Z109" s="82" t="s">
        <v>127</v>
      </c>
      <c r="AA109" s="73" t="s">
        <v>79</v>
      </c>
      <c r="AB109" s="73" t="s">
        <v>18</v>
      </c>
      <c r="AC109" s="73">
        <v>5</v>
      </c>
      <c r="AD109" s="82"/>
      <c r="AG109" s="83"/>
      <c r="AL109" s="82"/>
      <c r="AO109" s="83"/>
      <c r="AP109" s="82"/>
      <c r="AS109" s="83"/>
      <c r="AW109" s="83"/>
      <c r="BA109" s="84"/>
    </row>
    <row r="110" spans="1:53" s="73" customFormat="1">
      <c r="A110" s="73">
        <v>2007</v>
      </c>
      <c r="B110" s="852"/>
      <c r="C110" s="917" t="s">
        <v>411</v>
      </c>
      <c r="D110" s="917"/>
      <c r="E110" s="73">
        <v>137</v>
      </c>
      <c r="G110" s="119">
        <v>27</v>
      </c>
      <c r="H110" s="73">
        <v>1</v>
      </c>
      <c r="J110" s="126">
        <v>31</v>
      </c>
      <c r="K110" s="92">
        <f t="shared" si="13"/>
        <v>87.096774193548384</v>
      </c>
      <c r="L110" s="92">
        <f t="shared" si="14"/>
        <v>3.225806451612903</v>
      </c>
      <c r="M110" s="92">
        <f t="shared" si="15"/>
        <v>0</v>
      </c>
      <c r="N110" s="121">
        <f t="shared" si="8"/>
        <v>90.322580645161281</v>
      </c>
      <c r="O110" s="91">
        <v>63.3</v>
      </c>
      <c r="P110" s="92">
        <v>5</v>
      </c>
      <c r="Q110" s="92"/>
      <c r="R110" s="93">
        <f t="shared" si="9"/>
        <v>68.3</v>
      </c>
      <c r="S110" s="97">
        <v>3</v>
      </c>
      <c r="T110" s="839"/>
      <c r="U110" s="852"/>
      <c r="V110" s="82" t="s">
        <v>119</v>
      </c>
      <c r="W110" s="73" t="s">
        <v>76</v>
      </c>
      <c r="X110" s="73" t="s">
        <v>11</v>
      </c>
      <c r="Y110" s="83">
        <v>63.3</v>
      </c>
      <c r="Z110" s="82" t="s">
        <v>127</v>
      </c>
      <c r="AA110" s="73" t="s">
        <v>79</v>
      </c>
      <c r="AB110" s="73" t="s">
        <v>18</v>
      </c>
      <c r="AC110" s="73">
        <v>5</v>
      </c>
      <c r="AD110" s="82"/>
      <c r="AG110" s="83"/>
      <c r="AL110" s="82"/>
      <c r="AO110" s="83"/>
      <c r="AP110" s="82"/>
      <c r="AS110" s="83"/>
      <c r="AW110" s="83"/>
      <c r="BA110" s="84"/>
    </row>
    <row r="111" spans="1:53" s="292" customFormat="1">
      <c r="A111" s="292">
        <v>2007</v>
      </c>
      <c r="B111" s="836">
        <v>39220</v>
      </c>
      <c r="C111" s="916" t="s">
        <v>412</v>
      </c>
      <c r="D111" s="916"/>
      <c r="E111" s="292">
        <v>32</v>
      </c>
      <c r="F111" s="292">
        <v>1</v>
      </c>
      <c r="G111" s="366">
        <v>12</v>
      </c>
      <c r="H111" s="292">
        <v>1</v>
      </c>
      <c r="J111" s="377">
        <v>16</v>
      </c>
      <c r="K111" s="336">
        <f>G111/J111*100</f>
        <v>75</v>
      </c>
      <c r="L111" s="336">
        <f>H111/J111*100</f>
        <v>6.25</v>
      </c>
      <c r="M111" s="336">
        <f>I111/J111*100</f>
        <v>0</v>
      </c>
      <c r="N111" s="368">
        <f>SUM(K111:M111)</f>
        <v>81.25</v>
      </c>
      <c r="O111" s="335">
        <v>63.3</v>
      </c>
      <c r="P111" s="336">
        <v>0</v>
      </c>
      <c r="Q111" s="336"/>
      <c r="R111" s="337">
        <f>SUM(O111:Q111)</f>
        <v>63.3</v>
      </c>
      <c r="S111" s="340">
        <v>3</v>
      </c>
      <c r="T111" s="838"/>
      <c r="U111" s="836">
        <v>39220</v>
      </c>
      <c r="V111" s="299" t="s">
        <v>119</v>
      </c>
      <c r="W111" s="292" t="s">
        <v>76</v>
      </c>
      <c r="X111" s="292" t="s">
        <v>11</v>
      </c>
      <c r="Y111" s="300">
        <v>63.3</v>
      </c>
      <c r="Z111" s="292" t="s">
        <v>414</v>
      </c>
      <c r="AA111" s="292" t="s">
        <v>327</v>
      </c>
      <c r="AB111" s="292" t="s">
        <v>18</v>
      </c>
      <c r="AC111" s="292">
        <v>0</v>
      </c>
      <c r="AD111" s="299"/>
      <c r="AG111" s="300"/>
      <c r="AL111" s="299"/>
      <c r="AO111" s="300"/>
      <c r="AP111" s="299"/>
      <c r="AS111" s="300"/>
      <c r="AW111" s="300"/>
      <c r="BA111" s="301"/>
    </row>
    <row r="112" spans="1:53" s="73" customFormat="1">
      <c r="A112" s="73">
        <v>2007</v>
      </c>
      <c r="B112" s="852">
        <v>39252</v>
      </c>
      <c r="C112" s="917" t="s">
        <v>413</v>
      </c>
      <c r="D112" s="917"/>
      <c r="E112" s="73">
        <v>196</v>
      </c>
      <c r="F112" s="73">
        <v>1</v>
      </c>
      <c r="G112" s="119">
        <v>12</v>
      </c>
      <c r="H112" s="73">
        <v>1</v>
      </c>
      <c r="J112" s="126">
        <v>16</v>
      </c>
      <c r="K112" s="92">
        <f t="shared" si="13"/>
        <v>75</v>
      </c>
      <c r="L112" s="92">
        <f t="shared" si="14"/>
        <v>6.25</v>
      </c>
      <c r="M112" s="92">
        <f t="shared" si="15"/>
        <v>0</v>
      </c>
      <c r="N112" s="121">
        <f t="shared" si="8"/>
        <v>81.25</v>
      </c>
      <c r="O112" s="91">
        <v>54.1</v>
      </c>
      <c r="P112" s="92">
        <v>3.8</v>
      </c>
      <c r="Q112" s="92"/>
      <c r="R112" s="93">
        <f t="shared" si="9"/>
        <v>57.9</v>
      </c>
      <c r="S112" s="97">
        <v>3</v>
      </c>
      <c r="T112" s="839">
        <v>39243</v>
      </c>
      <c r="U112" s="852">
        <v>39252</v>
      </c>
      <c r="V112" s="82" t="s">
        <v>119</v>
      </c>
      <c r="W112" s="73" t="s">
        <v>76</v>
      </c>
      <c r="X112" s="73" t="s">
        <v>11</v>
      </c>
      <c r="Y112" s="83">
        <v>54.1</v>
      </c>
      <c r="Z112" s="73" t="s">
        <v>414</v>
      </c>
      <c r="AA112" s="73" t="s">
        <v>327</v>
      </c>
      <c r="AB112" s="73" t="s">
        <v>18</v>
      </c>
      <c r="AC112" s="73">
        <v>3.8</v>
      </c>
      <c r="AD112" s="82"/>
      <c r="AG112" s="83"/>
      <c r="AL112" s="82"/>
      <c r="AO112" s="83"/>
      <c r="AP112" s="82"/>
      <c r="AS112" s="83"/>
      <c r="AW112" s="83"/>
      <c r="BA112" s="84"/>
    </row>
    <row r="113" spans="1:53" s="73" customFormat="1">
      <c r="A113" s="73">
        <v>2008</v>
      </c>
      <c r="B113" s="852"/>
      <c r="C113" s="917" t="s">
        <v>413</v>
      </c>
      <c r="D113" s="917"/>
      <c r="E113" s="73">
        <v>0</v>
      </c>
      <c r="G113" s="119">
        <v>12</v>
      </c>
      <c r="H113" s="73">
        <v>1</v>
      </c>
      <c r="J113" s="126">
        <v>16</v>
      </c>
      <c r="K113" s="92">
        <f t="shared" si="13"/>
        <v>75</v>
      </c>
      <c r="L113" s="92">
        <f t="shared" si="14"/>
        <v>6.25</v>
      </c>
      <c r="M113" s="92">
        <f t="shared" si="15"/>
        <v>0</v>
      </c>
      <c r="N113" s="121">
        <f t="shared" si="8"/>
        <v>81.25</v>
      </c>
      <c r="O113" s="91">
        <v>54.1</v>
      </c>
      <c r="P113" s="92">
        <v>3.8</v>
      </c>
      <c r="Q113" s="92"/>
      <c r="R113" s="93">
        <f t="shared" si="9"/>
        <v>57.9</v>
      </c>
      <c r="S113" s="97">
        <v>3</v>
      </c>
      <c r="T113" s="839"/>
      <c r="U113" s="852"/>
      <c r="V113" s="82" t="s">
        <v>119</v>
      </c>
      <c r="W113" s="73" t="s">
        <v>76</v>
      </c>
      <c r="X113" s="73" t="s">
        <v>11</v>
      </c>
      <c r="Y113" s="83">
        <v>54.1</v>
      </c>
      <c r="Z113" s="73" t="s">
        <v>414</v>
      </c>
      <c r="AA113" s="73" t="s">
        <v>327</v>
      </c>
      <c r="AB113" s="73" t="s">
        <v>18</v>
      </c>
      <c r="AC113" s="73">
        <v>3.8</v>
      </c>
      <c r="AD113" s="82"/>
      <c r="AG113" s="83"/>
      <c r="AL113" s="82"/>
      <c r="AO113" s="83"/>
      <c r="AP113" s="82"/>
      <c r="AS113" s="83"/>
      <c r="AW113" s="83"/>
      <c r="BA113" s="84"/>
    </row>
    <row r="114" spans="1:53" s="73" customFormat="1">
      <c r="A114" s="73">
        <v>2008</v>
      </c>
      <c r="B114" s="852"/>
      <c r="C114" s="917" t="s">
        <v>413</v>
      </c>
      <c r="D114" s="917"/>
      <c r="E114" s="73">
        <v>366</v>
      </c>
      <c r="G114" s="119">
        <v>12</v>
      </c>
      <c r="H114" s="73">
        <v>1</v>
      </c>
      <c r="J114" s="126">
        <v>16</v>
      </c>
      <c r="K114" s="92">
        <f t="shared" si="13"/>
        <v>75</v>
      </c>
      <c r="L114" s="92">
        <f t="shared" si="14"/>
        <v>6.25</v>
      </c>
      <c r="M114" s="92">
        <f t="shared" si="15"/>
        <v>0</v>
      </c>
      <c r="N114" s="121">
        <f t="shared" si="8"/>
        <v>81.25</v>
      </c>
      <c r="O114" s="91">
        <v>54.1</v>
      </c>
      <c r="P114" s="92">
        <v>3.8</v>
      </c>
      <c r="Q114" s="92"/>
      <c r="R114" s="93">
        <f t="shared" si="9"/>
        <v>57.9</v>
      </c>
      <c r="S114" s="97">
        <v>3</v>
      </c>
      <c r="T114" s="839"/>
      <c r="U114" s="852"/>
      <c r="V114" s="82" t="s">
        <v>119</v>
      </c>
      <c r="W114" s="73" t="s">
        <v>76</v>
      </c>
      <c r="X114" s="73" t="s">
        <v>11</v>
      </c>
      <c r="Y114" s="83">
        <v>54.1</v>
      </c>
      <c r="Z114" s="73" t="s">
        <v>414</v>
      </c>
      <c r="AA114" s="73" t="s">
        <v>327</v>
      </c>
      <c r="AB114" s="73" t="s">
        <v>18</v>
      </c>
      <c r="AC114" s="73">
        <v>3.8</v>
      </c>
      <c r="AD114" s="82"/>
      <c r="AG114" s="83"/>
      <c r="AL114" s="82"/>
      <c r="AO114" s="83"/>
      <c r="AP114" s="82"/>
      <c r="AS114" s="83"/>
      <c r="AW114" s="83"/>
      <c r="BA114" s="84"/>
    </row>
    <row r="115" spans="1:53" s="73" customFormat="1">
      <c r="A115" s="73">
        <v>2009</v>
      </c>
      <c r="B115" s="852"/>
      <c r="C115" s="917" t="s">
        <v>413</v>
      </c>
      <c r="D115" s="917"/>
      <c r="E115" s="73">
        <v>14</v>
      </c>
      <c r="G115" s="119">
        <v>12</v>
      </c>
      <c r="H115" s="73">
        <v>1</v>
      </c>
      <c r="J115" s="126">
        <v>16</v>
      </c>
      <c r="K115" s="92">
        <f t="shared" si="13"/>
        <v>75</v>
      </c>
      <c r="L115" s="92">
        <f t="shared" si="14"/>
        <v>6.25</v>
      </c>
      <c r="M115" s="92">
        <f t="shared" si="15"/>
        <v>0</v>
      </c>
      <c r="N115" s="121">
        <f t="shared" si="8"/>
        <v>81.25</v>
      </c>
      <c r="O115" s="91">
        <v>54.1</v>
      </c>
      <c r="P115" s="92">
        <v>3.8</v>
      </c>
      <c r="Q115" s="92"/>
      <c r="R115" s="93">
        <f t="shared" si="9"/>
        <v>57.9</v>
      </c>
      <c r="S115" s="97">
        <v>3</v>
      </c>
      <c r="T115" s="839"/>
      <c r="U115" s="852"/>
      <c r="V115" s="82" t="s">
        <v>119</v>
      </c>
      <c r="W115" s="73" t="s">
        <v>76</v>
      </c>
      <c r="X115" s="73" t="s">
        <v>11</v>
      </c>
      <c r="Y115" s="83">
        <v>54.1</v>
      </c>
      <c r="Z115" s="73" t="s">
        <v>414</v>
      </c>
      <c r="AA115" s="73" t="s">
        <v>327</v>
      </c>
      <c r="AB115" s="73" t="s">
        <v>18</v>
      </c>
      <c r="AC115" s="73">
        <v>3.8</v>
      </c>
      <c r="AD115" s="82"/>
      <c r="AG115" s="83"/>
      <c r="AL115" s="82"/>
      <c r="AO115" s="83"/>
      <c r="AP115" s="82"/>
      <c r="AS115" s="83"/>
      <c r="AW115" s="83"/>
      <c r="BA115" s="84"/>
    </row>
    <row r="116" spans="1:53" s="73" customFormat="1">
      <c r="A116" s="73">
        <v>2009</v>
      </c>
      <c r="B116" s="860">
        <v>39828</v>
      </c>
      <c r="C116" s="917" t="s">
        <v>413</v>
      </c>
      <c r="D116" s="917"/>
      <c r="E116" s="73">
        <v>159</v>
      </c>
      <c r="F116" s="139">
        <v>0</v>
      </c>
      <c r="G116" s="119">
        <v>15</v>
      </c>
      <c r="H116" s="73">
        <v>1</v>
      </c>
      <c r="J116" s="126">
        <v>17</v>
      </c>
      <c r="K116" s="92">
        <f t="shared" si="13"/>
        <v>88.235294117647058</v>
      </c>
      <c r="L116" s="92">
        <f t="shared" si="14"/>
        <v>5.8823529411764701</v>
      </c>
      <c r="M116" s="92">
        <f t="shared" si="15"/>
        <v>0</v>
      </c>
      <c r="N116" s="121">
        <f t="shared" si="8"/>
        <v>94.117647058823522</v>
      </c>
      <c r="O116" s="91">
        <v>54.1</v>
      </c>
      <c r="P116" s="92">
        <v>3.8</v>
      </c>
      <c r="Q116" s="92"/>
      <c r="R116" s="93">
        <f t="shared" si="9"/>
        <v>57.9</v>
      </c>
      <c r="S116" s="97">
        <v>3</v>
      </c>
      <c r="T116" s="839"/>
      <c r="U116" s="860"/>
      <c r="V116" s="82" t="s">
        <v>119</v>
      </c>
      <c r="W116" s="73" t="s">
        <v>76</v>
      </c>
      <c r="X116" s="73" t="s">
        <v>11</v>
      </c>
      <c r="Y116" s="83">
        <v>54.1</v>
      </c>
      <c r="Z116" s="73" t="s">
        <v>414</v>
      </c>
      <c r="AA116" s="73" t="s">
        <v>327</v>
      </c>
      <c r="AB116" s="73" t="s">
        <v>18</v>
      </c>
      <c r="AC116" s="73">
        <v>3.8</v>
      </c>
      <c r="AD116" s="82"/>
      <c r="AG116" s="83"/>
      <c r="AL116" s="82"/>
      <c r="AO116" s="83"/>
      <c r="AP116" s="82"/>
      <c r="AS116" s="83"/>
      <c r="AW116" s="83"/>
      <c r="BA116" s="84"/>
    </row>
    <row r="117" spans="1:53" s="73" customFormat="1">
      <c r="A117" s="73">
        <v>2009</v>
      </c>
      <c r="B117" s="860">
        <v>39987</v>
      </c>
      <c r="C117" s="917" t="s">
        <v>413</v>
      </c>
      <c r="D117" s="917"/>
      <c r="E117" s="73">
        <v>192</v>
      </c>
      <c r="F117" s="139">
        <v>0</v>
      </c>
      <c r="G117" s="119">
        <v>15</v>
      </c>
      <c r="H117" s="73">
        <v>1</v>
      </c>
      <c r="J117" s="126">
        <v>19</v>
      </c>
      <c r="K117" s="92">
        <f t="shared" si="13"/>
        <v>78.94736842105263</v>
      </c>
      <c r="L117" s="92">
        <f t="shared" si="14"/>
        <v>5.2631578947368416</v>
      </c>
      <c r="M117" s="92">
        <f t="shared" si="15"/>
        <v>0</v>
      </c>
      <c r="N117" s="121">
        <f t="shared" si="8"/>
        <v>84.210526315789465</v>
      </c>
      <c r="O117" s="91">
        <v>54.1</v>
      </c>
      <c r="P117" s="92">
        <v>3.8</v>
      </c>
      <c r="Q117" s="92"/>
      <c r="R117" s="93">
        <f t="shared" si="9"/>
        <v>57.9</v>
      </c>
      <c r="S117" s="97">
        <v>3</v>
      </c>
      <c r="T117" s="839"/>
      <c r="U117" s="860"/>
      <c r="V117" s="82" t="s">
        <v>119</v>
      </c>
      <c r="W117" s="73" t="s">
        <v>76</v>
      </c>
      <c r="X117" s="73" t="s">
        <v>11</v>
      </c>
      <c r="Y117" s="83">
        <v>54.1</v>
      </c>
      <c r="Z117" s="73" t="s">
        <v>414</v>
      </c>
      <c r="AA117" s="73" t="s">
        <v>327</v>
      </c>
      <c r="AB117" s="73" t="s">
        <v>18</v>
      </c>
      <c r="AC117" s="73">
        <v>3.8</v>
      </c>
      <c r="AD117" s="82"/>
      <c r="AG117" s="83"/>
      <c r="AL117" s="82"/>
      <c r="AO117" s="83"/>
      <c r="AP117" s="82"/>
      <c r="AS117" s="83"/>
      <c r="AW117" s="83"/>
      <c r="BA117" s="84"/>
    </row>
    <row r="118" spans="1:53" s="73" customFormat="1">
      <c r="A118" s="73">
        <v>2010</v>
      </c>
      <c r="B118" s="852"/>
      <c r="C118" s="917" t="s">
        <v>413</v>
      </c>
      <c r="D118" s="917"/>
      <c r="E118" s="73">
        <v>317</v>
      </c>
      <c r="G118" s="119">
        <v>15</v>
      </c>
      <c r="H118" s="73">
        <v>1</v>
      </c>
      <c r="J118" s="126">
        <v>19</v>
      </c>
      <c r="K118" s="92">
        <f t="shared" si="13"/>
        <v>78.94736842105263</v>
      </c>
      <c r="L118" s="92">
        <f t="shared" si="14"/>
        <v>5.2631578947368416</v>
      </c>
      <c r="M118" s="92">
        <f t="shared" si="15"/>
        <v>0</v>
      </c>
      <c r="N118" s="121">
        <f t="shared" si="8"/>
        <v>84.210526315789465</v>
      </c>
      <c r="O118" s="91">
        <v>54.1</v>
      </c>
      <c r="P118" s="92">
        <v>3.8</v>
      </c>
      <c r="Q118" s="92"/>
      <c r="R118" s="93">
        <f t="shared" si="9"/>
        <v>57.9</v>
      </c>
      <c r="S118" s="97">
        <v>3</v>
      </c>
      <c r="T118" s="839"/>
      <c r="U118" s="852"/>
      <c r="V118" s="82" t="s">
        <v>119</v>
      </c>
      <c r="W118" s="73" t="s">
        <v>76</v>
      </c>
      <c r="X118" s="73" t="s">
        <v>11</v>
      </c>
      <c r="Y118" s="83">
        <v>54.1</v>
      </c>
      <c r="Z118" s="73" t="s">
        <v>414</v>
      </c>
      <c r="AA118" s="73" t="s">
        <v>327</v>
      </c>
      <c r="AB118" s="73" t="s">
        <v>18</v>
      </c>
      <c r="AC118" s="73">
        <v>3.8</v>
      </c>
      <c r="AD118" s="82"/>
      <c r="AG118" s="83"/>
      <c r="AL118" s="82"/>
      <c r="AO118" s="83"/>
      <c r="AP118" s="82"/>
      <c r="AS118" s="83"/>
      <c r="AW118" s="83"/>
      <c r="BA118" s="84"/>
    </row>
    <row r="119" spans="1:53" s="292" customFormat="1">
      <c r="A119" s="292">
        <v>2010</v>
      </c>
      <c r="B119" s="836">
        <v>40496</v>
      </c>
      <c r="C119" s="916" t="s">
        <v>1141</v>
      </c>
      <c r="D119" s="916"/>
      <c r="E119" s="292">
        <f>365-E118</f>
        <v>48</v>
      </c>
      <c r="F119" s="292">
        <v>4</v>
      </c>
      <c r="G119" s="366">
        <v>22</v>
      </c>
      <c r="J119" s="377">
        <v>23</v>
      </c>
      <c r="K119" s="336">
        <f t="shared" si="13"/>
        <v>95.652173913043484</v>
      </c>
      <c r="L119" s="336">
        <f t="shared" si="13"/>
        <v>0</v>
      </c>
      <c r="M119" s="336">
        <f t="shared" si="15"/>
        <v>0</v>
      </c>
      <c r="N119" s="368">
        <f t="shared" si="8"/>
        <v>95.652173913043484</v>
      </c>
      <c r="O119" s="335">
        <v>54.1</v>
      </c>
      <c r="P119" s="336"/>
      <c r="Q119" s="336"/>
      <c r="R119" s="337">
        <f t="shared" si="9"/>
        <v>54.1</v>
      </c>
      <c r="S119" s="340">
        <v>1</v>
      </c>
      <c r="T119" s="838"/>
      <c r="U119" s="836">
        <v>40496</v>
      </c>
      <c r="V119" s="299" t="s">
        <v>119</v>
      </c>
      <c r="W119" s="292" t="s">
        <v>76</v>
      </c>
      <c r="X119" s="292" t="s">
        <v>11</v>
      </c>
      <c r="Y119" s="300">
        <v>54.1</v>
      </c>
      <c r="AD119" s="299"/>
      <c r="AG119" s="300"/>
      <c r="AL119" s="299"/>
      <c r="AO119" s="300"/>
      <c r="AP119" s="299"/>
      <c r="AS119" s="300"/>
      <c r="AW119" s="300"/>
      <c r="BA119" s="301"/>
    </row>
    <row r="120" spans="1:53" s="292" customFormat="1">
      <c r="A120" s="292">
        <v>2011</v>
      </c>
      <c r="B120" s="836"/>
      <c r="C120" s="916" t="s">
        <v>1141</v>
      </c>
      <c r="D120" s="916"/>
      <c r="E120" s="292">
        <v>0</v>
      </c>
      <c r="G120" s="366">
        <v>22</v>
      </c>
      <c r="J120" s="377">
        <v>23</v>
      </c>
      <c r="K120" s="336">
        <f t="shared" ref="K120:L122" si="16">G120/J120*100</f>
        <v>95.652173913043484</v>
      </c>
      <c r="L120" s="336">
        <f t="shared" si="16"/>
        <v>0</v>
      </c>
      <c r="M120" s="336">
        <f t="shared" ref="M120:M126" si="17">I120/J120*100</f>
        <v>0</v>
      </c>
      <c r="N120" s="368">
        <f t="shared" si="8"/>
        <v>95.652173913043484</v>
      </c>
      <c r="O120" s="335">
        <v>54.1</v>
      </c>
      <c r="P120" s="336"/>
      <c r="Q120" s="336"/>
      <c r="R120" s="337">
        <f t="shared" si="9"/>
        <v>54.1</v>
      </c>
      <c r="S120" s="340">
        <v>1</v>
      </c>
      <c r="T120" s="838"/>
      <c r="U120" s="836"/>
      <c r="V120" s="299" t="s">
        <v>119</v>
      </c>
      <c r="W120" s="292" t="s">
        <v>76</v>
      </c>
      <c r="X120" s="292" t="s">
        <v>11</v>
      </c>
      <c r="Y120" s="300">
        <v>54.1</v>
      </c>
      <c r="AD120" s="299"/>
      <c r="AG120" s="300"/>
      <c r="AL120" s="299"/>
      <c r="AO120" s="300"/>
      <c r="AP120" s="299"/>
      <c r="AS120" s="300"/>
      <c r="AW120" s="300"/>
      <c r="BA120" s="301"/>
    </row>
    <row r="121" spans="1:53" s="292" customFormat="1">
      <c r="A121" s="292">
        <v>2011</v>
      </c>
      <c r="B121" s="836"/>
      <c r="C121" s="916" t="s">
        <v>1141</v>
      </c>
      <c r="D121" s="916"/>
      <c r="E121" s="292">
        <v>365</v>
      </c>
      <c r="G121" s="366">
        <v>22</v>
      </c>
      <c r="J121" s="377">
        <v>23</v>
      </c>
      <c r="K121" s="336">
        <f t="shared" si="16"/>
        <v>95.652173913043484</v>
      </c>
      <c r="L121" s="336">
        <f t="shared" si="16"/>
        <v>0</v>
      </c>
      <c r="M121" s="336">
        <f t="shared" si="17"/>
        <v>0</v>
      </c>
      <c r="N121" s="368">
        <f t="shared" si="8"/>
        <v>95.652173913043484</v>
      </c>
      <c r="O121" s="335">
        <v>54.1</v>
      </c>
      <c r="P121" s="336"/>
      <c r="Q121" s="336"/>
      <c r="R121" s="337">
        <f t="shared" si="9"/>
        <v>54.1</v>
      </c>
      <c r="S121" s="340">
        <v>1</v>
      </c>
      <c r="T121" s="838"/>
      <c r="U121" s="836"/>
      <c r="V121" s="299" t="s">
        <v>119</v>
      </c>
      <c r="W121" s="292" t="s">
        <v>76</v>
      </c>
      <c r="X121" s="292" t="s">
        <v>11</v>
      </c>
      <c r="Y121" s="300">
        <v>54.1</v>
      </c>
      <c r="AD121" s="299"/>
      <c r="AG121" s="300"/>
      <c r="AL121" s="299"/>
      <c r="AO121" s="300"/>
      <c r="AP121" s="299"/>
      <c r="AS121" s="300"/>
      <c r="AW121" s="300"/>
      <c r="BA121" s="301"/>
    </row>
    <row r="122" spans="1:53" s="292" customFormat="1">
      <c r="A122" s="292">
        <v>2012</v>
      </c>
      <c r="B122" s="836"/>
      <c r="C122" s="916" t="s">
        <v>1141</v>
      </c>
      <c r="D122" s="916"/>
      <c r="E122" s="292">
        <v>136</v>
      </c>
      <c r="G122" s="366">
        <v>22</v>
      </c>
      <c r="J122" s="377">
        <v>23</v>
      </c>
      <c r="K122" s="336">
        <f t="shared" si="16"/>
        <v>95.652173913043484</v>
      </c>
      <c r="L122" s="336">
        <f t="shared" si="16"/>
        <v>0</v>
      </c>
      <c r="M122" s="336">
        <f t="shared" si="17"/>
        <v>0</v>
      </c>
      <c r="N122" s="368">
        <f t="shared" si="8"/>
        <v>95.652173913043484</v>
      </c>
      <c r="O122" s="335">
        <v>54.1</v>
      </c>
      <c r="P122" s="336"/>
      <c r="Q122" s="336"/>
      <c r="R122" s="337">
        <f t="shared" si="9"/>
        <v>54.1</v>
      </c>
      <c r="S122" s="340">
        <v>1</v>
      </c>
      <c r="T122" s="838"/>
      <c r="U122" s="836"/>
      <c r="V122" s="299" t="s">
        <v>119</v>
      </c>
      <c r="W122" s="292" t="s">
        <v>76</v>
      </c>
      <c r="X122" s="292" t="s">
        <v>11</v>
      </c>
      <c r="Y122" s="300">
        <v>54.1</v>
      </c>
      <c r="AD122" s="299"/>
      <c r="AG122" s="300"/>
      <c r="AL122" s="299"/>
      <c r="AO122" s="300"/>
      <c r="AP122" s="299"/>
      <c r="AS122" s="300"/>
      <c r="AW122" s="300"/>
      <c r="BA122" s="301"/>
    </row>
    <row r="123" spans="1:53" s="267" customFormat="1">
      <c r="A123" s="267">
        <v>2012</v>
      </c>
      <c r="B123" s="852">
        <v>41045</v>
      </c>
      <c r="C123" s="917" t="s">
        <v>415</v>
      </c>
      <c r="D123" s="917"/>
      <c r="E123" s="267">
        <v>33</v>
      </c>
      <c r="F123" s="267">
        <v>1</v>
      </c>
      <c r="G123" s="119"/>
      <c r="I123" s="267">
        <v>20</v>
      </c>
      <c r="J123" s="126">
        <v>20</v>
      </c>
      <c r="K123" s="92">
        <f>G123/J123*100</f>
        <v>0</v>
      </c>
      <c r="L123" s="92">
        <f>H123/J123*100</f>
        <v>0</v>
      </c>
      <c r="M123" s="92">
        <f t="shared" si="17"/>
        <v>100</v>
      </c>
      <c r="N123" s="121">
        <f>SUM(K123:M123)</f>
        <v>100</v>
      </c>
      <c r="O123" s="91"/>
      <c r="P123" s="92"/>
      <c r="Q123" s="92">
        <v>37.4</v>
      </c>
      <c r="R123" s="93">
        <f>SUM(O123:Q123)</f>
        <v>37.4</v>
      </c>
      <c r="S123" s="97">
        <v>6</v>
      </c>
      <c r="T123" s="839"/>
      <c r="U123" s="852">
        <v>41045</v>
      </c>
      <c r="V123" s="82" t="s">
        <v>96</v>
      </c>
      <c r="W123" s="267" t="s">
        <v>20</v>
      </c>
      <c r="X123" s="267" t="s">
        <v>12</v>
      </c>
      <c r="Y123" s="83">
        <v>35.5</v>
      </c>
      <c r="Z123" s="589" t="s">
        <v>1323</v>
      </c>
      <c r="AA123" s="267" t="s">
        <v>88</v>
      </c>
      <c r="AB123" s="267" t="s">
        <v>12</v>
      </c>
      <c r="AC123" s="267">
        <v>1.2</v>
      </c>
      <c r="AD123" s="82" t="s">
        <v>407</v>
      </c>
      <c r="AE123" s="267" t="s">
        <v>218</v>
      </c>
      <c r="AF123" s="267" t="s">
        <v>12</v>
      </c>
      <c r="AG123" s="83">
        <v>0.7</v>
      </c>
      <c r="AL123" s="82"/>
      <c r="AO123" s="83"/>
      <c r="AP123" s="82"/>
      <c r="AS123" s="83"/>
      <c r="AW123" s="83"/>
      <c r="BA123" s="84"/>
    </row>
    <row r="124" spans="1:53" s="292" customFormat="1">
      <c r="A124" s="292">
        <v>2012</v>
      </c>
      <c r="B124" s="836">
        <v>41078</v>
      </c>
      <c r="C124" s="916" t="s">
        <v>416</v>
      </c>
      <c r="D124" s="916"/>
      <c r="E124" s="292">
        <v>197</v>
      </c>
      <c r="F124" s="292">
        <v>1</v>
      </c>
      <c r="G124" s="366"/>
      <c r="I124" s="292">
        <v>21</v>
      </c>
      <c r="J124" s="377">
        <v>21</v>
      </c>
      <c r="K124" s="336">
        <f t="shared" ref="K124:K131" si="18">G124/J124*100</f>
        <v>0</v>
      </c>
      <c r="L124" s="336">
        <f>H124/J124*100</f>
        <v>0</v>
      </c>
      <c r="M124" s="336">
        <f t="shared" si="17"/>
        <v>100</v>
      </c>
      <c r="N124" s="368">
        <f t="shared" si="8"/>
        <v>100</v>
      </c>
      <c r="O124" s="335"/>
      <c r="P124" s="336"/>
      <c r="Q124" s="336">
        <v>53.5</v>
      </c>
      <c r="R124" s="337">
        <f t="shared" si="9"/>
        <v>53.5</v>
      </c>
      <c r="S124" s="340">
        <v>3</v>
      </c>
      <c r="T124" s="838">
        <v>41077</v>
      </c>
      <c r="U124" s="836">
        <v>41078</v>
      </c>
      <c r="V124" s="299" t="s">
        <v>96</v>
      </c>
      <c r="W124" s="292" t="s">
        <v>20</v>
      </c>
      <c r="X124" s="292" t="s">
        <v>12</v>
      </c>
      <c r="Y124" s="300">
        <v>48.5</v>
      </c>
      <c r="Z124" s="719" t="s">
        <v>1323</v>
      </c>
      <c r="AA124" s="292" t="s">
        <v>88</v>
      </c>
      <c r="AB124" s="292" t="s">
        <v>12</v>
      </c>
      <c r="AC124" s="292">
        <v>2.1</v>
      </c>
      <c r="AD124" s="299" t="s">
        <v>407</v>
      </c>
      <c r="AE124" s="292" t="s">
        <v>218</v>
      </c>
      <c r="AF124" s="292" t="s">
        <v>12</v>
      </c>
      <c r="AG124" s="300">
        <v>2.9</v>
      </c>
      <c r="AL124" s="299"/>
      <c r="AO124" s="300"/>
      <c r="AP124" s="299"/>
      <c r="AS124" s="300"/>
      <c r="AW124" s="300"/>
      <c r="BA124" s="301"/>
    </row>
    <row r="125" spans="1:53" s="292" customFormat="1">
      <c r="A125" s="292">
        <v>2013</v>
      </c>
      <c r="B125" s="836"/>
      <c r="C125" s="909" t="s">
        <v>416</v>
      </c>
      <c r="D125" s="909"/>
      <c r="E125" s="292">
        <v>0</v>
      </c>
      <c r="G125" s="366"/>
      <c r="I125" s="292">
        <v>21</v>
      </c>
      <c r="J125" s="377">
        <v>21</v>
      </c>
      <c r="K125" s="336">
        <f t="shared" si="18"/>
        <v>0</v>
      </c>
      <c r="L125" s="537">
        <f t="shared" ref="L125:L131" si="19">H125/J125*100</f>
        <v>0</v>
      </c>
      <c r="M125" s="336">
        <f t="shared" si="17"/>
        <v>100</v>
      </c>
      <c r="N125" s="426">
        <f t="shared" si="8"/>
        <v>100</v>
      </c>
      <c r="O125" s="335"/>
      <c r="P125" s="336"/>
      <c r="Q125" s="336">
        <v>53.5</v>
      </c>
      <c r="R125" s="337">
        <f t="shared" si="9"/>
        <v>53.5</v>
      </c>
      <c r="S125" s="340">
        <v>3</v>
      </c>
      <c r="T125" s="838"/>
      <c r="U125" s="836"/>
      <c r="V125" s="299" t="s">
        <v>96</v>
      </c>
      <c r="W125" s="292" t="s">
        <v>20</v>
      </c>
      <c r="X125" s="292" t="s">
        <v>12</v>
      </c>
      <c r="Y125" s="300">
        <v>48.5</v>
      </c>
      <c r="Z125" s="719" t="s">
        <v>1323</v>
      </c>
      <c r="AA125" s="292" t="s">
        <v>88</v>
      </c>
      <c r="AB125" s="292" t="s">
        <v>12</v>
      </c>
      <c r="AC125" s="292">
        <v>2.1</v>
      </c>
      <c r="AD125" s="299" t="s">
        <v>407</v>
      </c>
      <c r="AE125" s="292" t="s">
        <v>218</v>
      </c>
      <c r="AF125" s="292" t="s">
        <v>12</v>
      </c>
      <c r="AG125" s="300">
        <v>2.9</v>
      </c>
      <c r="AL125" s="299"/>
      <c r="AO125" s="300"/>
      <c r="AP125" s="299"/>
      <c r="AS125" s="300"/>
      <c r="AW125" s="300"/>
      <c r="BA125" s="301"/>
    </row>
    <row r="126" spans="1:53" s="292" customFormat="1">
      <c r="A126" s="292">
        <v>2013</v>
      </c>
      <c r="B126" s="836"/>
      <c r="C126" s="909" t="s">
        <v>416</v>
      </c>
      <c r="D126" s="909"/>
      <c r="E126" s="292">
        <v>365</v>
      </c>
      <c r="G126" s="366"/>
      <c r="I126" s="292">
        <v>21</v>
      </c>
      <c r="J126" s="377">
        <v>21</v>
      </c>
      <c r="K126" s="336">
        <f t="shared" si="18"/>
        <v>0</v>
      </c>
      <c r="L126" s="537">
        <f t="shared" si="19"/>
        <v>0</v>
      </c>
      <c r="M126" s="336">
        <f t="shared" si="17"/>
        <v>100</v>
      </c>
      <c r="N126" s="426">
        <f t="shared" si="8"/>
        <v>100</v>
      </c>
      <c r="O126" s="335"/>
      <c r="P126" s="336"/>
      <c r="Q126" s="336">
        <v>53.5</v>
      </c>
      <c r="R126" s="337">
        <f t="shared" si="9"/>
        <v>53.5</v>
      </c>
      <c r="S126" s="340">
        <v>3</v>
      </c>
      <c r="T126" s="838"/>
      <c r="U126" s="836"/>
      <c r="V126" s="299" t="s">
        <v>96</v>
      </c>
      <c r="W126" s="292" t="s">
        <v>20</v>
      </c>
      <c r="X126" s="292" t="s">
        <v>12</v>
      </c>
      <c r="Y126" s="300">
        <v>48.5</v>
      </c>
      <c r="Z126" s="719" t="s">
        <v>1323</v>
      </c>
      <c r="AA126" s="292" t="s">
        <v>88</v>
      </c>
      <c r="AB126" s="292" t="s">
        <v>12</v>
      </c>
      <c r="AC126" s="292">
        <v>2.1</v>
      </c>
      <c r="AD126" s="299" t="s">
        <v>407</v>
      </c>
      <c r="AE126" s="292" t="s">
        <v>218</v>
      </c>
      <c r="AF126" s="292" t="s">
        <v>12</v>
      </c>
      <c r="AG126" s="300">
        <v>2.9</v>
      </c>
      <c r="AL126" s="299"/>
      <c r="AO126" s="300"/>
      <c r="AP126" s="299"/>
      <c r="AS126" s="300"/>
      <c r="AW126" s="300"/>
      <c r="BA126" s="301"/>
    </row>
    <row r="127" spans="1:53" s="449" customFormat="1">
      <c r="A127" s="449">
        <v>2014</v>
      </c>
      <c r="B127" s="836"/>
      <c r="C127" s="909" t="s">
        <v>416</v>
      </c>
      <c r="D127" s="909"/>
      <c r="E127" s="449">
        <v>89</v>
      </c>
      <c r="G127" s="425"/>
      <c r="I127" s="449">
        <v>21</v>
      </c>
      <c r="J127" s="427">
        <v>21</v>
      </c>
      <c r="K127" s="423">
        <f t="shared" si="18"/>
        <v>0</v>
      </c>
      <c r="L127" s="537">
        <f t="shared" si="19"/>
        <v>0</v>
      </c>
      <c r="M127" s="423">
        <f>I127/J127*100</f>
        <v>100</v>
      </c>
      <c r="N127" s="426">
        <f t="shared" si="8"/>
        <v>100</v>
      </c>
      <c r="O127" s="422"/>
      <c r="P127" s="423"/>
      <c r="Q127" s="423">
        <v>53.5</v>
      </c>
      <c r="R127" s="424">
        <f>SUM(O127:Q127)</f>
        <v>53.5</v>
      </c>
      <c r="S127" s="340">
        <v>3</v>
      </c>
      <c r="T127" s="838"/>
      <c r="U127" s="836"/>
      <c r="V127" s="417" t="s">
        <v>96</v>
      </c>
      <c r="W127" s="449" t="s">
        <v>20</v>
      </c>
      <c r="X127" s="449" t="s">
        <v>12</v>
      </c>
      <c r="Y127" s="418">
        <v>48.5</v>
      </c>
      <c r="Z127" s="719" t="s">
        <v>1323</v>
      </c>
      <c r="AA127" s="449" t="s">
        <v>88</v>
      </c>
      <c r="AB127" s="449" t="s">
        <v>12</v>
      </c>
      <c r="AC127" s="449">
        <v>2.1</v>
      </c>
      <c r="AD127" s="417" t="s">
        <v>407</v>
      </c>
      <c r="AE127" s="449" t="s">
        <v>218</v>
      </c>
      <c r="AF127" s="449" t="s">
        <v>12</v>
      </c>
      <c r="AG127" s="418">
        <v>2.9</v>
      </c>
      <c r="AL127" s="417"/>
      <c r="AO127" s="418"/>
      <c r="AP127" s="417"/>
      <c r="AS127" s="418"/>
      <c r="AW127" s="418"/>
      <c r="BA127" s="419"/>
    </row>
    <row r="128" spans="1:53" s="448" customFormat="1">
      <c r="A128" s="448">
        <v>2014</v>
      </c>
      <c r="B128" s="852">
        <v>41729</v>
      </c>
      <c r="C128" s="917" t="s">
        <v>1292</v>
      </c>
      <c r="D128" s="917"/>
      <c r="E128" s="448">
        <v>149</v>
      </c>
      <c r="F128" s="448">
        <v>2</v>
      </c>
      <c r="G128" s="411"/>
      <c r="I128" s="448">
        <v>17</v>
      </c>
      <c r="J128" s="413">
        <v>17</v>
      </c>
      <c r="K128" s="409">
        <f t="shared" si="18"/>
        <v>0</v>
      </c>
      <c r="L128" s="496">
        <f>H128/J128*100</f>
        <v>0</v>
      </c>
      <c r="M128" s="409">
        <f>I128/J128*100</f>
        <v>100</v>
      </c>
      <c r="N128" s="412">
        <f t="shared" si="8"/>
        <v>100</v>
      </c>
      <c r="O128" s="408"/>
      <c r="P128" s="409"/>
      <c r="Q128" s="409">
        <v>50.2</v>
      </c>
      <c r="R128" s="410">
        <f>SUM(O128:Q128)</f>
        <v>50.2</v>
      </c>
      <c r="S128" s="97">
        <v>2</v>
      </c>
      <c r="T128" s="839"/>
      <c r="U128" s="852">
        <v>41729</v>
      </c>
      <c r="V128" s="405" t="s">
        <v>96</v>
      </c>
      <c r="W128" s="448" t="s">
        <v>20</v>
      </c>
      <c r="X128" s="448" t="s">
        <v>12</v>
      </c>
      <c r="Y128" s="406">
        <v>48.1</v>
      </c>
      <c r="Z128" s="718" t="s">
        <v>1323</v>
      </c>
      <c r="AA128" s="448" t="s">
        <v>88</v>
      </c>
      <c r="AB128" s="448" t="s">
        <v>12</v>
      </c>
      <c r="AC128" s="448">
        <v>2.1</v>
      </c>
      <c r="AD128" s="405"/>
      <c r="AG128" s="406"/>
      <c r="AL128" s="405"/>
      <c r="AO128" s="406"/>
      <c r="AP128" s="405"/>
      <c r="AS128" s="406"/>
      <c r="AW128" s="406"/>
      <c r="BA128" s="407"/>
    </row>
    <row r="129" spans="1:53" s="448" customFormat="1">
      <c r="A129" s="448">
        <v>2014</v>
      </c>
      <c r="B129" s="860">
        <v>41878</v>
      </c>
      <c r="C129" s="917" t="s">
        <v>1292</v>
      </c>
      <c r="D129" s="917"/>
      <c r="E129" s="448">
        <v>127</v>
      </c>
      <c r="F129" s="414">
        <v>0</v>
      </c>
      <c r="G129" s="411"/>
      <c r="I129" s="589">
        <v>17</v>
      </c>
      <c r="J129" s="500">
        <v>17</v>
      </c>
      <c r="K129" s="496">
        <f t="shared" si="18"/>
        <v>0</v>
      </c>
      <c r="L129" s="496">
        <f t="shared" si="19"/>
        <v>0</v>
      </c>
      <c r="M129" s="409">
        <f>I129/J129*100</f>
        <v>100</v>
      </c>
      <c r="N129" s="412">
        <f t="shared" si="8"/>
        <v>100</v>
      </c>
      <c r="O129" s="408"/>
      <c r="P129" s="409"/>
      <c r="Q129" s="409">
        <v>50.2</v>
      </c>
      <c r="R129" s="410">
        <f>SUM(O129:Q129)</f>
        <v>50.2</v>
      </c>
      <c r="S129" s="97">
        <v>2</v>
      </c>
      <c r="T129" s="839"/>
      <c r="U129" s="860"/>
      <c r="V129" s="405" t="s">
        <v>96</v>
      </c>
      <c r="W129" s="448" t="s">
        <v>20</v>
      </c>
      <c r="X129" s="448" t="s">
        <v>12</v>
      </c>
      <c r="Y129" s="406">
        <v>48.1</v>
      </c>
      <c r="Z129" s="718" t="s">
        <v>1323</v>
      </c>
      <c r="AA129" s="448" t="s">
        <v>88</v>
      </c>
      <c r="AB129" s="448" t="s">
        <v>12</v>
      </c>
      <c r="AC129" s="448">
        <v>2.1</v>
      </c>
      <c r="AD129" s="405"/>
      <c r="AG129" s="406"/>
      <c r="AL129" s="405"/>
      <c r="AO129" s="406"/>
      <c r="AP129" s="405"/>
      <c r="AS129" s="406"/>
      <c r="AW129" s="406"/>
      <c r="BA129" s="407"/>
    </row>
    <row r="130" spans="1:53" s="589" customFormat="1">
      <c r="A130" s="589">
        <v>2015</v>
      </c>
      <c r="B130" s="860"/>
      <c r="C130" s="917" t="s">
        <v>1292</v>
      </c>
      <c r="D130" s="917"/>
      <c r="E130" s="589">
        <v>0</v>
      </c>
      <c r="F130" s="502"/>
      <c r="G130" s="498"/>
      <c r="I130" s="448">
        <v>17</v>
      </c>
      <c r="J130" s="413">
        <v>17</v>
      </c>
      <c r="K130" s="496">
        <f t="shared" si="18"/>
        <v>0</v>
      </c>
      <c r="L130" s="496">
        <f t="shared" si="19"/>
        <v>0</v>
      </c>
      <c r="M130" s="496">
        <f t="shared" ref="M130:M131" si="20">I130/J130*100</f>
        <v>100</v>
      </c>
      <c r="N130" s="499">
        <f t="shared" ref="N130:N131" si="21">SUM(K130:M130)</f>
        <v>100</v>
      </c>
      <c r="O130" s="495"/>
      <c r="P130" s="496"/>
      <c r="Q130" s="496">
        <v>50.2</v>
      </c>
      <c r="R130" s="497">
        <f t="shared" ref="R130:R131" si="22">SUM(O130:Q130)</f>
        <v>50.2</v>
      </c>
      <c r="S130" s="97">
        <v>2</v>
      </c>
      <c r="T130" s="839"/>
      <c r="U130" s="860"/>
      <c r="V130" s="492" t="s">
        <v>96</v>
      </c>
      <c r="W130" s="589" t="s">
        <v>20</v>
      </c>
      <c r="X130" s="589" t="s">
        <v>12</v>
      </c>
      <c r="Y130" s="493">
        <v>48.1</v>
      </c>
      <c r="Z130" s="718" t="s">
        <v>1323</v>
      </c>
      <c r="AA130" s="589" t="s">
        <v>88</v>
      </c>
      <c r="AB130" s="589" t="s">
        <v>12</v>
      </c>
      <c r="AC130" s="589">
        <v>2.1</v>
      </c>
      <c r="AD130" s="492"/>
      <c r="AG130" s="493"/>
      <c r="AL130" s="492"/>
      <c r="AO130" s="493"/>
      <c r="AP130" s="492"/>
      <c r="AS130" s="493"/>
      <c r="AW130" s="493"/>
      <c r="BA130" s="494"/>
    </row>
    <row r="131" spans="1:53" s="589" customFormat="1">
      <c r="A131" s="589">
        <v>2015</v>
      </c>
      <c r="B131" s="860"/>
      <c r="C131" s="917" t="s">
        <v>1292</v>
      </c>
      <c r="D131" s="917"/>
      <c r="E131" s="589">
        <v>365</v>
      </c>
      <c r="F131" s="502"/>
      <c r="G131" s="498"/>
      <c r="I131" s="589">
        <v>17</v>
      </c>
      <c r="J131" s="500">
        <v>17</v>
      </c>
      <c r="K131" s="496">
        <f t="shared" si="18"/>
        <v>0</v>
      </c>
      <c r="L131" s="496">
        <f t="shared" si="19"/>
        <v>0</v>
      </c>
      <c r="M131" s="496">
        <f t="shared" si="20"/>
        <v>100</v>
      </c>
      <c r="N131" s="499">
        <f t="shared" si="21"/>
        <v>100</v>
      </c>
      <c r="O131" s="495"/>
      <c r="P131" s="496"/>
      <c r="Q131" s="496">
        <v>50.2</v>
      </c>
      <c r="R131" s="497">
        <f t="shared" si="22"/>
        <v>50.2</v>
      </c>
      <c r="S131" s="97">
        <v>2</v>
      </c>
      <c r="T131" s="839"/>
      <c r="U131" s="860"/>
      <c r="V131" s="492" t="s">
        <v>96</v>
      </c>
      <c r="W131" s="589" t="s">
        <v>20</v>
      </c>
      <c r="X131" s="589" t="s">
        <v>12</v>
      </c>
      <c r="Y131" s="493">
        <v>48.1</v>
      </c>
      <c r="Z131" s="718" t="s">
        <v>1323</v>
      </c>
      <c r="AA131" s="589" t="s">
        <v>88</v>
      </c>
      <c r="AB131" s="589" t="s">
        <v>12</v>
      </c>
      <c r="AC131" s="589">
        <v>2.1</v>
      </c>
      <c r="AD131" s="492"/>
      <c r="AG131" s="493"/>
      <c r="AL131" s="492"/>
      <c r="AO131" s="493"/>
      <c r="AP131" s="492"/>
      <c r="AS131" s="493"/>
      <c r="AW131" s="493"/>
      <c r="BA131" s="494"/>
    </row>
    <row r="132" spans="1:53" s="659" customFormat="1">
      <c r="A132" s="659">
        <v>2016</v>
      </c>
      <c r="B132" s="860"/>
      <c r="C132" s="917" t="s">
        <v>1292</v>
      </c>
      <c r="D132" s="917"/>
      <c r="E132" s="659">
        <v>25</v>
      </c>
      <c r="F132" s="502"/>
      <c r="G132" s="498"/>
      <c r="I132" s="659">
        <v>17</v>
      </c>
      <c r="J132" s="500">
        <v>17</v>
      </c>
      <c r="K132" s="496">
        <f t="shared" ref="K132:K137" si="23">G132/J132*100</f>
        <v>0</v>
      </c>
      <c r="L132" s="496">
        <f t="shared" ref="L132:L137" si="24">H132/J132*100</f>
        <v>0</v>
      </c>
      <c r="M132" s="496">
        <f t="shared" ref="M132:M137" si="25">I132/J132*100</f>
        <v>100</v>
      </c>
      <c r="N132" s="499">
        <f t="shared" ref="N132:N137" si="26">SUM(K132:M132)</f>
        <v>100</v>
      </c>
      <c r="O132" s="495"/>
      <c r="P132" s="496"/>
      <c r="Q132" s="496">
        <v>50.2</v>
      </c>
      <c r="R132" s="497">
        <f>SUM(O132:Q132)</f>
        <v>50.2</v>
      </c>
      <c r="S132" s="97">
        <v>2</v>
      </c>
      <c r="T132" s="839"/>
      <c r="U132" s="860"/>
      <c r="V132" s="492" t="s">
        <v>96</v>
      </c>
      <c r="W132" s="659" t="s">
        <v>20</v>
      </c>
      <c r="X132" s="659" t="s">
        <v>12</v>
      </c>
      <c r="Y132" s="493">
        <v>48.1</v>
      </c>
      <c r="Z132" s="718" t="s">
        <v>1323</v>
      </c>
      <c r="AA132" s="659" t="s">
        <v>88</v>
      </c>
      <c r="AB132" s="659" t="s">
        <v>12</v>
      </c>
      <c r="AC132" s="659">
        <v>2.1</v>
      </c>
      <c r="AD132" s="492"/>
      <c r="AG132" s="493"/>
      <c r="AL132" s="492"/>
      <c r="AO132" s="493"/>
      <c r="AP132" s="492"/>
      <c r="AS132" s="493"/>
      <c r="AW132" s="493"/>
      <c r="BA132" s="494"/>
    </row>
    <row r="133" spans="1:53" s="659" customFormat="1">
      <c r="A133" s="659">
        <v>2016</v>
      </c>
      <c r="B133" s="860">
        <v>42395</v>
      </c>
      <c r="C133" s="917" t="s">
        <v>1292</v>
      </c>
      <c r="D133" s="917"/>
      <c r="E133" s="659">
        <v>16</v>
      </c>
      <c r="F133" s="502">
        <v>0</v>
      </c>
      <c r="G133" s="498"/>
      <c r="I133" s="659">
        <v>17</v>
      </c>
      <c r="J133" s="500">
        <v>17</v>
      </c>
      <c r="K133" s="496">
        <f t="shared" si="23"/>
        <v>0</v>
      </c>
      <c r="L133" s="496">
        <f t="shared" si="24"/>
        <v>0</v>
      </c>
      <c r="M133" s="496">
        <f t="shared" si="25"/>
        <v>100</v>
      </c>
      <c r="N133" s="499">
        <f t="shared" si="26"/>
        <v>100</v>
      </c>
      <c r="O133" s="495"/>
      <c r="P133" s="496"/>
      <c r="Q133" s="496">
        <v>50.2</v>
      </c>
      <c r="R133" s="497">
        <f t="shared" ref="R133" si="27">SUM(O133:Q133)</f>
        <v>50.2</v>
      </c>
      <c r="S133" s="97">
        <v>2</v>
      </c>
      <c r="T133" s="839"/>
      <c r="U133" s="860"/>
      <c r="V133" s="492" t="s">
        <v>96</v>
      </c>
      <c r="W133" s="659" t="s">
        <v>20</v>
      </c>
      <c r="X133" s="659" t="s">
        <v>12</v>
      </c>
      <c r="Y133" s="493">
        <v>48.1</v>
      </c>
      <c r="Z133" s="718" t="s">
        <v>1323</v>
      </c>
      <c r="AA133" s="659" t="s">
        <v>88</v>
      </c>
      <c r="AB133" s="659" t="s">
        <v>12</v>
      </c>
      <c r="AC133" s="659">
        <v>2.1</v>
      </c>
      <c r="AD133" s="492"/>
      <c r="AG133" s="493"/>
      <c r="AL133" s="492"/>
      <c r="AO133" s="493"/>
      <c r="AP133" s="492"/>
      <c r="AS133" s="493"/>
      <c r="AW133" s="493"/>
      <c r="BA133" s="494"/>
    </row>
    <row r="134" spans="1:53" s="664" customFormat="1">
      <c r="A134" s="664">
        <v>2016</v>
      </c>
      <c r="B134" s="836">
        <v>42411</v>
      </c>
      <c r="C134" s="916" t="s">
        <v>1349</v>
      </c>
      <c r="D134" s="916"/>
      <c r="E134" s="664">
        <v>201</v>
      </c>
      <c r="F134" s="664">
        <v>7</v>
      </c>
      <c r="G134" s="539"/>
      <c r="I134" s="664">
        <v>19</v>
      </c>
      <c r="J134" s="541">
        <v>19</v>
      </c>
      <c r="K134" s="537">
        <f t="shared" si="23"/>
        <v>0</v>
      </c>
      <c r="L134" s="537">
        <f t="shared" si="24"/>
        <v>0</v>
      </c>
      <c r="M134" s="537">
        <f t="shared" si="25"/>
        <v>100</v>
      </c>
      <c r="N134" s="540">
        <f t="shared" si="26"/>
        <v>100</v>
      </c>
      <c r="O134" s="536"/>
      <c r="P134" s="537"/>
      <c r="Q134" s="537">
        <v>53.5</v>
      </c>
      <c r="R134" s="538">
        <f t="shared" ref="R134:R137" si="28">SUM(O134:Q134)</f>
        <v>53.5</v>
      </c>
      <c r="S134" s="340">
        <v>2</v>
      </c>
      <c r="T134" s="838"/>
      <c r="U134" s="836"/>
      <c r="V134" s="532" t="s">
        <v>96</v>
      </c>
      <c r="W134" s="664" t="s">
        <v>20</v>
      </c>
      <c r="X134" s="664" t="s">
        <v>12</v>
      </c>
      <c r="Y134" s="533">
        <v>48.1</v>
      </c>
      <c r="Z134" s="719" t="s">
        <v>1323</v>
      </c>
      <c r="AA134" s="664" t="s">
        <v>88</v>
      </c>
      <c r="AB134" s="664" t="s">
        <v>12</v>
      </c>
      <c r="AC134" s="664">
        <v>2.1</v>
      </c>
      <c r="AD134" s="532" t="s">
        <v>407</v>
      </c>
      <c r="AE134" s="664" t="s">
        <v>218</v>
      </c>
      <c r="AF134" s="664" t="s">
        <v>12</v>
      </c>
      <c r="AG134" s="533">
        <v>2.9</v>
      </c>
      <c r="AL134" s="532"/>
      <c r="AO134" s="533"/>
      <c r="AP134" s="532"/>
      <c r="AS134" s="533"/>
      <c r="AW134" s="533"/>
      <c r="BA134" s="534"/>
    </row>
    <row r="135" spans="1:53" s="664" customFormat="1">
      <c r="A135" s="664">
        <v>2016</v>
      </c>
      <c r="B135" s="865">
        <v>42612</v>
      </c>
      <c r="C135" s="916" t="s">
        <v>1349</v>
      </c>
      <c r="D135" s="916"/>
      <c r="E135" s="664">
        <v>98</v>
      </c>
      <c r="F135" s="428">
        <v>0</v>
      </c>
      <c r="G135" s="539"/>
      <c r="I135" s="664">
        <v>18</v>
      </c>
      <c r="J135" s="541">
        <v>18</v>
      </c>
      <c r="K135" s="537">
        <f t="shared" si="23"/>
        <v>0</v>
      </c>
      <c r="L135" s="537">
        <f t="shared" si="24"/>
        <v>0</v>
      </c>
      <c r="M135" s="537">
        <f t="shared" si="25"/>
        <v>100</v>
      </c>
      <c r="N135" s="540">
        <f t="shared" si="26"/>
        <v>100</v>
      </c>
      <c r="O135" s="536"/>
      <c r="P135" s="537"/>
      <c r="Q135" s="537">
        <v>53.5</v>
      </c>
      <c r="R135" s="538">
        <f t="shared" si="28"/>
        <v>53.5</v>
      </c>
      <c r="S135" s="340">
        <v>2</v>
      </c>
      <c r="T135" s="838"/>
      <c r="U135" s="865"/>
      <c r="V135" s="532" t="s">
        <v>96</v>
      </c>
      <c r="W135" s="664" t="s">
        <v>20</v>
      </c>
      <c r="X135" s="664" t="s">
        <v>12</v>
      </c>
      <c r="Y135" s="533">
        <v>48.1</v>
      </c>
      <c r="Z135" s="719" t="s">
        <v>1323</v>
      </c>
      <c r="AA135" s="664" t="s">
        <v>88</v>
      </c>
      <c r="AB135" s="664" t="s">
        <v>12</v>
      </c>
      <c r="AC135" s="664">
        <v>2.1</v>
      </c>
      <c r="AD135" s="532" t="s">
        <v>407</v>
      </c>
      <c r="AE135" s="664" t="s">
        <v>218</v>
      </c>
      <c r="AF135" s="664" t="s">
        <v>12</v>
      </c>
      <c r="AG135" s="533">
        <v>2.9</v>
      </c>
      <c r="AL135" s="532"/>
      <c r="AO135" s="533"/>
      <c r="AP135" s="532"/>
      <c r="AS135" s="533"/>
      <c r="AW135" s="533"/>
      <c r="BA135" s="534"/>
    </row>
    <row r="136" spans="1:53" s="727" customFormat="1">
      <c r="A136" s="727">
        <v>2016</v>
      </c>
      <c r="B136" s="852">
        <v>42710</v>
      </c>
      <c r="C136" s="917" t="s">
        <v>1345</v>
      </c>
      <c r="D136" s="917"/>
      <c r="E136" s="727">
        <v>26</v>
      </c>
      <c r="F136" s="727">
        <v>2</v>
      </c>
      <c r="G136" s="498"/>
      <c r="I136" s="727">
        <v>18</v>
      </c>
      <c r="J136" s="500">
        <v>18</v>
      </c>
      <c r="K136" s="496">
        <f t="shared" si="23"/>
        <v>0</v>
      </c>
      <c r="L136" s="496">
        <f t="shared" si="24"/>
        <v>0</v>
      </c>
      <c r="M136" s="496">
        <f t="shared" si="25"/>
        <v>100</v>
      </c>
      <c r="N136" s="499">
        <f t="shared" si="26"/>
        <v>100</v>
      </c>
      <c r="O136" s="495"/>
      <c r="P136" s="496"/>
      <c r="Q136" s="496">
        <v>53.5</v>
      </c>
      <c r="R136" s="497">
        <f t="shared" si="28"/>
        <v>53.5</v>
      </c>
      <c r="S136" s="97">
        <v>2</v>
      </c>
      <c r="T136" s="839"/>
      <c r="U136" s="852">
        <v>42710</v>
      </c>
      <c r="V136" s="492" t="s">
        <v>96</v>
      </c>
      <c r="W136" s="727" t="s">
        <v>20</v>
      </c>
      <c r="X136" s="727" t="s">
        <v>12</v>
      </c>
      <c r="Y136" s="493">
        <v>48.9</v>
      </c>
      <c r="Z136" s="727" t="s">
        <v>1323</v>
      </c>
      <c r="AA136" s="727" t="s">
        <v>88</v>
      </c>
      <c r="AB136" s="727" t="s">
        <v>12</v>
      </c>
      <c r="AC136" s="727">
        <v>2.8</v>
      </c>
      <c r="AD136" s="492" t="s">
        <v>407</v>
      </c>
      <c r="AE136" s="727" t="s">
        <v>218</v>
      </c>
      <c r="AF136" s="727" t="s">
        <v>12</v>
      </c>
      <c r="AG136" s="493">
        <v>0.7</v>
      </c>
      <c r="AL136" s="492"/>
      <c r="AO136" s="493"/>
      <c r="AP136" s="492"/>
      <c r="AS136" s="493"/>
      <c r="AW136" s="493"/>
      <c r="BA136" s="494"/>
    </row>
    <row r="137" spans="1:53" s="727" customFormat="1">
      <c r="A137" s="727">
        <v>2017</v>
      </c>
      <c r="B137" s="852"/>
      <c r="C137" s="917" t="s">
        <v>1345</v>
      </c>
      <c r="D137" s="917"/>
      <c r="E137" s="727">
        <v>129</v>
      </c>
      <c r="F137" s="750"/>
      <c r="G137" s="498"/>
      <c r="I137" s="727">
        <v>18</v>
      </c>
      <c r="J137" s="500">
        <v>18</v>
      </c>
      <c r="K137" s="496">
        <f t="shared" si="23"/>
        <v>0</v>
      </c>
      <c r="L137" s="496">
        <f t="shared" si="24"/>
        <v>0</v>
      </c>
      <c r="M137" s="496">
        <f t="shared" si="25"/>
        <v>100</v>
      </c>
      <c r="N137" s="499">
        <f t="shared" si="26"/>
        <v>100</v>
      </c>
      <c r="O137" s="495"/>
      <c r="P137" s="496"/>
      <c r="Q137" s="496">
        <v>53.5</v>
      </c>
      <c r="R137" s="497">
        <f t="shared" si="28"/>
        <v>53.5</v>
      </c>
      <c r="S137" s="97">
        <v>2</v>
      </c>
      <c r="T137" s="839"/>
      <c r="U137" s="860"/>
      <c r="V137" s="492" t="s">
        <v>96</v>
      </c>
      <c r="W137" s="727" t="s">
        <v>20</v>
      </c>
      <c r="X137" s="727" t="s">
        <v>12</v>
      </c>
      <c r="Y137" s="493">
        <v>48.9</v>
      </c>
      <c r="Z137" s="727" t="s">
        <v>1323</v>
      </c>
      <c r="AA137" s="727" t="s">
        <v>88</v>
      </c>
      <c r="AB137" s="727" t="s">
        <v>12</v>
      </c>
      <c r="AC137" s="727">
        <v>2.8</v>
      </c>
      <c r="AD137" s="492" t="s">
        <v>407</v>
      </c>
      <c r="AE137" s="727" t="s">
        <v>218</v>
      </c>
      <c r="AF137" s="727" t="s">
        <v>12</v>
      </c>
      <c r="AG137" s="493">
        <v>0.7</v>
      </c>
      <c r="AL137" s="492"/>
      <c r="AO137" s="493"/>
      <c r="AP137" s="492"/>
      <c r="AS137" s="493"/>
      <c r="AW137" s="493"/>
      <c r="BA137" s="494"/>
    </row>
    <row r="138" spans="1:53" s="726" customFormat="1">
      <c r="A138" s="726">
        <v>2017</v>
      </c>
      <c r="B138" s="836">
        <v>42865</v>
      </c>
      <c r="C138" s="916" t="s">
        <v>1373</v>
      </c>
      <c r="D138" s="916"/>
      <c r="E138" s="726">
        <v>40</v>
      </c>
      <c r="F138" s="726">
        <v>1</v>
      </c>
      <c r="G138" s="539">
        <v>4</v>
      </c>
      <c r="H138" s="726">
        <v>3</v>
      </c>
      <c r="I138" s="726">
        <v>4</v>
      </c>
      <c r="J138" s="541">
        <v>19</v>
      </c>
      <c r="K138" s="537">
        <f t="shared" ref="K138:K141" si="29">G138/J138*100</f>
        <v>21.052631578947366</v>
      </c>
      <c r="L138" s="537">
        <f t="shared" ref="L138:L141" si="30">H138/J138*100</f>
        <v>15.789473684210526</v>
      </c>
      <c r="M138" s="537">
        <f t="shared" ref="M138:M141" si="31">I138/J138*100</f>
        <v>21.052631578947366</v>
      </c>
      <c r="N138" s="540">
        <f t="shared" ref="N138:N141" si="32">SUM(K138:M138)</f>
        <v>57.89473684210526</v>
      </c>
      <c r="O138" s="536">
        <v>33.4</v>
      </c>
      <c r="P138" s="537">
        <v>0.3</v>
      </c>
      <c r="Q138" s="537">
        <v>51.7</v>
      </c>
      <c r="R138" s="538">
        <f t="shared" ref="R138:R139" si="33">SUM(O138:Q138)</f>
        <v>85.4</v>
      </c>
      <c r="S138" s="340">
        <v>6</v>
      </c>
      <c r="T138" s="838"/>
      <c r="U138" s="836">
        <v>42865</v>
      </c>
      <c r="V138" s="532" t="s">
        <v>96</v>
      </c>
      <c r="W138" s="726" t="s">
        <v>20</v>
      </c>
      <c r="X138" s="726" t="s">
        <v>12</v>
      </c>
      <c r="Y138" s="533">
        <v>48.9</v>
      </c>
      <c r="Z138" s="726" t="s">
        <v>1375</v>
      </c>
      <c r="AA138" s="726" t="s">
        <v>76</v>
      </c>
      <c r="AB138" s="726" t="s">
        <v>11</v>
      </c>
      <c r="AC138" s="726">
        <v>33.4</v>
      </c>
      <c r="AD138" s="532" t="s">
        <v>1323</v>
      </c>
      <c r="AE138" s="726" t="s">
        <v>88</v>
      </c>
      <c r="AF138" s="726" t="s">
        <v>12</v>
      </c>
      <c r="AG138" s="533">
        <v>2.8</v>
      </c>
      <c r="AH138" s="726" t="s">
        <v>1376</v>
      </c>
      <c r="AI138" s="726" t="s">
        <v>79</v>
      </c>
      <c r="AJ138" s="726" t="s">
        <v>18</v>
      </c>
      <c r="AK138" s="726">
        <v>0.3</v>
      </c>
      <c r="AL138" s="532" t="s">
        <v>1377</v>
      </c>
      <c r="AM138" s="751" t="s">
        <v>100</v>
      </c>
      <c r="AN138" s="726" t="s">
        <v>11</v>
      </c>
      <c r="AO138" s="533">
        <v>0</v>
      </c>
      <c r="AP138" s="532"/>
      <c r="AS138" s="533"/>
      <c r="AW138" s="533"/>
      <c r="BA138" s="534"/>
    </row>
    <row r="139" spans="1:53" s="727" customFormat="1">
      <c r="A139" s="727">
        <v>2017</v>
      </c>
      <c r="B139" s="852">
        <v>42905</v>
      </c>
      <c r="C139" s="917" t="s">
        <v>1374</v>
      </c>
      <c r="D139" s="917"/>
      <c r="E139" s="727">
        <v>196</v>
      </c>
      <c r="F139" s="750">
        <v>1</v>
      </c>
      <c r="G139" s="498">
        <v>10</v>
      </c>
      <c r="H139" s="727">
        <v>1</v>
      </c>
      <c r="J139" s="500">
        <v>20</v>
      </c>
      <c r="K139" s="496">
        <f t="shared" si="29"/>
        <v>50</v>
      </c>
      <c r="L139" s="496">
        <f t="shared" si="30"/>
        <v>5</v>
      </c>
      <c r="M139" s="496">
        <f t="shared" si="31"/>
        <v>0</v>
      </c>
      <c r="N139" s="499">
        <f t="shared" si="32"/>
        <v>55</v>
      </c>
      <c r="O139" s="495">
        <v>53.4</v>
      </c>
      <c r="P139" s="496">
        <v>7.3</v>
      </c>
      <c r="Q139" s="496"/>
      <c r="R139" s="497">
        <f t="shared" si="33"/>
        <v>60.699999999999996</v>
      </c>
      <c r="S139" s="97">
        <v>3</v>
      </c>
      <c r="T139" s="839">
        <v>42904</v>
      </c>
      <c r="U139" s="852">
        <v>42905</v>
      </c>
      <c r="V139" s="492" t="s">
        <v>1377</v>
      </c>
      <c r="W139" s="752" t="s">
        <v>100</v>
      </c>
      <c r="X139" s="727" t="s">
        <v>11</v>
      </c>
      <c r="Y139" s="493">
        <v>53.4</v>
      </c>
      <c r="Z139" s="727" t="s">
        <v>1376</v>
      </c>
      <c r="AA139" s="727" t="s">
        <v>79</v>
      </c>
      <c r="AB139" s="727" t="s">
        <v>18</v>
      </c>
      <c r="AC139" s="727">
        <v>7.3</v>
      </c>
      <c r="AD139" s="492"/>
      <c r="AG139" s="493"/>
      <c r="AL139" s="492"/>
      <c r="AO139" s="493"/>
      <c r="AP139" s="492"/>
      <c r="AS139" s="493"/>
      <c r="AW139" s="493"/>
      <c r="BA139" s="494"/>
    </row>
    <row r="140" spans="1:53" s="760" customFormat="1">
      <c r="A140" s="760">
        <v>2018</v>
      </c>
      <c r="B140" s="852"/>
      <c r="C140" s="917" t="s">
        <v>1374</v>
      </c>
      <c r="D140" s="917"/>
      <c r="E140" s="760">
        <v>288</v>
      </c>
      <c r="G140" s="498">
        <v>10</v>
      </c>
      <c r="H140" s="760">
        <v>1</v>
      </c>
      <c r="J140" s="500">
        <v>20</v>
      </c>
      <c r="K140" s="496">
        <f t="shared" si="29"/>
        <v>50</v>
      </c>
      <c r="L140" s="496">
        <f t="shared" si="30"/>
        <v>5</v>
      </c>
      <c r="M140" s="496">
        <f t="shared" si="31"/>
        <v>0</v>
      </c>
      <c r="N140" s="499">
        <f t="shared" si="32"/>
        <v>55</v>
      </c>
      <c r="O140" s="495">
        <v>53.4</v>
      </c>
      <c r="P140" s="496">
        <v>7.3</v>
      </c>
      <c r="Q140" s="496"/>
      <c r="R140" s="497">
        <f t="shared" ref="R140:R141" si="34">SUM(O140:Q140)</f>
        <v>60.699999999999996</v>
      </c>
      <c r="S140" s="97">
        <v>3</v>
      </c>
      <c r="T140" s="839"/>
      <c r="U140" s="852"/>
      <c r="V140" s="492" t="s">
        <v>1377</v>
      </c>
      <c r="W140" s="760" t="s">
        <v>100</v>
      </c>
      <c r="X140" s="760" t="s">
        <v>11</v>
      </c>
      <c r="Y140" s="493">
        <v>53.4</v>
      </c>
      <c r="Z140" s="760" t="s">
        <v>1376</v>
      </c>
      <c r="AA140" s="760" t="s">
        <v>79</v>
      </c>
      <c r="AB140" s="760" t="s">
        <v>18</v>
      </c>
      <c r="AC140" s="760">
        <v>7.3</v>
      </c>
      <c r="AD140" s="492"/>
      <c r="AG140" s="493"/>
      <c r="AL140" s="492"/>
      <c r="AO140" s="493"/>
      <c r="AP140" s="492"/>
      <c r="AS140" s="493"/>
      <c r="AW140" s="493"/>
      <c r="BA140" s="494"/>
    </row>
    <row r="141" spans="1:53" s="760" customFormat="1">
      <c r="A141" s="760">
        <v>2018</v>
      </c>
      <c r="B141" s="860">
        <v>43389</v>
      </c>
      <c r="C141" s="917" t="s">
        <v>1374</v>
      </c>
      <c r="D141" s="917"/>
      <c r="E141" s="760">
        <v>77</v>
      </c>
      <c r="F141" s="502">
        <v>0</v>
      </c>
      <c r="G141" s="498">
        <v>13</v>
      </c>
      <c r="H141" s="760">
        <v>2</v>
      </c>
      <c r="J141" s="500">
        <v>22</v>
      </c>
      <c r="K141" s="496">
        <f t="shared" si="29"/>
        <v>59.090909090909093</v>
      </c>
      <c r="L141" s="496">
        <f t="shared" si="30"/>
        <v>9.0909090909090917</v>
      </c>
      <c r="M141" s="496">
        <f t="shared" si="31"/>
        <v>0</v>
      </c>
      <c r="N141" s="499">
        <f t="shared" si="32"/>
        <v>68.181818181818187</v>
      </c>
      <c r="O141" s="495">
        <v>55</v>
      </c>
      <c r="P141" s="496">
        <v>7.3</v>
      </c>
      <c r="Q141" s="496"/>
      <c r="R141" s="497">
        <f t="shared" si="34"/>
        <v>62.3</v>
      </c>
      <c r="S141" s="97">
        <v>3</v>
      </c>
      <c r="T141" s="839"/>
      <c r="U141" s="852"/>
      <c r="V141" s="492" t="s">
        <v>1377</v>
      </c>
      <c r="W141" s="760" t="s">
        <v>100</v>
      </c>
      <c r="X141" s="760" t="s">
        <v>11</v>
      </c>
      <c r="Y141" s="493">
        <v>53.4</v>
      </c>
      <c r="Z141" s="760" t="s">
        <v>1376</v>
      </c>
      <c r="AA141" s="760" t="s">
        <v>79</v>
      </c>
      <c r="AB141" s="760" t="s">
        <v>18</v>
      </c>
      <c r="AC141" s="760">
        <v>7.3</v>
      </c>
      <c r="AD141" s="492" t="s">
        <v>1421</v>
      </c>
      <c r="AE141" s="823" t="s">
        <v>107</v>
      </c>
      <c r="AF141" s="823" t="s">
        <v>11</v>
      </c>
      <c r="AG141" s="493">
        <v>1.6</v>
      </c>
      <c r="AL141" s="492"/>
      <c r="AO141" s="493"/>
      <c r="AP141" s="492"/>
      <c r="AS141" s="493"/>
      <c r="AW141" s="493"/>
      <c r="BA141" s="494"/>
    </row>
    <row r="142" spans="1:53" s="787" customFormat="1">
      <c r="A142" s="787">
        <v>2019</v>
      </c>
      <c r="B142" s="860"/>
      <c r="C142" s="917" t="s">
        <v>1374</v>
      </c>
      <c r="D142" s="917"/>
      <c r="E142" s="787">
        <v>85</v>
      </c>
      <c r="F142" s="502"/>
      <c r="G142" s="498">
        <v>13</v>
      </c>
      <c r="H142" s="787">
        <v>2</v>
      </c>
      <c r="J142" s="500">
        <v>22</v>
      </c>
      <c r="K142" s="496">
        <f t="shared" ref="K142" si="35">G142/J142*100</f>
        <v>59.090909090909093</v>
      </c>
      <c r="L142" s="496">
        <f t="shared" ref="L142:L143" si="36">H142/J142*100</f>
        <v>9.0909090909090917</v>
      </c>
      <c r="M142" s="496">
        <f t="shared" ref="M142:M143" si="37">I142/J142*100</f>
        <v>0</v>
      </c>
      <c r="N142" s="499">
        <f t="shared" ref="N142:N143" si="38">SUM(K142:M142)</f>
        <v>68.181818181818187</v>
      </c>
      <c r="O142" s="495">
        <v>55</v>
      </c>
      <c r="P142" s="496">
        <v>7.3</v>
      </c>
      <c r="Q142" s="496"/>
      <c r="R142" s="497">
        <f t="shared" ref="R142:R143" si="39">SUM(O142:Q142)</f>
        <v>62.3</v>
      </c>
      <c r="S142" s="97">
        <v>3</v>
      </c>
      <c r="T142" s="839"/>
      <c r="U142" s="852"/>
      <c r="V142" s="492" t="s">
        <v>1377</v>
      </c>
      <c r="W142" s="787" t="s">
        <v>100</v>
      </c>
      <c r="X142" s="787" t="s">
        <v>11</v>
      </c>
      <c r="Y142" s="493">
        <v>53.4</v>
      </c>
      <c r="Z142" s="787" t="s">
        <v>1376</v>
      </c>
      <c r="AA142" s="787" t="s">
        <v>79</v>
      </c>
      <c r="AB142" s="787" t="s">
        <v>18</v>
      </c>
      <c r="AC142" s="787">
        <v>7.3</v>
      </c>
      <c r="AD142" s="492" t="s">
        <v>1421</v>
      </c>
      <c r="AE142" s="823" t="s">
        <v>107</v>
      </c>
      <c r="AF142" s="823" t="s">
        <v>11</v>
      </c>
      <c r="AG142" s="493">
        <v>1.6</v>
      </c>
      <c r="AH142" s="820"/>
      <c r="AL142" s="492"/>
      <c r="AO142" s="493"/>
      <c r="AP142" s="492"/>
      <c r="AS142" s="493"/>
      <c r="AW142" s="493"/>
      <c r="BA142" s="494"/>
    </row>
    <row r="143" spans="1:53" s="787" customFormat="1">
      <c r="A143" s="787">
        <v>2019</v>
      </c>
      <c r="B143" s="860">
        <v>43551</v>
      </c>
      <c r="C143" s="917" t="s">
        <v>1374</v>
      </c>
      <c r="D143" s="917"/>
      <c r="E143" s="787">
        <v>280</v>
      </c>
      <c r="F143" s="502">
        <v>0</v>
      </c>
      <c r="G143" s="498">
        <v>12</v>
      </c>
      <c r="H143" s="787">
        <v>2</v>
      </c>
      <c r="J143" s="500">
        <v>21</v>
      </c>
      <c r="K143" s="496">
        <v>52.5</v>
      </c>
      <c r="L143" s="496">
        <f t="shared" si="36"/>
        <v>9.5238095238095237</v>
      </c>
      <c r="M143" s="496">
        <f t="shared" si="37"/>
        <v>0</v>
      </c>
      <c r="N143" s="499">
        <f t="shared" si="38"/>
        <v>62.023809523809526</v>
      </c>
      <c r="O143" s="495">
        <v>55</v>
      </c>
      <c r="P143" s="496">
        <v>7.3</v>
      </c>
      <c r="Q143" s="496"/>
      <c r="R143" s="497">
        <f t="shared" si="39"/>
        <v>62.3</v>
      </c>
      <c r="S143" s="97">
        <v>3</v>
      </c>
      <c r="T143" s="839"/>
      <c r="U143" s="852"/>
      <c r="V143" s="492" t="s">
        <v>1377</v>
      </c>
      <c r="W143" s="787" t="s">
        <v>100</v>
      </c>
      <c r="X143" s="787" t="s">
        <v>11</v>
      </c>
      <c r="Y143" s="493">
        <v>53.4</v>
      </c>
      <c r="Z143" s="787" t="s">
        <v>1376</v>
      </c>
      <c r="AA143" s="787" t="s">
        <v>79</v>
      </c>
      <c r="AB143" s="787" t="s">
        <v>18</v>
      </c>
      <c r="AC143" s="787">
        <v>7.3</v>
      </c>
      <c r="AD143" s="492" t="s">
        <v>1421</v>
      </c>
      <c r="AE143" s="823" t="s">
        <v>107</v>
      </c>
      <c r="AF143" s="823" t="s">
        <v>11</v>
      </c>
      <c r="AG143" s="493">
        <v>1.6</v>
      </c>
      <c r="AH143" s="820"/>
      <c r="AL143" s="492"/>
      <c r="AO143" s="493"/>
      <c r="AP143" s="492"/>
      <c r="AS143" s="493"/>
      <c r="AW143" s="493"/>
      <c r="BA143" s="494"/>
    </row>
    <row r="144" spans="1:53" s="794" customFormat="1">
      <c r="J144" s="15"/>
      <c r="M144" s="790"/>
      <c r="N144" s="790"/>
    </row>
    <row r="145" spans="1:30">
      <c r="J145" s="15"/>
    </row>
    <row r="146" spans="1:30" s="2" customFormat="1" ht="18" customHeight="1">
      <c r="B146" s="22" t="s">
        <v>1269</v>
      </c>
    </row>
    <row r="147" spans="1:30" s="2" customFormat="1" ht="9" customHeight="1"/>
    <row r="148" spans="1:30" s="317" customFormat="1" ht="9" customHeight="1">
      <c r="A148" s="315"/>
      <c r="B148" s="316" t="s">
        <v>1220</v>
      </c>
      <c r="C148" s="316"/>
      <c r="D148" s="316"/>
      <c r="E148" s="316"/>
      <c r="F148" s="316"/>
      <c r="G148" s="316" t="s">
        <v>1221</v>
      </c>
      <c r="H148" s="316"/>
      <c r="I148" s="316"/>
      <c r="J148" s="316"/>
      <c r="K148" s="316"/>
      <c r="L148" s="316"/>
      <c r="M148" s="316"/>
      <c r="N148" s="316"/>
      <c r="R148" s="895" t="s">
        <v>1222</v>
      </c>
      <c r="S148" s="895"/>
      <c r="T148" s="895"/>
      <c r="U148" s="895"/>
      <c r="V148" s="895"/>
      <c r="W148" s="895"/>
      <c r="X148" s="318"/>
      <c r="Y148" s="318"/>
      <c r="AA148" s="318"/>
      <c r="AB148" s="318"/>
      <c r="AC148" s="318"/>
      <c r="AD148" s="318"/>
    </row>
    <row r="149" spans="1:30" s="322" customFormat="1" ht="9" customHeight="1">
      <c r="A149" s="319"/>
      <c r="B149" s="320" t="s">
        <v>1224</v>
      </c>
      <c r="C149" s="321"/>
      <c r="D149" s="321"/>
      <c r="E149" s="321"/>
      <c r="F149" s="321"/>
      <c r="G149" s="320" t="s">
        <v>1223</v>
      </c>
      <c r="H149" s="321"/>
      <c r="I149" s="321"/>
      <c r="J149" s="321"/>
      <c r="K149" s="321"/>
      <c r="L149" s="321"/>
      <c r="M149" s="321"/>
      <c r="N149" s="321"/>
      <c r="R149" s="323" t="s">
        <v>1225</v>
      </c>
      <c r="S149" s="324"/>
      <c r="T149" s="325"/>
      <c r="U149" s="325"/>
      <c r="V149" s="325"/>
      <c r="W149" s="323" t="s">
        <v>1226</v>
      </c>
      <c r="X149" s="325"/>
      <c r="Y149" s="325"/>
      <c r="AA149" s="325"/>
      <c r="AB149" s="325"/>
      <c r="AC149" s="325"/>
      <c r="AD149" s="325"/>
    </row>
    <row r="150" spans="1:30" s="307" customFormat="1" ht="12" customHeight="1">
      <c r="A150" s="326" t="s">
        <v>3</v>
      </c>
      <c r="B150" s="327" t="s">
        <v>8</v>
      </c>
      <c r="C150" s="327" t="s">
        <v>9</v>
      </c>
      <c r="D150" s="327" t="s">
        <v>10</v>
      </c>
      <c r="E150" s="328" t="s">
        <v>1200</v>
      </c>
      <c r="F150" s="327"/>
      <c r="G150" s="307" t="s">
        <v>3</v>
      </c>
      <c r="H150" s="896" t="s">
        <v>0</v>
      </c>
      <c r="I150" s="896"/>
      <c r="J150" s="896" t="s">
        <v>1</v>
      </c>
      <c r="K150" s="896"/>
      <c r="L150" s="896" t="s">
        <v>2</v>
      </c>
      <c r="M150" s="896"/>
      <c r="N150" s="897" t="s">
        <v>1200</v>
      </c>
      <c r="O150" s="897"/>
      <c r="P150" s="329"/>
      <c r="Q150" s="329"/>
      <c r="R150" s="330" t="s">
        <v>3</v>
      </c>
      <c r="S150" s="331" t="s">
        <v>136</v>
      </c>
      <c r="T150" s="329" t="s">
        <v>134</v>
      </c>
      <c r="U150" s="327" t="s">
        <v>135</v>
      </c>
      <c r="V150" s="329"/>
      <c r="W150" s="332" t="s">
        <v>26</v>
      </c>
    </row>
    <row r="151" spans="1:30" s="243" customFormat="1">
      <c r="A151" s="243">
        <v>1959</v>
      </c>
      <c r="B151" s="230">
        <f>(K6*($E8/365))+(K7*($E7/365))</f>
        <v>42.035225048923678</v>
      </c>
      <c r="C151" s="230">
        <f>(L6*($E8/365))+(L7*($E7/365))</f>
        <v>18.68232224396608</v>
      </c>
      <c r="D151" s="230">
        <f>(M6*($E8/365))+(M7*($E7/365))</f>
        <v>4.6705805609915201</v>
      </c>
      <c r="E151" s="231">
        <f>B151+C151+D151</f>
        <v>65.388127853881286</v>
      </c>
      <c r="G151" s="233">
        <v>1959</v>
      </c>
      <c r="H151" s="898">
        <f>(O6/$R6*100*($E6/365))+(O7/$R7*100*($E7/365))</f>
        <v>80.178942454144718</v>
      </c>
      <c r="I151" s="898"/>
      <c r="J151" s="898">
        <f>(P6/$R6*100*($E6/365))+(P7/$R7*100*($E7/365))</f>
        <v>13.988064889794336</v>
      </c>
      <c r="K151" s="898"/>
      <c r="L151" s="898">
        <f>(Q6/$R6*100*($E6/365))+(Q7/$R7*100*($E7/365))</f>
        <v>5.8329926560609433</v>
      </c>
      <c r="M151" s="898"/>
      <c r="N151" s="926">
        <f>H151+J151+K151</f>
        <v>94.167007343939048</v>
      </c>
      <c r="O151" s="926"/>
      <c r="P151" s="244"/>
      <c r="Q151" s="244"/>
      <c r="R151" s="233">
        <v>1959</v>
      </c>
      <c r="S151" s="230">
        <f>(O6*($E6/365))+(O7*($E7/365))</f>
        <v>70.651506849315069</v>
      </c>
      <c r="T151" s="230">
        <f>(P6*($E6/365))+(P7*($E7/365))</f>
        <v>12.3</v>
      </c>
      <c r="U151" s="230">
        <f>(Q6*($E6/365))+(Q7*($E7/365))</f>
        <v>5.0802739726027397</v>
      </c>
      <c r="W151" s="247">
        <f>S151+T151+U151</f>
        <v>88.031780821917806</v>
      </c>
      <c r="X151" s="232"/>
    </row>
    <row r="152" spans="1:30">
      <c r="A152" s="1">
        <v>1960</v>
      </c>
      <c r="B152" s="8">
        <f>(K8*($E8/366))+(K9*($E9/366))</f>
        <v>42.857142857142854</v>
      </c>
      <c r="C152" s="8">
        <f>(L8*($E8/366))+(L9*($E9/366))</f>
        <v>19.047619047619047</v>
      </c>
      <c r="D152" s="8">
        <f>(M8*($E8/366))+(M9*($E9/366))</f>
        <v>4.7619047619047619</v>
      </c>
      <c r="E152" s="39">
        <f>SUM(B152:D152)</f>
        <v>66.666666666666657</v>
      </c>
      <c r="G152" s="20">
        <v>1960</v>
      </c>
      <c r="H152" s="886">
        <f>(O8/$R8*100*($E8/366))+(O9/$R9*100*($E9/366))</f>
        <v>80.542986425339365</v>
      </c>
      <c r="I152" s="886"/>
      <c r="J152" s="886">
        <f>(P8/$R8*100*($E8/366))+(P9/$R9*100*($E9/366))</f>
        <v>13.914027149321267</v>
      </c>
      <c r="K152" s="886"/>
      <c r="L152" s="886">
        <f>(Q8/$R8*100*($E8/366))+(Q9/$R9*100*($E9/366))</f>
        <v>5.5429864253393664</v>
      </c>
      <c r="M152" s="886"/>
      <c r="N152" s="919">
        <f>SUM(H152:M152)</f>
        <v>100</v>
      </c>
      <c r="O152" s="919"/>
      <c r="P152" s="7"/>
      <c r="Q152" s="7"/>
      <c r="R152" s="20">
        <v>1960</v>
      </c>
      <c r="S152" s="8">
        <f>(O8*($E8/366))+(O9*($E9/366))</f>
        <v>71.2</v>
      </c>
      <c r="T152" s="8">
        <f>(P8*($E8/366))+(P9*($E9/366))</f>
        <v>12.3</v>
      </c>
      <c r="U152" s="8">
        <f>(Q8*($E8/366))+(Q9*($E9/366))</f>
        <v>4.9000000000000004</v>
      </c>
      <c r="W152" s="14">
        <f t="shared" ref="W152:W183" si="40">SUM(S152:U152)</f>
        <v>88.4</v>
      </c>
      <c r="X152" s="5"/>
    </row>
    <row r="153" spans="1:30">
      <c r="A153" s="1">
        <v>1961</v>
      </c>
      <c r="B153" s="8">
        <f>(K10*($E10/365))+(K11*($E11/365))</f>
        <v>42.857142857142854</v>
      </c>
      <c r="C153" s="8">
        <f>(L10*($E10/365))+(L11*($E11/365))</f>
        <v>19.047619047619047</v>
      </c>
      <c r="D153" s="8">
        <f>(M10*($E10/365))+(M11*($E11/365))</f>
        <v>4.7619047619047619</v>
      </c>
      <c r="E153" s="39">
        <f t="shared" ref="E153:E205" si="41">SUM(B153:D153)</f>
        <v>66.666666666666657</v>
      </c>
      <c r="G153" s="20">
        <v>1961</v>
      </c>
      <c r="H153" s="886">
        <f>(O10/$R10*100*($E10/365))+(O11/$R11*100*($E11/365))</f>
        <v>80.542986425339365</v>
      </c>
      <c r="I153" s="886"/>
      <c r="J153" s="886">
        <f>(P10/$R10*100*($E10/365))+(P11/$R11*100*($E11/365))</f>
        <v>13.914027149321267</v>
      </c>
      <c r="K153" s="886"/>
      <c r="L153" s="886">
        <f>(Q10/$R10*100*($E10/365))+(Q11/$R11*100*($E11/365))</f>
        <v>5.5429864253393664</v>
      </c>
      <c r="M153" s="886"/>
      <c r="N153" s="919">
        <f>SUM(H153:M153)</f>
        <v>100</v>
      </c>
      <c r="O153" s="919"/>
      <c r="P153" s="7"/>
      <c r="Q153" s="7"/>
      <c r="R153" s="20">
        <v>1961</v>
      </c>
      <c r="S153" s="8">
        <f>(O10*($E10/365))+(O11*($E11/365))</f>
        <v>71.2</v>
      </c>
      <c r="T153" s="8">
        <f>(P10*($E10/365))+(P11*($E11/365))</f>
        <v>12.3</v>
      </c>
      <c r="U153" s="8">
        <f>(Q10*($E10/365))+(Q11*($E11/365))</f>
        <v>4.9000000000000004</v>
      </c>
      <c r="W153" s="14">
        <f t="shared" si="40"/>
        <v>88.4</v>
      </c>
      <c r="X153" s="5"/>
    </row>
    <row r="154" spans="1:30">
      <c r="A154" s="1">
        <v>1962</v>
      </c>
      <c r="B154" s="8">
        <f>(K12*($E12/365))+(K13*($E13/365))+(K14*($E14/365))+(K15*($E15/365))</f>
        <v>63.556306706991641</v>
      </c>
      <c r="C154" s="8">
        <f>(L12*($E12/365))+(L13*($E13/365))+(L14*($E14/365))+(L15*($E15/365))</f>
        <v>6.9714760125719026</v>
      </c>
      <c r="D154" s="8">
        <f>(M12*($E12/365))+(M13*($E13/365))+(M14*($E14/365))+(M15*($E15/365))</f>
        <v>1.3568166992824526</v>
      </c>
      <c r="E154" s="39">
        <f t="shared" si="41"/>
        <v>71.884599418845994</v>
      </c>
      <c r="G154" s="20">
        <v>1962</v>
      </c>
      <c r="H154" s="886">
        <f>(O12/$R12*100*($E12/365))+(O13/$R13*100*($E13/365))+(O14/$R14*100*($E14/365))+(O15/$R15*100*($E15/365))</f>
        <v>92.6971452821642</v>
      </c>
      <c r="I154" s="886"/>
      <c r="J154" s="886">
        <f>(P12/$R12*100*($E12/365))+(P13/$R13*100*($E13/365))+(P14/$R14*100*($E14/365))+(P15/$R15*100*($E15/365))</f>
        <v>5.7234832432185616</v>
      </c>
      <c r="K154" s="886"/>
      <c r="L154" s="886">
        <f>(Q12/$R12*100*($E12/365))+(Q13/$R13*100*($E13/365))+(Q14/$R14*100*($E14/365))+(Q15/$R15*100*($E15/365))</f>
        <v>1.579371474617244</v>
      </c>
      <c r="M154" s="886"/>
      <c r="N154" s="919">
        <f t="shared" ref="N154:N203" si="42">SUM(H154:M154)</f>
        <v>100.00000000000001</v>
      </c>
      <c r="O154" s="919"/>
      <c r="P154" s="7"/>
      <c r="Q154" s="7"/>
      <c r="R154" s="20">
        <v>1962</v>
      </c>
      <c r="S154" s="8">
        <f>(O12*($E12/365))+(O13*($E13/365))+(O14*($E14/365))+(O15*($E15/365))</f>
        <v>69.654246575342469</v>
      </c>
      <c r="T154" s="8">
        <f>(P12*($E12/365))+(P13*($E13/365))+(P14*($E14/365))+(P15*($E15/365))</f>
        <v>4.82</v>
      </c>
      <c r="U154" s="8">
        <f>(Q12*($E12/365))+(Q13*($E13/365))+(Q14*($E14/365))+(Q15*($E15/365))</f>
        <v>1.396164383561644</v>
      </c>
      <c r="W154" s="14">
        <f t="shared" si="40"/>
        <v>75.870410958904117</v>
      </c>
      <c r="X154" s="5"/>
      <c r="Y154" s="37"/>
    </row>
    <row r="155" spans="1:30">
      <c r="A155" s="1">
        <v>1963</v>
      </c>
      <c r="B155" s="8">
        <f>(K16*($E16/365))+(K17*($E17/365))</f>
        <v>72.727272727272734</v>
      </c>
      <c r="C155" s="8">
        <f>(L16*($E16/365))+(L17*($E17/365))</f>
        <v>0</v>
      </c>
      <c r="D155" s="8">
        <f>(M16*($E16/365))+(M17*($E17/365))</f>
        <v>0</v>
      </c>
      <c r="E155" s="39">
        <f t="shared" si="41"/>
        <v>72.727272727272734</v>
      </c>
      <c r="G155" s="20">
        <v>1963</v>
      </c>
      <c r="H155" s="886">
        <f>(O16/$R16*100*($E16/365))+(O17/$R17*100*($E17/365))</f>
        <v>92.870544090056299</v>
      </c>
      <c r="I155" s="886"/>
      <c r="J155" s="886">
        <f>(P16/$R16*100*($E16/365))+(P17/$R17*100*($E17/365))</f>
        <v>7.1294559099437143</v>
      </c>
      <c r="K155" s="886"/>
      <c r="L155" s="886">
        <f>(Q16/$R16*100*($E16/365))+(Q17/$R17*100*($E17/365))</f>
        <v>0</v>
      </c>
      <c r="M155" s="886"/>
      <c r="N155" s="919">
        <f t="shared" si="42"/>
        <v>100.00000000000001</v>
      </c>
      <c r="O155" s="919"/>
      <c r="P155" s="7"/>
      <c r="Q155" s="7"/>
      <c r="R155" s="20">
        <v>1963</v>
      </c>
      <c r="S155" s="8">
        <f>(O16*($E16/365))+(O17*($E17/365))</f>
        <v>49.5</v>
      </c>
      <c r="T155" s="8">
        <f>(P16*($E16/365))+(P17*($E17/365))</f>
        <v>3.8</v>
      </c>
      <c r="U155" s="8">
        <f>(Q16*($E16/365))+(Q17*($E17/365))</f>
        <v>0</v>
      </c>
      <c r="W155" s="14">
        <f t="shared" si="40"/>
        <v>53.3</v>
      </c>
      <c r="X155" s="5"/>
      <c r="Y155" s="37"/>
    </row>
    <row r="156" spans="1:30">
      <c r="A156" s="1">
        <v>1964</v>
      </c>
      <c r="B156" s="8">
        <f>(K18*($E18/366))+(K19*($E19/366))</f>
        <v>72.727272727272734</v>
      </c>
      <c r="C156" s="8">
        <f>(L18*($E18/366))+(L19*($E19/366))</f>
        <v>0</v>
      </c>
      <c r="D156" s="8">
        <f>(M18*($E18/366))+(M19*($E19/366))</f>
        <v>0</v>
      </c>
      <c r="E156" s="39">
        <f t="shared" si="41"/>
        <v>72.727272727272734</v>
      </c>
      <c r="G156" s="20">
        <v>1964</v>
      </c>
      <c r="H156" s="886">
        <f>(O18/$R18*100*($E18/366))+(O19/$R19*100*($E19/366))</f>
        <v>92.870544090056299</v>
      </c>
      <c r="I156" s="886"/>
      <c r="J156" s="886">
        <f>(P18/$R18*100*($E18/366))+(P19/$R19*100*($E19/366))</f>
        <v>7.1294559099437143</v>
      </c>
      <c r="K156" s="886"/>
      <c r="L156" s="886">
        <f>(Q18/$R18*100*($E18/366))+(Q19/$R19*100*($E19/366))</f>
        <v>0</v>
      </c>
      <c r="M156" s="886"/>
      <c r="N156" s="919">
        <f t="shared" si="42"/>
        <v>100.00000000000001</v>
      </c>
      <c r="O156" s="919"/>
      <c r="P156" s="7"/>
      <c r="Q156" s="7"/>
      <c r="R156" s="20">
        <v>1964</v>
      </c>
      <c r="S156" s="8">
        <f>(O18*($E18/366))+(O19*($E19/366))</f>
        <v>49.5</v>
      </c>
      <c r="T156" s="8">
        <f>(P18*($E18/366))+(P19*($E19/366))</f>
        <v>3.8</v>
      </c>
      <c r="U156" s="8">
        <f>(Q18*($E18/366))+(Q19*($E19/366))</f>
        <v>0</v>
      </c>
      <c r="W156" s="14">
        <f t="shared" si="40"/>
        <v>53.3</v>
      </c>
      <c r="X156" s="5"/>
      <c r="Y156" s="37"/>
    </row>
    <row r="157" spans="1:30">
      <c r="A157" s="1">
        <v>1965</v>
      </c>
      <c r="B157" s="8">
        <f>(K20*($E20/365))+(K21*($E21/365))</f>
        <v>72.727272727272734</v>
      </c>
      <c r="C157" s="8">
        <f>(L20*($E20/365))+(L21*($E21/365))</f>
        <v>0</v>
      </c>
      <c r="D157" s="8">
        <f>(M20*($E20/365))+(M21*($E21/365))</f>
        <v>0</v>
      </c>
      <c r="E157" s="39">
        <f t="shared" si="41"/>
        <v>72.727272727272734</v>
      </c>
      <c r="G157" s="20">
        <v>1965</v>
      </c>
      <c r="H157" s="886">
        <f>(O20/$R20*100*($E20/365))+(O21/$R21*100*($E21/365))</f>
        <v>92.870544090056299</v>
      </c>
      <c r="I157" s="886"/>
      <c r="J157" s="886">
        <f>(P20/$R20*100*($E20/365))+(P21/$R21*100*($E21/365))</f>
        <v>7.1294559099437143</v>
      </c>
      <c r="K157" s="886"/>
      <c r="L157" s="886">
        <f>(Q20/$R20*100*($E20/365))+(Q21/$R21*100*($E21/365))</f>
        <v>0</v>
      </c>
      <c r="M157" s="886"/>
      <c r="N157" s="919">
        <f t="shared" si="42"/>
        <v>100.00000000000001</v>
      </c>
      <c r="O157" s="919"/>
      <c r="P157" s="7"/>
      <c r="Q157" s="7"/>
      <c r="R157" s="20">
        <v>1965</v>
      </c>
      <c r="S157" s="8">
        <f>(O20*($E20/365))+(O21*($E21/365))</f>
        <v>49.5</v>
      </c>
      <c r="T157" s="8">
        <f>(P20*($E20/365))+(P21*($E21/365))</f>
        <v>3.8</v>
      </c>
      <c r="U157" s="8">
        <f>(Q20*($E20/365))+(Q21*($E21/365))</f>
        <v>0</v>
      </c>
      <c r="W157" s="14">
        <f t="shared" si="40"/>
        <v>53.3</v>
      </c>
      <c r="X157" s="5"/>
      <c r="Y157" s="37"/>
    </row>
    <row r="158" spans="1:30">
      <c r="A158" s="1">
        <v>1966</v>
      </c>
      <c r="B158" s="8">
        <f>(K22*($E22/365))+(K23*($E23/365))</f>
        <v>66.799501867995019</v>
      </c>
      <c r="C158" s="8">
        <f>(L22*($E22/365))+(L23*($E23/365))</f>
        <v>0</v>
      </c>
      <c r="D158" s="8">
        <f>(M22*($E22/365))+(M23*($E23/365))</f>
        <v>0</v>
      </c>
      <c r="E158" s="39">
        <f t="shared" si="41"/>
        <v>66.799501867995019</v>
      </c>
      <c r="G158" s="20">
        <v>1966</v>
      </c>
      <c r="H158" s="886">
        <f>(O22/$R22*100*($E22/365))+(O23/$R23*100*($E23/365))</f>
        <v>92.870544090056299</v>
      </c>
      <c r="I158" s="886"/>
      <c r="J158" s="886">
        <f>(P22/$R22*100*($E22/365))+(P23/$R23*100*($E23/365))</f>
        <v>7.1294559099437143</v>
      </c>
      <c r="K158" s="886"/>
      <c r="L158" s="886">
        <f>(Q22/$R22*100*($E22/365))+(Q23/$R23*100*($E23/365))</f>
        <v>0</v>
      </c>
      <c r="M158" s="886"/>
      <c r="N158" s="919">
        <f>SUM(H158:M158)</f>
        <v>100.00000000000001</v>
      </c>
      <c r="O158" s="919"/>
      <c r="P158" s="7"/>
      <c r="Q158" s="7"/>
      <c r="R158" s="20">
        <v>1966</v>
      </c>
      <c r="S158" s="8">
        <f>(O22*($E22/365))+(O23*($E23/365))</f>
        <v>49.5</v>
      </c>
      <c r="T158" s="8">
        <f>(P22*($E22/365))+(P23*($E23/365))</f>
        <v>3.8</v>
      </c>
      <c r="U158" s="8">
        <f>(Q22*($E22/365))+(Q23*($E23/365))</f>
        <v>0</v>
      </c>
      <c r="W158" s="14">
        <f t="shared" si="40"/>
        <v>53.3</v>
      </c>
      <c r="X158" s="5"/>
      <c r="Y158" s="37"/>
    </row>
    <row r="159" spans="1:30">
      <c r="A159" s="1">
        <v>1967</v>
      </c>
      <c r="B159" s="8">
        <f>(K24*($E24/365))+(K25*($E25/365))</f>
        <v>57.766708177667077</v>
      </c>
      <c r="C159" s="8">
        <f>(L24*($E24/365))+(L25*($E25/365))</f>
        <v>20.024906600249064</v>
      </c>
      <c r="D159" s="8">
        <f>(M24*($E24/365))+(M25*($E25/365))</f>
        <v>0</v>
      </c>
      <c r="E159" s="39">
        <f t="shared" si="41"/>
        <v>77.791614777916138</v>
      </c>
      <c r="G159" s="20">
        <v>1967</v>
      </c>
      <c r="H159" s="886">
        <f>(O24/$R24*100*($E24/365))+(O25/$R25*100*($E25/365))</f>
        <v>85.14803016994405</v>
      </c>
      <c r="I159" s="886"/>
      <c r="J159" s="886">
        <f>(P24/$R24*100*($E24/365))+(P25/$R25*100*($E25/365))</f>
        <v>14.851969830055952</v>
      </c>
      <c r="K159" s="886"/>
      <c r="L159" s="886">
        <f>(Q24/$R24*100*($E24/365))+(Q25/$R25*100*($E25/365))</f>
        <v>0</v>
      </c>
      <c r="M159" s="886"/>
      <c r="N159" s="919">
        <f t="shared" si="42"/>
        <v>100</v>
      </c>
      <c r="O159" s="919"/>
      <c r="P159" s="7"/>
      <c r="Q159" s="7"/>
      <c r="R159" s="20">
        <v>1967</v>
      </c>
      <c r="S159" s="8">
        <f>(O24*($E24/365))+(O25*($E25/365))</f>
        <v>42.965205479452059</v>
      </c>
      <c r="T159" s="8">
        <f>(P24*($E24/365))+(P25*($E25/365))</f>
        <v>7.3978082191780814</v>
      </c>
      <c r="U159" s="8">
        <f>(Q24*($E24/365))+(Q25*($E25/365))</f>
        <v>0</v>
      </c>
      <c r="W159" s="14">
        <f t="shared" si="40"/>
        <v>50.363013698630141</v>
      </c>
      <c r="X159" s="5"/>
      <c r="Y159" s="37"/>
    </row>
    <row r="160" spans="1:30">
      <c r="A160" s="1">
        <v>1968</v>
      </c>
      <c r="B160" s="8">
        <f>(K26*($E26/366))+(K27*($E27/366))+(K28*($E28/366))</f>
        <v>64.635134781812951</v>
      </c>
      <c r="C160" s="8">
        <f>(L26*($E26/366))+(L27*($E27/366))+(L28*($E28/366))</f>
        <v>17.792245143409939</v>
      </c>
      <c r="D160" s="8">
        <f>(M26*($E26/366))+(M27*($E27/366))+(M28*($E28/366))</f>
        <v>0</v>
      </c>
      <c r="E160" s="39">
        <f t="shared" si="41"/>
        <v>82.427379925222894</v>
      </c>
      <c r="G160" s="20">
        <v>1968</v>
      </c>
      <c r="H160" s="886">
        <f>(O26/$R26*100*($E26/366))+(O27/$R27*100*($E27/366))+(O28/$R28*100*($E28/366))</f>
        <v>81.960050591868963</v>
      </c>
      <c r="I160" s="886"/>
      <c r="J160" s="886">
        <f>(P26/$R26*100*($E26/366))+(P27/$R27*100*($E27/366))+(P28/$R28*100*($E28/366))</f>
        <v>18.039949408131037</v>
      </c>
      <c r="K160" s="886"/>
      <c r="L160" s="886">
        <f>(Q26/$R26*100*($E26/366))+(Q27/$R27*100*($E27/366))+(Q28/$R28*100*($E28/366))</f>
        <v>0</v>
      </c>
      <c r="M160" s="886"/>
      <c r="N160" s="919">
        <f t="shared" si="42"/>
        <v>100</v>
      </c>
      <c r="O160" s="919"/>
      <c r="P160" s="7"/>
      <c r="Q160" s="7"/>
      <c r="R160" s="20">
        <v>1968</v>
      </c>
      <c r="S160" s="8">
        <f>(O26*($E26/366))+(O27*($E27/366))+(O28*($E28/366))</f>
        <v>49.769945355191261</v>
      </c>
      <c r="T160" s="8">
        <f>(P26*($E26/366))+(P27*($E27/366))+(P28*($E28/366))</f>
        <v>11.016120218579236</v>
      </c>
      <c r="U160" s="8">
        <f>(Q26*($E26/366))+(Q27*($E27/366))+(Q28*($E28/366))</f>
        <v>0</v>
      </c>
      <c r="W160" s="14">
        <f t="shared" si="40"/>
        <v>60.7860655737705</v>
      </c>
      <c r="X160" s="5"/>
      <c r="Y160" s="37"/>
    </row>
    <row r="161" spans="1:25">
      <c r="A161" s="1">
        <v>1969</v>
      </c>
      <c r="B161" s="8">
        <f>(K29*($E29/365))+(K30*($E30/365))</f>
        <v>79.250180245133379</v>
      </c>
      <c r="C161" s="8">
        <f>(L29*($E29/365))+(L30*($E30/365))</f>
        <v>13.309300648882481</v>
      </c>
      <c r="D161" s="8">
        <f>(M29*($E29/365))+(M30*($E30/365))</f>
        <v>0</v>
      </c>
      <c r="E161" s="39">
        <f t="shared" si="41"/>
        <v>92.559480894015863</v>
      </c>
      <c r="G161" s="20">
        <v>1969</v>
      </c>
      <c r="H161" s="886">
        <f>(O29/$R29*100*($E29/365))+(O30/$R30*100*($E30/365))</f>
        <v>78.524481416531586</v>
      </c>
      <c r="I161" s="886"/>
      <c r="J161" s="886">
        <f>(P29/$R29*100*($E29/365))+(P30/$R30*100*($E30/365))</f>
        <v>21.475518583468428</v>
      </c>
      <c r="K161" s="886"/>
      <c r="L161" s="886">
        <f>(Q29/$R29*100*($E29/365))+(Q30/$R30*100*($E30/365))</f>
        <v>0</v>
      </c>
      <c r="M161" s="886"/>
      <c r="N161" s="919">
        <f t="shared" si="42"/>
        <v>100.00000000000001</v>
      </c>
      <c r="O161" s="919"/>
      <c r="P161" s="7"/>
      <c r="Q161" s="7"/>
      <c r="R161" s="20">
        <v>1969</v>
      </c>
      <c r="S161" s="8">
        <f>(O29*($E29/365))+(O30*($E30/365))</f>
        <v>60</v>
      </c>
      <c r="T161" s="8">
        <f>(P29*($E29/365))+(P30*($E30/365))</f>
        <v>16.508219178082193</v>
      </c>
      <c r="U161" s="8">
        <f>(Q29*($E29/365))+(Q30*($E30/365))</f>
        <v>0</v>
      </c>
      <c r="W161" s="14">
        <f t="shared" si="40"/>
        <v>76.508219178082186</v>
      </c>
      <c r="X161" s="5"/>
      <c r="Y161" s="37"/>
    </row>
    <row r="162" spans="1:25">
      <c r="A162" s="1">
        <v>1970</v>
      </c>
      <c r="B162" s="8">
        <f>(K31*($E31/365))+(K32*($E32/365))</f>
        <v>84.210526315789465</v>
      </c>
      <c r="C162" s="8">
        <f>(L31*($E31/365))+(L32*($E32/365))</f>
        <v>15.789473684210526</v>
      </c>
      <c r="D162" s="8">
        <f>(M31*($E31/365))+(M32*($E32/365))</f>
        <v>0</v>
      </c>
      <c r="E162" s="39">
        <f t="shared" si="41"/>
        <v>99.999999999999986</v>
      </c>
      <c r="G162" s="20">
        <v>1970</v>
      </c>
      <c r="H162" s="886">
        <f>(O31/$R31*100*($E31/365))+(O32/$R32*100*($E32/365))</f>
        <v>75.853350189633389</v>
      </c>
      <c r="I162" s="886"/>
      <c r="J162" s="886">
        <f>(P31/$R31*100*($E31/365))+(P32/$R32*100*($E32/365))</f>
        <v>24.146649810366625</v>
      </c>
      <c r="K162" s="886"/>
      <c r="L162" s="886">
        <f>(Q31/$R31*100*($E31/365))+(Q32/$R32*100*($E32/365))</f>
        <v>0</v>
      </c>
      <c r="M162" s="886"/>
      <c r="N162" s="919">
        <f t="shared" si="42"/>
        <v>100.00000000000001</v>
      </c>
      <c r="O162" s="919"/>
      <c r="P162" s="7"/>
      <c r="Q162" s="7"/>
      <c r="R162" s="20">
        <v>1970</v>
      </c>
      <c r="S162" s="8">
        <f>(O31*($E31/365))+(O32*($E32/365))</f>
        <v>60</v>
      </c>
      <c r="T162" s="8">
        <f>(P31*($E31/365))+(P32*($E32/365))</f>
        <v>19.100000000000001</v>
      </c>
      <c r="U162" s="8">
        <f>(Q31*($E31/365))+(Q32*($E32/365))</f>
        <v>0</v>
      </c>
      <c r="W162" s="14">
        <f t="shared" si="40"/>
        <v>79.099999999999994</v>
      </c>
      <c r="X162" s="5"/>
      <c r="Y162" s="37"/>
    </row>
    <row r="163" spans="1:25">
      <c r="A163" s="1">
        <v>1971</v>
      </c>
      <c r="B163" s="8">
        <f>(K33*($E33/365))+(K34*($E34/365))</f>
        <v>84.210526315789465</v>
      </c>
      <c r="C163" s="8">
        <f>(L33*($E33/365))+(L34*($E34/365))</f>
        <v>15.789473684210526</v>
      </c>
      <c r="D163" s="8">
        <f>(M33*($E33/365))+(M34*($E34/365))</f>
        <v>0</v>
      </c>
      <c r="E163" s="39">
        <f t="shared" si="41"/>
        <v>99.999999999999986</v>
      </c>
      <c r="G163" s="20">
        <v>1971</v>
      </c>
      <c r="H163" s="886">
        <f>(O33/$R33*100*($E33/365))+(O34/$R34*100*($E34/365))</f>
        <v>75.853350189633389</v>
      </c>
      <c r="I163" s="886"/>
      <c r="J163" s="886">
        <f>(P33/$R33*100*($E33/365))+(P34/$R34*100*($E34/365))</f>
        <v>24.146649810366625</v>
      </c>
      <c r="K163" s="886"/>
      <c r="L163" s="886">
        <f>(Q33/$R33*100*($E33/365))+(Q34/$R34*100*($E34/365))</f>
        <v>0</v>
      </c>
      <c r="M163" s="886"/>
      <c r="N163" s="919">
        <f t="shared" si="42"/>
        <v>100.00000000000001</v>
      </c>
      <c r="O163" s="919"/>
      <c r="P163" s="7"/>
      <c r="Q163" s="7"/>
      <c r="R163" s="20">
        <v>1971</v>
      </c>
      <c r="S163" s="8">
        <f>(O33*($E33/365))+(O34*($E34/365))</f>
        <v>60</v>
      </c>
      <c r="T163" s="8">
        <f>(P33*($E33/365))+(P34*($E34/365))</f>
        <v>19.100000000000001</v>
      </c>
      <c r="U163" s="8">
        <f>(Q33*($E33/365))+(Q34*($E34/365))</f>
        <v>0</v>
      </c>
      <c r="W163" s="14">
        <f t="shared" si="40"/>
        <v>79.099999999999994</v>
      </c>
      <c r="X163" s="5"/>
      <c r="Y163" s="37"/>
    </row>
    <row r="164" spans="1:25">
      <c r="A164" s="1">
        <v>1972</v>
      </c>
      <c r="B164" s="8">
        <f>(K35*($E35/366))+(K36*($E36/366))</f>
        <v>84.594477998274371</v>
      </c>
      <c r="C164" s="8">
        <f>(L35*($E35/366))+(L36*($E36/366))</f>
        <v>15.405522001725625</v>
      </c>
      <c r="D164" s="8">
        <f>(M35*($E35/366))+(M36*($E36/366))</f>
        <v>0</v>
      </c>
      <c r="E164" s="39">
        <f t="shared" si="41"/>
        <v>100</v>
      </c>
      <c r="G164" s="20">
        <v>1972</v>
      </c>
      <c r="H164" s="886">
        <f>(O35/$R35*100*($E35/366))+(O36/$R36*100*($E36/366))</f>
        <v>75.853350189633389</v>
      </c>
      <c r="I164" s="886"/>
      <c r="J164" s="886">
        <f>(P35/$R35*100*($E35/366))+(P36/$R36*100*($E36/366))</f>
        <v>24.146649810366625</v>
      </c>
      <c r="K164" s="886"/>
      <c r="L164" s="886">
        <f>(Q35/$R35*100*($E35/366))+(Q36/$R36*100*($E36/366))</f>
        <v>0</v>
      </c>
      <c r="M164" s="886"/>
      <c r="N164" s="919">
        <f t="shared" si="42"/>
        <v>100.00000000000001</v>
      </c>
      <c r="O164" s="919"/>
      <c r="P164" s="7"/>
      <c r="Q164" s="7"/>
      <c r="R164" s="20">
        <v>1972</v>
      </c>
      <c r="S164" s="8">
        <f>(O35*($E35/366))+(O36*($E36/366))</f>
        <v>60</v>
      </c>
      <c r="T164" s="8">
        <f>(P35*($E35/366))+(P36*($E36/366))</f>
        <v>19.100000000000001</v>
      </c>
      <c r="U164" s="8">
        <f>(Q35*($E35/366))+(Q36*($E36/366))</f>
        <v>0</v>
      </c>
      <c r="W164" s="14">
        <f t="shared" si="40"/>
        <v>79.099999999999994</v>
      </c>
      <c r="X164" s="5"/>
      <c r="Y164" s="37"/>
    </row>
    <row r="165" spans="1:25">
      <c r="A165" s="1">
        <v>1973</v>
      </c>
      <c r="B165" s="8">
        <f>(K37*($E37/365))+(K38*($E38/365))</f>
        <v>86.012453300124534</v>
      </c>
      <c r="C165" s="8">
        <f>(L37*($E37/365))+(L38*($E38/365))</f>
        <v>3.8630136986301369</v>
      </c>
      <c r="D165" s="8">
        <f>(M37*($E37/365))+(M38*($E38/365))</f>
        <v>0</v>
      </c>
      <c r="E165" s="39">
        <f t="shared" si="41"/>
        <v>89.875466998754675</v>
      </c>
      <c r="G165" s="20">
        <v>1973</v>
      </c>
      <c r="H165" s="886">
        <f>(O37/$R37*100*($E37/365))+(O38/$R38*100*($E38/365))</f>
        <v>77.9310182449276</v>
      </c>
      <c r="I165" s="886"/>
      <c r="J165" s="886">
        <f>(P37/$R37*100*($E37/365))+(P38/$R38*100*($E38/365))</f>
        <v>22.068981755072407</v>
      </c>
      <c r="K165" s="886"/>
      <c r="L165" s="886">
        <f>(Q37/$R37*100*($E37/365))+(Q38/$R38*100*($E38/365))</f>
        <v>0</v>
      </c>
      <c r="M165" s="886"/>
      <c r="N165" s="919">
        <f t="shared" si="42"/>
        <v>100</v>
      </c>
      <c r="O165" s="919"/>
      <c r="P165" s="7"/>
      <c r="Q165" s="7"/>
      <c r="R165" s="20">
        <v>1973</v>
      </c>
      <c r="S165" s="8">
        <f>(O37*($E37/365))+(O38*($E38/365))</f>
        <v>46.635616438356159</v>
      </c>
      <c r="T165" s="8">
        <f>(P37*($E37/365))+(P38*($E38/365))</f>
        <v>13.383013698630137</v>
      </c>
      <c r="U165" s="8">
        <f>(Q37*($E37/365))+(Q38*($E38/365))</f>
        <v>0</v>
      </c>
      <c r="W165" s="14">
        <f t="shared" si="40"/>
        <v>60.018630136986296</v>
      </c>
      <c r="X165" s="5"/>
      <c r="Y165" s="37"/>
    </row>
    <row r="166" spans="1:25">
      <c r="A166" s="1">
        <v>1974</v>
      </c>
      <c r="B166" s="8">
        <f>(K39*($E39/365))+(K40*($E40/365))+(K41*($E41/365))</f>
        <v>76.117683686176832</v>
      </c>
      <c r="C166" s="8">
        <f>(L39*($E39/365))+(L40*($E40/365))+(L41*($E41/365))</f>
        <v>3.7328767123287672</v>
      </c>
      <c r="D166" s="8">
        <f>(M39*($E39/365))+(M40*($E40/365))+(M41*($E41/365))</f>
        <v>3.7328767123287672</v>
      </c>
      <c r="E166" s="39">
        <f t="shared" si="41"/>
        <v>83.583437110834353</v>
      </c>
      <c r="G166" s="20">
        <v>1974</v>
      </c>
      <c r="H166" s="886">
        <f>(O39/$R39*100*($E39/365))+(O40/$R40*100*($E40/365))+(O41/$R41*100*($E41/365))</f>
        <v>76.711941901648288</v>
      </c>
      <c r="I166" s="886"/>
      <c r="J166" s="886">
        <f>(P39/$R39*100*($E39/365))+(P40/$R40*100*($E40/365))+(P41/$R41*100*($E41/365))</f>
        <v>20.821812801875968</v>
      </c>
      <c r="K166" s="886"/>
      <c r="L166" s="886">
        <f>(Q39/$R39*100*($E39/365))+(Q40/$R40*100*($E40/365))+(Q41/$R41*100*($E41/365))</f>
        <v>2.4662452964757389</v>
      </c>
      <c r="M166" s="886"/>
      <c r="N166" s="919">
        <f t="shared" si="42"/>
        <v>99.999999999999986</v>
      </c>
      <c r="O166" s="919"/>
      <c r="P166" s="7"/>
      <c r="Q166" s="7"/>
      <c r="R166" s="20">
        <v>1974</v>
      </c>
      <c r="S166" s="8">
        <f>(O39*($E39/365))+(O40*($E40/365))+(O41*($E41/365))</f>
        <v>42</v>
      </c>
      <c r="T166" s="8">
        <f>(P39*($E39/365))+(P40*($E40/365))+(P41*($E41/365))</f>
        <v>11.4</v>
      </c>
      <c r="U166" s="8">
        <f>(Q39*($E39/365))+(Q40*($E40/365))+(Q41*($E41/365))</f>
        <v>1.3736986301369862</v>
      </c>
      <c r="W166" s="14">
        <f t="shared" si="40"/>
        <v>54.773698630136984</v>
      </c>
      <c r="X166" s="5"/>
      <c r="Y166" s="37"/>
    </row>
    <row r="167" spans="1:25">
      <c r="A167" s="1">
        <v>1975</v>
      </c>
      <c r="B167" s="8">
        <f>(K42*($E42/365))+(K43*($E43/365))</f>
        <v>68.75</v>
      </c>
      <c r="C167" s="8">
        <f>(L42*($E42/365))+(L43*($E43/365))</f>
        <v>6.25</v>
      </c>
      <c r="D167" s="8">
        <f>(M42*($E42/365))+(M43*($E43/365))</f>
        <v>6.25</v>
      </c>
      <c r="E167" s="39">
        <f t="shared" si="41"/>
        <v>81.25</v>
      </c>
      <c r="G167" s="20">
        <v>1975</v>
      </c>
      <c r="H167" s="886">
        <f>(O42/$R42*100*($E42/365))+(O43/$R43*100*($E43/365))</f>
        <v>75.403949730700177</v>
      </c>
      <c r="I167" s="886"/>
      <c r="J167" s="886">
        <f>(P42/$R42*100*($E42/365))+(P43/$R43*100*($E43/365))</f>
        <v>20.466786355475765</v>
      </c>
      <c r="K167" s="886"/>
      <c r="L167" s="886">
        <f>(Q42/$R42*100*($E42/365))+(Q43/$R43*100*($E43/365))</f>
        <v>4.1292639138240581</v>
      </c>
      <c r="M167" s="886"/>
      <c r="N167" s="919">
        <f t="shared" si="42"/>
        <v>100</v>
      </c>
      <c r="O167" s="919"/>
      <c r="P167" s="7"/>
      <c r="Q167" s="7"/>
      <c r="R167" s="20">
        <v>1975</v>
      </c>
      <c r="S167" s="8">
        <f>(O42*($E42/365))+(O43*($E43/365))</f>
        <v>42</v>
      </c>
      <c r="T167" s="8">
        <f>(P42*($E42/365))+(P43*($E43/365))</f>
        <v>11.4</v>
      </c>
      <c r="U167" s="8">
        <f>(Q42*($E42/365))+(Q43*($E43/365))</f>
        <v>2.2999999999999998</v>
      </c>
      <c r="W167" s="14">
        <f t="shared" si="40"/>
        <v>55.699999999999996</v>
      </c>
      <c r="X167" s="5"/>
      <c r="Y167" s="37"/>
    </row>
    <row r="168" spans="1:25">
      <c r="A168" s="1">
        <v>1976</v>
      </c>
      <c r="B168" s="8">
        <f>(K44*($E44/366))+(K45*($E45/366))</f>
        <v>61.731557377049185</v>
      </c>
      <c r="C168" s="8">
        <f>(L44*($E44/366))+(L45*($E45/366))</f>
        <v>5.9900576806314518</v>
      </c>
      <c r="D168" s="8">
        <f>(M44*($E44/366))+(M45*($E45/366))</f>
        <v>10.149134790528233</v>
      </c>
      <c r="E168" s="39">
        <f t="shared" si="41"/>
        <v>77.870749848208874</v>
      </c>
      <c r="G168" s="20">
        <v>1976</v>
      </c>
      <c r="H168" s="886">
        <f>(O44/$R44*100*($E44/366))+(O45/$R45*100*($E45/366))</f>
        <v>75.403949730700191</v>
      </c>
      <c r="I168" s="886"/>
      <c r="J168" s="886">
        <f>(P44/$R44*100*($E44/366))+(P45/$R45*100*($E45/366))</f>
        <v>20.466786355475765</v>
      </c>
      <c r="K168" s="886"/>
      <c r="L168" s="886">
        <f>(Q44/$R44*100*($E44/366))+(Q45/$R45*100*($E45/366))</f>
        <v>4.1292639138240581</v>
      </c>
      <c r="M168" s="886"/>
      <c r="N168" s="919">
        <f t="shared" si="42"/>
        <v>100.00000000000001</v>
      </c>
      <c r="O168" s="919"/>
      <c r="P168" s="7"/>
      <c r="Q168" s="7"/>
      <c r="R168" s="20">
        <v>1976</v>
      </c>
      <c r="S168" s="8">
        <f>(O44*($E44/366))+(O45*($E45/366))</f>
        <v>42</v>
      </c>
      <c r="T168" s="8">
        <f>(P44*($E44/366))+(P45*($E45/366))</f>
        <v>11.4</v>
      </c>
      <c r="U168" s="8">
        <f>(Q44*($E44/366))+(Q45*($E45/366))</f>
        <v>2.2999999999999998</v>
      </c>
      <c r="W168" s="14">
        <f t="shared" si="40"/>
        <v>55.699999999999996</v>
      </c>
      <c r="X168" s="5"/>
      <c r="Y168" s="37"/>
    </row>
    <row r="169" spans="1:25" s="12" customFormat="1">
      <c r="A169" s="1">
        <v>1977</v>
      </c>
      <c r="B169" s="8">
        <f>(K46*($E46/365))+(K47*($E47/365))</f>
        <v>42.410958904109592</v>
      </c>
      <c r="C169" s="8">
        <f>(L46*($E46/365))+(L47*($E47/365))</f>
        <v>11.458143074581432</v>
      </c>
      <c r="D169" s="8">
        <f>(M46*($E46/365))+(M47*($E47/365))</f>
        <v>14.136986301369863</v>
      </c>
      <c r="E169" s="39">
        <f t="shared" si="41"/>
        <v>68.006088280060879</v>
      </c>
      <c r="G169" s="20">
        <v>1977</v>
      </c>
      <c r="H169" s="886">
        <f>(O46/$R46*100*($E46/365))+(O47/$R47*100*($E47/365))</f>
        <v>75.403949730700177</v>
      </c>
      <c r="I169" s="886"/>
      <c r="J169" s="886">
        <f>(P46/$R46*100*($E46/365))+(P47/$R47*100*($E47/365))</f>
        <v>20.466786355475765</v>
      </c>
      <c r="K169" s="886"/>
      <c r="L169" s="886">
        <f>(Q46/$R46*100*($E46/365))+(Q47/$R47*100*($E47/365))</f>
        <v>4.1292639138240581</v>
      </c>
      <c r="M169" s="886"/>
      <c r="N169" s="919">
        <f t="shared" si="42"/>
        <v>100</v>
      </c>
      <c r="O169" s="919"/>
      <c r="P169" s="7"/>
      <c r="Q169" s="7"/>
      <c r="R169" s="20">
        <v>1977</v>
      </c>
      <c r="S169" s="8">
        <f>(O46*($E46/365))+(O47*($E47/365))</f>
        <v>42</v>
      </c>
      <c r="T169" s="8">
        <f>(P46*($E46/365))+(P47*($E47/365))</f>
        <v>11.4</v>
      </c>
      <c r="U169" s="8">
        <f>(Q46*($E46/365))+(Q47*($E47/365))</f>
        <v>2.2999999999999998</v>
      </c>
      <c r="W169" s="14">
        <f t="shared" si="40"/>
        <v>55.699999999999996</v>
      </c>
      <c r="X169" s="5"/>
      <c r="Y169" s="37"/>
    </row>
    <row r="170" spans="1:25">
      <c r="A170" s="1">
        <v>1978</v>
      </c>
      <c r="B170" s="8">
        <f>(K48*($E48/365))+(K49*($E49/365))</f>
        <v>32.547945205479451</v>
      </c>
      <c r="C170" s="8">
        <f>(L48*($E48/365))+(L49*($E49/365))</f>
        <v>36.93150684931507</v>
      </c>
      <c r="D170" s="8">
        <f>(M48*($E48/365))+(M49*($E49/365))</f>
        <v>3.397260273972603</v>
      </c>
      <c r="E170" s="39">
        <f t="shared" si="41"/>
        <v>72.876712328767127</v>
      </c>
      <c r="G170" s="20">
        <v>1978</v>
      </c>
      <c r="H170" s="886">
        <f>(O48/$R48*100*($E48/365))+(O49/$R49*100*($E49/365))</f>
        <v>58.992165147100749</v>
      </c>
      <c r="I170" s="886"/>
      <c r="J170" s="886">
        <f>(P48/$R48*100*($E48/365))+(P49/$R49*100*($E49/365))</f>
        <v>39.955721033760526</v>
      </c>
      <c r="K170" s="886"/>
      <c r="L170" s="886">
        <f>(Q48/$R48*100*($E48/365))+(Q49/$R49*100*($E49/365))</f>
        <v>1.0521138191387327</v>
      </c>
      <c r="M170" s="886"/>
      <c r="N170" s="919">
        <f t="shared" si="42"/>
        <v>100.00000000000001</v>
      </c>
      <c r="O170" s="919"/>
      <c r="P170" s="7"/>
      <c r="Q170" s="7"/>
      <c r="R170" s="20">
        <v>1978</v>
      </c>
      <c r="S170" s="8">
        <f>(O48*($E48/365))+(O49*($E49/365))</f>
        <v>33.057534246575344</v>
      </c>
      <c r="T170" s="8">
        <f>(P48*($E48/365))+(P49*($E49/365))</f>
        <v>22.429041095890412</v>
      </c>
      <c r="U170" s="8">
        <f>(Q48*($E48/365))+(Q49*($E49/365))</f>
        <v>0.58602739726027397</v>
      </c>
      <c r="W170" s="14">
        <f t="shared" si="40"/>
        <v>56.07260273972603</v>
      </c>
      <c r="X170" s="5"/>
      <c r="Y170" s="37"/>
    </row>
    <row r="171" spans="1:25">
      <c r="A171" s="1">
        <v>1979</v>
      </c>
      <c r="B171" s="8">
        <f>(K50*($E50/365))+(K51*($E51/365))</f>
        <v>30</v>
      </c>
      <c r="C171" s="8">
        <f>(L50*($E50/365))+(L51*($E51/365))</f>
        <v>45</v>
      </c>
      <c r="D171" s="8">
        <f>(M50*($E50/365))+(M51*($E51/365))</f>
        <v>0</v>
      </c>
      <c r="E171" s="39">
        <f t="shared" si="41"/>
        <v>75</v>
      </c>
      <c r="G171" s="20">
        <v>1979</v>
      </c>
      <c r="H171" s="886">
        <f>(O50/$R50*100*($E50/365))+(O51/$R51*100*($E51/365))</f>
        <v>53.380782918149464</v>
      </c>
      <c r="I171" s="886"/>
      <c r="J171" s="886">
        <f>(P50/$R50*100*($E50/365))+(P51/$R51*100*($E51/365))</f>
        <v>46.619217081850529</v>
      </c>
      <c r="K171" s="886"/>
      <c r="L171" s="886">
        <f>(Q50/$R50*100*($E50/365))+(Q51/$R51*100*($E51/365))</f>
        <v>0</v>
      </c>
      <c r="M171" s="886"/>
      <c r="N171" s="919">
        <f t="shared" si="42"/>
        <v>100</v>
      </c>
      <c r="O171" s="919"/>
      <c r="P171" s="7"/>
      <c r="Q171" s="7"/>
      <c r="R171" s="20">
        <v>1979</v>
      </c>
      <c r="S171" s="8">
        <f>(O50*($E50/365))+(O51*($E51/365))</f>
        <v>30</v>
      </c>
      <c r="T171" s="8">
        <f>(P50*($E50/365))+(P51*($E51/365))</f>
        <v>26.2</v>
      </c>
      <c r="U171" s="8">
        <f>(Q50*($E50/365))+(Q51*($E51/365))</f>
        <v>0</v>
      </c>
      <c r="W171" s="14">
        <f t="shared" si="40"/>
        <v>56.2</v>
      </c>
      <c r="X171" s="5"/>
    </row>
    <row r="172" spans="1:25">
      <c r="A172" s="1">
        <v>1980</v>
      </c>
      <c r="B172" s="8">
        <f>(K52*($E52/366))+(K53*($E53/366))</f>
        <v>30</v>
      </c>
      <c r="C172" s="8">
        <f>(L52*($E52/366))+(L53*($E53/366))</f>
        <v>45</v>
      </c>
      <c r="D172" s="8">
        <f>(M52*($E52/366))+(M53*($E53/366))</f>
        <v>0</v>
      </c>
      <c r="E172" s="39">
        <f t="shared" si="41"/>
        <v>75</v>
      </c>
      <c r="G172" s="20">
        <v>1980</v>
      </c>
      <c r="H172" s="886">
        <f>(O52/$R52*100*($E52/366))+(O53/$R53*100*($E53/366))</f>
        <v>53.380782918149464</v>
      </c>
      <c r="I172" s="886"/>
      <c r="J172" s="886">
        <f>(P52/$R52*100*($E52/366))+(P53/$R53*100*($E53/366))</f>
        <v>46.619217081850529</v>
      </c>
      <c r="K172" s="886"/>
      <c r="L172" s="886">
        <f>(Q52/$R52*100*($E52/366))+(Q53/$R53*100*($E53/366))</f>
        <v>0</v>
      </c>
      <c r="M172" s="886"/>
      <c r="N172" s="919">
        <f t="shared" si="42"/>
        <v>100</v>
      </c>
      <c r="O172" s="919"/>
      <c r="P172" s="7"/>
      <c r="Q172" s="7"/>
      <c r="R172" s="20">
        <v>1980</v>
      </c>
      <c r="S172" s="8">
        <f>(O52*($E52/366))+(O53*($E53/366))</f>
        <v>30</v>
      </c>
      <c r="T172" s="8">
        <f>(P52*($E52/366))+(P53*($E53/366))</f>
        <v>26.2</v>
      </c>
      <c r="U172" s="8">
        <f>(Q52*($E52/366))+(Q53*($E53/366))</f>
        <v>0</v>
      </c>
      <c r="W172" s="14">
        <f t="shared" si="40"/>
        <v>56.2</v>
      </c>
      <c r="X172" s="5"/>
    </row>
    <row r="173" spans="1:25">
      <c r="A173" s="1">
        <v>1981</v>
      </c>
      <c r="B173" s="8">
        <f>(K54*($E54/365))+(K55*($E55/365))+(K56*($E56/365))</f>
        <v>11.589041095890412</v>
      </c>
      <c r="C173" s="8">
        <f>(L54*($E54/365))+(L55*($E55/365))+(L56*($E56/365))</f>
        <v>17.383561643835616</v>
      </c>
      <c r="D173" s="8">
        <f>(M54*($E54/365))+(M55*($E55/365))+(M56*($E56/365))</f>
        <v>61.369863013698627</v>
      </c>
      <c r="E173" s="39">
        <f t="shared" si="41"/>
        <v>90.342465753424648</v>
      </c>
      <c r="G173" s="20">
        <v>1981</v>
      </c>
      <c r="H173" s="886">
        <f>(O54/$R54*100*($E54/365))+(O55/$R55*100*($E55/365))+(O56/$R56*100*($E56/365))</f>
        <v>20.621069565641299</v>
      </c>
      <c r="I173" s="886"/>
      <c r="J173" s="886">
        <f>(P54/$R54*100*($E54/365))+(P55/$R55*100*($E55/365))+(P56/$R56*100*($E56/365))</f>
        <v>18.009067420660067</v>
      </c>
      <c r="K173" s="886"/>
      <c r="L173" s="886">
        <f>(Q54/$R54*100*($E54/365))+(Q55/$R55*100*($E55/365))+(Q56/$R56*100*($E56/365))</f>
        <v>61.369863013698627</v>
      </c>
      <c r="M173" s="886"/>
      <c r="N173" s="919">
        <f t="shared" si="42"/>
        <v>100</v>
      </c>
      <c r="O173" s="919"/>
      <c r="P173" s="7"/>
      <c r="Q173" s="7"/>
      <c r="R173" s="20">
        <v>1981</v>
      </c>
      <c r="S173" s="8">
        <f>(O54*($E54/365))+(O55*($E55/365))+(O56*($E56/365))</f>
        <v>11.589041095890412</v>
      </c>
      <c r="T173" s="8">
        <f>(P54*($E54/365))+(P55*($E55/365))+(P56*($E56/365))</f>
        <v>10.12109589041096</v>
      </c>
      <c r="U173" s="8">
        <f>(Q54*($E54/365))+(Q55*($E55/365))+(Q56*($E56/365))</f>
        <v>36.444931506849308</v>
      </c>
      <c r="W173" s="14">
        <f t="shared" si="40"/>
        <v>58.155068493150679</v>
      </c>
      <c r="X173" s="5"/>
    </row>
    <row r="174" spans="1:25">
      <c r="A174" s="1">
        <v>1982</v>
      </c>
      <c r="B174" s="8">
        <f>(K57*($E57/365))+(K58*($E58/365))</f>
        <v>0</v>
      </c>
      <c r="C174" s="8">
        <f>(L57*($E57/365))+(L58*($E58/365))</f>
        <v>0</v>
      </c>
      <c r="D174" s="8">
        <f>(M57*($E57/365))+(M58*($E58/365))</f>
        <v>100</v>
      </c>
      <c r="E174" s="39">
        <f t="shared" si="41"/>
        <v>100</v>
      </c>
      <c r="G174" s="20">
        <v>1982</v>
      </c>
      <c r="H174" s="886">
        <f>(O57/$R57*100*($E57/365))+(O58/$R58*100*($E58/365))</f>
        <v>0</v>
      </c>
      <c r="I174" s="886"/>
      <c r="J174" s="886">
        <f>(P57/$R57*100*($E57/365))+(P58/$R58*100*($E58/365))</f>
        <v>0</v>
      </c>
      <c r="K174" s="886"/>
      <c r="L174" s="886">
        <f>(Q57/$R57*100*($E57/365))+(Q58/$R58*100*($E58/365))</f>
        <v>100</v>
      </c>
      <c r="M174" s="886"/>
      <c r="N174" s="919">
        <f t="shared" si="42"/>
        <v>100</v>
      </c>
      <c r="O174" s="919"/>
      <c r="P174" s="7"/>
      <c r="Q174" s="7"/>
      <c r="R174" s="20">
        <v>1982</v>
      </c>
      <c r="S174" s="8">
        <f>(O57*($E57/365))+(O58*($E58/365))</f>
        <v>0</v>
      </c>
      <c r="T174" s="8">
        <f>(P57*($E57/365))+(P58*($E58/365))</f>
        <v>0</v>
      </c>
      <c r="U174" s="8">
        <f>(Q57*($E57/365))+(Q58*($E58/365))</f>
        <v>65.7</v>
      </c>
      <c r="W174" s="14">
        <f t="shared" si="40"/>
        <v>65.7</v>
      </c>
      <c r="X174" s="5"/>
    </row>
    <row r="175" spans="1:25">
      <c r="A175" s="1">
        <v>1983</v>
      </c>
      <c r="B175" s="8">
        <f>(K59*($E59/365))+(K60*($E60/365))</f>
        <v>0</v>
      </c>
      <c r="C175" s="8">
        <f>(L59*($E59/365))+(L60*($E60/365))</f>
        <v>0</v>
      </c>
      <c r="D175" s="8">
        <f>(M59*($E59/365))+(M60*($E60/365))</f>
        <v>100</v>
      </c>
      <c r="E175" s="39">
        <f t="shared" si="41"/>
        <v>100</v>
      </c>
      <c r="G175" s="20">
        <v>1983</v>
      </c>
      <c r="H175" s="886">
        <f>(O59/$R59*100*($E59/365))+(O60/$R60*100*($E60/365))</f>
        <v>0</v>
      </c>
      <c r="I175" s="886"/>
      <c r="J175" s="886">
        <f>(P59/$R59*100*($E59/365))+(P60/$R60*100*($E60/365))</f>
        <v>0</v>
      </c>
      <c r="K175" s="886"/>
      <c r="L175" s="886">
        <f>(Q59/$R59*100*($E59/365))+(Q60/$R60*100*($E60/365))</f>
        <v>100</v>
      </c>
      <c r="M175" s="886"/>
      <c r="N175" s="919">
        <f t="shared" si="42"/>
        <v>100</v>
      </c>
      <c r="O175" s="919"/>
      <c r="P175" s="7"/>
      <c r="Q175" s="7"/>
      <c r="R175" s="20">
        <v>1983</v>
      </c>
      <c r="S175" s="8">
        <f>(O59*($E59/365))+(O60*($E60/365))</f>
        <v>0</v>
      </c>
      <c r="T175" s="8">
        <f>(P59*($E59/365))+(P60*($E60/365))</f>
        <v>0</v>
      </c>
      <c r="U175" s="8">
        <f>(Q59*($E59/365))+(Q60*($E60/365))</f>
        <v>65.7</v>
      </c>
      <c r="W175" s="14">
        <f t="shared" si="40"/>
        <v>65.7</v>
      </c>
      <c r="X175" s="5"/>
    </row>
    <row r="176" spans="1:25">
      <c r="A176" s="1">
        <v>1984</v>
      </c>
      <c r="B176" s="8">
        <f>(K61*($E61/366))+(K62*($E62/366))</f>
        <v>0</v>
      </c>
      <c r="C176" s="8">
        <f>(L61*($E61/366))+(L62*($E62/366))</f>
        <v>0</v>
      </c>
      <c r="D176" s="8">
        <f>(M61*($E61/366))+(M62*($E62/366))</f>
        <v>100</v>
      </c>
      <c r="E176" s="39">
        <f t="shared" si="41"/>
        <v>100</v>
      </c>
      <c r="G176" s="20">
        <v>1984</v>
      </c>
      <c r="H176" s="886">
        <f>(O61/$R61*100*($E61/366))+(O62/$R62*100*($E62/366))</f>
        <v>0</v>
      </c>
      <c r="I176" s="886"/>
      <c r="J176" s="886">
        <f>(P61/$R61*100*($E61/366))+(P62/$R62*100*($E62/366))</f>
        <v>0</v>
      </c>
      <c r="K176" s="886"/>
      <c r="L176" s="886">
        <f>(Q61/$R61*100*($E61/366))+(Q62/$R62*100*($E62/366))</f>
        <v>100</v>
      </c>
      <c r="M176" s="886"/>
      <c r="N176" s="919">
        <f t="shared" si="42"/>
        <v>100</v>
      </c>
      <c r="O176" s="919"/>
      <c r="P176" s="7"/>
      <c r="Q176" s="7"/>
      <c r="R176" s="20">
        <v>1984</v>
      </c>
      <c r="S176" s="8">
        <f>(O61*($E61/366))+(O62*($E62/366))</f>
        <v>0</v>
      </c>
      <c r="T176" s="8">
        <f>(P61*($E61/366))+(P62*($E62/366))</f>
        <v>0</v>
      </c>
      <c r="U176" s="8">
        <f>(Q61*($E61/366))+(Q62*($E62/366))</f>
        <v>61.627868852459017</v>
      </c>
      <c r="W176" s="14">
        <f t="shared" si="40"/>
        <v>61.627868852459017</v>
      </c>
      <c r="X176" s="5"/>
    </row>
    <row r="177" spans="1:24">
      <c r="A177" s="1">
        <v>1985</v>
      </c>
      <c r="B177" s="8">
        <f>(K63*($E63/365))+(K64*($E64/365))</f>
        <v>0</v>
      </c>
      <c r="C177" s="8">
        <f>(L63*($E63/365))+(L64*($E64/365))</f>
        <v>0</v>
      </c>
      <c r="D177" s="8">
        <f>(M63*($E63/365))+(M64*($E64/365))</f>
        <v>100</v>
      </c>
      <c r="E177" s="39">
        <f t="shared" si="41"/>
        <v>100</v>
      </c>
      <c r="G177" s="20">
        <v>1985</v>
      </c>
      <c r="H177" s="886">
        <f>(O63/$R63*100*($E63/365))+(O64/$R64*100*($E64/365))</f>
        <v>0</v>
      </c>
      <c r="I177" s="886"/>
      <c r="J177" s="886">
        <f>(P63/$R63*100*($E63/365))+(P64/$R64*100*($E64/365))</f>
        <v>0</v>
      </c>
      <c r="K177" s="886"/>
      <c r="L177" s="886">
        <f>(Q63/$R63*100*($E63/365))+(Q64/$R64*100*($E64/365))</f>
        <v>100</v>
      </c>
      <c r="M177" s="886"/>
      <c r="N177" s="919">
        <f t="shared" si="42"/>
        <v>100</v>
      </c>
      <c r="O177" s="919"/>
      <c r="P177" s="7"/>
      <c r="Q177" s="7"/>
      <c r="R177" s="20">
        <v>1985</v>
      </c>
      <c r="S177" s="8">
        <f>(O63*($E63/365))+(O64*($E64/365))</f>
        <v>0</v>
      </c>
      <c r="T177" s="8">
        <f>(P63*($E63/365))+(P64*($E64/365))</f>
        <v>0</v>
      </c>
      <c r="U177" s="8">
        <f>(Q63*($E63/365))+(Q64*($E64/365))</f>
        <v>56.5</v>
      </c>
      <c r="W177" s="14">
        <f t="shared" si="40"/>
        <v>56.5</v>
      </c>
      <c r="X177" s="5"/>
    </row>
    <row r="178" spans="1:24">
      <c r="A178" s="1">
        <v>1986</v>
      </c>
      <c r="B178" s="8">
        <f>(K65*($E65/365))+(K66*($E66/365))</f>
        <v>44.032876712328772</v>
      </c>
      <c r="C178" s="8">
        <f>(L65*($E65/365))+(L66*($E66/365))</f>
        <v>25.161643835616438</v>
      </c>
      <c r="D178" s="8">
        <f>(M65*($E65/365))+(M66*($E66/365))</f>
        <v>21.36986301369863</v>
      </c>
      <c r="E178" s="39">
        <f t="shared" si="41"/>
        <v>90.564383561643851</v>
      </c>
      <c r="G178" s="20">
        <v>1986</v>
      </c>
      <c r="H178" s="886">
        <f>(O65/$R65*100*($E65/365))+(O66/$R66*100*($E66/365))</f>
        <v>41.946705937925479</v>
      </c>
      <c r="I178" s="886"/>
      <c r="J178" s="886">
        <f>(P65/$R65*100*($E65/365))+(P66/$R66*100*($E66/365))</f>
        <v>36.683431048375894</v>
      </c>
      <c r="K178" s="886"/>
      <c r="L178" s="886">
        <f>(Q65/$R65*100*($E65/365))+(Q66/$R66*100*($E66/365))</f>
        <v>21.36986301369863</v>
      </c>
      <c r="M178" s="886"/>
      <c r="N178" s="919">
        <f t="shared" si="42"/>
        <v>100.00000000000001</v>
      </c>
      <c r="O178" s="919"/>
      <c r="P178" s="7"/>
      <c r="Q178" s="7"/>
      <c r="R178" s="20">
        <v>1986</v>
      </c>
      <c r="S178" s="8">
        <f>(O65*($E65/365))+(O66*($E66/365))</f>
        <v>20.679726027397262</v>
      </c>
      <c r="T178" s="8">
        <f>(P65*($E65/365))+(P66*($E66/365))</f>
        <v>18.084931506849315</v>
      </c>
      <c r="U178" s="8">
        <f>(Q65*($E65/365))+(Q66*($E66/365))</f>
        <v>12.073972602739726</v>
      </c>
      <c r="W178" s="14">
        <f t="shared" si="40"/>
        <v>50.838630136986311</v>
      </c>
      <c r="X178" s="5"/>
    </row>
    <row r="179" spans="1:24" ht="9" customHeight="1">
      <c r="A179" s="1">
        <v>1987</v>
      </c>
      <c r="B179" s="8">
        <f>(K67*($E67/365))+(K68*($E68/365))</f>
        <v>56.000000000000007</v>
      </c>
      <c r="C179" s="8">
        <f>(L67*($E67/365))+(L68*($E68/365))</f>
        <v>32</v>
      </c>
      <c r="D179" s="8">
        <f>(M67*($E67/365))+(M68*($E68/365))</f>
        <v>0</v>
      </c>
      <c r="E179" s="39">
        <f t="shared" si="41"/>
        <v>88</v>
      </c>
      <c r="G179" s="20">
        <v>1987</v>
      </c>
      <c r="H179" s="886">
        <f>(O67/$R67*100*($E67/365))+(O68/$R68*100*($E68/365))</f>
        <v>53.346855983772826</v>
      </c>
      <c r="I179" s="886"/>
      <c r="J179" s="886">
        <f>(P67/$R67*100*($E67/365))+(P68/$R68*100*($E68/365))</f>
        <v>46.653144016227181</v>
      </c>
      <c r="K179" s="886"/>
      <c r="L179" s="886">
        <f>(Q67/$R67*100*($E67/365))+(Q68/$R68*100*($E68/365))</f>
        <v>0</v>
      </c>
      <c r="M179" s="886"/>
      <c r="N179" s="919">
        <f t="shared" si="42"/>
        <v>100</v>
      </c>
      <c r="O179" s="919"/>
      <c r="P179" s="7"/>
      <c r="Q179" s="7"/>
      <c r="R179" s="20">
        <v>1987</v>
      </c>
      <c r="S179" s="8">
        <f>(O67*($E67/365))+(O68*($E68/365))</f>
        <v>26.3</v>
      </c>
      <c r="T179" s="8">
        <f>(P67*($E67/365))+(P68*($E68/365))</f>
        <v>23</v>
      </c>
      <c r="U179" s="8">
        <f>(Q67*($E67/365))+(Q68*($E68/365))</f>
        <v>0</v>
      </c>
      <c r="W179" s="14">
        <f t="shared" si="40"/>
        <v>49.3</v>
      </c>
      <c r="X179" s="5"/>
    </row>
    <row r="180" spans="1:24" ht="9" customHeight="1">
      <c r="A180" s="1">
        <v>1988</v>
      </c>
      <c r="B180" s="8">
        <f>(K69*($E69/366))+(K70*($E70/366))+(K71*($E71/366))</f>
        <v>20.349726775956288</v>
      </c>
      <c r="C180" s="8">
        <f>(L69*($E69/366))+(L70*($E70/366))+(L71*($E71/366))</f>
        <v>12.951394880644234</v>
      </c>
      <c r="D180" s="8">
        <f>(M69*($E69/366))+(M70*($E70/366))+(M71*($E71/366))</f>
        <v>45.025884383088865</v>
      </c>
      <c r="E180" s="39">
        <f t="shared" si="41"/>
        <v>78.327006039689394</v>
      </c>
      <c r="G180" s="20">
        <v>1988</v>
      </c>
      <c r="H180" s="886">
        <f>(O69/$R69*100*($E69/366))+(O70/$R70*100*($E70/366))+(O71/$R71*100*($E71/366))</f>
        <v>19.385606136179742</v>
      </c>
      <c r="I180" s="886"/>
      <c r="J180" s="886">
        <f>(P69/$R69*100*($E69/366))+(P70/$R70*100*($E70/366))+(P71/$R71*100*($E71/366))</f>
        <v>21.886144549211632</v>
      </c>
      <c r="K180" s="886"/>
      <c r="L180" s="886">
        <f>(Q69/$R69*100*($E69/366))+(Q70/$R70*100*($E70/366))+(Q71/$R71*100*($E71/366))</f>
        <v>58.728249314608632</v>
      </c>
      <c r="M180" s="886"/>
      <c r="N180" s="919">
        <f t="shared" si="42"/>
        <v>100</v>
      </c>
      <c r="O180" s="919"/>
      <c r="P180" s="7"/>
      <c r="Q180" s="7"/>
      <c r="R180" s="20">
        <v>1988</v>
      </c>
      <c r="S180" s="8">
        <f>(O69*($E69/366))+(O70*($E70/366))+(O71*($E71/366))</f>
        <v>9.5571038251366129</v>
      </c>
      <c r="T180" s="8">
        <f>(P69*($E69/366))+(P70*($E70/366))+(P71*($E71/366))</f>
        <v>11.248633879781423</v>
      </c>
      <c r="U180" s="8">
        <f>(Q69*($E69/366))+(Q70*($E70/366))+(Q71*($E71/366))</f>
        <v>29.203278688524591</v>
      </c>
      <c r="W180" s="14">
        <f t="shared" si="40"/>
        <v>50.009016393442629</v>
      </c>
      <c r="X180" s="5"/>
    </row>
    <row r="181" spans="1:24" s="4" customFormat="1" ht="9" customHeight="1">
      <c r="A181" s="4">
        <v>1989</v>
      </c>
      <c r="B181" s="11">
        <f>(K72*($E72/365))+(K73*($E73/365))</f>
        <v>0</v>
      </c>
      <c r="C181" s="11">
        <f>(L72*($E72/365))+(L73*($E73/365))</f>
        <v>0</v>
      </c>
      <c r="D181" s="11">
        <f>(M72*($E72/365))+(M73*($E73/365))</f>
        <v>70</v>
      </c>
      <c r="E181" s="38">
        <f t="shared" si="41"/>
        <v>70</v>
      </c>
      <c r="G181" s="21">
        <v>1989</v>
      </c>
      <c r="H181" s="892">
        <f>(O72/$R72*100*($E72/365))+(O73/$R73*100*($E73/365))</f>
        <v>0</v>
      </c>
      <c r="I181" s="892"/>
      <c r="J181" s="892">
        <f>(P72/$R72*100*($E72/365))+(P73/$R73*100*($E73/365))</f>
        <v>0</v>
      </c>
      <c r="K181" s="892"/>
      <c r="L181" s="892">
        <f>(Q72/$R72*100*($E72/365))+(Q73/$R73*100*($E73/365))</f>
        <v>100</v>
      </c>
      <c r="M181" s="892"/>
      <c r="N181" s="893">
        <f t="shared" si="42"/>
        <v>100</v>
      </c>
      <c r="O181" s="893"/>
      <c r="P181" s="11"/>
      <c r="Q181" s="11"/>
      <c r="R181" s="21">
        <v>1989</v>
      </c>
      <c r="S181" s="11">
        <f>(O72*($E72/365))+(O73*($E73/365))</f>
        <v>0</v>
      </c>
      <c r="T181" s="11">
        <f>(P72*($E72/365))+(P73*($E73/365))</f>
        <v>0</v>
      </c>
      <c r="U181" s="11">
        <f>(Q72*($E72/365))+(Q73*($E73/365))</f>
        <v>48.4</v>
      </c>
      <c r="W181" s="28">
        <f t="shared" si="40"/>
        <v>48.4</v>
      </c>
      <c r="X181" s="19"/>
    </row>
    <row r="182" spans="1:24" ht="9" customHeight="1">
      <c r="A182" s="1">
        <v>1990</v>
      </c>
      <c r="B182" s="8">
        <f>(K74*($E74/365))+(K75*($E75/365))</f>
        <v>0</v>
      </c>
      <c r="C182" s="8">
        <f>(L74*($E74/365))+(L75*($E75/365))</f>
        <v>0</v>
      </c>
      <c r="D182" s="8">
        <f>(M74*($E74/365))+(M75*($E75/365))</f>
        <v>70</v>
      </c>
      <c r="E182" s="39">
        <f t="shared" si="41"/>
        <v>70</v>
      </c>
      <c r="G182" s="1">
        <v>1990</v>
      </c>
      <c r="H182" s="886">
        <f>(O74/$R74*100*($E74/365))+(O75/$R75*100*($E75/365))</f>
        <v>0</v>
      </c>
      <c r="I182" s="886"/>
      <c r="J182" s="886">
        <f>(P74/$R74*100*($E74/365))+(P75/$R75*100*($E75/365))</f>
        <v>0</v>
      </c>
      <c r="K182" s="886"/>
      <c r="L182" s="886">
        <f>(Q74/$R74*100*($E74/365))+(Q75/$R75*100*($E75/365))</f>
        <v>100</v>
      </c>
      <c r="M182" s="886"/>
      <c r="N182" s="919">
        <f t="shared" si="42"/>
        <v>100</v>
      </c>
      <c r="O182" s="919"/>
      <c r="R182" s="1">
        <v>1990</v>
      </c>
      <c r="S182" s="8">
        <f>(O74*($E74/365))+(O75*($E75/365))</f>
        <v>0</v>
      </c>
      <c r="T182" s="8">
        <f>(P74*($E74/365))+(P75*($E75/365))</f>
        <v>0</v>
      </c>
      <c r="U182" s="8">
        <f>(Q74*($E74/365))+(Q75*($E75/365))</f>
        <v>48.4</v>
      </c>
      <c r="W182" s="14">
        <f t="shared" si="40"/>
        <v>48.4</v>
      </c>
      <c r="X182" s="5"/>
    </row>
    <row r="183" spans="1:24" ht="9" customHeight="1">
      <c r="A183" s="1">
        <v>1991</v>
      </c>
      <c r="B183" s="8">
        <f>(K76*($E76/365))+(K77*($E77/365))</f>
        <v>0</v>
      </c>
      <c r="C183" s="8">
        <f>(L76*($E76/365))+(L77*($E77/365))</f>
        <v>0</v>
      </c>
      <c r="D183" s="8">
        <f>(M76*($E76/365))+(M77*($E77/365))</f>
        <v>79.493150684931507</v>
      </c>
      <c r="E183" s="39">
        <f t="shared" si="41"/>
        <v>79.493150684931507</v>
      </c>
      <c r="G183" s="1">
        <v>1991</v>
      </c>
      <c r="H183" s="886">
        <f>(O76/$R76*100*($E76/365))+(O77/$R77*100*($E77/365))</f>
        <v>0</v>
      </c>
      <c r="I183" s="886"/>
      <c r="J183" s="886">
        <f>(P76/$R76*100*($E76/365))+(P77/$R77*100*($E77/365))</f>
        <v>0</v>
      </c>
      <c r="K183" s="886"/>
      <c r="L183" s="886">
        <f>(Q76/$R76*100*($E76/365))+(Q77/$R77*100*($E77/365))</f>
        <v>100</v>
      </c>
      <c r="M183" s="886"/>
      <c r="N183" s="919">
        <f t="shared" si="42"/>
        <v>100</v>
      </c>
      <c r="O183" s="919"/>
      <c r="R183" s="1">
        <v>1991</v>
      </c>
      <c r="S183" s="8">
        <f>(O76*($E76/365))+(O77*($E77/365))</f>
        <v>0</v>
      </c>
      <c r="T183" s="8">
        <f>(P76*($E76/365))+(P77*($E77/365))</f>
        <v>0</v>
      </c>
      <c r="U183" s="8">
        <f>(Q76*($E76/365))+(Q77*($E77/365))</f>
        <v>48.399999999999991</v>
      </c>
      <c r="W183" s="14">
        <f t="shared" si="40"/>
        <v>48.399999999999991</v>
      </c>
      <c r="X183" s="5"/>
    </row>
    <row r="184" spans="1:24" ht="9" customHeight="1">
      <c r="A184" s="1">
        <v>1992</v>
      </c>
      <c r="B184" s="8">
        <f>(K78*($E78/366))+(K79*($E79/366))</f>
        <v>0</v>
      </c>
      <c r="C184" s="8">
        <f>(L78*($E78/366))+(L79*($E79/366))</f>
        <v>0</v>
      </c>
      <c r="D184" s="8">
        <f>(M78*($E78/366))+(M79*($E79/366))</f>
        <v>76.820481683869673</v>
      </c>
      <c r="E184" s="39">
        <f t="shared" si="41"/>
        <v>76.820481683869673</v>
      </c>
      <c r="G184" s="1">
        <v>1992</v>
      </c>
      <c r="H184" s="886">
        <f>(O78/$R78*100*($E78/366))+(O79/$R79*100*($E79/366))</f>
        <v>0</v>
      </c>
      <c r="I184" s="886"/>
      <c r="J184" s="886">
        <f>(P78/$R78*100*($E78/366))+(P79/$R79*100*($E79/366))</f>
        <v>0</v>
      </c>
      <c r="K184" s="886"/>
      <c r="L184" s="886">
        <f>(Q78/$R78*100*($E78/366))+(Q79/$R79*100*($E79/366))</f>
        <v>100.00000000000001</v>
      </c>
      <c r="M184" s="886"/>
      <c r="N184" s="919">
        <f t="shared" si="42"/>
        <v>100.00000000000001</v>
      </c>
      <c r="O184" s="919"/>
      <c r="R184" s="1">
        <v>1992</v>
      </c>
      <c r="S184" s="8">
        <f>(O78*($E78/366))+(O79*($E79/366))</f>
        <v>0</v>
      </c>
      <c r="T184" s="8">
        <f>(P78*($E78/366))+(P79*($E79/366))</f>
        <v>0</v>
      </c>
      <c r="U184" s="8">
        <f>(Q78*($E78/366))+(Q79*($E79/366))</f>
        <v>48.400000000000006</v>
      </c>
      <c r="W184" s="14">
        <f t="shared" ref="W184:W204" si="43">SUM(S184:U184)</f>
        <v>48.400000000000006</v>
      </c>
      <c r="X184" s="5"/>
    </row>
    <row r="185" spans="1:24" ht="9" customHeight="1">
      <c r="A185" s="1">
        <v>1993</v>
      </c>
      <c r="B185" s="8">
        <f>(K80*($E80/365))+(K81*($E81/365))</f>
        <v>38.082191780821915</v>
      </c>
      <c r="C185" s="8">
        <f>(L80*($E80/365))+(L81*($E81/365))</f>
        <v>35.543378995433784</v>
      </c>
      <c r="D185" s="8">
        <f>(M80*($E80/365))+(M81*($E81/365))</f>
        <v>17.656012176560122</v>
      </c>
      <c r="E185" s="39">
        <f t="shared" si="41"/>
        <v>91.281582952815825</v>
      </c>
      <c r="G185" s="1">
        <v>1993</v>
      </c>
      <c r="H185" s="886">
        <f>(O80/$R80*100*($E80/365))+(O81/$R81*100*($E81/365))</f>
        <v>41.434169541481062</v>
      </c>
      <c r="I185" s="886"/>
      <c r="J185" s="886">
        <f>(P80/$R80*100*($E80/365))+(P81/$R81*100*($E81/365))</f>
        <v>34.730214020162776</v>
      </c>
      <c r="K185" s="886"/>
      <c r="L185" s="886">
        <f>(Q80/$R80*100*($E80/365))+(Q81/$R81*100*($E81/365))</f>
        <v>23.835616438356162</v>
      </c>
      <c r="M185" s="886"/>
      <c r="N185" s="919">
        <f t="shared" si="42"/>
        <v>100</v>
      </c>
      <c r="O185" s="919"/>
      <c r="R185" s="1">
        <v>1993</v>
      </c>
      <c r="S185" s="8">
        <f>(O80*($E80/365))+(O81*($E81/365))</f>
        <v>33.893150684931506</v>
      </c>
      <c r="T185" s="8">
        <f>(P80*($E80/365))+(P81*($E81/365))</f>
        <v>28.409315068493147</v>
      </c>
      <c r="U185" s="8">
        <f>(Q80*($E80/365))+(Q81*($E81/365))</f>
        <v>11.536438356164384</v>
      </c>
      <c r="W185" s="14">
        <f t="shared" si="43"/>
        <v>73.838904109589038</v>
      </c>
      <c r="X185" s="5"/>
    </row>
    <row r="186" spans="1:24" ht="9" customHeight="1">
      <c r="A186" s="1">
        <v>1994</v>
      </c>
      <c r="B186" s="8">
        <f>(K82*($E82/365))+(K83*($E83/365))</f>
        <v>48.275862068965516</v>
      </c>
      <c r="C186" s="8">
        <f>(L82*($E82/365))+(L83*($E83/365))</f>
        <v>48.275862068965516</v>
      </c>
      <c r="D186" s="8">
        <f>(M82*($E82/365))+(M83*($E83/365))</f>
        <v>0</v>
      </c>
      <c r="E186" s="39">
        <f t="shared" si="41"/>
        <v>96.551724137931032</v>
      </c>
      <c r="G186" s="1">
        <v>1994</v>
      </c>
      <c r="H186" s="886">
        <f>(O82/$R82*100*($E82/365))+(O83/$R83*100*($E83/365))</f>
        <v>54.400977995110026</v>
      </c>
      <c r="I186" s="886"/>
      <c r="J186" s="886">
        <f>(P82/$R82*100*($E82/365))+(P83/$R83*100*($E83/365))</f>
        <v>45.599022004889974</v>
      </c>
      <c r="K186" s="886"/>
      <c r="L186" s="886">
        <f>(Q82/$R82*100*($E82/365))+(Q83/$R83*100*($E83/365))</f>
        <v>0</v>
      </c>
      <c r="M186" s="886"/>
      <c r="N186" s="919">
        <f t="shared" si="42"/>
        <v>100</v>
      </c>
      <c r="O186" s="919"/>
      <c r="R186" s="1">
        <v>1994</v>
      </c>
      <c r="S186" s="8">
        <f>(O82*($E82/365))+(O83*($E83/365))</f>
        <v>44.5</v>
      </c>
      <c r="T186" s="8">
        <f>(P82*($E82/365))+(P83*($E83/365))</f>
        <v>37.299999999999997</v>
      </c>
      <c r="U186" s="8">
        <f>(Q82*($E82/365))+(Q83*($E83/365))</f>
        <v>0</v>
      </c>
      <c r="W186" s="14">
        <f t="shared" si="43"/>
        <v>81.8</v>
      </c>
      <c r="X186" s="5"/>
    </row>
    <row r="187" spans="1:24" ht="9" customHeight="1">
      <c r="A187" s="1">
        <v>1995</v>
      </c>
      <c r="B187" s="8">
        <f>(K84*($E84/365))+(K85*($E85/365))+(K86*($E86/365))</f>
        <v>54.737836561171463</v>
      </c>
      <c r="C187" s="8">
        <f>(L84*($E84/365))+(L85*($E85/365))+(L86*($E86/365))</f>
        <v>41.294284364666979</v>
      </c>
      <c r="D187" s="8">
        <f>(M84*($E84/365))+(M85*($E85/365))+(M86*($E86/365))</f>
        <v>0</v>
      </c>
      <c r="E187" s="39">
        <f t="shared" si="41"/>
        <v>96.032120925838441</v>
      </c>
      <c r="G187" s="1">
        <v>1995</v>
      </c>
      <c r="H187" s="886">
        <f>(O84/$R84*100*($E84/365))+(O85/$R85*100*($E85/365))+(O86/$R86*100*($E86/365))</f>
        <v>54.400977995110026</v>
      </c>
      <c r="I187" s="886"/>
      <c r="J187" s="886">
        <f>(P84/$R84*100*($E84/365))+(P85/$R85*100*($E85/365))+(P86/$R86*100*($E86/365))</f>
        <v>45.599022004889974</v>
      </c>
      <c r="K187" s="886"/>
      <c r="L187" s="886">
        <f>(Q84/$R84*100*($E84/365))+(Q85/$R85*100*($E85/365))+(Q86/$R86*100*($E86/365))</f>
        <v>0</v>
      </c>
      <c r="M187" s="886"/>
      <c r="N187" s="919">
        <f t="shared" si="42"/>
        <v>100</v>
      </c>
      <c r="O187" s="919"/>
      <c r="R187" s="1">
        <v>1995</v>
      </c>
      <c r="S187" s="8">
        <f>(O84*($E84/365))+(O85*($E85/365))+(O86*($E86/365))</f>
        <v>44.500000000000007</v>
      </c>
      <c r="T187" s="8">
        <f>(P84*($E84/365))+(P85*($E85/365))+(P86*($E86/365))</f>
        <v>37.299999999999997</v>
      </c>
      <c r="U187" s="8">
        <f>(Q84*($E84/365))+(Q85*($E85/365))+(Q86*($E86/365))</f>
        <v>0</v>
      </c>
      <c r="W187" s="14">
        <f t="shared" si="43"/>
        <v>81.800000000000011</v>
      </c>
      <c r="X187" s="5"/>
    </row>
    <row r="188" spans="1:24" ht="9" customHeight="1">
      <c r="A188" s="1">
        <v>1996</v>
      </c>
      <c r="B188" s="8">
        <f>(K87*($E87/366))+(K88*($E88/366))</f>
        <v>58.620689655172406</v>
      </c>
      <c r="C188" s="8">
        <f>(L87*($E87/366))+(L88*($E88/366))</f>
        <v>34.482758620689658</v>
      </c>
      <c r="D188" s="8">
        <f>(M87*($E87/366))+(M88*($E88/366))</f>
        <v>0</v>
      </c>
      <c r="E188" s="39">
        <f t="shared" si="41"/>
        <v>93.103448275862064</v>
      </c>
      <c r="G188" s="1">
        <v>1996</v>
      </c>
      <c r="H188" s="886">
        <f>(O87/$R87*100*($E87/366))+(O88/$R88*100*($E88/366))</f>
        <v>54.400977995110026</v>
      </c>
      <c r="I188" s="886"/>
      <c r="J188" s="886">
        <f>(P87/$R87*100*($E87/366))+(P88/$R88*100*($E88/366))</f>
        <v>45.599022004889974</v>
      </c>
      <c r="K188" s="886"/>
      <c r="L188" s="886">
        <f>(Q87/$R87*100*($E87/366))+(Q88/$R88*100*($E88/366))</f>
        <v>0</v>
      </c>
      <c r="M188" s="886"/>
      <c r="N188" s="919">
        <f t="shared" si="42"/>
        <v>100</v>
      </c>
      <c r="O188" s="919"/>
      <c r="R188" s="1">
        <v>1996</v>
      </c>
      <c r="S188" s="8">
        <f>(O87*($E87/366))+(O88*($E88/366))</f>
        <v>44.5</v>
      </c>
      <c r="T188" s="8">
        <f>(P87*($E87/366))+(P88*($E88/366))</f>
        <v>37.299999999999997</v>
      </c>
      <c r="U188" s="8">
        <f>(Q87*($E87/366))+(Q88*($E88/366))</f>
        <v>0</v>
      </c>
      <c r="W188" s="14">
        <f t="shared" si="43"/>
        <v>81.8</v>
      </c>
      <c r="X188" s="5"/>
    </row>
    <row r="189" spans="1:24" ht="9" customHeight="1">
      <c r="A189" s="1">
        <v>1997</v>
      </c>
      <c r="B189" s="8">
        <f>(K89*($E89/365))+(K90*($E90/365))</f>
        <v>24.733112895606986</v>
      </c>
      <c r="C189" s="8">
        <f>(L89*($E89/365))+(L90*($E90/365))</f>
        <v>14.548889938592348</v>
      </c>
      <c r="D189" s="8">
        <f>(M89*($E89/365))+(M90*($E90/365))</f>
        <v>57.80821917808219</v>
      </c>
      <c r="E189" s="39">
        <f t="shared" si="41"/>
        <v>97.090222012281515</v>
      </c>
      <c r="G189" s="1">
        <v>1997</v>
      </c>
      <c r="H189" s="886">
        <f>(O89/$R89*100*($E89/365))+(O90/$R90*100*($E90/365))</f>
        <v>22.952741400676558</v>
      </c>
      <c r="I189" s="886"/>
      <c r="J189" s="886">
        <f>(P89/$R89*100*($E89/365))+(P90/$R90*100*($E90/365))</f>
        <v>19.239039421241248</v>
      </c>
      <c r="K189" s="886"/>
      <c r="L189" s="886">
        <f>(Q89/$R89*100*($E89/365))+(Q90/$R90*100*($E90/365))</f>
        <v>57.80821917808219</v>
      </c>
      <c r="M189" s="886"/>
      <c r="N189" s="919">
        <f t="shared" si="42"/>
        <v>100</v>
      </c>
      <c r="O189" s="919"/>
      <c r="R189" s="1">
        <v>1997</v>
      </c>
      <c r="S189" s="8">
        <f>(O89*($E89/365))+(O90*($E90/365))</f>
        <v>18.775342465753425</v>
      </c>
      <c r="T189" s="8">
        <f>(P89*($E89/365))+(P90*($E90/365))</f>
        <v>15.737534246575342</v>
      </c>
      <c r="U189" s="8">
        <f>(Q89*($E89/365))+(Q90*($E90/365))</f>
        <v>31.100821917808215</v>
      </c>
      <c r="W189" s="14">
        <f t="shared" si="43"/>
        <v>65.61369863013698</v>
      </c>
      <c r="X189" s="5"/>
    </row>
    <row r="190" spans="1:24" ht="9" customHeight="1">
      <c r="A190" s="1">
        <v>1998</v>
      </c>
      <c r="B190" s="8">
        <f>(K91*($E91/365))+(K92*($E92/365))</f>
        <v>0</v>
      </c>
      <c r="C190" s="8">
        <f>(L91*($E91/365))+(L92*($E92/365))</f>
        <v>0</v>
      </c>
      <c r="D190" s="8">
        <f>(M91*($E91/365))+(M92*($E92/365))</f>
        <v>100</v>
      </c>
      <c r="E190" s="39">
        <f t="shared" si="41"/>
        <v>100</v>
      </c>
      <c r="G190" s="1">
        <v>1998</v>
      </c>
      <c r="H190" s="886">
        <f>(O91/$R91*100*($E91/365))+(O92/$R92*100*($E92/365))</f>
        <v>0</v>
      </c>
      <c r="I190" s="886"/>
      <c r="J190" s="886">
        <f>(P91/$R91*100*($E91/365))+(P92/$R92*100*($E92/365))</f>
        <v>0</v>
      </c>
      <c r="K190" s="886"/>
      <c r="L190" s="886">
        <f>(Q91/$R91*100*($E91/365))+(Q92/$R92*100*($E92/365))</f>
        <v>100</v>
      </c>
      <c r="M190" s="886"/>
      <c r="N190" s="919">
        <f t="shared" si="42"/>
        <v>100</v>
      </c>
      <c r="O190" s="919"/>
      <c r="R190" s="1">
        <v>1998</v>
      </c>
      <c r="S190" s="8">
        <f>(O91*($E91/365))+(O92*($E92/365))</f>
        <v>0</v>
      </c>
      <c r="T190" s="8">
        <f>(P91*($E91/365))+(P92*($E92/365))</f>
        <v>0</v>
      </c>
      <c r="U190" s="8">
        <f>(Q91*($E91/365))+(Q92*($E92/365))</f>
        <v>53.8</v>
      </c>
      <c r="W190" s="14">
        <f t="shared" si="43"/>
        <v>53.8</v>
      </c>
      <c r="X190" s="5"/>
    </row>
    <row r="191" spans="1:24" ht="9" customHeight="1">
      <c r="A191" s="1">
        <v>1999</v>
      </c>
      <c r="B191" s="8">
        <f>(K93*($E93/365))+(K94*($E94/365))</f>
        <v>0</v>
      </c>
      <c r="C191" s="8">
        <f>(L93*($E93/365))+(L94*($E94/365))</f>
        <v>0</v>
      </c>
      <c r="D191" s="8">
        <f>(M93*($E93/365))+(M94*($E94/365))</f>
        <v>100</v>
      </c>
      <c r="E191" s="39">
        <f t="shared" si="41"/>
        <v>100</v>
      </c>
      <c r="G191" s="1">
        <v>1999</v>
      </c>
      <c r="H191" s="886">
        <f>(O93/$R93*100*($E93/365))+(O94/$R94*100*($E94/365))</f>
        <v>0</v>
      </c>
      <c r="I191" s="886"/>
      <c r="J191" s="886">
        <f>(P93/$R93*100*($E93/365))+(P94/$R94*100*($E94/365))</f>
        <v>0</v>
      </c>
      <c r="K191" s="886"/>
      <c r="L191" s="886">
        <f>(Q93/$R93*100*($E93/365))+(Q94/$R94*100*($E94/365))</f>
        <v>100</v>
      </c>
      <c r="M191" s="886"/>
      <c r="N191" s="919">
        <f t="shared" si="42"/>
        <v>100</v>
      </c>
      <c r="O191" s="919"/>
      <c r="R191" s="1">
        <v>1999</v>
      </c>
      <c r="S191" s="8">
        <f>(O93*($E93/365))+(O94*($E94/365))</f>
        <v>0</v>
      </c>
      <c r="T191" s="8">
        <f>(P93*($E93/365))+(P94*($E94/365))</f>
        <v>0</v>
      </c>
      <c r="U191" s="8">
        <f>(Q93*($E93/365))+(Q94*($E94/365))</f>
        <v>53.8</v>
      </c>
      <c r="W191" s="14">
        <f t="shared" si="43"/>
        <v>53.8</v>
      </c>
      <c r="X191" s="5"/>
    </row>
    <row r="192" spans="1:24" ht="9" customHeight="1">
      <c r="A192" s="1">
        <v>2000</v>
      </c>
      <c r="B192" s="8">
        <f>(K95*($E95/366))+(K96*($E96/366))</f>
        <v>0</v>
      </c>
      <c r="C192" s="8">
        <f>(L95*($E95/366))+(L96*($E96/366))</f>
        <v>0</v>
      </c>
      <c r="D192" s="8">
        <f>(M95*($E95/366))+(M96*($E96/366))</f>
        <v>100</v>
      </c>
      <c r="E192" s="39">
        <f t="shared" si="41"/>
        <v>100</v>
      </c>
      <c r="G192" s="1">
        <v>2000</v>
      </c>
      <c r="H192" s="886">
        <f>(O95/$R95*100*($E95/366))+(O96/$R96*100*($E96/366))</f>
        <v>0</v>
      </c>
      <c r="I192" s="886"/>
      <c r="J192" s="886">
        <f>(P95/$R95*100*($E95/366))+(P96/$R96*100*($E96/366))</f>
        <v>0</v>
      </c>
      <c r="K192" s="886"/>
      <c r="L192" s="886">
        <f>(Q95/$R95*100*($E95/366))+(Q96/$R96*100*($E96/366))</f>
        <v>100</v>
      </c>
      <c r="M192" s="886"/>
      <c r="N192" s="919">
        <f t="shared" si="42"/>
        <v>100</v>
      </c>
      <c r="O192" s="919"/>
      <c r="R192" s="1">
        <v>2000</v>
      </c>
      <c r="S192" s="8">
        <f>(O95*($E95/366))+(O96*($E96/366))</f>
        <v>0</v>
      </c>
      <c r="T192" s="8">
        <f>(P95*($E95/366))+(P96*($E96/366))</f>
        <v>0</v>
      </c>
      <c r="U192" s="8">
        <f>(Q95*($E95/366))+(Q96*($E96/366))</f>
        <v>53.8</v>
      </c>
      <c r="W192" s="14">
        <f t="shared" si="43"/>
        <v>53.8</v>
      </c>
      <c r="X192" s="5"/>
    </row>
    <row r="193" spans="1:24" ht="9" customHeight="1">
      <c r="A193" s="1">
        <v>2001</v>
      </c>
      <c r="B193" s="8">
        <f>(K97*($E97/365))+(K98*($E98/365))</f>
        <v>0</v>
      </c>
      <c r="C193" s="8">
        <f>(L97*($E97/365))+(L98*($E98/365))</f>
        <v>0</v>
      </c>
      <c r="D193" s="8">
        <f>(M97*($E97/365))+(M98*($E98/365))</f>
        <v>100</v>
      </c>
      <c r="E193" s="39">
        <f t="shared" si="41"/>
        <v>100</v>
      </c>
      <c r="G193" s="1">
        <v>2001</v>
      </c>
      <c r="H193" s="886">
        <f>(O97/$R97*100*($E97/365))+(O98/$R98*100*($E98/365))</f>
        <v>0</v>
      </c>
      <c r="I193" s="886"/>
      <c r="J193" s="886">
        <f>(P97/$R97*100*($E97/365))+(P98/$R98*100*($E98/365))</f>
        <v>0</v>
      </c>
      <c r="K193" s="886"/>
      <c r="L193" s="886">
        <f>(Q97/$R97*100*($E97/365))+(Q98/$R98*100*($E98/365))</f>
        <v>100</v>
      </c>
      <c r="M193" s="886"/>
      <c r="N193" s="919">
        <f t="shared" si="42"/>
        <v>100</v>
      </c>
      <c r="O193" s="919"/>
      <c r="R193" s="1">
        <v>2001</v>
      </c>
      <c r="S193" s="8">
        <f>(O97*($E97/365))+(O98*($E98/365))</f>
        <v>0</v>
      </c>
      <c r="T193" s="8">
        <f>(P97*($E97/365))+(P98*($E98/365))</f>
        <v>0</v>
      </c>
      <c r="U193" s="8">
        <f>(Q97*($E97/365))+(Q98*($E98/365))</f>
        <v>53.8</v>
      </c>
      <c r="W193" s="14">
        <f t="shared" si="43"/>
        <v>53.8</v>
      </c>
      <c r="X193" s="5"/>
    </row>
    <row r="194" spans="1:24" ht="9" customHeight="1">
      <c r="A194" s="1">
        <v>2002</v>
      </c>
      <c r="B194" s="8">
        <f>(K99*($E99/365))+(K100*($E100/365))+(K101*($E101/365))</f>
        <v>43.831465338314651</v>
      </c>
      <c r="C194" s="8">
        <f>(L99*($E99/365))+(L100*($E100/365))+(L101*($E101/365))</f>
        <v>5.0486601171532675</v>
      </c>
      <c r="D194" s="8">
        <f>(M99*($E99/365))+(M100*($E100/365))+(M101*($E101/365))</f>
        <v>34.520547945205479</v>
      </c>
      <c r="E194" s="39">
        <f t="shared" si="41"/>
        <v>83.400673400673398</v>
      </c>
      <c r="G194" s="1">
        <v>2002</v>
      </c>
      <c r="H194" s="886">
        <f>(O99/$R99*100*($E99/365))+(O100/$R100*100*($E100/365))+(O101/$R101*100*($E101/365))</f>
        <v>56.370284201448086</v>
      </c>
      <c r="I194" s="886"/>
      <c r="J194" s="886">
        <f>(P99/$R99*100*($E99/365))+(P100/$R100*100*($E100/365))+(P101/$R101*100*($E101/365))</f>
        <v>9.1091678533464364</v>
      </c>
      <c r="K194" s="886"/>
      <c r="L194" s="886">
        <f>(Q99/$R99*100*($E99/365))+(Q100/$R100*100*($E100/365))+(Q101/$R101*100*($E101/365))</f>
        <v>34.520547945205479</v>
      </c>
      <c r="M194" s="886"/>
      <c r="N194" s="919">
        <f t="shared" si="42"/>
        <v>100</v>
      </c>
      <c r="O194" s="919"/>
      <c r="R194" s="1">
        <v>2002</v>
      </c>
      <c r="S194" s="8">
        <f>(O99*($E99/365))+(O100*($E100/365))+(O101*($E101/365))</f>
        <v>36.83041095890411</v>
      </c>
      <c r="T194" s="8">
        <f>(P99*($E99/365))+(P100*($E100/365))+(P101*($E101/365))</f>
        <v>4.9115068493150691</v>
      </c>
      <c r="U194" s="8">
        <f>(Q99*($E99/365))+(Q100*($E100/365))+(Q101*($E101/365))</f>
        <v>18.572054794520547</v>
      </c>
      <c r="W194" s="14">
        <f t="shared" si="43"/>
        <v>60.313972602739724</v>
      </c>
      <c r="X194" s="5"/>
    </row>
    <row r="195" spans="1:24" ht="9" customHeight="1">
      <c r="A195" s="1">
        <v>2003</v>
      </c>
      <c r="B195" s="8">
        <f>(K102*($E102/365))+(K103*($E103/365))</f>
        <v>66.666666666666657</v>
      </c>
      <c r="C195" s="8">
        <f>(L102*($E102/365))+(L103*($E103/365))</f>
        <v>7.4074074074074066</v>
      </c>
      <c r="D195" s="8">
        <f>(M102*($E102/365))+(M103*($E103/365))</f>
        <v>0</v>
      </c>
      <c r="E195" s="39">
        <f t="shared" si="41"/>
        <v>74.074074074074062</v>
      </c>
      <c r="G195" s="1">
        <v>2003</v>
      </c>
      <c r="H195" s="886">
        <f>(O102/$R102*100*($E102/365))+(O103/$R103*100*($E103/365))</f>
        <v>92.679355783308921</v>
      </c>
      <c r="I195" s="886"/>
      <c r="J195" s="886">
        <f>(P102/$R102*100*($E102/365))+(P103/$R103*100*($E103/365))</f>
        <v>7.3206442166910692</v>
      </c>
      <c r="K195" s="886"/>
      <c r="L195" s="886">
        <f>(Q102/$R102*100*($E102/365))+(Q103/$R103*100*($E103/365))</f>
        <v>0</v>
      </c>
      <c r="M195" s="886"/>
      <c r="N195" s="919">
        <f t="shared" si="42"/>
        <v>99.999999999999986</v>
      </c>
      <c r="O195" s="919"/>
      <c r="R195" s="1">
        <v>2003</v>
      </c>
      <c r="S195" s="8">
        <f>(O102*($E102/365))+(O103*($E103/365))</f>
        <v>63.3</v>
      </c>
      <c r="T195" s="8">
        <f>(P102*($E102/365))+(P103*($E103/365))</f>
        <v>5</v>
      </c>
      <c r="U195" s="8">
        <f>(Q102*($E102/365))+(Q103*($E103/365))</f>
        <v>0</v>
      </c>
      <c r="W195" s="14">
        <f t="shared" si="43"/>
        <v>68.3</v>
      </c>
      <c r="X195" s="5"/>
    </row>
    <row r="196" spans="1:24" ht="9" customHeight="1">
      <c r="A196" s="1">
        <v>2004</v>
      </c>
      <c r="B196" s="8">
        <f>(K104*($E104/366))+(K105*($E105/366))</f>
        <v>86.938127974616592</v>
      </c>
      <c r="C196" s="8">
        <f>(L104*($E104/366))+(L105*($E105/366))</f>
        <v>4.2540689817263049</v>
      </c>
      <c r="D196" s="8">
        <f>(M104*($E104/366))+(M105*($E105/366))</f>
        <v>0</v>
      </c>
      <c r="E196" s="39">
        <f t="shared" si="41"/>
        <v>91.192196956342897</v>
      </c>
      <c r="G196" s="1">
        <v>2004</v>
      </c>
      <c r="H196" s="886">
        <f>(O104/$R104*100*($E104/366))+(O105/$R105*100*($E105/366))</f>
        <v>92.679355783308921</v>
      </c>
      <c r="I196" s="886"/>
      <c r="J196" s="886">
        <f>(P104/$R104*100*($E104/366))+(P105/$R105*100*($E105/366))</f>
        <v>7.3206442166910684</v>
      </c>
      <c r="K196" s="886"/>
      <c r="L196" s="886">
        <f>(Q104/$R104*100*($E104/366))+(Q105/$R105*100*($E105/366))</f>
        <v>0</v>
      </c>
      <c r="M196" s="886"/>
      <c r="N196" s="919">
        <f t="shared" si="42"/>
        <v>99.999999999999986</v>
      </c>
      <c r="O196" s="919"/>
      <c r="R196" s="1">
        <v>2004</v>
      </c>
      <c r="S196" s="8">
        <f>(O104*($E104/366))+(O105*($E105/366))</f>
        <v>63.3</v>
      </c>
      <c r="T196" s="8">
        <f>(P104*($E104/366))+(P105*($E105/366))</f>
        <v>5</v>
      </c>
      <c r="U196" s="8">
        <f>(Q104*($E104/366))+(Q105*($E105/366))</f>
        <v>0</v>
      </c>
      <c r="W196" s="14">
        <f t="shared" si="43"/>
        <v>68.3</v>
      </c>
      <c r="X196" s="5"/>
    </row>
    <row r="197" spans="1:24" ht="9" customHeight="1">
      <c r="A197" s="1">
        <v>2005</v>
      </c>
      <c r="B197" s="8">
        <f>(K106*($E106/365))+(K107*($E107/365))</f>
        <v>89.748121961997342</v>
      </c>
      <c r="C197" s="8">
        <f>(L106*($E106/365))+(L107*($E107/365))</f>
        <v>3.225806451612903</v>
      </c>
      <c r="D197" s="8">
        <f>(M106*($E106/365))+(M107*($E107/365))</f>
        <v>0</v>
      </c>
      <c r="E197" s="39">
        <f t="shared" si="41"/>
        <v>92.973928413610238</v>
      </c>
      <c r="G197" s="1">
        <v>2005</v>
      </c>
      <c r="H197" s="886">
        <f>(O106/$R106*100*($E106/365))+(O107/$R107*100*($E107/365))</f>
        <v>92.679355783308921</v>
      </c>
      <c r="I197" s="886"/>
      <c r="J197" s="886">
        <f>(P106/$R106*100*($E106/365))+(P107/$R107*100*($E107/365))</f>
        <v>7.3206442166910701</v>
      </c>
      <c r="K197" s="886"/>
      <c r="L197" s="886">
        <f>(Q106/$R106*100*($E106/365))+(Q107/$R107*100*($E107/365))</f>
        <v>0</v>
      </c>
      <c r="M197" s="886"/>
      <c r="N197" s="919">
        <f t="shared" si="42"/>
        <v>99.999999999999986</v>
      </c>
      <c r="O197" s="919"/>
      <c r="R197" s="1">
        <v>2005</v>
      </c>
      <c r="S197" s="8">
        <f>(O106*($E106/365))+(O107*($E107/365))</f>
        <v>63.3</v>
      </c>
      <c r="T197" s="8">
        <f>(P106*($E106/365))+(P107*($E107/365))</f>
        <v>5</v>
      </c>
      <c r="U197" s="8">
        <f>(Q106*($E106/365))+(Q107*($E107/365))</f>
        <v>0</v>
      </c>
      <c r="W197" s="14">
        <f t="shared" si="43"/>
        <v>68.3</v>
      </c>
      <c r="X197" s="5"/>
    </row>
    <row r="198" spans="1:24" ht="9" customHeight="1">
      <c r="A198" s="1">
        <v>2006</v>
      </c>
      <c r="B198" s="8">
        <f>(K108*($E108/365))+(K109*($E109/365))</f>
        <v>87.096774193548384</v>
      </c>
      <c r="C198" s="8">
        <f>(L108*($E108/365))+(L109*($E109/365))</f>
        <v>3.225806451612903</v>
      </c>
      <c r="D198" s="8">
        <f>(M108*($E108/365))+(M109*($E109/365))</f>
        <v>0</v>
      </c>
      <c r="E198" s="39">
        <f t="shared" si="41"/>
        <v>90.322580645161281</v>
      </c>
      <c r="G198" s="1">
        <v>2006</v>
      </c>
      <c r="H198" s="886">
        <f>(O108/$R108*100*($E108/365))+(O109/$R109*100*($E109/365))</f>
        <v>92.679355783308921</v>
      </c>
      <c r="I198" s="886"/>
      <c r="J198" s="886">
        <f>(P108/$R108*100*($E108/365))+(P109/$R109*100*($E109/365))</f>
        <v>7.3206442166910692</v>
      </c>
      <c r="K198" s="886"/>
      <c r="L198" s="886">
        <f>(Q108/$R108*100*($E108/365))+(Q109/$R109*100*($E109/365))</f>
        <v>0</v>
      </c>
      <c r="M198" s="886"/>
      <c r="N198" s="919">
        <f t="shared" si="42"/>
        <v>99.999999999999986</v>
      </c>
      <c r="O198" s="919"/>
      <c r="R198" s="1">
        <v>2006</v>
      </c>
      <c r="S198" s="8">
        <f>(O108*($E108/365))+(O109*($E109/365))</f>
        <v>63.3</v>
      </c>
      <c r="T198" s="8">
        <f>(P108*($E108/365))+(P109*($E109/365))</f>
        <v>5</v>
      </c>
      <c r="U198" s="8">
        <f>(Q108*($E108/365))+(Q109*($E109/365))</f>
        <v>0</v>
      </c>
      <c r="W198" s="14">
        <f t="shared" si="43"/>
        <v>68.3</v>
      </c>
      <c r="X198" s="5"/>
    </row>
    <row r="199" spans="1:24" ht="9" customHeight="1">
      <c r="A199" s="1">
        <v>2007</v>
      </c>
      <c r="B199" s="8">
        <f>(K110*($E110/365))+(K111*($E111/365))+(K112*($E112/365))</f>
        <v>79.540433053468846</v>
      </c>
      <c r="C199" s="8">
        <f>(L110*($E110/365))+(L111*($E111/365))+(L112*($E112/365))</f>
        <v>5.1148917366327886</v>
      </c>
      <c r="D199" s="8">
        <f>(M110*($E110/365))+(M111*($E111/365))+(M112*($E112/365))</f>
        <v>0</v>
      </c>
      <c r="E199" s="39">
        <f t="shared" si="41"/>
        <v>84.655324790101631</v>
      </c>
      <c r="G199" s="1">
        <v>2007</v>
      </c>
      <c r="H199" s="886">
        <f>(O110/$R110*100*($E110/365))+(O111/$R111*100*($E111/365))+(O112/$R112*100*($E112/365))</f>
        <v>93.727988921851164</v>
      </c>
      <c r="I199" s="886"/>
      <c r="J199" s="886">
        <f>(P110/$R110*100*($E110/365))+(P111/$R111*100*($E111/365))+(P112/$R112*100*($E112/365))</f>
        <v>6.272011078148843</v>
      </c>
      <c r="K199" s="886"/>
      <c r="L199" s="886">
        <f>(Q110/$R110*100*($E110/365))+(Q111/$R111*100*($E111/365))+(Q112/$R112*100*($E112/365))</f>
        <v>0</v>
      </c>
      <c r="M199" s="886"/>
      <c r="N199" s="919">
        <f t="shared" si="42"/>
        <v>100</v>
      </c>
      <c r="O199" s="919"/>
      <c r="R199" s="1">
        <v>2007</v>
      </c>
      <c r="S199" s="8">
        <f>(O110*($E110/365))+(O111*($E111/365))+(O112*($E112/365))</f>
        <v>58.359726027397265</v>
      </c>
      <c r="T199" s="8">
        <f>(P110*($E110/365))+(P111*($E111/365))+(P112*($E112/365))</f>
        <v>3.9172602739726026</v>
      </c>
      <c r="U199" s="8">
        <f>(Q110*($E110/365))+(Q111*($E111/365))+(Q112*($E112/365))</f>
        <v>0</v>
      </c>
      <c r="W199" s="14">
        <f t="shared" si="43"/>
        <v>62.276986301369867</v>
      </c>
      <c r="X199" s="5"/>
    </row>
    <row r="200" spans="1:24" ht="9" customHeight="1">
      <c r="A200" s="1">
        <v>2008</v>
      </c>
      <c r="B200" s="8">
        <f>(K113*($E113/366))+(K114*($E114/366))</f>
        <v>75</v>
      </c>
      <c r="C200" s="8">
        <f>(L113*($E113/366))+(L114*($E114/366))</f>
        <v>6.25</v>
      </c>
      <c r="D200" s="8">
        <f>(M113*($E113/366))+(M114*($E114/366))</f>
        <v>0</v>
      </c>
      <c r="E200" s="39">
        <f t="shared" si="41"/>
        <v>81.25</v>
      </c>
      <c r="G200" s="1">
        <v>2008</v>
      </c>
      <c r="H200" s="886">
        <f>(O113/$R113*100*($E113/366))+(O114/$R114*100*($E114/366))</f>
        <v>93.436960276338525</v>
      </c>
      <c r="I200" s="886"/>
      <c r="J200" s="886">
        <f>(P113/$R113*100*($E113/366))+(P114/$R114*100*($E114/366))</f>
        <v>6.5630397236614844</v>
      </c>
      <c r="K200" s="886"/>
      <c r="L200" s="886">
        <f>(Q113/$R113*100*($E113/366))+(Q114/$R114*100*($E114/366))</f>
        <v>0</v>
      </c>
      <c r="M200" s="886"/>
      <c r="N200" s="919">
        <f t="shared" si="42"/>
        <v>100.00000000000001</v>
      </c>
      <c r="O200" s="919"/>
      <c r="R200" s="1">
        <v>2008</v>
      </c>
      <c r="S200" s="8">
        <f>(O113*($E113/366))+(O114*($E114/366))</f>
        <v>54.1</v>
      </c>
      <c r="T200" s="8">
        <f>(P113*($E113/366))+(P114*($E114/366))</f>
        <v>3.8</v>
      </c>
      <c r="U200" s="8">
        <f>(Q113*($E113/366))+(Q114*($E114/366))</f>
        <v>0</v>
      </c>
      <c r="W200" s="14">
        <f t="shared" si="43"/>
        <v>57.9</v>
      </c>
      <c r="X200" s="5"/>
    </row>
    <row r="201" spans="1:24" ht="9" customHeight="1">
      <c r="A201" s="1">
        <v>2009</v>
      </c>
      <c r="B201" s="8">
        <f>(K115*($E115/365))+(K116*($E116/365))+(K117*($E117/365))</f>
        <v>82.841935620679408</v>
      </c>
      <c r="C201" s="8">
        <f>(L115*($E115/365))+(L116*($E116/365))+(L117*($E117/365))</f>
        <v>5.5707409135247454</v>
      </c>
      <c r="D201" s="8">
        <f>(M115*($E115/365))+(M116*($E116/365))+(M117*($E117/365))</f>
        <v>0</v>
      </c>
      <c r="E201" s="39">
        <f t="shared" si="41"/>
        <v>88.412676534204152</v>
      </c>
      <c r="G201" s="1">
        <v>2009</v>
      </c>
      <c r="H201" s="886">
        <f>(O115/$R115*100*($E115/365))+(O116/$R116*100*($E116/365))+(O117/$R117*100*($E117/365))</f>
        <v>93.43696027633851</v>
      </c>
      <c r="I201" s="886"/>
      <c r="J201" s="886">
        <f>(P115/$R115*100*($E115/365))+(P116/$R116*100*($E116/365))+(P117/$R117*100*($E117/365))</f>
        <v>6.5630397236614844</v>
      </c>
      <c r="K201" s="886"/>
      <c r="L201" s="886">
        <f>(Q115/$R115*100*($E115/365))+(Q116/$R116*100*($E116/365))+(Q117/$R117*100*($E117/365))</f>
        <v>0</v>
      </c>
      <c r="M201" s="886"/>
      <c r="N201" s="919">
        <f t="shared" si="42"/>
        <v>100</v>
      </c>
      <c r="O201" s="919"/>
      <c r="R201" s="1">
        <v>2009</v>
      </c>
      <c r="S201" s="8">
        <f>(O115*($E115/365))+(O116*($E116/365))+(O117*($E117/365))</f>
        <v>54.099999999999994</v>
      </c>
      <c r="T201" s="8">
        <f>(P115*($E115/365))+(P116*($E116/365))+(P117*($E117/365))</f>
        <v>3.8</v>
      </c>
      <c r="U201" s="8">
        <f>(Q115*($E115/365))+(Q116*($E116/365))+(Q117*($E117/365))</f>
        <v>0</v>
      </c>
      <c r="W201" s="14">
        <f t="shared" si="43"/>
        <v>57.899999999999991</v>
      </c>
      <c r="X201" s="5"/>
    </row>
    <row r="202" spans="1:24" ht="9" customHeight="1">
      <c r="A202" s="1">
        <v>2010</v>
      </c>
      <c r="B202" s="8">
        <f>(K118*($E118/365))+(K119*($E119/365))</f>
        <v>81.144164759725399</v>
      </c>
      <c r="C202" s="8">
        <f>(L118*($E118/365))+(L119*($E119/365))</f>
        <v>4.5710165825522706</v>
      </c>
      <c r="D202" s="8">
        <f>(M118*($E118/365))+(M119*($E119/365))</f>
        <v>0</v>
      </c>
      <c r="E202" s="39">
        <f t="shared" si="41"/>
        <v>85.715181342277674</v>
      </c>
      <c r="G202" s="1">
        <v>2010</v>
      </c>
      <c r="H202" s="886">
        <f>(O118/$R118*100*($E118/365))+(O119/$R119*100*($E119/365))</f>
        <v>94.300044952326871</v>
      </c>
      <c r="I202" s="886"/>
      <c r="J202" s="886">
        <f>(P118/$R118*100*($E118/365))+(P119/$R119*100*($E119/365))</f>
        <v>5.6999550476731251</v>
      </c>
      <c r="K202" s="886"/>
      <c r="L202" s="886">
        <f>(Q118/$R118*100*($E118/365))+(Q119/$R119*100*($E119/365))</f>
        <v>0</v>
      </c>
      <c r="M202" s="886"/>
      <c r="N202" s="919">
        <f t="shared" si="42"/>
        <v>100</v>
      </c>
      <c r="O202" s="919"/>
      <c r="R202" s="1">
        <v>2010</v>
      </c>
      <c r="S202" s="8">
        <f>(O118*($E118/365))+(O119*($E119/365))</f>
        <v>54.1</v>
      </c>
      <c r="T202" s="8">
        <f>(P118*($E118/365))+(P119*($E119/365))</f>
        <v>3.3002739726027395</v>
      </c>
      <c r="U202" s="8">
        <f>(Q118*($E118/365))+(Q119*($E119/365))</f>
        <v>0</v>
      </c>
      <c r="W202" s="14">
        <f t="shared" si="43"/>
        <v>57.40027397260274</v>
      </c>
      <c r="X202" s="5"/>
    </row>
    <row r="203" spans="1:24" ht="9" customHeight="1">
      <c r="A203" s="1">
        <v>2011</v>
      </c>
      <c r="B203" s="8">
        <f>(K120*($E120/365))+(K121*($E121/365))</f>
        <v>95.652173913043484</v>
      </c>
      <c r="C203" s="8">
        <f>(L120*($E120/365))+(L121*($E121/365))</f>
        <v>0</v>
      </c>
      <c r="D203" s="8">
        <f>(M120*($E120/365))+(M121*($E121/365))</f>
        <v>0</v>
      </c>
      <c r="E203" s="39">
        <f t="shared" si="41"/>
        <v>95.652173913043484</v>
      </c>
      <c r="G203" s="1">
        <v>2011</v>
      </c>
      <c r="H203" s="886">
        <f>(O120/$R120*100*($E120/365))+(O121/$R121*100*($E121/365))</f>
        <v>100</v>
      </c>
      <c r="I203" s="886"/>
      <c r="J203" s="886">
        <f>(P120/$R120*100*($E120/365))+(P121/$R121*100*($E121/365))</f>
        <v>0</v>
      </c>
      <c r="K203" s="886"/>
      <c r="L203" s="886">
        <f>(Q120/$R120*100*($E120/365))+(Q121/$R121*100*($E121/365))</f>
        <v>0</v>
      </c>
      <c r="M203" s="886"/>
      <c r="N203" s="919">
        <f t="shared" si="42"/>
        <v>100</v>
      </c>
      <c r="O203" s="919"/>
      <c r="R203" s="1">
        <v>2011</v>
      </c>
      <c r="S203" s="8">
        <f>(O120*($E120/365))+(O121*($E121/365))</f>
        <v>54.1</v>
      </c>
      <c r="T203" s="8">
        <f>(P120*($E120/365))+(P121*($E121/365))</f>
        <v>0</v>
      </c>
      <c r="U203" s="8">
        <f>(Q120*($E120/365))+(Q121*($E121/365))</f>
        <v>0</v>
      </c>
      <c r="W203" s="14">
        <f t="shared" si="43"/>
        <v>54.1</v>
      </c>
      <c r="X203" s="5"/>
    </row>
    <row r="204" spans="1:24" ht="9" customHeight="1">
      <c r="A204" s="1">
        <v>2012</v>
      </c>
      <c r="B204" s="8">
        <f>(K122*($E122/366))+(K123*($E123/366))+(K124*($E124/366))</f>
        <v>35.542884295557144</v>
      </c>
      <c r="C204" s="8">
        <f>(L122*($E122/366))+(L123*($E123/366))+(L124*($E124/366))</f>
        <v>0</v>
      </c>
      <c r="D204" s="8">
        <f>(M122*($E122/366))+(M123*($E123/366))+(M124*($E124/366))</f>
        <v>62.841530054644814</v>
      </c>
      <c r="E204" s="39">
        <f t="shared" si="41"/>
        <v>98.384414350201951</v>
      </c>
      <c r="G204" s="1">
        <v>2012</v>
      </c>
      <c r="H204" s="886">
        <f>(O122/$R122*100*($E122/366))+(O123/$R123*100*($E123/366))+(O124/$R124*100*($E124/366))</f>
        <v>37.158469945355193</v>
      </c>
      <c r="I204" s="886"/>
      <c r="J204" s="886">
        <f>(P122/$R122*100*($E122/366))+(P123/$R123*100*($E123/366))+(P124/$R124*100*($E124/366))</f>
        <v>0</v>
      </c>
      <c r="K204" s="886"/>
      <c r="L204" s="886">
        <f>(Q122/$R122*100*($E122/366))+(Q123/$R123*100*($E123/366))+(Q124/$R124*100*($E124/366))</f>
        <v>62.841530054644814</v>
      </c>
      <c r="M204" s="886"/>
      <c r="N204" s="919">
        <f t="shared" ref="N204:N209" si="44">SUM(H204:M204)</f>
        <v>100</v>
      </c>
      <c r="O204" s="919"/>
      <c r="R204" s="1">
        <v>2012</v>
      </c>
      <c r="S204" s="8">
        <f>(O122*($E122/366))+(O123*($E123/366))+(O124*($E124/366))</f>
        <v>20.10273224043716</v>
      </c>
      <c r="T204" s="8">
        <f>(P122*($E122/366))+(P123*($E123/366))+(P124*($E124/366))</f>
        <v>0</v>
      </c>
      <c r="U204" s="8">
        <f>(Q122*($E122/366))+(Q123*($E123/366))+(Q124*($E124/366))</f>
        <v>32.168579234972682</v>
      </c>
      <c r="W204" s="14">
        <f t="shared" si="43"/>
        <v>52.271311475409846</v>
      </c>
      <c r="X204" s="5"/>
    </row>
    <row r="205" spans="1:24">
      <c r="A205" s="1">
        <v>2013</v>
      </c>
      <c r="B205" s="8">
        <f>(K125*($E125/365))+(K126*($E126/365))</f>
        <v>0</v>
      </c>
      <c r="C205" s="8">
        <f>(L125*($E125/365))+(L126*($E126/365))</f>
        <v>0</v>
      </c>
      <c r="D205" s="8">
        <f>(M125*($E125/365))+(M126*($E126/365))</f>
        <v>100</v>
      </c>
      <c r="E205" s="264">
        <f t="shared" si="41"/>
        <v>100</v>
      </c>
      <c r="G205" s="1">
        <v>2013</v>
      </c>
      <c r="H205" s="886">
        <f>(O125/$R125*100*($E125/365))+(O126/$R126*100*($E126/365))</f>
        <v>0</v>
      </c>
      <c r="I205" s="886"/>
      <c r="J205" s="886">
        <f>(P125/$R125*100*($E125/365))+(P126/$R126*100*($E126/365))</f>
        <v>0</v>
      </c>
      <c r="K205" s="886"/>
      <c r="L205" s="886">
        <f>(Q125/$R125*100*($E125/365))+(Q126/$R126*100*($E126/365))</f>
        <v>100</v>
      </c>
      <c r="M205" s="886"/>
      <c r="N205" s="919">
        <f t="shared" si="44"/>
        <v>100</v>
      </c>
      <c r="O205" s="919"/>
      <c r="R205" s="1">
        <v>2013</v>
      </c>
      <c r="S205" s="8">
        <f>(O125*($E125/365))+(O126*($E126/365))</f>
        <v>0</v>
      </c>
      <c r="T205" s="8">
        <f>(P125*($E125/365))+(P126*($E126/365))</f>
        <v>0</v>
      </c>
      <c r="U205" s="8">
        <f>(Q125*($E125/365))+(Q126*($E126/365))</f>
        <v>53.5</v>
      </c>
      <c r="W205" s="14">
        <f>SUM(S205:U205)</f>
        <v>53.5</v>
      </c>
    </row>
    <row r="206" spans="1:24">
      <c r="A206" s="1">
        <v>2014</v>
      </c>
      <c r="B206" s="8">
        <f>(K127*($E127/365))+(K128*($E128/365))+(K129*($E129/365))</f>
        <v>0</v>
      </c>
      <c r="C206" s="8">
        <f>(L127*($E127/365))+(L128*($E128/365))+(L129*($E129/365))</f>
        <v>0</v>
      </c>
      <c r="D206" s="8">
        <f>(M127*($E127/365))+(M128*($E128/365))+(M129*($E129/365))</f>
        <v>100</v>
      </c>
      <c r="E206" s="447">
        <f>SUM(B206:D206)</f>
        <v>100</v>
      </c>
      <c r="G206" s="1">
        <v>2014</v>
      </c>
      <c r="H206" s="886">
        <f>(O127/$R127*100*($E127/365))+(O128/$R128*100*($E128/365))+(O129/$R129*100*($E129/365))</f>
        <v>0</v>
      </c>
      <c r="I206" s="886"/>
      <c r="J206" s="886">
        <f>(P127/$R127*100*($E127/365))+(P128/$R128*100*($E128/365))+(P129/$R129*100*($E129/365))</f>
        <v>0</v>
      </c>
      <c r="K206" s="886"/>
      <c r="L206" s="886">
        <f>(Q127/$R127*100*($E127/365))+(Q128/$R128*100*($E128/365))+(Q129/$R129*100*($E129/365))</f>
        <v>100</v>
      </c>
      <c r="M206" s="886"/>
      <c r="N206" s="919">
        <f t="shared" si="44"/>
        <v>100</v>
      </c>
      <c r="O206" s="919"/>
      <c r="R206" s="1">
        <v>2014</v>
      </c>
      <c r="S206" s="8">
        <f>(O127*($E127/365))+(O128*($E128/365))+(O129*($E129/365))</f>
        <v>0</v>
      </c>
      <c r="T206" s="8">
        <f>(P127*($E127/365))+(P128*($E128/365))+(P129*($E129/365))</f>
        <v>0</v>
      </c>
      <c r="U206" s="8">
        <f>(Q127*($E127/365))+(Q128*($E128/365))+(Q129*($E129/365))</f>
        <v>51.004657534246576</v>
      </c>
      <c r="W206" s="14">
        <f>SUM(S206:U206)</f>
        <v>51.004657534246576</v>
      </c>
    </row>
    <row r="207" spans="1:24" s="593" customFormat="1">
      <c r="A207" s="593">
        <v>2015</v>
      </c>
      <c r="B207" s="587">
        <f>(K130*($E130/365))+(K131*($E131/365))</f>
        <v>0</v>
      </c>
      <c r="C207" s="587">
        <f>(L130*($E130/365))+(L131*($E131/365))</f>
        <v>0</v>
      </c>
      <c r="D207" s="587">
        <f>(M130*($E130/365))+(M131*($E131/365))</f>
        <v>100</v>
      </c>
      <c r="E207" s="588">
        <f>SUM(B207:D207)</f>
        <v>100</v>
      </c>
      <c r="G207" s="593">
        <v>2015</v>
      </c>
      <c r="H207" s="886">
        <f>(O130/$R130*100*($E130/365))+(O131/$R131*100*($E131/365))</f>
        <v>0</v>
      </c>
      <c r="I207" s="886"/>
      <c r="J207" s="886">
        <f>(P130/$R130*100*($E130/365))+(P131/$R131*100*($E131/365))</f>
        <v>0</v>
      </c>
      <c r="K207" s="886"/>
      <c r="L207" s="886">
        <f>(Q130/$R130*100*($E130/365))+(Q131/$R131*100*($E131/365))</f>
        <v>100</v>
      </c>
      <c r="M207" s="886"/>
      <c r="N207" s="919">
        <f t="shared" si="44"/>
        <v>100</v>
      </c>
      <c r="O207" s="919"/>
      <c r="R207" s="593">
        <v>2015</v>
      </c>
      <c r="S207" s="587">
        <f>(O130*($E130/365))+(O131*($E131/365))</f>
        <v>0</v>
      </c>
      <c r="T207" s="587">
        <f>(P130*($E130/365))+(P131*($E131/365))</f>
        <v>0</v>
      </c>
      <c r="U207" s="587">
        <f>(Q130*($E130/365))+(Q131*($E131/365))</f>
        <v>50.2</v>
      </c>
      <c r="W207" s="592">
        <f>SUM(S207:U207)</f>
        <v>50.2</v>
      </c>
    </row>
    <row r="208" spans="1:24">
      <c r="A208" s="717">
        <v>2016</v>
      </c>
      <c r="B208" s="714">
        <f>(K132*($E132/366))+(K133*($E133/366))+(K134*($E134/366))+(K135*($E135/366))+(K136*($E136/366))</f>
        <v>0</v>
      </c>
      <c r="C208" s="714">
        <f t="shared" ref="C208:D208" si="45">(L132*($E132/366))+(L133*($E133/366))+(L134*($E134/366))+(L135*($E135/366))+(L136*($E136/366))</f>
        <v>0</v>
      </c>
      <c r="D208" s="714">
        <f t="shared" si="45"/>
        <v>100</v>
      </c>
      <c r="E208" s="715">
        <f>SUM(B208:D208)</f>
        <v>100</v>
      </c>
      <c r="F208" s="717"/>
      <c r="G208" s="717">
        <v>2016</v>
      </c>
      <c r="H208" s="886">
        <f>(O132/$R132*100*($E132/366))+(O133/$R133*100*($E133/366))+(O134/$R134*100*($E134/366))+(O135/$R135*100*($E135/366))+(O136/$R136*100*($E136/366))</f>
        <v>0</v>
      </c>
      <c r="I208" s="886"/>
      <c r="J208" s="886">
        <f>(P132/$R132*100*($E132/366))+(P133/$R133*100*($E133/366))+(P134/$R134*100*($E134/366))+(P135/$R135*100*($E135/366))+(P136/$R136*100*($E136/366))</f>
        <v>0</v>
      </c>
      <c r="K208" s="886"/>
      <c r="L208" s="886">
        <f>(Q132/$R132*100*($E132/366))+(Q133/$R133*100*($E133/366))+(Q134/$R134*100*($E134/366))+(Q135/$R135*100*($E135/366))+(Q136/$R136*100*($E136/366))</f>
        <v>100</v>
      </c>
      <c r="M208" s="886"/>
      <c r="N208" s="919">
        <f t="shared" si="44"/>
        <v>100</v>
      </c>
      <c r="O208" s="919"/>
      <c r="P208" s="717"/>
      <c r="Q208" s="717"/>
      <c r="R208" s="717">
        <v>2016</v>
      </c>
      <c r="S208" s="714">
        <f>(O132*($E132/366))+(O133*($E133/366))+(O134*($E134/366))+(O135*($E135/366))+(O136*($E136/366))</f>
        <v>0</v>
      </c>
      <c r="T208" s="714">
        <f t="shared" ref="T208:U208" si="46">(P132*($E132/366))+(P133*($E133/366))+(P134*($E134/366))+(P135*($E135/366))+(P136*($E136/366))</f>
        <v>0</v>
      </c>
      <c r="U208" s="714">
        <f t="shared" si="46"/>
        <v>53.130327868852461</v>
      </c>
      <c r="V208" s="717"/>
      <c r="W208" s="716">
        <f>SUM(S208:U208)</f>
        <v>53.130327868852461</v>
      </c>
    </row>
    <row r="209" spans="1:23">
      <c r="A209" s="749">
        <v>2017</v>
      </c>
      <c r="B209" s="744">
        <f>(K137*($E137/365))+(K138*($E138/365))+(K139*($E139/365))</f>
        <v>29.156452775775055</v>
      </c>
      <c r="C209" s="744">
        <f>(L137*($E137/365))+(L138*($E138/365))+(L139*($E139/365))</f>
        <v>4.4152847873107426</v>
      </c>
      <c r="D209" s="744">
        <f t="shared" ref="D209" si="47">(M137*($E137/365))+(M138*($E138/365))+(M139*($E139/365))</f>
        <v>37.649603460706558</v>
      </c>
      <c r="E209" s="745">
        <f>SUM(B209:D209)</f>
        <v>71.221341023792348</v>
      </c>
      <c r="G209" s="1">
        <v>2017</v>
      </c>
      <c r="H209" s="886">
        <f>(O137/$R137*100*($E137/365))+(O138/$R138*100*($E138/365))+(O139/$R139*100*($E139/365))</f>
        <v>51.526675118389569</v>
      </c>
      <c r="I209" s="886"/>
      <c r="J209" s="886">
        <f>(P137/$R137*100*($E137/365))+(P138/$R138*100*($E138/365))+(P139/$R139*100*($E139/365))</f>
        <v>6.4964874365493168</v>
      </c>
      <c r="K209" s="886"/>
      <c r="L209" s="886">
        <f>(Q137/$R137*100*($E137/365))+(Q138/$R138*100*($E138/365))+(Q139/$R139*100*($E139/365))</f>
        <v>41.976837445061115</v>
      </c>
      <c r="M209" s="886"/>
      <c r="N209" s="919">
        <f t="shared" si="44"/>
        <v>100</v>
      </c>
      <c r="O209" s="919"/>
      <c r="R209" s="749">
        <v>2017</v>
      </c>
      <c r="S209" s="744">
        <f>(O137*($E137/365))+(O138*($E138/365))+(O139*($E139/365))</f>
        <v>32.335342465753428</v>
      </c>
      <c r="T209" s="753">
        <f t="shared" ref="T209" si="48">(P137*($E137/365))+(P138*($E138/365))+(P139*($E139/365))</f>
        <v>3.9528767123287669</v>
      </c>
      <c r="U209" s="753">
        <f>(Q137*($E137/365))+(Q138*($E138/365))+(Q139*($E139/365))</f>
        <v>24.573972602739726</v>
      </c>
      <c r="V209" s="749"/>
      <c r="W209" s="747">
        <f>SUM(S209:U209)</f>
        <v>60.862191780821917</v>
      </c>
    </row>
    <row r="210" spans="1:23">
      <c r="A210" s="766">
        <v>2018</v>
      </c>
      <c r="B210" s="757">
        <f>(K140*($E140/365))+(K141*($E141/365))</f>
        <v>51.917808219178085</v>
      </c>
      <c r="C210" s="757">
        <f>(L140*($E140/365))+(L141*($E141/365))</f>
        <v>5.8630136986301373</v>
      </c>
      <c r="D210" s="757">
        <f>(M140*($E140/365))+(M141*($E141/365))</f>
        <v>0</v>
      </c>
      <c r="E210" s="758">
        <f t="shared" ref="E210" si="49">SUM(B210:D210)</f>
        <v>57.780821917808225</v>
      </c>
      <c r="F210" s="766"/>
      <c r="G210" s="766">
        <v>2018</v>
      </c>
      <c r="H210" s="886">
        <f>(O140/$R140*100*($E140/365))+(O141/$R141*100*($E141/365))</f>
        <v>88.038798289617375</v>
      </c>
      <c r="I210" s="886"/>
      <c r="J210" s="886">
        <f>(P140/$R140*100*($E140/365))+(P141/$R141*100*($E141/365))</f>
        <v>11.961201710382616</v>
      </c>
      <c r="K210" s="886"/>
      <c r="L210" s="886">
        <f>(Q140/$R140*100*($E140/365))+(Q141/$R141*100*($E141/365))</f>
        <v>0</v>
      </c>
      <c r="M210" s="886"/>
      <c r="N210" s="919">
        <f t="shared" ref="N210" si="50">SUM(H210:M210)</f>
        <v>99.999999999999986</v>
      </c>
      <c r="O210" s="919"/>
      <c r="P210" s="766"/>
      <c r="Q210" s="766"/>
      <c r="R210" s="766">
        <v>2018</v>
      </c>
      <c r="S210" s="757">
        <f>(O140*($E140/365))+(O141*($E141/365))</f>
        <v>53.737534246575336</v>
      </c>
      <c r="T210" s="757">
        <f>(P140*($E140/365))+(P141*($E141/365))</f>
        <v>7.3</v>
      </c>
      <c r="U210" s="757">
        <f>(Q140*($E140/365))+(Q141*($E141/365))</f>
        <v>0</v>
      </c>
      <c r="V210" s="766"/>
      <c r="W210" s="763">
        <f t="shared" ref="W210" si="51">SUM(S210:U210)</f>
        <v>61.037534246575333</v>
      </c>
    </row>
    <row r="211" spans="1:23">
      <c r="A211" s="794">
        <v>2019</v>
      </c>
      <c r="B211" s="788">
        <f>(K142*($E142/365))+(K143*($E143/365))</f>
        <v>54.034869240348691</v>
      </c>
      <c r="C211" s="788">
        <f>(L142*($E142/365))+(L143*($E143/365))</f>
        <v>9.4229970942299701</v>
      </c>
      <c r="D211" s="788">
        <f>(M142*($E142/365))+(M143*($E143/365))</f>
        <v>0</v>
      </c>
      <c r="E211" s="789">
        <f t="shared" ref="E211" si="52">SUM(B211:D211)</f>
        <v>63.457866334578661</v>
      </c>
      <c r="F211" s="794"/>
      <c r="G211" s="794">
        <v>2019</v>
      </c>
      <c r="H211" s="886">
        <f>(O142/$R142*100*($E142/365))+(O143/$R143*100*($E143/365))</f>
        <v>88.282504012841102</v>
      </c>
      <c r="I211" s="886"/>
      <c r="J211" s="886">
        <f>(P142/$R142*100*($E142/365))+(P143/$R143*100*($E143/365))</f>
        <v>11.717495987158907</v>
      </c>
      <c r="K211" s="886"/>
      <c r="L211" s="886">
        <f>(Q142/$R142*100*($E142/365))+(Q143/$R143*100*($E143/365))</f>
        <v>0</v>
      </c>
      <c r="M211" s="886"/>
      <c r="N211" s="919">
        <f t="shared" ref="N211" si="53">SUM(H211:M211)</f>
        <v>100.00000000000001</v>
      </c>
      <c r="O211" s="919"/>
      <c r="P211" s="794"/>
      <c r="Q211" s="794"/>
      <c r="R211" s="794">
        <v>2019</v>
      </c>
      <c r="S211" s="788">
        <f>(O142*($E142/365))+(O143*($E143/365))</f>
        <v>54.999999999999993</v>
      </c>
      <c r="T211" s="788">
        <f>(P142*($E142/365))+(P143*($E143/365))</f>
        <v>7.3</v>
      </c>
      <c r="U211" s="788">
        <f>(Q142*($E142/365))+(Q143*($E143/365))</f>
        <v>0</v>
      </c>
      <c r="V211" s="794"/>
      <c r="W211" s="792">
        <f t="shared" ref="W211" si="54">SUM(S211:U211)</f>
        <v>62.29999999999999</v>
      </c>
    </row>
  </sheetData>
  <mergeCells count="408">
    <mergeCell ref="N153:O153"/>
    <mergeCell ref="N154:O154"/>
    <mergeCell ref="N155:O155"/>
    <mergeCell ref="N156:O156"/>
    <mergeCell ref="N157:O157"/>
    <mergeCell ref="N158:O158"/>
    <mergeCell ref="H201:I201"/>
    <mergeCell ref="H210:I210"/>
    <mergeCell ref="J210:K210"/>
    <mergeCell ref="L210:M210"/>
    <mergeCell ref="N210:O210"/>
    <mergeCell ref="N209:O209"/>
    <mergeCell ref="L209:M209"/>
    <mergeCell ref="J209:K209"/>
    <mergeCell ref="J164:K164"/>
    <mergeCell ref="L207:M207"/>
    <mergeCell ref="N207:O207"/>
    <mergeCell ref="N206:O206"/>
    <mergeCell ref="N205:O205"/>
    <mergeCell ref="H206:I206"/>
    <mergeCell ref="J206:K206"/>
    <mergeCell ref="L206:M206"/>
    <mergeCell ref="H202:I202"/>
    <mergeCell ref="H188:I188"/>
    <mergeCell ref="C137:D137"/>
    <mergeCell ref="C138:D138"/>
    <mergeCell ref="C139:D139"/>
    <mergeCell ref="C132:D132"/>
    <mergeCell ref="C135:D135"/>
    <mergeCell ref="C136:D136"/>
    <mergeCell ref="C133:D133"/>
    <mergeCell ref="C134:D134"/>
    <mergeCell ref="H193:I193"/>
    <mergeCell ref="H159:I159"/>
    <mergeCell ref="H160:I160"/>
    <mergeCell ref="H161:I161"/>
    <mergeCell ref="C140:D140"/>
    <mergeCell ref="C141:D141"/>
    <mergeCell ref="H174:I174"/>
    <mergeCell ref="H175:I175"/>
    <mergeCell ref="H176:I176"/>
    <mergeCell ref="H165:I165"/>
    <mergeCell ref="H166:I166"/>
    <mergeCell ref="H170:I170"/>
    <mergeCell ref="H164:I164"/>
    <mergeCell ref="H171:I171"/>
    <mergeCell ref="H172:I172"/>
    <mergeCell ref="H173:I173"/>
    <mergeCell ref="C130:D130"/>
    <mergeCell ref="C131:D131"/>
    <mergeCell ref="H207:I207"/>
    <mergeCell ref="J207:K207"/>
    <mergeCell ref="J162:K162"/>
    <mergeCell ref="J163:K163"/>
    <mergeCell ref="H162:I162"/>
    <mergeCell ref="H163:I163"/>
    <mergeCell ref="H204:I204"/>
    <mergeCell ref="H195:I195"/>
    <mergeCell ref="H196:I196"/>
    <mergeCell ref="H197:I197"/>
    <mergeCell ref="H198:I198"/>
    <mergeCell ref="H199:I199"/>
    <mergeCell ref="H200:I200"/>
    <mergeCell ref="H189:I189"/>
    <mergeCell ref="H190:I190"/>
    <mergeCell ref="H191:I191"/>
    <mergeCell ref="H192:I192"/>
    <mergeCell ref="H203:I203"/>
    <mergeCell ref="H184:I184"/>
    <mergeCell ref="H185:I185"/>
    <mergeCell ref="H186:I186"/>
    <mergeCell ref="H187:I187"/>
    <mergeCell ref="C125:D125"/>
    <mergeCell ref="C126:D126"/>
    <mergeCell ref="L205:M205"/>
    <mergeCell ref="H205:I205"/>
    <mergeCell ref="J205:K205"/>
    <mergeCell ref="N151:O151"/>
    <mergeCell ref="H153:I153"/>
    <mergeCell ref="H154:I154"/>
    <mergeCell ref="C128:D128"/>
    <mergeCell ref="C127:D127"/>
    <mergeCell ref="C129:D129"/>
    <mergeCell ref="H155:I155"/>
    <mergeCell ref="H156:I156"/>
    <mergeCell ref="J158:K158"/>
    <mergeCell ref="J159:K159"/>
    <mergeCell ref="J160:K160"/>
    <mergeCell ref="J161:K161"/>
    <mergeCell ref="H157:I157"/>
    <mergeCell ref="H158:I158"/>
    <mergeCell ref="J153:K153"/>
    <mergeCell ref="J154:K154"/>
    <mergeCell ref="J155:K155"/>
    <mergeCell ref="J156:K156"/>
    <mergeCell ref="J157:K157"/>
    <mergeCell ref="C122:D122"/>
    <mergeCell ref="C124:D124"/>
    <mergeCell ref="C114:D114"/>
    <mergeCell ref="C115:D115"/>
    <mergeCell ref="C116:D116"/>
    <mergeCell ref="C117:D117"/>
    <mergeCell ref="C118:D118"/>
    <mergeCell ref="C119:D119"/>
    <mergeCell ref="C123:D123"/>
    <mergeCell ref="C107:D107"/>
    <mergeCell ref="C108:D108"/>
    <mergeCell ref="C105:D105"/>
    <mergeCell ref="C106:D106"/>
    <mergeCell ref="C109:D109"/>
    <mergeCell ref="C110:D110"/>
    <mergeCell ref="C120:D120"/>
    <mergeCell ref="C121:D121"/>
    <mergeCell ref="C112:D112"/>
    <mergeCell ref="C113:D113"/>
    <mergeCell ref="C111:D111"/>
    <mergeCell ref="C96:D96"/>
    <mergeCell ref="C97:D97"/>
    <mergeCell ref="C101:D101"/>
    <mergeCell ref="C102:D102"/>
    <mergeCell ref="C98:D98"/>
    <mergeCell ref="C99:D99"/>
    <mergeCell ref="C100:D100"/>
    <mergeCell ref="C103:D103"/>
    <mergeCell ref="C104:D104"/>
    <mergeCell ref="C89:D89"/>
    <mergeCell ref="C86:D86"/>
    <mergeCell ref="C87:D87"/>
    <mergeCell ref="C85:D85"/>
    <mergeCell ref="C90:D90"/>
    <mergeCell ref="C91:D91"/>
    <mergeCell ref="C94:D94"/>
    <mergeCell ref="C95:D95"/>
    <mergeCell ref="C92:D92"/>
    <mergeCell ref="C93:D93"/>
    <mergeCell ref="C77:D77"/>
    <mergeCell ref="C78:D78"/>
    <mergeCell ref="C81:D81"/>
    <mergeCell ref="C82:D82"/>
    <mergeCell ref="C79:D79"/>
    <mergeCell ref="C80:D80"/>
    <mergeCell ref="C83:D83"/>
    <mergeCell ref="C84:D84"/>
    <mergeCell ref="C88:D88"/>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0:D30"/>
    <mergeCell ref="C33:D33"/>
    <mergeCell ref="C34:D34"/>
    <mergeCell ref="C31:D31"/>
    <mergeCell ref="C32:D32"/>
    <mergeCell ref="C35:D35"/>
    <mergeCell ref="C36:D36"/>
    <mergeCell ref="C39:D39"/>
    <mergeCell ref="C40:D40"/>
    <mergeCell ref="C37:D37"/>
    <mergeCell ref="C38:D38"/>
    <mergeCell ref="C21:D21"/>
    <mergeCell ref="C22:D22"/>
    <mergeCell ref="C23:D23"/>
    <mergeCell ref="C24:D24"/>
    <mergeCell ref="C27:D27"/>
    <mergeCell ref="C28:D28"/>
    <mergeCell ref="C25:D25"/>
    <mergeCell ref="C26:D26"/>
    <mergeCell ref="C29:D29"/>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O3:Q3"/>
    <mergeCell ref="C9:D9"/>
    <mergeCell ref="C10:D10"/>
    <mergeCell ref="A4:A5"/>
    <mergeCell ref="B4:B5"/>
    <mergeCell ref="C4:D5"/>
    <mergeCell ref="E4:E5"/>
    <mergeCell ref="F4:F5"/>
    <mergeCell ref="G4:J4"/>
    <mergeCell ref="G3:M3"/>
    <mergeCell ref="R148:W148"/>
    <mergeCell ref="H150:I150"/>
    <mergeCell ref="J150:K150"/>
    <mergeCell ref="L150:M150"/>
    <mergeCell ref="N150:O150"/>
    <mergeCell ref="H152:I152"/>
    <mergeCell ref="N152:O152"/>
    <mergeCell ref="H151:I151"/>
    <mergeCell ref="J151:K151"/>
    <mergeCell ref="L151:M151"/>
    <mergeCell ref="J152:K152"/>
    <mergeCell ref="H177:I177"/>
    <mergeCell ref="H178:I178"/>
    <mergeCell ref="H179:I179"/>
    <mergeCell ref="H180:I180"/>
    <mergeCell ref="H181:I181"/>
    <mergeCell ref="H182:I182"/>
    <mergeCell ref="H194:I194"/>
    <mergeCell ref="H183:I183"/>
    <mergeCell ref="H167:I167"/>
    <mergeCell ref="H168:I168"/>
    <mergeCell ref="H169:I169"/>
    <mergeCell ref="J187:K187"/>
    <mergeCell ref="J176:K176"/>
    <mergeCell ref="J177:K177"/>
    <mergeCell ref="J178:K178"/>
    <mergeCell ref="J179:K179"/>
    <mergeCell ref="J200:K200"/>
    <mergeCell ref="J201:K201"/>
    <mergeCell ref="J202:K202"/>
    <mergeCell ref="J203:K203"/>
    <mergeCell ref="J184:K184"/>
    <mergeCell ref="J185:K185"/>
    <mergeCell ref="J186:K186"/>
    <mergeCell ref="J204:K204"/>
    <mergeCell ref="L152:M152"/>
    <mergeCell ref="L153:M153"/>
    <mergeCell ref="L154:M154"/>
    <mergeCell ref="L155:M155"/>
    <mergeCell ref="L156:M156"/>
    <mergeCell ref="J194:K194"/>
    <mergeCell ref="J195:K195"/>
    <mergeCell ref="J196:K196"/>
    <mergeCell ref="J197:K197"/>
    <mergeCell ref="J198:K198"/>
    <mergeCell ref="J199:K199"/>
    <mergeCell ref="J188:K188"/>
    <mergeCell ref="J189:K189"/>
    <mergeCell ref="J190:K190"/>
    <mergeCell ref="J191:K191"/>
    <mergeCell ref="J192:K192"/>
    <mergeCell ref="J193:K193"/>
    <mergeCell ref="J182:K182"/>
    <mergeCell ref="J183:K183"/>
    <mergeCell ref="L167:M167"/>
    <mergeCell ref="L168:M168"/>
    <mergeCell ref="L157:M157"/>
    <mergeCell ref="L158:M158"/>
    <mergeCell ref="L159:M159"/>
    <mergeCell ref="L160:M160"/>
    <mergeCell ref="L161:M161"/>
    <mergeCell ref="L162:M162"/>
    <mergeCell ref="L163:M163"/>
    <mergeCell ref="J180:K180"/>
    <mergeCell ref="J181:K181"/>
    <mergeCell ref="J165:K165"/>
    <mergeCell ref="J166:K166"/>
    <mergeCell ref="J167:K167"/>
    <mergeCell ref="J168:K168"/>
    <mergeCell ref="J169:K169"/>
    <mergeCell ref="J171:K171"/>
    <mergeCell ref="J172:K172"/>
    <mergeCell ref="J173:K173"/>
    <mergeCell ref="J170:K170"/>
    <mergeCell ref="J174:K174"/>
    <mergeCell ref="J175:K175"/>
    <mergeCell ref="L164:M164"/>
    <mergeCell ref="L165:M165"/>
    <mergeCell ref="L166:M166"/>
    <mergeCell ref="L178:M178"/>
    <mergeCell ref="L179:M179"/>
    <mergeCell ref="L180:M180"/>
    <mergeCell ref="L202:M202"/>
    <mergeCell ref="L203:M203"/>
    <mergeCell ref="L204:M204"/>
    <mergeCell ref="L193:M193"/>
    <mergeCell ref="L194:M194"/>
    <mergeCell ref="L195:M195"/>
    <mergeCell ref="L196:M196"/>
    <mergeCell ref="L197:M197"/>
    <mergeCell ref="L198:M198"/>
    <mergeCell ref="L199:M199"/>
    <mergeCell ref="L200:M200"/>
    <mergeCell ref="L201:M201"/>
    <mergeCell ref="L189:M189"/>
    <mergeCell ref="L190:M190"/>
    <mergeCell ref="L191:M191"/>
    <mergeCell ref="L192:M192"/>
    <mergeCell ref="L181:M181"/>
    <mergeCell ref="L182:M182"/>
    <mergeCell ref="L183:M183"/>
    <mergeCell ref="L184:M184"/>
    <mergeCell ref="L185:M185"/>
    <mergeCell ref="L186:M186"/>
    <mergeCell ref="L187:M187"/>
    <mergeCell ref="L188:M188"/>
    <mergeCell ref="L169:M169"/>
    <mergeCell ref="L170:M170"/>
    <mergeCell ref="L171:M171"/>
    <mergeCell ref="L172:M172"/>
    <mergeCell ref="L173:M173"/>
    <mergeCell ref="L174:M174"/>
    <mergeCell ref="L175:M175"/>
    <mergeCell ref="L176:M176"/>
    <mergeCell ref="L177:M177"/>
    <mergeCell ref="N186:O186"/>
    <mergeCell ref="N187:O187"/>
    <mergeCell ref="N188:O188"/>
    <mergeCell ref="N167:O167"/>
    <mergeCell ref="N168:O168"/>
    <mergeCell ref="N169:O169"/>
    <mergeCell ref="N170:O170"/>
    <mergeCell ref="N159:O159"/>
    <mergeCell ref="N160:O160"/>
    <mergeCell ref="N161:O161"/>
    <mergeCell ref="N162:O162"/>
    <mergeCell ref="N163:O163"/>
    <mergeCell ref="N164:O164"/>
    <mergeCell ref="AT4:AW4"/>
    <mergeCell ref="AX4:BA4"/>
    <mergeCell ref="C7:D7"/>
    <mergeCell ref="C6:D6"/>
    <mergeCell ref="N201:O201"/>
    <mergeCell ref="N202:O202"/>
    <mergeCell ref="N189:O189"/>
    <mergeCell ref="N190:O190"/>
    <mergeCell ref="N191:O191"/>
    <mergeCell ref="N192:O192"/>
    <mergeCell ref="N177:O177"/>
    <mergeCell ref="N178:O178"/>
    <mergeCell ref="N179:O179"/>
    <mergeCell ref="N180:O180"/>
    <mergeCell ref="N181:O181"/>
    <mergeCell ref="N182:O182"/>
    <mergeCell ref="N171:O171"/>
    <mergeCell ref="N172:O172"/>
    <mergeCell ref="N173:O173"/>
    <mergeCell ref="N174:O174"/>
    <mergeCell ref="N175:O175"/>
    <mergeCell ref="N176:O176"/>
    <mergeCell ref="N165:O165"/>
    <mergeCell ref="N166:O166"/>
    <mergeCell ref="C142:D142"/>
    <mergeCell ref="C143:D143"/>
    <mergeCell ref="H211:I211"/>
    <mergeCell ref="J211:K211"/>
    <mergeCell ref="L211:M211"/>
    <mergeCell ref="N211:O211"/>
    <mergeCell ref="H208:I208"/>
    <mergeCell ref="J208:K208"/>
    <mergeCell ref="L208:M208"/>
    <mergeCell ref="N208:O208"/>
    <mergeCell ref="H209:I209"/>
    <mergeCell ref="N203:O203"/>
    <mergeCell ref="N204:O204"/>
    <mergeCell ref="N195:O195"/>
    <mergeCell ref="N196:O196"/>
    <mergeCell ref="N197:O197"/>
    <mergeCell ref="N198:O198"/>
    <mergeCell ref="N200:O200"/>
    <mergeCell ref="N199:O199"/>
    <mergeCell ref="N183:O183"/>
    <mergeCell ref="N193:O193"/>
    <mergeCell ref="N194:O194"/>
    <mergeCell ref="N184:O184"/>
    <mergeCell ref="N185:O185"/>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A200"/>
  <sheetViews>
    <sheetView zoomScale="180" zoomScaleNormal="120" workbookViewId="0">
      <pane xSplit="1" ySplit="5" topLeftCell="B96" activePane="bottomRight" state="frozen"/>
      <selection pane="topRight" activeCell="B1" sqref="B1"/>
      <selection pane="bottomLeft" activeCell="A6" sqref="A6"/>
      <selection pane="bottomRight" activeCell="S76" sqref="S76"/>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55</v>
      </c>
    </row>
    <row r="3" spans="1:53" s="2" customFormat="1">
      <c r="G3" s="924"/>
      <c r="H3" s="924"/>
      <c r="I3" s="924"/>
      <c r="J3" s="924"/>
      <c r="K3" s="924"/>
      <c r="L3" s="924"/>
      <c r="M3" s="924"/>
      <c r="O3" s="924"/>
      <c r="P3" s="924"/>
      <c r="Q3" s="924"/>
      <c r="R3" s="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12" t="s">
        <v>524</v>
      </c>
      <c r="D6" s="912"/>
      <c r="E6" s="227">
        <v>0</v>
      </c>
      <c r="G6" s="235">
        <v>2</v>
      </c>
      <c r="H6" s="227">
        <v>15</v>
      </c>
      <c r="J6" s="242">
        <v>17</v>
      </c>
      <c r="K6" s="218">
        <f>G6/J6*100</f>
        <v>11.76470588235294</v>
      </c>
      <c r="L6" s="218">
        <f>H6/J6*100</f>
        <v>88.235294117647058</v>
      </c>
      <c r="M6" s="218">
        <f>I6/J6*100</f>
        <v>0</v>
      </c>
      <c r="N6" s="237">
        <f>SUM(K6:M6)</f>
        <v>100</v>
      </c>
      <c r="O6" s="217">
        <v>3.4</v>
      </c>
      <c r="P6" s="218">
        <v>54.4</v>
      </c>
      <c r="Q6" s="218"/>
      <c r="R6" s="219">
        <f>SUM(O6:Q6)</f>
        <v>57.8</v>
      </c>
      <c r="S6" s="224">
        <v>3</v>
      </c>
      <c r="T6" s="870"/>
      <c r="U6" s="853"/>
      <c r="V6" s="226" t="s">
        <v>129</v>
      </c>
      <c r="W6" s="227" t="s">
        <v>17</v>
      </c>
      <c r="X6" s="227" t="s">
        <v>18</v>
      </c>
      <c r="Y6" s="227">
        <v>43.7</v>
      </c>
      <c r="Z6" s="226" t="s">
        <v>130</v>
      </c>
      <c r="AA6" s="227" t="s">
        <v>82</v>
      </c>
      <c r="AB6" s="227" t="s">
        <v>18</v>
      </c>
      <c r="AC6" s="227">
        <v>10.7</v>
      </c>
      <c r="AD6" s="226" t="s">
        <v>131</v>
      </c>
      <c r="AE6" s="227" t="s">
        <v>76</v>
      </c>
      <c r="AF6" s="227" t="s">
        <v>11</v>
      </c>
      <c r="AG6" s="228">
        <v>3.4</v>
      </c>
      <c r="AL6" s="226"/>
      <c r="AO6" s="228"/>
      <c r="AP6" s="226"/>
      <c r="AS6" s="228"/>
      <c r="AW6" s="228"/>
      <c r="BA6" s="229"/>
    </row>
    <row r="7" spans="1:53" s="227" customFormat="1">
      <c r="A7" s="233">
        <v>1959</v>
      </c>
      <c r="B7" s="853"/>
      <c r="C7" s="912" t="s">
        <v>524</v>
      </c>
      <c r="D7" s="912"/>
      <c r="E7" s="227">
        <v>365</v>
      </c>
      <c r="G7" s="235">
        <v>2</v>
      </c>
      <c r="H7" s="227">
        <v>15</v>
      </c>
      <c r="J7" s="242">
        <v>17</v>
      </c>
      <c r="K7" s="218">
        <f>G7/J7*100</f>
        <v>11.76470588235294</v>
      </c>
      <c r="L7" s="218">
        <f>H7/J7*100</f>
        <v>88.235294117647058</v>
      </c>
      <c r="M7" s="218">
        <f>I7/J7*100</f>
        <v>0</v>
      </c>
      <c r="N7" s="237">
        <f>SUM(K7:M7)</f>
        <v>100</v>
      </c>
      <c r="O7" s="217">
        <v>3.4</v>
      </c>
      <c r="P7" s="218">
        <v>54.4</v>
      </c>
      <c r="Q7" s="218"/>
      <c r="R7" s="219">
        <f>SUM(O7:Q7)</f>
        <v>57.8</v>
      </c>
      <c r="S7" s="224">
        <v>3</v>
      </c>
      <c r="T7" s="870"/>
      <c r="U7" s="853"/>
      <c r="V7" s="226" t="s">
        <v>129</v>
      </c>
      <c r="W7" s="227" t="s">
        <v>17</v>
      </c>
      <c r="X7" s="227" t="s">
        <v>18</v>
      </c>
      <c r="Y7" s="227">
        <v>43.7</v>
      </c>
      <c r="Z7" s="226" t="s">
        <v>130</v>
      </c>
      <c r="AA7" s="227" t="s">
        <v>82</v>
      </c>
      <c r="AB7" s="227" t="s">
        <v>18</v>
      </c>
      <c r="AC7" s="227">
        <v>10.7</v>
      </c>
      <c r="AD7" s="226" t="s">
        <v>131</v>
      </c>
      <c r="AE7" s="227" t="s">
        <v>76</v>
      </c>
      <c r="AF7" s="227" t="s">
        <v>11</v>
      </c>
      <c r="AG7" s="228">
        <v>3.4</v>
      </c>
      <c r="AL7" s="226"/>
      <c r="AO7" s="228"/>
      <c r="AP7" s="226"/>
      <c r="AS7" s="228"/>
      <c r="AW7" s="228"/>
      <c r="BA7" s="229"/>
    </row>
    <row r="8" spans="1:53" s="73" customFormat="1">
      <c r="A8" s="101">
        <v>1960</v>
      </c>
      <c r="B8" s="852"/>
      <c r="C8" s="901" t="s">
        <v>524</v>
      </c>
      <c r="D8" s="901"/>
      <c r="E8" s="73">
        <v>182</v>
      </c>
      <c r="G8" s="119">
        <v>2</v>
      </c>
      <c r="H8" s="73">
        <v>15</v>
      </c>
      <c r="J8" s="126">
        <v>17</v>
      </c>
      <c r="K8" s="92">
        <f>G8/J8*100</f>
        <v>11.76470588235294</v>
      </c>
      <c r="L8" s="92">
        <f t="shared" ref="L8:L69" si="0">H8/J8*100</f>
        <v>88.235294117647058</v>
      </c>
      <c r="M8" s="92">
        <f t="shared" ref="M8:M69" si="1">I8/J8*100</f>
        <v>0</v>
      </c>
      <c r="N8" s="121">
        <f>SUM(K8:M8)</f>
        <v>100</v>
      </c>
      <c r="O8" s="91">
        <v>3.4</v>
      </c>
      <c r="P8" s="92">
        <v>54.4</v>
      </c>
      <c r="Q8" s="92"/>
      <c r="R8" s="93">
        <f>SUM(O8:Q8)</f>
        <v>57.8</v>
      </c>
      <c r="S8" s="97">
        <v>3</v>
      </c>
      <c r="T8" s="839"/>
      <c r="U8" s="852"/>
      <c r="V8" s="82" t="s">
        <v>129</v>
      </c>
      <c r="W8" s="73" t="s">
        <v>17</v>
      </c>
      <c r="X8" s="73" t="s">
        <v>18</v>
      </c>
      <c r="Y8" s="73">
        <v>43.7</v>
      </c>
      <c r="Z8" s="82" t="s">
        <v>130</v>
      </c>
      <c r="AA8" s="73" t="s">
        <v>82</v>
      </c>
      <c r="AB8" s="73" t="s">
        <v>18</v>
      </c>
      <c r="AC8" s="73">
        <v>10.7</v>
      </c>
      <c r="AD8" s="82" t="s">
        <v>131</v>
      </c>
      <c r="AE8" s="73" t="s">
        <v>76</v>
      </c>
      <c r="AF8" s="73" t="s">
        <v>11</v>
      </c>
      <c r="AG8" s="83">
        <v>3.4</v>
      </c>
      <c r="AL8" s="82"/>
      <c r="AO8" s="83"/>
      <c r="AP8" s="82"/>
      <c r="AS8" s="83"/>
      <c r="AW8" s="83"/>
      <c r="BA8" s="84"/>
    </row>
    <row r="9" spans="1:53" s="292" customFormat="1">
      <c r="A9" s="338">
        <v>1960</v>
      </c>
      <c r="B9" s="836">
        <v>22098</v>
      </c>
      <c r="C9" s="909" t="s">
        <v>525</v>
      </c>
      <c r="D9" s="909"/>
      <c r="E9" s="292">
        <v>184</v>
      </c>
      <c r="F9" s="292">
        <v>4</v>
      </c>
      <c r="G9" s="366"/>
      <c r="H9" s="292">
        <v>18</v>
      </c>
      <c r="J9" s="377">
        <v>18</v>
      </c>
      <c r="K9" s="336">
        <f t="shared" ref="K9:K69" si="2">G9/J9*100</f>
        <v>0</v>
      </c>
      <c r="L9" s="336">
        <f t="shared" si="0"/>
        <v>100</v>
      </c>
      <c r="M9" s="336">
        <f t="shared" si="1"/>
        <v>0</v>
      </c>
      <c r="N9" s="368">
        <f t="shared" ref="N9:N72" si="3">SUM(K9:M9)</f>
        <v>100</v>
      </c>
      <c r="O9" s="335"/>
      <c r="P9" s="336">
        <v>54.4</v>
      </c>
      <c r="Q9" s="336"/>
      <c r="R9" s="337">
        <f t="shared" ref="R9:R72" si="4">SUM(O9:Q9)</f>
        <v>54.4</v>
      </c>
      <c r="S9" s="340">
        <v>1</v>
      </c>
      <c r="T9" s="838"/>
      <c r="U9" s="836">
        <v>22098</v>
      </c>
      <c r="V9" s="299" t="s">
        <v>129</v>
      </c>
      <c r="W9" s="292" t="s">
        <v>17</v>
      </c>
      <c r="X9" s="292" t="s">
        <v>18</v>
      </c>
      <c r="Y9" s="292">
        <v>43.7</v>
      </c>
      <c r="Z9" s="299" t="s">
        <v>130</v>
      </c>
      <c r="AA9" s="292" t="s">
        <v>82</v>
      </c>
      <c r="AB9" s="292" t="s">
        <v>18</v>
      </c>
      <c r="AC9" s="292">
        <v>10.7</v>
      </c>
      <c r="AD9" s="299"/>
      <c r="AG9" s="300"/>
      <c r="AL9" s="299"/>
      <c r="AO9" s="300"/>
      <c r="AP9" s="299"/>
      <c r="AS9" s="300"/>
      <c r="AW9" s="300"/>
      <c r="BA9" s="301"/>
    </row>
    <row r="10" spans="1:53" s="292" customFormat="1">
      <c r="A10" s="338">
        <v>1961</v>
      </c>
      <c r="B10" s="836"/>
      <c r="C10" s="909" t="s">
        <v>525</v>
      </c>
      <c r="D10" s="909"/>
      <c r="E10" s="292">
        <v>317</v>
      </c>
      <c r="G10" s="366"/>
      <c r="H10" s="292">
        <v>18</v>
      </c>
      <c r="J10" s="377">
        <v>18</v>
      </c>
      <c r="K10" s="336">
        <f t="shared" si="2"/>
        <v>0</v>
      </c>
      <c r="L10" s="336">
        <f t="shared" si="0"/>
        <v>100</v>
      </c>
      <c r="M10" s="336">
        <f t="shared" si="1"/>
        <v>0</v>
      </c>
      <c r="N10" s="368">
        <f t="shared" si="3"/>
        <v>100</v>
      </c>
      <c r="O10" s="335"/>
      <c r="P10" s="336">
        <v>54.4</v>
      </c>
      <c r="Q10" s="336"/>
      <c r="R10" s="337">
        <f t="shared" si="4"/>
        <v>54.4</v>
      </c>
      <c r="S10" s="340">
        <v>1</v>
      </c>
      <c r="T10" s="838"/>
      <c r="U10" s="836"/>
      <c r="V10" s="299" t="s">
        <v>129</v>
      </c>
      <c r="W10" s="292" t="s">
        <v>17</v>
      </c>
      <c r="X10" s="292" t="s">
        <v>18</v>
      </c>
      <c r="Y10" s="292">
        <v>43.7</v>
      </c>
      <c r="Z10" s="299" t="s">
        <v>130</v>
      </c>
      <c r="AA10" s="292" t="s">
        <v>82</v>
      </c>
      <c r="AB10" s="292" t="s">
        <v>18</v>
      </c>
      <c r="AC10" s="292">
        <v>10.7</v>
      </c>
      <c r="AD10" s="299"/>
      <c r="AG10" s="300"/>
      <c r="AL10" s="299"/>
      <c r="AO10" s="300"/>
      <c r="AP10" s="299"/>
      <c r="AS10" s="300"/>
      <c r="AW10" s="300"/>
      <c r="BA10" s="301"/>
    </row>
    <row r="11" spans="1:53" s="73" customFormat="1">
      <c r="A11" s="101">
        <v>1961</v>
      </c>
      <c r="B11" s="852">
        <v>22599</v>
      </c>
      <c r="C11" s="901" t="s">
        <v>526</v>
      </c>
      <c r="D11" s="901"/>
      <c r="E11" s="73">
        <v>48</v>
      </c>
      <c r="F11" s="73">
        <v>1</v>
      </c>
      <c r="G11" s="119">
        <v>5</v>
      </c>
      <c r="H11" s="73">
        <v>16</v>
      </c>
      <c r="J11" s="126">
        <v>21</v>
      </c>
      <c r="K11" s="92">
        <f t="shared" si="2"/>
        <v>23.809523809523807</v>
      </c>
      <c r="L11" s="92">
        <f t="shared" si="0"/>
        <v>76.19047619047619</v>
      </c>
      <c r="M11" s="92">
        <f t="shared" si="1"/>
        <v>0</v>
      </c>
      <c r="N11" s="121">
        <f t="shared" si="3"/>
        <v>100</v>
      </c>
      <c r="O11" s="91">
        <v>13.4</v>
      </c>
      <c r="P11" s="92">
        <v>48.5</v>
      </c>
      <c r="Q11" s="92"/>
      <c r="R11" s="93">
        <f t="shared" si="4"/>
        <v>61.9</v>
      </c>
      <c r="S11" s="97">
        <v>2</v>
      </c>
      <c r="T11" s="839">
        <v>22541</v>
      </c>
      <c r="U11" s="852">
        <v>22599</v>
      </c>
      <c r="V11" s="82" t="s">
        <v>129</v>
      </c>
      <c r="W11" s="73" t="s">
        <v>17</v>
      </c>
      <c r="X11" s="73" t="s">
        <v>18</v>
      </c>
      <c r="Y11" s="73">
        <v>38.5</v>
      </c>
      <c r="Z11" s="82" t="s">
        <v>130</v>
      </c>
      <c r="AA11" s="73" t="s">
        <v>82</v>
      </c>
      <c r="AB11" s="73" t="s">
        <v>18</v>
      </c>
      <c r="AC11" s="73">
        <v>10</v>
      </c>
      <c r="AD11" s="82" t="s">
        <v>132</v>
      </c>
      <c r="AE11" s="73" t="s">
        <v>22</v>
      </c>
      <c r="AF11" s="73" t="s">
        <v>11</v>
      </c>
      <c r="AG11" s="83">
        <v>13.4</v>
      </c>
      <c r="AL11" s="82"/>
      <c r="AO11" s="83"/>
      <c r="AP11" s="82"/>
      <c r="AS11" s="83"/>
      <c r="AW11" s="83"/>
      <c r="BA11" s="84"/>
    </row>
    <row r="12" spans="1:53" s="73" customFormat="1">
      <c r="A12" s="101">
        <v>1962</v>
      </c>
      <c r="B12" s="852"/>
      <c r="C12" s="901" t="s">
        <v>526</v>
      </c>
      <c r="D12" s="901"/>
      <c r="E12" s="73">
        <v>322</v>
      </c>
      <c r="G12" s="119">
        <v>5</v>
      </c>
      <c r="H12" s="73">
        <v>16</v>
      </c>
      <c r="J12" s="126">
        <v>21</v>
      </c>
      <c r="K12" s="92">
        <f t="shared" si="2"/>
        <v>23.809523809523807</v>
      </c>
      <c r="L12" s="92">
        <f t="shared" si="0"/>
        <v>76.19047619047619</v>
      </c>
      <c r="M12" s="92">
        <f t="shared" si="1"/>
        <v>0</v>
      </c>
      <c r="N12" s="121">
        <f t="shared" si="3"/>
        <v>100</v>
      </c>
      <c r="O12" s="91">
        <v>13.4</v>
      </c>
      <c r="P12" s="92">
        <v>48.5</v>
      </c>
      <c r="Q12" s="92"/>
      <c r="R12" s="93">
        <f t="shared" si="4"/>
        <v>61.9</v>
      </c>
      <c r="S12" s="97">
        <v>2</v>
      </c>
      <c r="T12" s="839"/>
      <c r="U12" s="852"/>
      <c r="V12" s="82" t="s">
        <v>129</v>
      </c>
      <c r="W12" s="73" t="s">
        <v>17</v>
      </c>
      <c r="X12" s="73" t="s">
        <v>18</v>
      </c>
      <c r="Y12" s="73">
        <v>38.5</v>
      </c>
      <c r="Z12" s="82" t="s">
        <v>130</v>
      </c>
      <c r="AA12" s="73" t="s">
        <v>82</v>
      </c>
      <c r="AB12" s="73" t="s">
        <v>18</v>
      </c>
      <c r="AC12" s="73">
        <v>10</v>
      </c>
      <c r="AD12" s="82" t="s">
        <v>132</v>
      </c>
      <c r="AE12" s="73" t="s">
        <v>22</v>
      </c>
      <c r="AF12" s="73" t="s">
        <v>11</v>
      </c>
      <c r="AG12" s="83">
        <v>13.4</v>
      </c>
      <c r="AL12" s="82"/>
      <c r="AO12" s="83"/>
      <c r="AP12" s="82"/>
      <c r="AS12" s="83"/>
      <c r="AW12" s="83"/>
      <c r="BA12" s="84"/>
    </row>
    <row r="13" spans="1:53" s="292" customFormat="1">
      <c r="A13" s="338">
        <v>1962</v>
      </c>
      <c r="B13" s="836">
        <v>22969</v>
      </c>
      <c r="C13" s="909" t="s">
        <v>527</v>
      </c>
      <c r="D13" s="909"/>
      <c r="E13" s="292">
        <v>25</v>
      </c>
      <c r="F13" s="292">
        <v>4</v>
      </c>
      <c r="G13" s="366"/>
      <c r="H13" s="292">
        <v>16</v>
      </c>
      <c r="J13" s="377">
        <v>16</v>
      </c>
      <c r="K13" s="336">
        <f t="shared" si="2"/>
        <v>0</v>
      </c>
      <c r="L13" s="336">
        <f t="shared" si="0"/>
        <v>100</v>
      </c>
      <c r="M13" s="336">
        <f t="shared" si="1"/>
        <v>0</v>
      </c>
      <c r="N13" s="368">
        <f t="shared" si="3"/>
        <v>100</v>
      </c>
      <c r="O13" s="335"/>
      <c r="P13" s="336">
        <v>48.5</v>
      </c>
      <c r="Q13" s="336"/>
      <c r="R13" s="337">
        <f t="shared" si="4"/>
        <v>48.5</v>
      </c>
      <c r="S13" s="340">
        <v>6</v>
      </c>
      <c r="T13" s="838"/>
      <c r="U13" s="836">
        <v>22969</v>
      </c>
      <c r="V13" s="299" t="s">
        <v>129</v>
      </c>
      <c r="W13" s="292" t="s">
        <v>17</v>
      </c>
      <c r="X13" s="292" t="s">
        <v>18</v>
      </c>
      <c r="Y13" s="292">
        <v>38.5</v>
      </c>
      <c r="Z13" s="299" t="s">
        <v>130</v>
      </c>
      <c r="AA13" s="292" t="s">
        <v>82</v>
      </c>
      <c r="AB13" s="292" t="s">
        <v>18</v>
      </c>
      <c r="AC13" s="292">
        <v>10</v>
      </c>
      <c r="AD13" s="299"/>
      <c r="AG13" s="300"/>
      <c r="AL13" s="299"/>
      <c r="AO13" s="300"/>
      <c r="AP13" s="299"/>
      <c r="AS13" s="300"/>
      <c r="AW13" s="300"/>
      <c r="BA13" s="301"/>
    </row>
    <row r="14" spans="1:53" s="73" customFormat="1">
      <c r="A14" s="101">
        <v>1962</v>
      </c>
      <c r="B14" s="852">
        <v>22994</v>
      </c>
      <c r="C14" s="901" t="s">
        <v>528</v>
      </c>
      <c r="D14" s="901"/>
      <c r="E14" s="73">
        <v>18</v>
      </c>
      <c r="F14" s="73">
        <v>7</v>
      </c>
      <c r="G14" s="119">
        <v>5</v>
      </c>
      <c r="H14" s="73">
        <v>16</v>
      </c>
      <c r="J14" s="126">
        <v>21</v>
      </c>
      <c r="K14" s="92">
        <f t="shared" si="2"/>
        <v>23.809523809523807</v>
      </c>
      <c r="L14" s="92">
        <f t="shared" si="0"/>
        <v>76.19047619047619</v>
      </c>
      <c r="M14" s="92">
        <f t="shared" si="1"/>
        <v>0</v>
      </c>
      <c r="N14" s="121">
        <f t="shared" si="3"/>
        <v>100</v>
      </c>
      <c r="O14" s="91">
        <v>13.4</v>
      </c>
      <c r="P14" s="92">
        <v>48.5</v>
      </c>
      <c r="Q14" s="92"/>
      <c r="R14" s="93">
        <f t="shared" si="4"/>
        <v>61.9</v>
      </c>
      <c r="S14" s="97">
        <v>2</v>
      </c>
      <c r="T14" s="839"/>
      <c r="U14" s="852">
        <v>22994</v>
      </c>
      <c r="V14" s="82" t="s">
        <v>129</v>
      </c>
      <c r="W14" s="73" t="s">
        <v>17</v>
      </c>
      <c r="X14" s="73" t="s">
        <v>18</v>
      </c>
      <c r="Y14" s="73">
        <v>38.5</v>
      </c>
      <c r="Z14" s="82" t="s">
        <v>130</v>
      </c>
      <c r="AA14" s="73" t="s">
        <v>82</v>
      </c>
      <c r="AB14" s="73" t="s">
        <v>18</v>
      </c>
      <c r="AC14" s="73">
        <v>10</v>
      </c>
      <c r="AD14" s="82" t="s">
        <v>132</v>
      </c>
      <c r="AE14" s="73" t="s">
        <v>22</v>
      </c>
      <c r="AF14" s="73" t="s">
        <v>11</v>
      </c>
      <c r="AG14" s="83">
        <v>13.4</v>
      </c>
      <c r="AL14" s="82"/>
      <c r="AO14" s="83"/>
      <c r="AP14" s="82"/>
      <c r="AS14" s="83"/>
      <c r="AW14" s="83"/>
      <c r="BA14" s="84"/>
    </row>
    <row r="15" spans="1:53" s="73" customFormat="1">
      <c r="A15" s="101">
        <v>1962.6</v>
      </c>
      <c r="B15" s="852"/>
      <c r="C15" s="901" t="s">
        <v>528</v>
      </c>
      <c r="D15" s="901"/>
      <c r="E15" s="73">
        <v>288</v>
      </c>
      <c r="G15" s="119">
        <v>5</v>
      </c>
      <c r="H15" s="73">
        <v>16</v>
      </c>
      <c r="J15" s="126">
        <v>21</v>
      </c>
      <c r="K15" s="92">
        <f t="shared" si="2"/>
        <v>23.809523809523807</v>
      </c>
      <c r="L15" s="92">
        <f t="shared" si="0"/>
        <v>76.19047619047619</v>
      </c>
      <c r="M15" s="92">
        <f t="shared" si="1"/>
        <v>0</v>
      </c>
      <c r="N15" s="121">
        <f t="shared" si="3"/>
        <v>100</v>
      </c>
      <c r="O15" s="91">
        <v>13.4</v>
      </c>
      <c r="P15" s="92">
        <v>48.5</v>
      </c>
      <c r="Q15" s="92"/>
      <c r="R15" s="93">
        <f t="shared" si="4"/>
        <v>61.9</v>
      </c>
      <c r="S15" s="97">
        <v>2</v>
      </c>
      <c r="T15" s="839"/>
      <c r="U15" s="852"/>
      <c r="V15" s="82" t="s">
        <v>129</v>
      </c>
      <c r="W15" s="73" t="s">
        <v>17</v>
      </c>
      <c r="X15" s="73" t="s">
        <v>18</v>
      </c>
      <c r="Y15" s="73">
        <v>38.5</v>
      </c>
      <c r="Z15" s="82" t="s">
        <v>130</v>
      </c>
      <c r="AA15" s="73" t="s">
        <v>82</v>
      </c>
      <c r="AB15" s="73" t="s">
        <v>18</v>
      </c>
      <c r="AC15" s="73">
        <v>10</v>
      </c>
      <c r="AD15" s="82" t="s">
        <v>132</v>
      </c>
      <c r="AE15" s="73" t="s">
        <v>22</v>
      </c>
      <c r="AF15" s="73" t="s">
        <v>11</v>
      </c>
      <c r="AG15" s="83">
        <v>13.4</v>
      </c>
      <c r="AL15" s="82"/>
      <c r="AO15" s="83"/>
      <c r="AP15" s="82"/>
      <c r="AS15" s="83"/>
      <c r="AW15" s="83"/>
      <c r="BA15" s="84"/>
    </row>
    <row r="16" spans="1:53" s="292" customFormat="1">
      <c r="A16" s="338">
        <v>1963.05714285714</v>
      </c>
      <c r="B16" s="836">
        <v>23300</v>
      </c>
      <c r="C16" s="909" t="s">
        <v>529</v>
      </c>
      <c r="D16" s="909"/>
      <c r="E16" s="292">
        <v>77</v>
      </c>
      <c r="F16" s="292">
        <v>2</v>
      </c>
      <c r="G16" s="366">
        <v>5</v>
      </c>
      <c r="H16" s="292">
        <v>15</v>
      </c>
      <c r="J16" s="377">
        <v>20</v>
      </c>
      <c r="K16" s="336">
        <f t="shared" si="2"/>
        <v>25</v>
      </c>
      <c r="L16" s="336">
        <f t="shared" si="0"/>
        <v>75</v>
      </c>
      <c r="M16" s="336">
        <f t="shared" si="1"/>
        <v>0</v>
      </c>
      <c r="N16" s="368">
        <f t="shared" si="3"/>
        <v>100</v>
      </c>
      <c r="O16" s="335">
        <v>13.4</v>
      </c>
      <c r="P16" s="336">
        <v>48.5</v>
      </c>
      <c r="Q16" s="336"/>
      <c r="R16" s="337">
        <f t="shared" si="4"/>
        <v>61.9</v>
      </c>
      <c r="S16" s="340">
        <v>2</v>
      </c>
      <c r="T16" s="838"/>
      <c r="U16" s="836">
        <v>23300</v>
      </c>
      <c r="V16" s="299" t="s">
        <v>129</v>
      </c>
      <c r="W16" s="292" t="s">
        <v>17</v>
      </c>
      <c r="X16" s="292" t="s">
        <v>18</v>
      </c>
      <c r="Y16" s="292">
        <v>38.5</v>
      </c>
      <c r="Z16" s="299" t="s">
        <v>130</v>
      </c>
      <c r="AA16" s="292" t="s">
        <v>82</v>
      </c>
      <c r="AB16" s="292" t="s">
        <v>18</v>
      </c>
      <c r="AC16" s="292">
        <v>10</v>
      </c>
      <c r="AD16" s="299" t="s">
        <v>132</v>
      </c>
      <c r="AE16" s="292" t="s">
        <v>22</v>
      </c>
      <c r="AF16" s="292" t="s">
        <v>11</v>
      </c>
      <c r="AG16" s="300">
        <v>13.4</v>
      </c>
      <c r="AL16" s="299"/>
      <c r="AO16" s="300"/>
      <c r="AP16" s="299"/>
      <c r="AS16" s="300"/>
      <c r="AW16" s="300"/>
      <c r="BA16" s="301"/>
    </row>
    <row r="17" spans="1:53" s="292" customFormat="1">
      <c r="A17" s="338">
        <v>1963.5142857142901</v>
      </c>
      <c r="B17" s="836"/>
      <c r="C17" s="909" t="s">
        <v>529</v>
      </c>
      <c r="D17" s="909"/>
      <c r="E17" s="292">
        <v>0</v>
      </c>
      <c r="G17" s="366">
        <v>5</v>
      </c>
      <c r="H17" s="292">
        <v>15</v>
      </c>
      <c r="J17" s="377">
        <v>20</v>
      </c>
      <c r="K17" s="336">
        <f t="shared" si="2"/>
        <v>25</v>
      </c>
      <c r="L17" s="336">
        <f t="shared" si="0"/>
        <v>75</v>
      </c>
      <c r="M17" s="336">
        <f t="shared" si="1"/>
        <v>0</v>
      </c>
      <c r="N17" s="368">
        <f t="shared" si="3"/>
        <v>100</v>
      </c>
      <c r="O17" s="335">
        <v>13.4</v>
      </c>
      <c r="P17" s="336">
        <v>48.5</v>
      </c>
      <c r="Q17" s="336"/>
      <c r="R17" s="337">
        <f t="shared" si="4"/>
        <v>61.9</v>
      </c>
      <c r="S17" s="340">
        <v>2</v>
      </c>
      <c r="T17" s="838"/>
      <c r="U17" s="836"/>
      <c r="V17" s="299" t="s">
        <v>129</v>
      </c>
      <c r="W17" s="292" t="s">
        <v>17</v>
      </c>
      <c r="X17" s="292" t="s">
        <v>18</v>
      </c>
      <c r="Y17" s="292">
        <v>38.5</v>
      </c>
      <c r="Z17" s="299" t="s">
        <v>130</v>
      </c>
      <c r="AA17" s="292" t="s">
        <v>82</v>
      </c>
      <c r="AB17" s="292" t="s">
        <v>18</v>
      </c>
      <c r="AC17" s="292">
        <v>10</v>
      </c>
      <c r="AD17" s="299" t="s">
        <v>132</v>
      </c>
      <c r="AE17" s="292" t="s">
        <v>22</v>
      </c>
      <c r="AF17" s="292" t="s">
        <v>11</v>
      </c>
      <c r="AG17" s="300">
        <v>13.4</v>
      </c>
      <c r="AL17" s="299"/>
      <c r="AO17" s="300"/>
      <c r="AP17" s="299"/>
      <c r="AS17" s="300"/>
      <c r="AW17" s="300"/>
      <c r="BA17" s="301"/>
    </row>
    <row r="18" spans="1:53" s="292" customFormat="1">
      <c r="A18" s="338">
        <v>1963.9714285714299</v>
      </c>
      <c r="B18" s="836"/>
      <c r="C18" s="909" t="s">
        <v>529</v>
      </c>
      <c r="D18" s="909"/>
      <c r="E18" s="292">
        <v>366</v>
      </c>
      <c r="G18" s="366">
        <v>5</v>
      </c>
      <c r="H18" s="292">
        <v>15</v>
      </c>
      <c r="J18" s="377">
        <v>20</v>
      </c>
      <c r="K18" s="336">
        <f t="shared" si="2"/>
        <v>25</v>
      </c>
      <c r="L18" s="336">
        <f t="shared" si="0"/>
        <v>75</v>
      </c>
      <c r="M18" s="336">
        <f t="shared" si="1"/>
        <v>0</v>
      </c>
      <c r="N18" s="368">
        <f t="shared" si="3"/>
        <v>100</v>
      </c>
      <c r="O18" s="335">
        <v>13.4</v>
      </c>
      <c r="P18" s="336">
        <v>48.5</v>
      </c>
      <c r="Q18" s="336"/>
      <c r="R18" s="337">
        <f t="shared" si="4"/>
        <v>61.9</v>
      </c>
      <c r="S18" s="340">
        <v>2</v>
      </c>
      <c r="T18" s="838"/>
      <c r="U18" s="836"/>
      <c r="V18" s="299" t="s">
        <v>129</v>
      </c>
      <c r="W18" s="292" t="s">
        <v>17</v>
      </c>
      <c r="X18" s="292" t="s">
        <v>18</v>
      </c>
      <c r="Y18" s="292">
        <v>38.5</v>
      </c>
      <c r="Z18" s="299" t="s">
        <v>130</v>
      </c>
      <c r="AA18" s="292" t="s">
        <v>82</v>
      </c>
      <c r="AB18" s="292" t="s">
        <v>18</v>
      </c>
      <c r="AC18" s="292">
        <v>10</v>
      </c>
      <c r="AD18" s="299" t="s">
        <v>132</v>
      </c>
      <c r="AE18" s="292" t="s">
        <v>22</v>
      </c>
      <c r="AF18" s="292" t="s">
        <v>11</v>
      </c>
      <c r="AG18" s="300">
        <v>13.4</v>
      </c>
      <c r="AL18" s="299"/>
      <c r="AO18" s="300"/>
      <c r="AP18" s="299"/>
      <c r="AS18" s="300"/>
      <c r="AW18" s="300"/>
      <c r="BA18" s="301"/>
    </row>
    <row r="19" spans="1:53" s="292" customFormat="1">
      <c r="A19" s="338">
        <v>1965</v>
      </c>
      <c r="B19" s="836"/>
      <c r="C19" s="909" t="s">
        <v>529</v>
      </c>
      <c r="D19" s="909"/>
      <c r="E19" s="292">
        <v>298</v>
      </c>
      <c r="G19" s="366">
        <v>5</v>
      </c>
      <c r="H19" s="292">
        <v>15</v>
      </c>
      <c r="J19" s="377">
        <v>20</v>
      </c>
      <c r="K19" s="336">
        <f t="shared" si="2"/>
        <v>25</v>
      </c>
      <c r="L19" s="336">
        <f t="shared" si="0"/>
        <v>75</v>
      </c>
      <c r="M19" s="336">
        <f t="shared" si="1"/>
        <v>0</v>
      </c>
      <c r="N19" s="368">
        <f t="shared" si="3"/>
        <v>100</v>
      </c>
      <c r="O19" s="335">
        <v>13.4</v>
      </c>
      <c r="P19" s="336">
        <v>48.5</v>
      </c>
      <c r="Q19" s="336"/>
      <c r="R19" s="337">
        <f t="shared" si="4"/>
        <v>61.9</v>
      </c>
      <c r="S19" s="340">
        <v>2</v>
      </c>
      <c r="T19" s="838"/>
      <c r="U19" s="836"/>
      <c r="V19" s="299" t="s">
        <v>129</v>
      </c>
      <c r="W19" s="292" t="s">
        <v>17</v>
      </c>
      <c r="X19" s="292" t="s">
        <v>18</v>
      </c>
      <c r="Y19" s="292">
        <v>38.5</v>
      </c>
      <c r="Z19" s="299" t="s">
        <v>130</v>
      </c>
      <c r="AA19" s="292" t="s">
        <v>82</v>
      </c>
      <c r="AB19" s="292" t="s">
        <v>18</v>
      </c>
      <c r="AC19" s="292">
        <v>10</v>
      </c>
      <c r="AD19" s="299" t="s">
        <v>132</v>
      </c>
      <c r="AE19" s="292" t="s">
        <v>22</v>
      </c>
      <c r="AF19" s="292" t="s">
        <v>11</v>
      </c>
      <c r="AG19" s="300">
        <v>13.4</v>
      </c>
      <c r="AL19" s="299"/>
      <c r="AO19" s="300"/>
      <c r="AP19" s="299"/>
      <c r="AS19" s="300"/>
      <c r="AW19" s="300"/>
      <c r="BA19" s="301"/>
    </row>
    <row r="20" spans="1:53" s="73" customFormat="1">
      <c r="A20" s="101">
        <v>1964.88571428572</v>
      </c>
      <c r="B20" s="852">
        <v>24041</v>
      </c>
      <c r="C20" s="901" t="s">
        <v>530</v>
      </c>
      <c r="D20" s="901"/>
      <c r="E20" s="73">
        <v>67</v>
      </c>
      <c r="F20" s="73">
        <v>1</v>
      </c>
      <c r="G20" s="119">
        <v>4</v>
      </c>
      <c r="H20" s="73">
        <v>17</v>
      </c>
      <c r="J20" s="126">
        <v>21</v>
      </c>
      <c r="K20" s="92">
        <f t="shared" si="2"/>
        <v>19.047619047619047</v>
      </c>
      <c r="L20" s="92">
        <f t="shared" si="0"/>
        <v>80.952380952380949</v>
      </c>
      <c r="M20" s="92">
        <f t="shared" si="1"/>
        <v>0</v>
      </c>
      <c r="N20" s="121">
        <f t="shared" si="3"/>
        <v>100</v>
      </c>
      <c r="O20" s="91">
        <v>9.9</v>
      </c>
      <c r="P20" s="92">
        <v>49.4</v>
      </c>
      <c r="Q20" s="92"/>
      <c r="R20" s="93">
        <f t="shared" si="4"/>
        <v>59.3</v>
      </c>
      <c r="S20" s="97">
        <v>2</v>
      </c>
      <c r="T20" s="839">
        <v>24004</v>
      </c>
      <c r="U20" s="852">
        <v>24041</v>
      </c>
      <c r="V20" s="82" t="s">
        <v>129</v>
      </c>
      <c r="W20" s="73" t="s">
        <v>17</v>
      </c>
      <c r="X20" s="73" t="s">
        <v>18</v>
      </c>
      <c r="Y20" s="73">
        <v>39.5</v>
      </c>
      <c r="Z20" s="82" t="s">
        <v>130</v>
      </c>
      <c r="AA20" s="73" t="s">
        <v>82</v>
      </c>
      <c r="AB20" s="73" t="s">
        <v>18</v>
      </c>
      <c r="AC20" s="73">
        <v>9.9</v>
      </c>
      <c r="AD20" s="82" t="s">
        <v>132</v>
      </c>
      <c r="AE20" s="73" t="s">
        <v>22</v>
      </c>
      <c r="AF20" s="73" t="s">
        <v>11</v>
      </c>
      <c r="AG20" s="83">
        <v>9.9</v>
      </c>
      <c r="AL20" s="82"/>
      <c r="AO20" s="83"/>
      <c r="AP20" s="82"/>
      <c r="AS20" s="83"/>
      <c r="AW20" s="83"/>
      <c r="BA20" s="84"/>
    </row>
    <row r="21" spans="1:53" s="73" customFormat="1">
      <c r="A21" s="101">
        <v>1966</v>
      </c>
      <c r="B21" s="852"/>
      <c r="C21" s="901" t="s">
        <v>530</v>
      </c>
      <c r="D21" s="901"/>
      <c r="E21" s="73">
        <v>300</v>
      </c>
      <c r="G21" s="119">
        <v>4</v>
      </c>
      <c r="H21" s="73">
        <v>17</v>
      </c>
      <c r="J21" s="126">
        <v>21</v>
      </c>
      <c r="K21" s="92">
        <f t="shared" si="2"/>
        <v>19.047619047619047</v>
      </c>
      <c r="L21" s="92">
        <f t="shared" si="0"/>
        <v>80.952380952380949</v>
      </c>
      <c r="M21" s="92">
        <f t="shared" si="1"/>
        <v>0</v>
      </c>
      <c r="N21" s="121">
        <f t="shared" si="3"/>
        <v>100</v>
      </c>
      <c r="O21" s="91">
        <v>9.9</v>
      </c>
      <c r="P21" s="92">
        <v>49.4</v>
      </c>
      <c r="Q21" s="92"/>
      <c r="R21" s="93">
        <f t="shared" si="4"/>
        <v>59.3</v>
      </c>
      <c r="S21" s="97">
        <v>2</v>
      </c>
      <c r="T21" s="839"/>
      <c r="U21" s="852"/>
      <c r="V21" s="82" t="s">
        <v>129</v>
      </c>
      <c r="W21" s="73" t="s">
        <v>17</v>
      </c>
      <c r="X21" s="73" t="s">
        <v>18</v>
      </c>
      <c r="Y21" s="73">
        <v>39.5</v>
      </c>
      <c r="Z21" s="82" t="s">
        <v>130</v>
      </c>
      <c r="AA21" s="73" t="s">
        <v>82</v>
      </c>
      <c r="AB21" s="73" t="s">
        <v>18</v>
      </c>
      <c r="AC21" s="73">
        <v>9.9</v>
      </c>
      <c r="AD21" s="82" t="s">
        <v>132</v>
      </c>
      <c r="AE21" s="73" t="s">
        <v>22</v>
      </c>
      <c r="AF21" s="73" t="s">
        <v>11</v>
      </c>
      <c r="AG21" s="83">
        <v>9.9</v>
      </c>
      <c r="AL21" s="82"/>
      <c r="AO21" s="83"/>
      <c r="AP21" s="82"/>
      <c r="AS21" s="83"/>
      <c r="AW21" s="83"/>
      <c r="BA21" s="84"/>
    </row>
    <row r="22" spans="1:53" s="292" customFormat="1">
      <c r="A22" s="338">
        <v>1965.8</v>
      </c>
      <c r="B22" s="836">
        <v>24408</v>
      </c>
      <c r="C22" s="909" t="s">
        <v>531</v>
      </c>
      <c r="D22" s="909"/>
      <c r="E22" s="292">
        <v>34</v>
      </c>
      <c r="F22" s="292">
        <v>4</v>
      </c>
      <c r="G22" s="366"/>
      <c r="H22" s="292">
        <v>18</v>
      </c>
      <c r="J22" s="377">
        <v>18</v>
      </c>
      <c r="K22" s="336">
        <f t="shared" si="2"/>
        <v>0</v>
      </c>
      <c r="L22" s="336">
        <f t="shared" si="0"/>
        <v>100</v>
      </c>
      <c r="M22" s="336">
        <f t="shared" si="1"/>
        <v>0</v>
      </c>
      <c r="N22" s="368">
        <f t="shared" si="3"/>
        <v>100</v>
      </c>
      <c r="O22" s="335"/>
      <c r="P22" s="336">
        <v>49.4</v>
      </c>
      <c r="Q22" s="336"/>
      <c r="R22" s="337">
        <f t="shared" si="4"/>
        <v>49.4</v>
      </c>
      <c r="S22" s="340">
        <v>6</v>
      </c>
      <c r="T22" s="838"/>
      <c r="U22" s="836">
        <v>24408</v>
      </c>
      <c r="V22" s="299" t="s">
        <v>129</v>
      </c>
      <c r="W22" s="292" t="s">
        <v>17</v>
      </c>
      <c r="X22" s="292" t="s">
        <v>18</v>
      </c>
      <c r="Y22" s="292">
        <v>39.5</v>
      </c>
      <c r="Z22" s="299" t="s">
        <v>130</v>
      </c>
      <c r="AA22" s="292" t="s">
        <v>82</v>
      </c>
      <c r="AB22" s="292" t="s">
        <v>18</v>
      </c>
      <c r="AC22" s="292">
        <v>9.9</v>
      </c>
      <c r="AD22" s="299"/>
      <c r="AG22" s="300"/>
      <c r="AL22" s="299"/>
      <c r="AO22" s="300"/>
      <c r="AP22" s="299"/>
      <c r="AS22" s="300"/>
      <c r="AW22" s="300"/>
      <c r="BA22" s="301"/>
    </row>
    <row r="23" spans="1:53" s="73" customFormat="1">
      <c r="A23" s="101">
        <v>1965.8</v>
      </c>
      <c r="B23" s="852">
        <v>24442</v>
      </c>
      <c r="C23" s="901" t="s">
        <v>532</v>
      </c>
      <c r="D23" s="901"/>
      <c r="E23" s="73">
        <v>31</v>
      </c>
      <c r="F23" s="73">
        <v>2</v>
      </c>
      <c r="G23" s="119"/>
      <c r="H23" s="73">
        <v>11</v>
      </c>
      <c r="I23" s="73">
        <v>9</v>
      </c>
      <c r="J23" s="126">
        <v>20</v>
      </c>
      <c r="K23" s="92">
        <f t="shared" si="2"/>
        <v>0</v>
      </c>
      <c r="L23" s="92">
        <f t="shared" si="0"/>
        <v>55.000000000000007</v>
      </c>
      <c r="M23" s="92">
        <f t="shared" si="1"/>
        <v>45</v>
      </c>
      <c r="N23" s="121">
        <f t="shared" si="3"/>
        <v>100</v>
      </c>
      <c r="O23" s="91"/>
      <c r="P23" s="92">
        <v>49.4</v>
      </c>
      <c r="Q23" s="92">
        <v>40.700000000000003</v>
      </c>
      <c r="R23" s="93">
        <f t="shared" si="4"/>
        <v>90.1</v>
      </c>
      <c r="S23" s="97">
        <v>2</v>
      </c>
      <c r="T23" s="839"/>
      <c r="U23" s="852">
        <v>24442</v>
      </c>
      <c r="V23" s="82" t="s">
        <v>129</v>
      </c>
      <c r="W23" s="73" t="s">
        <v>17</v>
      </c>
      <c r="X23" s="73" t="s">
        <v>18</v>
      </c>
      <c r="Y23" s="73">
        <v>39.5</v>
      </c>
      <c r="Z23" s="82" t="s">
        <v>130</v>
      </c>
      <c r="AA23" s="73" t="s">
        <v>82</v>
      </c>
      <c r="AB23" s="73" t="s">
        <v>18</v>
      </c>
      <c r="AC23" s="73">
        <v>9.9</v>
      </c>
      <c r="AD23" s="82" t="s">
        <v>133</v>
      </c>
      <c r="AE23" s="73" t="s">
        <v>20</v>
      </c>
      <c r="AF23" s="73" t="s">
        <v>12</v>
      </c>
      <c r="AG23" s="83">
        <v>40.700000000000003</v>
      </c>
      <c r="AL23" s="82"/>
      <c r="AO23" s="83"/>
      <c r="AP23" s="82"/>
      <c r="AS23" s="83"/>
      <c r="AW23" s="83"/>
      <c r="BA23" s="84"/>
    </row>
    <row r="24" spans="1:53" s="73" customFormat="1">
      <c r="A24" s="101">
        <v>1967</v>
      </c>
      <c r="B24" s="852"/>
      <c r="C24" s="901" t="s">
        <v>532</v>
      </c>
      <c r="D24" s="901"/>
      <c r="E24" s="73">
        <v>0</v>
      </c>
      <c r="G24" s="119"/>
      <c r="H24" s="73">
        <v>11</v>
      </c>
      <c r="I24" s="73">
        <v>9</v>
      </c>
      <c r="J24" s="126">
        <v>20</v>
      </c>
      <c r="K24" s="92">
        <f t="shared" si="2"/>
        <v>0</v>
      </c>
      <c r="L24" s="92">
        <f t="shared" si="0"/>
        <v>55.000000000000007</v>
      </c>
      <c r="M24" s="92">
        <f t="shared" si="1"/>
        <v>45</v>
      </c>
      <c r="N24" s="121">
        <f t="shared" si="3"/>
        <v>100</v>
      </c>
      <c r="O24" s="91"/>
      <c r="P24" s="92">
        <v>49.4</v>
      </c>
      <c r="Q24" s="92">
        <v>40.700000000000003</v>
      </c>
      <c r="R24" s="93">
        <f t="shared" si="4"/>
        <v>90.1</v>
      </c>
      <c r="S24" s="97">
        <v>2</v>
      </c>
      <c r="T24" s="839"/>
      <c r="U24" s="852"/>
      <c r="V24" s="82" t="s">
        <v>129</v>
      </c>
      <c r="W24" s="73" t="s">
        <v>17</v>
      </c>
      <c r="X24" s="73" t="s">
        <v>18</v>
      </c>
      <c r="Y24" s="73">
        <v>39.5</v>
      </c>
      <c r="Z24" s="82" t="s">
        <v>130</v>
      </c>
      <c r="AA24" s="73" t="s">
        <v>82</v>
      </c>
      <c r="AB24" s="73" t="s">
        <v>18</v>
      </c>
      <c r="AC24" s="73">
        <v>9.9</v>
      </c>
      <c r="AD24" s="82" t="s">
        <v>133</v>
      </c>
      <c r="AE24" s="73" t="s">
        <v>20</v>
      </c>
      <c r="AF24" s="73" t="s">
        <v>12</v>
      </c>
      <c r="AG24" s="83">
        <v>40.700000000000003</v>
      </c>
      <c r="AL24" s="82"/>
      <c r="AO24" s="83"/>
      <c r="AP24" s="82"/>
      <c r="AS24" s="83"/>
      <c r="AW24" s="83"/>
      <c r="BA24" s="84"/>
    </row>
    <row r="25" spans="1:53" s="73" customFormat="1">
      <c r="A25" s="101">
        <v>1966.7142857142901</v>
      </c>
      <c r="B25" s="852"/>
      <c r="C25" s="901" t="s">
        <v>532</v>
      </c>
      <c r="D25" s="901"/>
      <c r="E25" s="73">
        <v>365</v>
      </c>
      <c r="G25" s="119"/>
      <c r="H25" s="73">
        <v>11</v>
      </c>
      <c r="I25" s="73">
        <v>9</v>
      </c>
      <c r="J25" s="126">
        <v>20</v>
      </c>
      <c r="K25" s="92">
        <f t="shared" si="2"/>
        <v>0</v>
      </c>
      <c r="L25" s="92">
        <f t="shared" si="0"/>
        <v>55.000000000000007</v>
      </c>
      <c r="M25" s="92">
        <f t="shared" si="1"/>
        <v>45</v>
      </c>
      <c r="N25" s="121">
        <f t="shared" si="3"/>
        <v>100</v>
      </c>
      <c r="O25" s="91"/>
      <c r="P25" s="92">
        <v>49.4</v>
      </c>
      <c r="Q25" s="92">
        <v>40.700000000000003</v>
      </c>
      <c r="R25" s="93">
        <f t="shared" si="4"/>
        <v>90.1</v>
      </c>
      <c r="S25" s="97">
        <v>2</v>
      </c>
      <c r="T25" s="839"/>
      <c r="U25" s="852"/>
      <c r="V25" s="82" t="s">
        <v>129</v>
      </c>
      <c r="W25" s="73" t="s">
        <v>17</v>
      </c>
      <c r="X25" s="73" t="s">
        <v>18</v>
      </c>
      <c r="Y25" s="73">
        <v>39.5</v>
      </c>
      <c r="Z25" s="82" t="s">
        <v>130</v>
      </c>
      <c r="AA25" s="73" t="s">
        <v>82</v>
      </c>
      <c r="AB25" s="73" t="s">
        <v>18</v>
      </c>
      <c r="AC25" s="73">
        <v>9.9</v>
      </c>
      <c r="AD25" s="82" t="s">
        <v>133</v>
      </c>
      <c r="AE25" s="73" t="s">
        <v>20</v>
      </c>
      <c r="AF25" s="73" t="s">
        <v>12</v>
      </c>
      <c r="AG25" s="83">
        <v>40.700000000000003</v>
      </c>
      <c r="AL25" s="82"/>
      <c r="AO25" s="83"/>
      <c r="AP25" s="82"/>
      <c r="AS25" s="83"/>
      <c r="AW25" s="83"/>
      <c r="BA25" s="84"/>
    </row>
    <row r="26" spans="1:53" s="73" customFormat="1">
      <c r="A26" s="101">
        <v>1968</v>
      </c>
      <c r="B26" s="852"/>
      <c r="C26" s="901" t="s">
        <v>532</v>
      </c>
      <c r="D26" s="901"/>
      <c r="E26" s="73">
        <v>0</v>
      </c>
      <c r="G26" s="119"/>
      <c r="H26" s="73">
        <v>11</v>
      </c>
      <c r="I26" s="73">
        <v>9</v>
      </c>
      <c r="J26" s="126">
        <v>20</v>
      </c>
      <c r="K26" s="92">
        <f t="shared" si="2"/>
        <v>0</v>
      </c>
      <c r="L26" s="92">
        <f t="shared" si="0"/>
        <v>55.000000000000007</v>
      </c>
      <c r="M26" s="92">
        <f t="shared" si="1"/>
        <v>45</v>
      </c>
      <c r="N26" s="121">
        <f t="shared" si="3"/>
        <v>100</v>
      </c>
      <c r="O26" s="91"/>
      <c r="P26" s="92">
        <v>49.4</v>
      </c>
      <c r="Q26" s="92">
        <v>40.700000000000003</v>
      </c>
      <c r="R26" s="93">
        <f t="shared" si="4"/>
        <v>90.1</v>
      </c>
      <c r="S26" s="97">
        <v>2</v>
      </c>
      <c r="T26" s="839"/>
      <c r="U26" s="852"/>
      <c r="V26" s="82" t="s">
        <v>129</v>
      </c>
      <c r="W26" s="73" t="s">
        <v>17</v>
      </c>
      <c r="X26" s="73" t="s">
        <v>18</v>
      </c>
      <c r="Y26" s="73">
        <v>39.5</v>
      </c>
      <c r="Z26" s="82" t="s">
        <v>130</v>
      </c>
      <c r="AA26" s="73" t="s">
        <v>82</v>
      </c>
      <c r="AB26" s="73" t="s">
        <v>18</v>
      </c>
      <c r="AC26" s="73">
        <v>9.9</v>
      </c>
      <c r="AD26" s="82" t="s">
        <v>133</v>
      </c>
      <c r="AE26" s="73" t="s">
        <v>20</v>
      </c>
      <c r="AF26" s="73" t="s">
        <v>12</v>
      </c>
      <c r="AG26" s="83">
        <v>40.700000000000003</v>
      </c>
      <c r="AL26" s="82"/>
      <c r="AO26" s="83"/>
      <c r="AP26" s="82"/>
      <c r="AS26" s="83"/>
      <c r="AW26" s="83"/>
      <c r="BA26" s="84"/>
    </row>
    <row r="27" spans="1:53" s="73" customFormat="1">
      <c r="A27" s="101">
        <v>1967.62857142857</v>
      </c>
      <c r="B27" s="852"/>
      <c r="C27" s="901" t="s">
        <v>532</v>
      </c>
      <c r="D27" s="901"/>
      <c r="E27" s="73">
        <v>366</v>
      </c>
      <c r="G27" s="119"/>
      <c r="H27" s="73">
        <v>11</v>
      </c>
      <c r="I27" s="73">
        <v>9</v>
      </c>
      <c r="J27" s="126">
        <v>20</v>
      </c>
      <c r="K27" s="92">
        <f t="shared" si="2"/>
        <v>0</v>
      </c>
      <c r="L27" s="92">
        <f t="shared" si="0"/>
        <v>55.000000000000007</v>
      </c>
      <c r="M27" s="92">
        <f t="shared" si="1"/>
        <v>45</v>
      </c>
      <c r="N27" s="121">
        <f t="shared" si="3"/>
        <v>100</v>
      </c>
      <c r="O27" s="91"/>
      <c r="P27" s="92">
        <v>49.4</v>
      </c>
      <c r="Q27" s="92">
        <v>40.700000000000003</v>
      </c>
      <c r="R27" s="93">
        <f t="shared" si="4"/>
        <v>90.1</v>
      </c>
      <c r="S27" s="97">
        <v>2</v>
      </c>
      <c r="T27" s="839"/>
      <c r="U27" s="852"/>
      <c r="V27" s="82" t="s">
        <v>129</v>
      </c>
      <c r="W27" s="73" t="s">
        <v>17</v>
      </c>
      <c r="X27" s="73" t="s">
        <v>18</v>
      </c>
      <c r="Y27" s="73">
        <v>39.5</v>
      </c>
      <c r="Z27" s="82" t="s">
        <v>130</v>
      </c>
      <c r="AA27" s="73" t="s">
        <v>82</v>
      </c>
      <c r="AB27" s="73" t="s">
        <v>18</v>
      </c>
      <c r="AC27" s="73">
        <v>9.9</v>
      </c>
      <c r="AD27" s="82" t="s">
        <v>133</v>
      </c>
      <c r="AE27" s="73" t="s">
        <v>20</v>
      </c>
      <c r="AF27" s="73" t="s">
        <v>12</v>
      </c>
      <c r="AG27" s="83">
        <v>40.700000000000003</v>
      </c>
      <c r="AL27" s="82"/>
      <c r="AO27" s="83"/>
      <c r="AP27" s="82"/>
      <c r="AS27" s="83"/>
      <c r="AW27" s="83"/>
      <c r="BA27" s="84"/>
    </row>
    <row r="28" spans="1:53" s="73" customFormat="1">
      <c r="A28" s="101">
        <v>1969</v>
      </c>
      <c r="B28" s="852"/>
      <c r="C28" s="901" t="s">
        <v>532</v>
      </c>
      <c r="D28" s="901"/>
      <c r="E28" s="73">
        <v>294</v>
      </c>
      <c r="G28" s="119"/>
      <c r="H28" s="73">
        <v>11</v>
      </c>
      <c r="I28" s="73">
        <v>9</v>
      </c>
      <c r="J28" s="126">
        <v>20</v>
      </c>
      <c r="K28" s="92">
        <f t="shared" si="2"/>
        <v>0</v>
      </c>
      <c r="L28" s="92">
        <f t="shared" si="0"/>
        <v>55.000000000000007</v>
      </c>
      <c r="M28" s="92">
        <f t="shared" si="1"/>
        <v>45</v>
      </c>
      <c r="N28" s="121">
        <f t="shared" si="3"/>
        <v>100</v>
      </c>
      <c r="O28" s="91"/>
      <c r="P28" s="92">
        <v>49.4</v>
      </c>
      <c r="Q28" s="92">
        <v>40.700000000000003</v>
      </c>
      <c r="R28" s="93">
        <f t="shared" si="4"/>
        <v>90.1</v>
      </c>
      <c r="S28" s="97">
        <v>2</v>
      </c>
      <c r="T28" s="839"/>
      <c r="U28" s="852"/>
      <c r="V28" s="82" t="s">
        <v>129</v>
      </c>
      <c r="W28" s="73" t="s">
        <v>17</v>
      </c>
      <c r="X28" s="73" t="s">
        <v>18</v>
      </c>
      <c r="Y28" s="73">
        <v>39.5</v>
      </c>
      <c r="Z28" s="82" t="s">
        <v>130</v>
      </c>
      <c r="AA28" s="73" t="s">
        <v>82</v>
      </c>
      <c r="AB28" s="73" t="s">
        <v>18</v>
      </c>
      <c r="AC28" s="73">
        <v>9.9</v>
      </c>
      <c r="AD28" s="82" t="s">
        <v>133</v>
      </c>
      <c r="AE28" s="73" t="s">
        <v>20</v>
      </c>
      <c r="AF28" s="73" t="s">
        <v>12</v>
      </c>
      <c r="AG28" s="83">
        <v>40.700000000000003</v>
      </c>
      <c r="AL28" s="82"/>
      <c r="AO28" s="83"/>
      <c r="AP28" s="82"/>
      <c r="AS28" s="83"/>
      <c r="AW28" s="83"/>
      <c r="BA28" s="84"/>
    </row>
    <row r="29" spans="1:53" s="292" customFormat="1">
      <c r="A29" s="338">
        <v>1968.5428571428599</v>
      </c>
      <c r="B29" s="836">
        <v>25498</v>
      </c>
      <c r="C29" s="909" t="s">
        <v>533</v>
      </c>
      <c r="D29" s="909"/>
      <c r="E29" s="292">
        <v>71</v>
      </c>
      <c r="F29" s="292">
        <v>1</v>
      </c>
      <c r="G29" s="366">
        <v>3</v>
      </c>
      <c r="I29" s="292">
        <v>12</v>
      </c>
      <c r="J29" s="377">
        <v>16</v>
      </c>
      <c r="K29" s="336">
        <f t="shared" si="2"/>
        <v>18.75</v>
      </c>
      <c r="L29" s="336">
        <f t="shared" si="0"/>
        <v>0</v>
      </c>
      <c r="M29" s="336">
        <f t="shared" si="1"/>
        <v>75</v>
      </c>
      <c r="N29" s="368">
        <f t="shared" si="3"/>
        <v>93.75</v>
      </c>
      <c r="O29" s="335">
        <v>6</v>
      </c>
      <c r="P29" s="336"/>
      <c r="Q29" s="336">
        <v>45.2</v>
      </c>
      <c r="R29" s="337">
        <f t="shared" si="4"/>
        <v>51.2</v>
      </c>
      <c r="S29" s="340">
        <v>2</v>
      </c>
      <c r="T29" s="838">
        <v>25474</v>
      </c>
      <c r="U29" s="836">
        <v>25498</v>
      </c>
      <c r="V29" s="299" t="s">
        <v>133</v>
      </c>
      <c r="W29" s="292" t="s">
        <v>20</v>
      </c>
      <c r="X29" s="292" t="s">
        <v>12</v>
      </c>
      <c r="Y29" s="300">
        <v>45.2</v>
      </c>
      <c r="Z29" s="299" t="s">
        <v>132</v>
      </c>
      <c r="AA29" s="292" t="s">
        <v>22</v>
      </c>
      <c r="AB29" s="292" t="s">
        <v>11</v>
      </c>
      <c r="AC29" s="300">
        <v>6</v>
      </c>
      <c r="AD29" s="299"/>
      <c r="AG29" s="300"/>
      <c r="AL29" s="299"/>
      <c r="AO29" s="300"/>
      <c r="AP29" s="299"/>
      <c r="AS29" s="300"/>
      <c r="AW29" s="300"/>
      <c r="BA29" s="301"/>
    </row>
    <row r="30" spans="1:53" s="292" customFormat="1">
      <c r="A30" s="338">
        <v>1970</v>
      </c>
      <c r="B30" s="836"/>
      <c r="C30" s="909" t="s">
        <v>533</v>
      </c>
      <c r="D30" s="909"/>
      <c r="E30" s="292">
        <v>0</v>
      </c>
      <c r="G30" s="366">
        <v>3</v>
      </c>
      <c r="I30" s="292">
        <v>12</v>
      </c>
      <c r="J30" s="377">
        <v>16</v>
      </c>
      <c r="K30" s="336">
        <f t="shared" si="2"/>
        <v>18.75</v>
      </c>
      <c r="L30" s="336">
        <f t="shared" si="0"/>
        <v>0</v>
      </c>
      <c r="M30" s="336">
        <f t="shared" si="1"/>
        <v>75</v>
      </c>
      <c r="N30" s="368">
        <f t="shared" si="3"/>
        <v>93.75</v>
      </c>
      <c r="O30" s="335">
        <v>6</v>
      </c>
      <c r="P30" s="336"/>
      <c r="Q30" s="336">
        <v>45.2</v>
      </c>
      <c r="R30" s="337">
        <f t="shared" si="4"/>
        <v>51.2</v>
      </c>
      <c r="S30" s="340">
        <v>2</v>
      </c>
      <c r="T30" s="838"/>
      <c r="U30" s="836"/>
      <c r="V30" s="299" t="s">
        <v>133</v>
      </c>
      <c r="W30" s="292" t="s">
        <v>20</v>
      </c>
      <c r="X30" s="292" t="s">
        <v>12</v>
      </c>
      <c r="Y30" s="300">
        <v>45.2</v>
      </c>
      <c r="Z30" s="299" t="s">
        <v>132</v>
      </c>
      <c r="AA30" s="292" t="s">
        <v>22</v>
      </c>
      <c r="AB30" s="292" t="s">
        <v>11</v>
      </c>
      <c r="AC30" s="300">
        <v>6</v>
      </c>
      <c r="AD30" s="299"/>
      <c r="AG30" s="300"/>
      <c r="AL30" s="299"/>
      <c r="AO30" s="300"/>
      <c r="AP30" s="299"/>
      <c r="AS30" s="300"/>
      <c r="AW30" s="300"/>
      <c r="BA30" s="301"/>
    </row>
    <row r="31" spans="1:53" s="292" customFormat="1">
      <c r="A31" s="338">
        <v>1970</v>
      </c>
      <c r="B31" s="836"/>
      <c r="C31" s="909" t="s">
        <v>533</v>
      </c>
      <c r="D31" s="909"/>
      <c r="E31" s="292">
        <v>365</v>
      </c>
      <c r="G31" s="366">
        <v>3</v>
      </c>
      <c r="I31" s="292">
        <v>12</v>
      </c>
      <c r="J31" s="377">
        <v>16</v>
      </c>
      <c r="K31" s="336">
        <f t="shared" si="2"/>
        <v>18.75</v>
      </c>
      <c r="L31" s="336">
        <f t="shared" si="0"/>
        <v>0</v>
      </c>
      <c r="M31" s="336">
        <f t="shared" si="1"/>
        <v>75</v>
      </c>
      <c r="N31" s="368">
        <f t="shared" si="3"/>
        <v>93.75</v>
      </c>
      <c r="O31" s="335">
        <v>6</v>
      </c>
      <c r="P31" s="336"/>
      <c r="Q31" s="336">
        <v>45.2</v>
      </c>
      <c r="R31" s="337">
        <f t="shared" si="4"/>
        <v>51.2</v>
      </c>
      <c r="S31" s="340">
        <v>2</v>
      </c>
      <c r="T31" s="838"/>
      <c r="U31" s="836"/>
      <c r="V31" s="299" t="s">
        <v>133</v>
      </c>
      <c r="W31" s="292" t="s">
        <v>20</v>
      </c>
      <c r="X31" s="292" t="s">
        <v>12</v>
      </c>
      <c r="Y31" s="300">
        <v>45.2</v>
      </c>
      <c r="Z31" s="299" t="s">
        <v>132</v>
      </c>
      <c r="AA31" s="292" t="s">
        <v>22</v>
      </c>
      <c r="AB31" s="292" t="s">
        <v>11</v>
      </c>
      <c r="AC31" s="300">
        <v>6</v>
      </c>
      <c r="AD31" s="299"/>
      <c r="AG31" s="300"/>
      <c r="AL31" s="299"/>
      <c r="AO31" s="300"/>
      <c r="AP31" s="299"/>
      <c r="AS31" s="300"/>
      <c r="AW31" s="300"/>
      <c r="BA31" s="301"/>
    </row>
    <row r="32" spans="1:53" s="292" customFormat="1">
      <c r="A32" s="338">
        <v>1971</v>
      </c>
      <c r="B32" s="836"/>
      <c r="C32" s="909" t="s">
        <v>533</v>
      </c>
      <c r="D32" s="909"/>
      <c r="E32" s="292">
        <v>0</v>
      </c>
      <c r="G32" s="366">
        <v>3</v>
      </c>
      <c r="I32" s="292">
        <v>12</v>
      </c>
      <c r="J32" s="377">
        <v>16</v>
      </c>
      <c r="K32" s="336">
        <f t="shared" si="2"/>
        <v>18.75</v>
      </c>
      <c r="L32" s="336">
        <f t="shared" si="0"/>
        <v>0</v>
      </c>
      <c r="M32" s="336">
        <f t="shared" si="1"/>
        <v>75</v>
      </c>
      <c r="N32" s="368">
        <f t="shared" si="3"/>
        <v>93.75</v>
      </c>
      <c r="O32" s="335">
        <v>6</v>
      </c>
      <c r="P32" s="336"/>
      <c r="Q32" s="336">
        <v>45.2</v>
      </c>
      <c r="R32" s="337">
        <f t="shared" si="4"/>
        <v>51.2</v>
      </c>
      <c r="S32" s="340">
        <v>2</v>
      </c>
      <c r="T32" s="838"/>
      <c r="U32" s="836"/>
      <c r="V32" s="299" t="s">
        <v>133</v>
      </c>
      <c r="W32" s="292" t="s">
        <v>20</v>
      </c>
      <c r="X32" s="292" t="s">
        <v>12</v>
      </c>
      <c r="Y32" s="300">
        <v>45.2</v>
      </c>
      <c r="Z32" s="299" t="s">
        <v>132</v>
      </c>
      <c r="AA32" s="292" t="s">
        <v>22</v>
      </c>
      <c r="AB32" s="292" t="s">
        <v>11</v>
      </c>
      <c r="AC32" s="300">
        <v>6</v>
      </c>
      <c r="AD32" s="299"/>
      <c r="AG32" s="300"/>
      <c r="AL32" s="299"/>
      <c r="AO32" s="300"/>
      <c r="AP32" s="299"/>
      <c r="AS32" s="300"/>
      <c r="AW32" s="300"/>
      <c r="BA32" s="301"/>
    </row>
    <row r="33" spans="1:53" s="292" customFormat="1">
      <c r="A33" s="338">
        <v>1971</v>
      </c>
      <c r="B33" s="836"/>
      <c r="C33" s="909" t="s">
        <v>533</v>
      </c>
      <c r="D33" s="909"/>
      <c r="E33" s="292">
        <v>365</v>
      </c>
      <c r="G33" s="366">
        <v>3</v>
      </c>
      <c r="I33" s="292">
        <v>12</v>
      </c>
      <c r="J33" s="377">
        <v>16</v>
      </c>
      <c r="K33" s="336">
        <f t="shared" si="2"/>
        <v>18.75</v>
      </c>
      <c r="L33" s="336">
        <f t="shared" si="0"/>
        <v>0</v>
      </c>
      <c r="M33" s="336">
        <f t="shared" si="1"/>
        <v>75</v>
      </c>
      <c r="N33" s="368">
        <f t="shared" si="3"/>
        <v>93.75</v>
      </c>
      <c r="O33" s="335">
        <v>6</v>
      </c>
      <c r="P33" s="336"/>
      <c r="Q33" s="336">
        <v>45.2</v>
      </c>
      <c r="R33" s="337">
        <f t="shared" si="4"/>
        <v>51.2</v>
      </c>
      <c r="S33" s="340">
        <v>2</v>
      </c>
      <c r="T33" s="838"/>
      <c r="U33" s="836"/>
      <c r="V33" s="299" t="s">
        <v>133</v>
      </c>
      <c r="W33" s="292" t="s">
        <v>20</v>
      </c>
      <c r="X33" s="292" t="s">
        <v>12</v>
      </c>
      <c r="Y33" s="300">
        <v>45.2</v>
      </c>
      <c r="Z33" s="299" t="s">
        <v>132</v>
      </c>
      <c r="AA33" s="292" t="s">
        <v>22</v>
      </c>
      <c r="AB33" s="292" t="s">
        <v>11</v>
      </c>
      <c r="AC33" s="300">
        <v>6</v>
      </c>
      <c r="AD33" s="299"/>
      <c r="AG33" s="300"/>
      <c r="AL33" s="299"/>
      <c r="AO33" s="300"/>
      <c r="AP33" s="299"/>
      <c r="AS33" s="300"/>
      <c r="AW33" s="300"/>
      <c r="BA33" s="301"/>
    </row>
    <row r="34" spans="1:53" s="292" customFormat="1">
      <c r="A34" s="338">
        <v>1972</v>
      </c>
      <c r="B34" s="836"/>
      <c r="C34" s="909" t="s">
        <v>533</v>
      </c>
      <c r="D34" s="909"/>
      <c r="E34" s="292">
        <v>137</v>
      </c>
      <c r="G34" s="366">
        <v>3</v>
      </c>
      <c r="I34" s="292">
        <v>12</v>
      </c>
      <c r="J34" s="377">
        <v>16</v>
      </c>
      <c r="K34" s="336">
        <f t="shared" si="2"/>
        <v>18.75</v>
      </c>
      <c r="L34" s="336">
        <f t="shared" si="0"/>
        <v>0</v>
      </c>
      <c r="M34" s="336">
        <f t="shared" si="1"/>
        <v>75</v>
      </c>
      <c r="N34" s="368">
        <f t="shared" si="3"/>
        <v>93.75</v>
      </c>
      <c r="O34" s="335">
        <v>6</v>
      </c>
      <c r="P34" s="336"/>
      <c r="Q34" s="336">
        <v>45.2</v>
      </c>
      <c r="R34" s="337">
        <f t="shared" si="4"/>
        <v>51.2</v>
      </c>
      <c r="S34" s="340">
        <v>2</v>
      </c>
      <c r="T34" s="838"/>
      <c r="U34" s="836"/>
      <c r="V34" s="299" t="s">
        <v>133</v>
      </c>
      <c r="W34" s="292" t="s">
        <v>20</v>
      </c>
      <c r="X34" s="292" t="s">
        <v>12</v>
      </c>
      <c r="Y34" s="300">
        <v>45.2</v>
      </c>
      <c r="Z34" s="299" t="s">
        <v>132</v>
      </c>
      <c r="AA34" s="292" t="s">
        <v>22</v>
      </c>
      <c r="AB34" s="292" t="s">
        <v>11</v>
      </c>
      <c r="AC34" s="300">
        <v>6</v>
      </c>
      <c r="AD34" s="299"/>
      <c r="AG34" s="300"/>
      <c r="AL34" s="299"/>
      <c r="AO34" s="300"/>
      <c r="AP34" s="299"/>
      <c r="AS34" s="300"/>
      <c r="AW34" s="300"/>
      <c r="BA34" s="301"/>
    </row>
    <row r="35" spans="1:53" s="73" customFormat="1">
      <c r="A35" s="101">
        <v>1972</v>
      </c>
      <c r="B35" s="852">
        <v>26436</v>
      </c>
      <c r="C35" s="901" t="s">
        <v>534</v>
      </c>
      <c r="D35" s="901"/>
      <c r="E35" s="73">
        <v>212</v>
      </c>
      <c r="F35" s="73">
        <v>5</v>
      </c>
      <c r="G35" s="119">
        <v>3</v>
      </c>
      <c r="I35" s="73">
        <v>13</v>
      </c>
      <c r="J35" s="126">
        <v>16</v>
      </c>
      <c r="K35" s="92">
        <f>G35/J35*100</f>
        <v>18.75</v>
      </c>
      <c r="L35" s="92">
        <f>H35/J35*100</f>
        <v>0</v>
      </c>
      <c r="M35" s="92">
        <f>I35/J35*100</f>
        <v>81.25</v>
      </c>
      <c r="N35" s="121">
        <f t="shared" si="3"/>
        <v>100</v>
      </c>
      <c r="O35" s="91">
        <v>6</v>
      </c>
      <c r="P35" s="92"/>
      <c r="Q35" s="92">
        <v>45.2</v>
      </c>
      <c r="R35" s="93">
        <f t="shared" si="4"/>
        <v>51.2</v>
      </c>
      <c r="S35" s="97">
        <v>2</v>
      </c>
      <c r="T35" s="839"/>
      <c r="U35" s="852">
        <v>26436</v>
      </c>
      <c r="V35" s="82" t="s">
        <v>133</v>
      </c>
      <c r="W35" s="73" t="s">
        <v>20</v>
      </c>
      <c r="X35" s="73" t="s">
        <v>12</v>
      </c>
      <c r="Y35" s="83">
        <v>45.2</v>
      </c>
      <c r="Z35" s="82" t="s">
        <v>132</v>
      </c>
      <c r="AA35" s="73" t="s">
        <v>22</v>
      </c>
      <c r="AB35" s="73" t="s">
        <v>11</v>
      </c>
      <c r="AC35" s="83">
        <v>6</v>
      </c>
      <c r="AD35" s="82"/>
      <c r="AG35" s="83"/>
      <c r="AL35" s="82"/>
      <c r="AO35" s="83"/>
      <c r="AP35" s="82"/>
      <c r="AS35" s="83"/>
      <c r="AW35" s="83"/>
      <c r="BA35" s="84"/>
    </row>
    <row r="36" spans="1:53" s="292" customFormat="1">
      <c r="A36" s="338">
        <v>1972</v>
      </c>
      <c r="B36" s="836">
        <v>26648</v>
      </c>
      <c r="C36" s="909" t="s">
        <v>535</v>
      </c>
      <c r="D36" s="909"/>
      <c r="E36" s="292">
        <v>17</v>
      </c>
      <c r="F36" s="292">
        <v>1</v>
      </c>
      <c r="G36" s="366">
        <v>5</v>
      </c>
      <c r="I36" s="292">
        <v>13</v>
      </c>
      <c r="J36" s="377">
        <v>18</v>
      </c>
      <c r="K36" s="336">
        <f t="shared" si="2"/>
        <v>27.777777777777779</v>
      </c>
      <c r="L36" s="336">
        <f t="shared" si="0"/>
        <v>0</v>
      </c>
      <c r="M36" s="336">
        <f t="shared" si="1"/>
        <v>72.222222222222214</v>
      </c>
      <c r="N36" s="368">
        <f t="shared" si="3"/>
        <v>100</v>
      </c>
      <c r="O36" s="335">
        <v>8.3000000000000007</v>
      </c>
      <c r="P36" s="336"/>
      <c r="Q36" s="336">
        <v>46.4</v>
      </c>
      <c r="R36" s="337">
        <f t="shared" si="4"/>
        <v>54.7</v>
      </c>
      <c r="S36" s="340">
        <v>2</v>
      </c>
      <c r="T36" s="838">
        <v>26622</v>
      </c>
      <c r="U36" s="836">
        <v>26648</v>
      </c>
      <c r="V36" s="299" t="s">
        <v>133</v>
      </c>
      <c r="W36" s="292" t="s">
        <v>20</v>
      </c>
      <c r="X36" s="292" t="s">
        <v>12</v>
      </c>
      <c r="Y36" s="292">
        <v>46.4</v>
      </c>
      <c r="Z36" s="299" t="s">
        <v>132</v>
      </c>
      <c r="AA36" s="292" t="s">
        <v>22</v>
      </c>
      <c r="AB36" s="292" t="s">
        <v>11</v>
      </c>
      <c r="AC36" s="292">
        <v>8.3000000000000007</v>
      </c>
      <c r="AD36" s="299"/>
      <c r="AG36" s="300"/>
      <c r="AL36" s="299"/>
      <c r="AO36" s="300"/>
      <c r="AP36" s="299"/>
      <c r="AS36" s="300"/>
      <c r="AW36" s="300"/>
      <c r="BA36" s="301"/>
    </row>
    <row r="37" spans="1:53" s="292" customFormat="1">
      <c r="A37" s="338">
        <v>1973</v>
      </c>
      <c r="B37" s="836"/>
      <c r="C37" s="909" t="s">
        <v>535</v>
      </c>
      <c r="D37" s="909"/>
      <c r="E37" s="292">
        <v>0</v>
      </c>
      <c r="G37" s="366">
        <v>5</v>
      </c>
      <c r="I37" s="292">
        <v>13</v>
      </c>
      <c r="J37" s="377">
        <v>18</v>
      </c>
      <c r="K37" s="336">
        <f t="shared" si="2"/>
        <v>27.777777777777779</v>
      </c>
      <c r="L37" s="336">
        <f t="shared" si="0"/>
        <v>0</v>
      </c>
      <c r="M37" s="336">
        <f t="shared" si="1"/>
        <v>72.222222222222214</v>
      </c>
      <c r="N37" s="368">
        <f t="shared" si="3"/>
        <v>100</v>
      </c>
      <c r="O37" s="335">
        <v>8.3000000000000007</v>
      </c>
      <c r="P37" s="336"/>
      <c r="Q37" s="336">
        <v>46.4</v>
      </c>
      <c r="R37" s="337">
        <f t="shared" si="4"/>
        <v>54.7</v>
      </c>
      <c r="S37" s="340">
        <v>2</v>
      </c>
      <c r="T37" s="838"/>
      <c r="U37" s="836"/>
      <c r="V37" s="299" t="s">
        <v>133</v>
      </c>
      <c r="W37" s="292" t="s">
        <v>20</v>
      </c>
      <c r="X37" s="292" t="s">
        <v>12</v>
      </c>
      <c r="Y37" s="292">
        <v>46.4</v>
      </c>
      <c r="Z37" s="299" t="s">
        <v>132</v>
      </c>
      <c r="AA37" s="292" t="s">
        <v>22</v>
      </c>
      <c r="AB37" s="292" t="s">
        <v>11</v>
      </c>
      <c r="AC37" s="292">
        <v>8.3000000000000007</v>
      </c>
      <c r="AD37" s="299"/>
      <c r="AG37" s="300"/>
      <c r="AL37" s="299"/>
      <c r="AO37" s="300"/>
      <c r="AP37" s="299"/>
      <c r="AS37" s="300"/>
      <c r="AW37" s="300"/>
      <c r="BA37" s="301"/>
    </row>
    <row r="38" spans="1:53" s="292" customFormat="1">
      <c r="A38" s="338">
        <v>1973</v>
      </c>
      <c r="B38" s="836"/>
      <c r="C38" s="909" t="s">
        <v>535</v>
      </c>
      <c r="D38" s="909"/>
      <c r="E38" s="292">
        <v>365</v>
      </c>
      <c r="G38" s="366">
        <v>5</v>
      </c>
      <c r="I38" s="292">
        <v>13</v>
      </c>
      <c r="J38" s="377">
        <v>18</v>
      </c>
      <c r="K38" s="336">
        <f t="shared" si="2"/>
        <v>27.777777777777779</v>
      </c>
      <c r="L38" s="336">
        <f t="shared" si="0"/>
        <v>0</v>
      </c>
      <c r="M38" s="336">
        <f t="shared" si="1"/>
        <v>72.222222222222214</v>
      </c>
      <c r="N38" s="368">
        <f t="shared" si="3"/>
        <v>100</v>
      </c>
      <c r="O38" s="335">
        <v>8.3000000000000007</v>
      </c>
      <c r="P38" s="336"/>
      <c r="Q38" s="336">
        <v>46.4</v>
      </c>
      <c r="R38" s="337">
        <f t="shared" si="4"/>
        <v>54.7</v>
      </c>
      <c r="S38" s="340">
        <v>2</v>
      </c>
      <c r="T38" s="838"/>
      <c r="U38" s="836"/>
      <c r="V38" s="299" t="s">
        <v>133</v>
      </c>
      <c r="W38" s="292" t="s">
        <v>20</v>
      </c>
      <c r="X38" s="292" t="s">
        <v>12</v>
      </c>
      <c r="Y38" s="292">
        <v>46.4</v>
      </c>
      <c r="Z38" s="299" t="s">
        <v>132</v>
      </c>
      <c r="AA38" s="292" t="s">
        <v>22</v>
      </c>
      <c r="AB38" s="292" t="s">
        <v>11</v>
      </c>
      <c r="AC38" s="292">
        <v>8.3000000000000007</v>
      </c>
      <c r="AD38" s="299"/>
      <c r="AG38" s="300"/>
      <c r="AL38" s="299"/>
      <c r="AO38" s="300"/>
      <c r="AP38" s="299"/>
      <c r="AS38" s="300"/>
      <c r="AW38" s="300"/>
      <c r="BA38" s="301"/>
    </row>
    <row r="39" spans="1:53" s="292" customFormat="1">
      <c r="A39" s="338">
        <v>1974</v>
      </c>
      <c r="B39" s="836"/>
      <c r="C39" s="909" t="s">
        <v>535</v>
      </c>
      <c r="D39" s="909"/>
      <c r="E39" s="292">
        <v>135</v>
      </c>
      <c r="G39" s="366">
        <v>5</v>
      </c>
      <c r="I39" s="292">
        <v>13</v>
      </c>
      <c r="J39" s="377">
        <v>18</v>
      </c>
      <c r="K39" s="336">
        <f t="shared" si="2"/>
        <v>27.777777777777779</v>
      </c>
      <c r="L39" s="336">
        <f t="shared" si="0"/>
        <v>0</v>
      </c>
      <c r="M39" s="336">
        <f t="shared" si="1"/>
        <v>72.222222222222214</v>
      </c>
      <c r="N39" s="368">
        <f t="shared" si="3"/>
        <v>100</v>
      </c>
      <c r="O39" s="335">
        <v>8.3000000000000007</v>
      </c>
      <c r="P39" s="336"/>
      <c r="Q39" s="336">
        <v>46.4</v>
      </c>
      <c r="R39" s="337">
        <f t="shared" si="4"/>
        <v>54.7</v>
      </c>
      <c r="S39" s="340">
        <v>2</v>
      </c>
      <c r="T39" s="838"/>
      <c r="U39" s="836"/>
      <c r="V39" s="299" t="s">
        <v>133</v>
      </c>
      <c r="W39" s="292" t="s">
        <v>20</v>
      </c>
      <c r="X39" s="292" t="s">
        <v>12</v>
      </c>
      <c r="Y39" s="292">
        <v>46.4</v>
      </c>
      <c r="Z39" s="299" t="s">
        <v>132</v>
      </c>
      <c r="AA39" s="292" t="s">
        <v>22</v>
      </c>
      <c r="AB39" s="292" t="s">
        <v>11</v>
      </c>
      <c r="AC39" s="292">
        <v>8.3000000000000007</v>
      </c>
      <c r="AD39" s="299"/>
      <c r="AG39" s="300"/>
      <c r="AL39" s="299"/>
      <c r="AO39" s="300"/>
      <c r="AP39" s="299"/>
      <c r="AS39" s="300"/>
      <c r="AW39" s="300"/>
      <c r="BA39" s="301"/>
    </row>
    <row r="40" spans="1:53" s="73" customFormat="1">
      <c r="A40" s="101">
        <v>1974</v>
      </c>
      <c r="B40" s="852">
        <v>27165</v>
      </c>
      <c r="C40" s="901" t="s">
        <v>536</v>
      </c>
      <c r="D40" s="901"/>
      <c r="E40" s="73">
        <v>230</v>
      </c>
      <c r="F40" s="73">
        <v>2</v>
      </c>
      <c r="G40" s="119">
        <v>4</v>
      </c>
      <c r="I40" s="73">
        <v>12</v>
      </c>
      <c r="J40" s="126">
        <v>16</v>
      </c>
      <c r="K40" s="92">
        <f t="shared" si="2"/>
        <v>25</v>
      </c>
      <c r="L40" s="92">
        <f t="shared" si="0"/>
        <v>0</v>
      </c>
      <c r="M40" s="92">
        <f t="shared" si="1"/>
        <v>75</v>
      </c>
      <c r="N40" s="121">
        <f t="shared" si="3"/>
        <v>100</v>
      </c>
      <c r="O40" s="91">
        <v>8.3000000000000007</v>
      </c>
      <c r="P40" s="92"/>
      <c r="Q40" s="92">
        <v>46.4</v>
      </c>
      <c r="R40" s="93">
        <f t="shared" si="4"/>
        <v>54.7</v>
      </c>
      <c r="S40" s="97">
        <v>2</v>
      </c>
      <c r="T40" s="839"/>
      <c r="U40" s="852">
        <v>27165</v>
      </c>
      <c r="V40" s="82" t="s">
        <v>133</v>
      </c>
      <c r="W40" s="73" t="s">
        <v>20</v>
      </c>
      <c r="X40" s="73" t="s">
        <v>12</v>
      </c>
      <c r="Y40" s="73">
        <v>46.4</v>
      </c>
      <c r="Z40" s="82" t="s">
        <v>132</v>
      </c>
      <c r="AA40" s="73" t="s">
        <v>22</v>
      </c>
      <c r="AB40" s="73" t="s">
        <v>11</v>
      </c>
      <c r="AC40" s="73">
        <v>8.3000000000000007</v>
      </c>
      <c r="AD40" s="82"/>
      <c r="AG40" s="83"/>
      <c r="AL40" s="82"/>
      <c r="AO40" s="83"/>
      <c r="AP40" s="82"/>
      <c r="AS40" s="83"/>
      <c r="AW40" s="83"/>
      <c r="BA40" s="84"/>
    </row>
    <row r="41" spans="1:53" s="73" customFormat="1">
      <c r="A41" s="101">
        <v>1975</v>
      </c>
      <c r="B41" s="852"/>
      <c r="C41" s="901" t="s">
        <v>536</v>
      </c>
      <c r="D41" s="901"/>
      <c r="E41" s="73">
        <v>0</v>
      </c>
      <c r="G41" s="119">
        <v>4</v>
      </c>
      <c r="I41" s="73">
        <v>12</v>
      </c>
      <c r="J41" s="126">
        <v>16</v>
      </c>
      <c r="K41" s="92">
        <f t="shared" si="2"/>
        <v>25</v>
      </c>
      <c r="L41" s="92">
        <f t="shared" si="0"/>
        <v>0</v>
      </c>
      <c r="M41" s="92">
        <f t="shared" si="1"/>
        <v>75</v>
      </c>
      <c r="N41" s="121">
        <f t="shared" si="3"/>
        <v>100</v>
      </c>
      <c r="O41" s="91">
        <v>8.3000000000000007</v>
      </c>
      <c r="P41" s="92"/>
      <c r="Q41" s="92">
        <v>46.4</v>
      </c>
      <c r="R41" s="93">
        <f t="shared" si="4"/>
        <v>54.7</v>
      </c>
      <c r="S41" s="97">
        <v>2</v>
      </c>
      <c r="T41" s="839"/>
      <c r="U41" s="852"/>
      <c r="V41" s="82" t="s">
        <v>133</v>
      </c>
      <c r="W41" s="73" t="s">
        <v>20</v>
      </c>
      <c r="X41" s="73" t="s">
        <v>12</v>
      </c>
      <c r="Y41" s="73">
        <v>46.4</v>
      </c>
      <c r="Z41" s="82" t="s">
        <v>132</v>
      </c>
      <c r="AA41" s="73" t="s">
        <v>22</v>
      </c>
      <c r="AB41" s="73" t="s">
        <v>11</v>
      </c>
      <c r="AC41" s="73">
        <v>8.3000000000000007</v>
      </c>
      <c r="AD41" s="82"/>
      <c r="AG41" s="83"/>
      <c r="AL41" s="82"/>
      <c r="AO41" s="83"/>
      <c r="AP41" s="82"/>
      <c r="AS41" s="83"/>
      <c r="AW41" s="83"/>
      <c r="BA41" s="84"/>
    </row>
    <row r="42" spans="1:53" s="73" customFormat="1">
      <c r="A42" s="101">
        <v>1975</v>
      </c>
      <c r="B42" s="852"/>
      <c r="C42" s="901" t="s">
        <v>536</v>
      </c>
      <c r="D42" s="901"/>
      <c r="E42" s="73">
        <v>365</v>
      </c>
      <c r="G42" s="119">
        <v>4</v>
      </c>
      <c r="I42" s="73">
        <v>12</v>
      </c>
      <c r="J42" s="126">
        <v>16</v>
      </c>
      <c r="K42" s="92">
        <f t="shared" si="2"/>
        <v>25</v>
      </c>
      <c r="L42" s="92">
        <f t="shared" si="0"/>
        <v>0</v>
      </c>
      <c r="M42" s="92">
        <f t="shared" si="1"/>
        <v>75</v>
      </c>
      <c r="N42" s="121">
        <f t="shared" si="3"/>
        <v>100</v>
      </c>
      <c r="O42" s="91">
        <v>8.3000000000000007</v>
      </c>
      <c r="P42" s="92"/>
      <c r="Q42" s="92">
        <v>46.4</v>
      </c>
      <c r="R42" s="93">
        <f t="shared" si="4"/>
        <v>54.7</v>
      </c>
      <c r="S42" s="97">
        <v>2</v>
      </c>
      <c r="T42" s="839"/>
      <c r="U42" s="852"/>
      <c r="V42" s="82" t="s">
        <v>133</v>
      </c>
      <c r="W42" s="73" t="s">
        <v>20</v>
      </c>
      <c r="X42" s="73" t="s">
        <v>12</v>
      </c>
      <c r="Y42" s="73">
        <v>46.4</v>
      </c>
      <c r="Z42" s="82" t="s">
        <v>132</v>
      </c>
      <c r="AA42" s="73" t="s">
        <v>22</v>
      </c>
      <c r="AB42" s="73" t="s">
        <v>11</v>
      </c>
      <c r="AC42" s="73">
        <v>8.3000000000000007</v>
      </c>
      <c r="AD42" s="82"/>
      <c r="AG42" s="83"/>
      <c r="AL42" s="82"/>
      <c r="AO42" s="83"/>
      <c r="AP42" s="82"/>
      <c r="AS42" s="83"/>
      <c r="AW42" s="83"/>
      <c r="BA42" s="84"/>
    </row>
    <row r="43" spans="1:53" s="73" customFormat="1">
      <c r="A43" s="101">
        <v>1976</v>
      </c>
      <c r="B43" s="852"/>
      <c r="C43" s="901" t="s">
        <v>536</v>
      </c>
      <c r="D43" s="901"/>
      <c r="E43" s="73">
        <v>349</v>
      </c>
      <c r="G43" s="119">
        <v>4</v>
      </c>
      <c r="I43" s="73">
        <v>12</v>
      </c>
      <c r="J43" s="126">
        <v>16</v>
      </c>
      <c r="K43" s="92">
        <f t="shared" si="2"/>
        <v>25</v>
      </c>
      <c r="L43" s="92">
        <f t="shared" si="0"/>
        <v>0</v>
      </c>
      <c r="M43" s="92">
        <f t="shared" si="1"/>
        <v>75</v>
      </c>
      <c r="N43" s="121">
        <f t="shared" si="3"/>
        <v>100</v>
      </c>
      <c r="O43" s="91">
        <v>8.3000000000000007</v>
      </c>
      <c r="P43" s="92"/>
      <c r="Q43" s="92">
        <v>46.4</v>
      </c>
      <c r="R43" s="93">
        <f t="shared" si="4"/>
        <v>54.7</v>
      </c>
      <c r="S43" s="97">
        <v>2</v>
      </c>
      <c r="T43" s="839"/>
      <c r="U43" s="852"/>
      <c r="V43" s="82" t="s">
        <v>133</v>
      </c>
      <c r="W43" s="73" t="s">
        <v>20</v>
      </c>
      <c r="X43" s="73" t="s">
        <v>12</v>
      </c>
      <c r="Y43" s="73">
        <v>46.4</v>
      </c>
      <c r="Z43" s="82" t="s">
        <v>132</v>
      </c>
      <c r="AA43" s="73" t="s">
        <v>22</v>
      </c>
      <c r="AB43" s="73" t="s">
        <v>11</v>
      </c>
      <c r="AC43" s="73">
        <v>8.3000000000000007</v>
      </c>
      <c r="AD43" s="82"/>
      <c r="AG43" s="83"/>
      <c r="AL43" s="82"/>
      <c r="AO43" s="83"/>
      <c r="AP43" s="82"/>
      <c r="AS43" s="83"/>
      <c r="AW43" s="83"/>
      <c r="BA43" s="84"/>
    </row>
    <row r="44" spans="1:53" s="292" customFormat="1">
      <c r="A44" s="338">
        <v>1976</v>
      </c>
      <c r="B44" s="836">
        <v>28109</v>
      </c>
      <c r="C44" s="909" t="s">
        <v>537</v>
      </c>
      <c r="D44" s="909"/>
      <c r="E44" s="292">
        <v>17</v>
      </c>
      <c r="F44" s="292">
        <v>1</v>
      </c>
      <c r="G44" s="366">
        <v>4</v>
      </c>
      <c r="I44" s="292">
        <v>12</v>
      </c>
      <c r="J44" s="377">
        <v>16</v>
      </c>
      <c r="K44" s="336">
        <f t="shared" si="2"/>
        <v>25</v>
      </c>
      <c r="L44" s="336">
        <f t="shared" si="0"/>
        <v>0</v>
      </c>
      <c r="M44" s="336">
        <f t="shared" si="1"/>
        <v>75</v>
      </c>
      <c r="N44" s="368">
        <f t="shared" si="3"/>
        <v>100</v>
      </c>
      <c r="O44" s="335">
        <v>7.9</v>
      </c>
      <c r="P44" s="336"/>
      <c r="Q44" s="336">
        <v>43.1</v>
      </c>
      <c r="R44" s="337">
        <f t="shared" si="4"/>
        <v>51</v>
      </c>
      <c r="S44" s="340">
        <v>2</v>
      </c>
      <c r="T44" s="838">
        <v>28036</v>
      </c>
      <c r="U44" s="836">
        <v>28109</v>
      </c>
      <c r="V44" s="299" t="s">
        <v>133</v>
      </c>
      <c r="W44" s="292" t="s">
        <v>20</v>
      </c>
      <c r="X44" s="292" t="s">
        <v>12</v>
      </c>
      <c r="Y44" s="292">
        <v>43.1</v>
      </c>
      <c r="Z44" s="299" t="s">
        <v>132</v>
      </c>
      <c r="AA44" s="292" t="s">
        <v>22</v>
      </c>
      <c r="AB44" s="292" t="s">
        <v>11</v>
      </c>
      <c r="AC44" s="292">
        <v>7.9</v>
      </c>
      <c r="AD44" s="299"/>
      <c r="AG44" s="300"/>
      <c r="AL44" s="299"/>
      <c r="AO44" s="300"/>
      <c r="AP44" s="299"/>
      <c r="AS44" s="300"/>
      <c r="AW44" s="300"/>
      <c r="BA44" s="301"/>
    </row>
    <row r="45" spans="1:53" s="292" customFormat="1">
      <c r="A45" s="338">
        <v>1977</v>
      </c>
      <c r="B45" s="836"/>
      <c r="C45" s="909" t="s">
        <v>537</v>
      </c>
      <c r="D45" s="909"/>
      <c r="E45" s="292">
        <v>0</v>
      </c>
      <c r="G45" s="366">
        <v>4</v>
      </c>
      <c r="I45" s="292">
        <v>12</v>
      </c>
      <c r="J45" s="377">
        <v>16</v>
      </c>
      <c r="K45" s="336">
        <f t="shared" si="2"/>
        <v>25</v>
      </c>
      <c r="L45" s="336">
        <f t="shared" si="0"/>
        <v>0</v>
      </c>
      <c r="M45" s="336">
        <f t="shared" si="1"/>
        <v>75</v>
      </c>
      <c r="N45" s="368">
        <f t="shared" si="3"/>
        <v>100</v>
      </c>
      <c r="O45" s="335">
        <v>7.9</v>
      </c>
      <c r="P45" s="336"/>
      <c r="Q45" s="336">
        <v>43.1</v>
      </c>
      <c r="R45" s="337">
        <f t="shared" si="4"/>
        <v>51</v>
      </c>
      <c r="S45" s="340">
        <v>2</v>
      </c>
      <c r="T45" s="838"/>
      <c r="U45" s="836"/>
      <c r="V45" s="299" t="s">
        <v>133</v>
      </c>
      <c r="W45" s="292" t="s">
        <v>20</v>
      </c>
      <c r="X45" s="292" t="s">
        <v>12</v>
      </c>
      <c r="Y45" s="292">
        <v>43.1</v>
      </c>
      <c r="Z45" s="299" t="s">
        <v>132</v>
      </c>
      <c r="AA45" s="292" t="s">
        <v>22</v>
      </c>
      <c r="AB45" s="292" t="s">
        <v>11</v>
      </c>
      <c r="AC45" s="292">
        <v>7.9</v>
      </c>
      <c r="AD45" s="299"/>
      <c r="AG45" s="300"/>
      <c r="AL45" s="299"/>
      <c r="AO45" s="300"/>
      <c r="AP45" s="299"/>
      <c r="AS45" s="300"/>
      <c r="AW45" s="300"/>
      <c r="BA45" s="301"/>
    </row>
    <row r="46" spans="1:53" s="292" customFormat="1">
      <c r="A46" s="338">
        <v>1977</v>
      </c>
      <c r="B46" s="836"/>
      <c r="C46" s="909" t="s">
        <v>537</v>
      </c>
      <c r="D46" s="909"/>
      <c r="E46" s="292">
        <v>365</v>
      </c>
      <c r="G46" s="366">
        <v>4</v>
      </c>
      <c r="I46" s="292">
        <v>12</v>
      </c>
      <c r="J46" s="377">
        <v>16</v>
      </c>
      <c r="K46" s="336">
        <f t="shared" si="2"/>
        <v>25</v>
      </c>
      <c r="L46" s="336">
        <f t="shared" si="0"/>
        <v>0</v>
      </c>
      <c r="M46" s="336">
        <f t="shared" si="1"/>
        <v>75</v>
      </c>
      <c r="N46" s="368">
        <f t="shared" si="3"/>
        <v>100</v>
      </c>
      <c r="O46" s="335">
        <v>7.9</v>
      </c>
      <c r="P46" s="336"/>
      <c r="Q46" s="336">
        <v>43.1</v>
      </c>
      <c r="R46" s="337">
        <f t="shared" si="4"/>
        <v>51</v>
      </c>
      <c r="S46" s="340">
        <v>2</v>
      </c>
      <c r="T46" s="838"/>
      <c r="U46" s="836"/>
      <c r="V46" s="299" t="s">
        <v>133</v>
      </c>
      <c r="W46" s="292" t="s">
        <v>20</v>
      </c>
      <c r="X46" s="292" t="s">
        <v>12</v>
      </c>
      <c r="Y46" s="292">
        <v>43.1</v>
      </c>
      <c r="Z46" s="299" t="s">
        <v>132</v>
      </c>
      <c r="AA46" s="292" t="s">
        <v>22</v>
      </c>
      <c r="AB46" s="292" t="s">
        <v>11</v>
      </c>
      <c r="AC46" s="292">
        <v>7.9</v>
      </c>
      <c r="AD46" s="299"/>
      <c r="AG46" s="300"/>
      <c r="AL46" s="299"/>
      <c r="AO46" s="300"/>
      <c r="AP46" s="299"/>
      <c r="AS46" s="300"/>
      <c r="AW46" s="300"/>
      <c r="BA46" s="301"/>
    </row>
    <row r="47" spans="1:53" s="292" customFormat="1">
      <c r="A47" s="338">
        <v>1978</v>
      </c>
      <c r="B47" s="836"/>
      <c r="C47" s="909" t="s">
        <v>537</v>
      </c>
      <c r="D47" s="909"/>
      <c r="E47" s="292">
        <v>0</v>
      </c>
      <c r="G47" s="366">
        <v>4</v>
      </c>
      <c r="I47" s="292">
        <v>12</v>
      </c>
      <c r="J47" s="377">
        <v>16</v>
      </c>
      <c r="K47" s="336">
        <f t="shared" si="2"/>
        <v>25</v>
      </c>
      <c r="L47" s="336">
        <f t="shared" si="0"/>
        <v>0</v>
      </c>
      <c r="M47" s="336">
        <f t="shared" si="1"/>
        <v>75</v>
      </c>
      <c r="N47" s="368">
        <f t="shared" si="3"/>
        <v>100</v>
      </c>
      <c r="O47" s="335">
        <v>7.9</v>
      </c>
      <c r="P47" s="336"/>
      <c r="Q47" s="336">
        <v>43.1</v>
      </c>
      <c r="R47" s="337">
        <f t="shared" si="4"/>
        <v>51</v>
      </c>
      <c r="S47" s="340">
        <v>2</v>
      </c>
      <c r="T47" s="838"/>
      <c r="U47" s="836"/>
      <c r="V47" s="299" t="s">
        <v>133</v>
      </c>
      <c r="W47" s="292" t="s">
        <v>20</v>
      </c>
      <c r="X47" s="292" t="s">
        <v>12</v>
      </c>
      <c r="Y47" s="292">
        <v>43.1</v>
      </c>
      <c r="Z47" s="299" t="s">
        <v>132</v>
      </c>
      <c r="AA47" s="292" t="s">
        <v>22</v>
      </c>
      <c r="AB47" s="292" t="s">
        <v>11</v>
      </c>
      <c r="AC47" s="292">
        <v>7.9</v>
      </c>
      <c r="AD47" s="299"/>
      <c r="AG47" s="300"/>
      <c r="AL47" s="299"/>
      <c r="AO47" s="300"/>
      <c r="AP47" s="299"/>
      <c r="AS47" s="300"/>
      <c r="AW47" s="300"/>
      <c r="BA47" s="301"/>
    </row>
    <row r="48" spans="1:53" s="292" customFormat="1">
      <c r="A48" s="338">
        <v>1978</v>
      </c>
      <c r="B48" s="836"/>
      <c r="C48" s="909" t="s">
        <v>537</v>
      </c>
      <c r="D48" s="909"/>
      <c r="E48" s="292">
        <v>365</v>
      </c>
      <c r="G48" s="366">
        <v>4</v>
      </c>
      <c r="I48" s="292">
        <v>12</v>
      </c>
      <c r="J48" s="377">
        <v>16</v>
      </c>
      <c r="K48" s="336">
        <f t="shared" si="2"/>
        <v>25</v>
      </c>
      <c r="L48" s="336">
        <f t="shared" si="0"/>
        <v>0</v>
      </c>
      <c r="M48" s="336">
        <f t="shared" si="1"/>
        <v>75</v>
      </c>
      <c r="N48" s="368">
        <f t="shared" si="3"/>
        <v>100</v>
      </c>
      <c r="O48" s="335">
        <v>7.9</v>
      </c>
      <c r="P48" s="336"/>
      <c r="Q48" s="336">
        <v>43.1</v>
      </c>
      <c r="R48" s="337">
        <f t="shared" si="4"/>
        <v>51</v>
      </c>
      <c r="S48" s="340">
        <v>2</v>
      </c>
      <c r="T48" s="838"/>
      <c r="U48" s="836"/>
      <c r="V48" s="299" t="s">
        <v>133</v>
      </c>
      <c r="W48" s="292" t="s">
        <v>20</v>
      </c>
      <c r="X48" s="292" t="s">
        <v>12</v>
      </c>
      <c r="Y48" s="292">
        <v>43.1</v>
      </c>
      <c r="Z48" s="299" t="s">
        <v>132</v>
      </c>
      <c r="AA48" s="292" t="s">
        <v>22</v>
      </c>
      <c r="AB48" s="292" t="s">
        <v>11</v>
      </c>
      <c r="AC48" s="292">
        <v>7.9</v>
      </c>
      <c r="AD48" s="299"/>
      <c r="AG48" s="300"/>
      <c r="AL48" s="299"/>
      <c r="AO48" s="300"/>
      <c r="AP48" s="299"/>
      <c r="AS48" s="300"/>
      <c r="AW48" s="300"/>
      <c r="BA48" s="301"/>
    </row>
    <row r="49" spans="1:53" s="292" customFormat="1">
      <c r="A49" s="338">
        <v>1979</v>
      </c>
      <c r="B49" s="836"/>
      <c r="C49" s="909" t="s">
        <v>537</v>
      </c>
      <c r="D49" s="909"/>
      <c r="E49" s="292">
        <v>0</v>
      </c>
      <c r="G49" s="366">
        <v>4</v>
      </c>
      <c r="I49" s="292">
        <v>12</v>
      </c>
      <c r="J49" s="377">
        <v>16</v>
      </c>
      <c r="K49" s="336">
        <f t="shared" si="2"/>
        <v>25</v>
      </c>
      <c r="L49" s="336">
        <f t="shared" si="0"/>
        <v>0</v>
      </c>
      <c r="M49" s="336">
        <f t="shared" si="1"/>
        <v>75</v>
      </c>
      <c r="N49" s="368">
        <f t="shared" si="3"/>
        <v>100</v>
      </c>
      <c r="O49" s="335">
        <v>7.9</v>
      </c>
      <c r="P49" s="336"/>
      <c r="Q49" s="336">
        <v>43.1</v>
      </c>
      <c r="R49" s="337">
        <f t="shared" si="4"/>
        <v>51</v>
      </c>
      <c r="S49" s="340">
        <v>2</v>
      </c>
      <c r="T49" s="838"/>
      <c r="U49" s="836"/>
      <c r="V49" s="299" t="s">
        <v>133</v>
      </c>
      <c r="W49" s="292" t="s">
        <v>20</v>
      </c>
      <c r="X49" s="292" t="s">
        <v>12</v>
      </c>
      <c r="Y49" s="292">
        <v>43.1</v>
      </c>
      <c r="Z49" s="299" t="s">
        <v>132</v>
      </c>
      <c r="AA49" s="292" t="s">
        <v>22</v>
      </c>
      <c r="AB49" s="292" t="s">
        <v>11</v>
      </c>
      <c r="AC49" s="292">
        <v>7.9</v>
      </c>
      <c r="AD49" s="299"/>
      <c r="AG49" s="300"/>
      <c r="AL49" s="299"/>
      <c r="AO49" s="300"/>
      <c r="AP49" s="299"/>
      <c r="AS49" s="300"/>
      <c r="AW49" s="300"/>
      <c r="BA49" s="301"/>
    </row>
    <row r="50" spans="1:53" s="292" customFormat="1">
      <c r="A50" s="338">
        <v>1979</v>
      </c>
      <c r="B50" s="836"/>
      <c r="C50" s="909" t="s">
        <v>537</v>
      </c>
      <c r="D50" s="909"/>
      <c r="E50" s="292">
        <v>365</v>
      </c>
      <c r="G50" s="366">
        <v>4</v>
      </c>
      <c r="I50" s="292">
        <v>12</v>
      </c>
      <c r="J50" s="377">
        <v>16</v>
      </c>
      <c r="K50" s="336">
        <f t="shared" si="2"/>
        <v>25</v>
      </c>
      <c r="L50" s="336">
        <f t="shared" si="0"/>
        <v>0</v>
      </c>
      <c r="M50" s="336">
        <f t="shared" si="1"/>
        <v>75</v>
      </c>
      <c r="N50" s="368">
        <f t="shared" si="3"/>
        <v>100</v>
      </c>
      <c r="O50" s="335">
        <v>7.9</v>
      </c>
      <c r="P50" s="336"/>
      <c r="Q50" s="336">
        <v>43.1</v>
      </c>
      <c r="R50" s="337">
        <f t="shared" si="4"/>
        <v>51</v>
      </c>
      <c r="S50" s="340">
        <v>2</v>
      </c>
      <c r="T50" s="838"/>
      <c r="U50" s="836"/>
      <c r="V50" s="299" t="s">
        <v>133</v>
      </c>
      <c r="W50" s="292" t="s">
        <v>20</v>
      </c>
      <c r="X50" s="292" t="s">
        <v>12</v>
      </c>
      <c r="Y50" s="292">
        <v>43.1</v>
      </c>
      <c r="Z50" s="299" t="s">
        <v>132</v>
      </c>
      <c r="AA50" s="292" t="s">
        <v>22</v>
      </c>
      <c r="AB50" s="292" t="s">
        <v>11</v>
      </c>
      <c r="AC50" s="292">
        <v>7.9</v>
      </c>
      <c r="AD50" s="299"/>
      <c r="AG50" s="300"/>
      <c r="AL50" s="299"/>
      <c r="AO50" s="300"/>
      <c r="AP50" s="299"/>
      <c r="AS50" s="300"/>
      <c r="AW50" s="300"/>
      <c r="BA50" s="301"/>
    </row>
    <row r="51" spans="1:53" s="292" customFormat="1">
      <c r="A51" s="338">
        <v>1980</v>
      </c>
      <c r="B51" s="836"/>
      <c r="C51" s="909" t="s">
        <v>537</v>
      </c>
      <c r="D51" s="909"/>
      <c r="E51" s="292">
        <v>308</v>
      </c>
      <c r="G51" s="366">
        <v>4</v>
      </c>
      <c r="I51" s="292">
        <v>12</v>
      </c>
      <c r="J51" s="377">
        <v>16</v>
      </c>
      <c r="K51" s="336">
        <f t="shared" si="2"/>
        <v>25</v>
      </c>
      <c r="L51" s="336">
        <f t="shared" si="0"/>
        <v>0</v>
      </c>
      <c r="M51" s="336">
        <f t="shared" si="1"/>
        <v>75</v>
      </c>
      <c r="N51" s="368">
        <f t="shared" si="3"/>
        <v>100</v>
      </c>
      <c r="O51" s="335">
        <v>7.9</v>
      </c>
      <c r="P51" s="336"/>
      <c r="Q51" s="336">
        <v>43.1</v>
      </c>
      <c r="R51" s="337">
        <f t="shared" si="4"/>
        <v>51</v>
      </c>
      <c r="S51" s="340">
        <v>2</v>
      </c>
      <c r="T51" s="838"/>
      <c r="U51" s="836"/>
      <c r="V51" s="299" t="s">
        <v>133</v>
      </c>
      <c r="W51" s="292" t="s">
        <v>20</v>
      </c>
      <c r="X51" s="292" t="s">
        <v>12</v>
      </c>
      <c r="Y51" s="292">
        <v>43.1</v>
      </c>
      <c r="Z51" s="299" t="s">
        <v>132</v>
      </c>
      <c r="AA51" s="292" t="s">
        <v>22</v>
      </c>
      <c r="AB51" s="292" t="s">
        <v>11</v>
      </c>
      <c r="AC51" s="292">
        <v>7.9</v>
      </c>
      <c r="AD51" s="299"/>
      <c r="AG51" s="300"/>
      <c r="AL51" s="299"/>
      <c r="AO51" s="300"/>
      <c r="AP51" s="299"/>
      <c r="AS51" s="300"/>
      <c r="AW51" s="300"/>
      <c r="BA51" s="301"/>
    </row>
    <row r="52" spans="1:53" s="73" customFormat="1">
      <c r="A52" s="101">
        <v>1980</v>
      </c>
      <c r="B52" s="852">
        <v>29529</v>
      </c>
      <c r="C52" s="901" t="s">
        <v>538</v>
      </c>
      <c r="D52" s="901"/>
      <c r="E52" s="73">
        <v>58</v>
      </c>
      <c r="F52" s="73">
        <v>1</v>
      </c>
      <c r="G52" s="119">
        <v>4</v>
      </c>
      <c r="I52" s="73">
        <v>13</v>
      </c>
      <c r="J52" s="126">
        <v>17</v>
      </c>
      <c r="K52" s="92">
        <f t="shared" si="2"/>
        <v>23.52941176470588</v>
      </c>
      <c r="L52" s="92">
        <f t="shared" si="0"/>
        <v>0</v>
      </c>
      <c r="M52" s="92">
        <f t="shared" si="1"/>
        <v>76.470588235294116</v>
      </c>
      <c r="N52" s="121">
        <f t="shared" si="3"/>
        <v>100</v>
      </c>
      <c r="O52" s="91">
        <v>10.7</v>
      </c>
      <c r="P52" s="92"/>
      <c r="Q52" s="92">
        <v>43.9</v>
      </c>
      <c r="R52" s="93">
        <f t="shared" si="4"/>
        <v>54.599999999999994</v>
      </c>
      <c r="S52" s="97">
        <v>2</v>
      </c>
      <c r="T52" s="839">
        <v>29499</v>
      </c>
      <c r="U52" s="852">
        <v>29529</v>
      </c>
      <c r="V52" s="82" t="s">
        <v>133</v>
      </c>
      <c r="W52" s="73" t="s">
        <v>20</v>
      </c>
      <c r="X52" s="73" t="s">
        <v>12</v>
      </c>
      <c r="Y52" s="73">
        <v>43.9</v>
      </c>
      <c r="Z52" s="82" t="s">
        <v>132</v>
      </c>
      <c r="AA52" s="73" t="s">
        <v>22</v>
      </c>
      <c r="AB52" s="73" t="s">
        <v>11</v>
      </c>
      <c r="AC52" s="73">
        <v>10.7</v>
      </c>
      <c r="AD52" s="82"/>
      <c r="AG52" s="83"/>
      <c r="AL52" s="82"/>
      <c r="AO52" s="83"/>
      <c r="AP52" s="82"/>
      <c r="AS52" s="83"/>
      <c r="AW52" s="83"/>
      <c r="BA52" s="84"/>
    </row>
    <row r="53" spans="1:53" s="73" customFormat="1">
      <c r="A53" s="101">
        <v>1981</v>
      </c>
      <c r="B53" s="852"/>
      <c r="C53" s="901" t="s">
        <v>538</v>
      </c>
      <c r="D53" s="901"/>
      <c r="E53" s="73">
        <v>0</v>
      </c>
      <c r="G53" s="119">
        <v>4</v>
      </c>
      <c r="I53" s="73">
        <v>13</v>
      </c>
      <c r="J53" s="126">
        <v>17</v>
      </c>
      <c r="K53" s="92">
        <f t="shared" si="2"/>
        <v>23.52941176470588</v>
      </c>
      <c r="L53" s="92">
        <f t="shared" si="0"/>
        <v>0</v>
      </c>
      <c r="M53" s="92">
        <f t="shared" si="1"/>
        <v>76.470588235294116</v>
      </c>
      <c r="N53" s="121">
        <f t="shared" si="3"/>
        <v>100</v>
      </c>
      <c r="O53" s="91">
        <v>10.7</v>
      </c>
      <c r="P53" s="92"/>
      <c r="Q53" s="92">
        <v>43.9</v>
      </c>
      <c r="R53" s="93">
        <f t="shared" si="4"/>
        <v>54.599999999999994</v>
      </c>
      <c r="S53" s="97">
        <v>2</v>
      </c>
      <c r="T53" s="839"/>
      <c r="U53" s="852"/>
      <c r="V53" s="82" t="s">
        <v>133</v>
      </c>
      <c r="W53" s="73" t="s">
        <v>20</v>
      </c>
      <c r="X53" s="73" t="s">
        <v>12</v>
      </c>
      <c r="Y53" s="73">
        <v>43.9</v>
      </c>
      <c r="Z53" s="82" t="s">
        <v>132</v>
      </c>
      <c r="AA53" s="73" t="s">
        <v>22</v>
      </c>
      <c r="AB53" s="73" t="s">
        <v>11</v>
      </c>
      <c r="AC53" s="73">
        <v>10.7</v>
      </c>
      <c r="AD53" s="82"/>
      <c r="AG53" s="83"/>
      <c r="AL53" s="82"/>
      <c r="AO53" s="83"/>
      <c r="AP53" s="82"/>
      <c r="AS53" s="83"/>
      <c r="AW53" s="83"/>
      <c r="BA53" s="84"/>
    </row>
    <row r="54" spans="1:53" s="73" customFormat="1">
      <c r="A54" s="101">
        <v>1981</v>
      </c>
      <c r="B54" s="852"/>
      <c r="C54" s="901" t="s">
        <v>538</v>
      </c>
      <c r="D54" s="901"/>
      <c r="E54" s="73">
        <v>365</v>
      </c>
      <c r="G54" s="119">
        <v>4</v>
      </c>
      <c r="I54" s="73">
        <v>13</v>
      </c>
      <c r="J54" s="126">
        <v>17</v>
      </c>
      <c r="K54" s="92">
        <f t="shared" si="2"/>
        <v>23.52941176470588</v>
      </c>
      <c r="L54" s="92">
        <f t="shared" si="0"/>
        <v>0</v>
      </c>
      <c r="M54" s="92">
        <f t="shared" si="1"/>
        <v>76.470588235294116</v>
      </c>
      <c r="N54" s="121">
        <f t="shared" si="3"/>
        <v>100</v>
      </c>
      <c r="O54" s="91">
        <v>10.7</v>
      </c>
      <c r="P54" s="92"/>
      <c r="Q54" s="92">
        <v>43.9</v>
      </c>
      <c r="R54" s="93">
        <f t="shared" si="4"/>
        <v>54.599999999999994</v>
      </c>
      <c r="S54" s="97">
        <v>2</v>
      </c>
      <c r="T54" s="839"/>
      <c r="U54" s="852"/>
      <c r="V54" s="82" t="s">
        <v>133</v>
      </c>
      <c r="W54" s="73" t="s">
        <v>20</v>
      </c>
      <c r="X54" s="73" t="s">
        <v>12</v>
      </c>
      <c r="Y54" s="73">
        <v>43.9</v>
      </c>
      <c r="Z54" s="82" t="s">
        <v>132</v>
      </c>
      <c r="AA54" s="73" t="s">
        <v>22</v>
      </c>
      <c r="AB54" s="73" t="s">
        <v>11</v>
      </c>
      <c r="AC54" s="73">
        <v>10.7</v>
      </c>
      <c r="AD54" s="82"/>
      <c r="AG54" s="83"/>
      <c r="AL54" s="82"/>
      <c r="AO54" s="83"/>
      <c r="AP54" s="82"/>
      <c r="AS54" s="83"/>
      <c r="AW54" s="83"/>
      <c r="BA54" s="84"/>
    </row>
    <row r="55" spans="1:53" s="73" customFormat="1">
      <c r="A55" s="101">
        <v>1982</v>
      </c>
      <c r="B55" s="852"/>
      <c r="C55" s="901" t="s">
        <v>538</v>
      </c>
      <c r="D55" s="901"/>
      <c r="E55" s="73">
        <v>259</v>
      </c>
      <c r="G55" s="119">
        <v>4</v>
      </c>
      <c r="I55" s="73">
        <v>13</v>
      </c>
      <c r="J55" s="126">
        <v>17</v>
      </c>
      <c r="K55" s="92">
        <f t="shared" si="2"/>
        <v>23.52941176470588</v>
      </c>
      <c r="L55" s="92">
        <f t="shared" si="0"/>
        <v>0</v>
      </c>
      <c r="M55" s="92">
        <f t="shared" si="1"/>
        <v>76.470588235294116</v>
      </c>
      <c r="N55" s="121">
        <f t="shared" si="3"/>
        <v>100</v>
      </c>
      <c r="O55" s="91">
        <v>10.7</v>
      </c>
      <c r="P55" s="92"/>
      <c r="Q55" s="92">
        <v>43.9</v>
      </c>
      <c r="R55" s="93">
        <f t="shared" si="4"/>
        <v>54.599999999999994</v>
      </c>
      <c r="S55" s="97">
        <v>2</v>
      </c>
      <c r="T55" s="839"/>
      <c r="U55" s="852"/>
      <c r="V55" s="82" t="s">
        <v>133</v>
      </c>
      <c r="W55" s="73" t="s">
        <v>20</v>
      </c>
      <c r="X55" s="73" t="s">
        <v>12</v>
      </c>
      <c r="Y55" s="73">
        <v>43.9</v>
      </c>
      <c r="Z55" s="82" t="s">
        <v>132</v>
      </c>
      <c r="AA55" s="73" t="s">
        <v>22</v>
      </c>
      <c r="AB55" s="73" t="s">
        <v>11</v>
      </c>
      <c r="AC55" s="73">
        <v>10.7</v>
      </c>
      <c r="AD55" s="82"/>
      <c r="AG55" s="83"/>
      <c r="AL55" s="82"/>
      <c r="AO55" s="83"/>
      <c r="AP55" s="82"/>
      <c r="AS55" s="83"/>
      <c r="AW55" s="83"/>
      <c r="BA55" s="84"/>
    </row>
    <row r="56" spans="1:53" s="292" customFormat="1">
      <c r="A56" s="338">
        <v>1982</v>
      </c>
      <c r="B56" s="836">
        <v>30211</v>
      </c>
      <c r="C56" s="909" t="s">
        <v>539</v>
      </c>
      <c r="D56" s="909"/>
      <c r="E56" s="292">
        <v>17</v>
      </c>
      <c r="F56" s="292">
        <v>4</v>
      </c>
      <c r="G56" s="366"/>
      <c r="I56" s="292">
        <v>13</v>
      </c>
      <c r="J56" s="377">
        <v>13</v>
      </c>
      <c r="K56" s="336">
        <f t="shared" si="2"/>
        <v>0</v>
      </c>
      <c r="L56" s="336">
        <f t="shared" si="0"/>
        <v>0</v>
      </c>
      <c r="M56" s="336">
        <f t="shared" si="1"/>
        <v>100</v>
      </c>
      <c r="N56" s="368">
        <f t="shared" si="3"/>
        <v>100</v>
      </c>
      <c r="O56" s="335"/>
      <c r="P56" s="336"/>
      <c r="Q56" s="336">
        <v>43.9</v>
      </c>
      <c r="R56" s="337">
        <f t="shared" si="4"/>
        <v>43.9</v>
      </c>
      <c r="S56" s="340">
        <v>6</v>
      </c>
      <c r="T56" s="838"/>
      <c r="U56" s="836">
        <v>30211</v>
      </c>
      <c r="V56" s="299" t="s">
        <v>133</v>
      </c>
      <c r="W56" s="292" t="s">
        <v>20</v>
      </c>
      <c r="X56" s="292" t="s">
        <v>12</v>
      </c>
      <c r="Y56" s="292">
        <v>43.9</v>
      </c>
      <c r="Z56" s="299"/>
      <c r="AD56" s="299"/>
      <c r="AG56" s="300"/>
      <c r="AL56" s="299"/>
      <c r="AO56" s="300"/>
      <c r="AP56" s="299"/>
      <c r="AS56" s="300"/>
      <c r="AW56" s="300"/>
      <c r="BA56" s="301"/>
    </row>
    <row r="57" spans="1:53" s="73" customFormat="1">
      <c r="A57" s="101">
        <v>1982</v>
      </c>
      <c r="B57" s="852">
        <v>30228</v>
      </c>
      <c r="C57" s="901" t="s">
        <v>540</v>
      </c>
      <c r="D57" s="901"/>
      <c r="E57" s="73">
        <v>89</v>
      </c>
      <c r="F57" s="73">
        <v>5</v>
      </c>
      <c r="G57" s="119">
        <v>4</v>
      </c>
      <c r="H57" s="73">
        <v>13</v>
      </c>
      <c r="J57" s="126">
        <v>17</v>
      </c>
      <c r="K57" s="92">
        <f t="shared" si="2"/>
        <v>23.52941176470588</v>
      </c>
      <c r="L57" s="92">
        <f t="shared" si="0"/>
        <v>76.470588235294116</v>
      </c>
      <c r="M57" s="92">
        <f t="shared" si="1"/>
        <v>0</v>
      </c>
      <c r="N57" s="121">
        <f t="shared" si="3"/>
        <v>100</v>
      </c>
      <c r="O57" s="91">
        <v>10.7</v>
      </c>
      <c r="P57" s="92">
        <v>45.5</v>
      </c>
      <c r="Q57" s="92"/>
      <c r="R57" s="93">
        <f t="shared" si="4"/>
        <v>56.2</v>
      </c>
      <c r="S57" s="97">
        <v>6</v>
      </c>
      <c r="T57" s="839"/>
      <c r="U57" s="852">
        <v>30228</v>
      </c>
      <c r="V57" s="82" t="s">
        <v>129</v>
      </c>
      <c r="W57" s="73" t="s">
        <v>17</v>
      </c>
      <c r="X57" s="73" t="s">
        <v>18</v>
      </c>
      <c r="Y57" s="73">
        <v>35</v>
      </c>
      <c r="Z57" s="82" t="s">
        <v>130</v>
      </c>
      <c r="AA57" s="73" t="s">
        <v>82</v>
      </c>
      <c r="AB57" s="73" t="s">
        <v>18</v>
      </c>
      <c r="AC57" s="73">
        <v>10.5</v>
      </c>
      <c r="AD57" s="82" t="s">
        <v>132</v>
      </c>
      <c r="AE57" s="73" t="s">
        <v>22</v>
      </c>
      <c r="AF57" s="73" t="s">
        <v>11</v>
      </c>
      <c r="AG57" s="83">
        <v>10.7</v>
      </c>
      <c r="AL57" s="82"/>
      <c r="AO57" s="83"/>
      <c r="AP57" s="82"/>
      <c r="AS57" s="83"/>
      <c r="AW57" s="83"/>
      <c r="BA57" s="84"/>
    </row>
    <row r="58" spans="1:53" s="73" customFormat="1">
      <c r="A58" s="101">
        <v>1983</v>
      </c>
      <c r="B58" s="852"/>
      <c r="C58" s="901" t="s">
        <v>540</v>
      </c>
      <c r="D58" s="901"/>
      <c r="E58" s="73">
        <v>88</v>
      </c>
      <c r="G58" s="119">
        <v>4</v>
      </c>
      <c r="H58" s="73">
        <v>13</v>
      </c>
      <c r="J58" s="126">
        <v>17</v>
      </c>
      <c r="K58" s="92">
        <f t="shared" si="2"/>
        <v>23.52941176470588</v>
      </c>
      <c r="L58" s="92">
        <f t="shared" si="0"/>
        <v>76.470588235294116</v>
      </c>
      <c r="M58" s="92">
        <f t="shared" si="1"/>
        <v>0</v>
      </c>
      <c r="N58" s="121">
        <f t="shared" si="3"/>
        <v>100</v>
      </c>
      <c r="O58" s="91">
        <v>10.7</v>
      </c>
      <c r="P58" s="92">
        <v>45.5</v>
      </c>
      <c r="Q58" s="92"/>
      <c r="R58" s="93">
        <f t="shared" si="4"/>
        <v>56.2</v>
      </c>
      <c r="S58" s="97">
        <v>6</v>
      </c>
      <c r="T58" s="839"/>
      <c r="U58" s="852"/>
      <c r="V58" s="82" t="s">
        <v>129</v>
      </c>
      <c r="W58" s="73" t="s">
        <v>17</v>
      </c>
      <c r="X58" s="73" t="s">
        <v>18</v>
      </c>
      <c r="Y58" s="73">
        <v>35</v>
      </c>
      <c r="Z58" s="82" t="s">
        <v>130</v>
      </c>
      <c r="AA58" s="73" t="s">
        <v>82</v>
      </c>
      <c r="AB58" s="73" t="s">
        <v>18</v>
      </c>
      <c r="AC58" s="73">
        <v>10.5</v>
      </c>
      <c r="AD58" s="82" t="s">
        <v>132</v>
      </c>
      <c r="AE58" s="73" t="s">
        <v>22</v>
      </c>
      <c r="AF58" s="73" t="s">
        <v>11</v>
      </c>
      <c r="AG58" s="83">
        <v>10.7</v>
      </c>
      <c r="AL58" s="82"/>
      <c r="AO58" s="83"/>
      <c r="AP58" s="82"/>
      <c r="AS58" s="83"/>
      <c r="AW58" s="83"/>
      <c r="BA58" s="84"/>
    </row>
    <row r="59" spans="1:53" s="292" customFormat="1">
      <c r="A59" s="338">
        <v>1983</v>
      </c>
      <c r="B59" s="836">
        <v>30405</v>
      </c>
      <c r="C59" s="909" t="s">
        <v>541</v>
      </c>
      <c r="D59" s="909"/>
      <c r="E59" s="292">
        <v>277</v>
      </c>
      <c r="F59" s="292">
        <v>1</v>
      </c>
      <c r="G59" s="366">
        <v>3</v>
      </c>
      <c r="H59" s="292">
        <v>14</v>
      </c>
      <c r="J59" s="377">
        <v>17</v>
      </c>
      <c r="K59" s="336">
        <f t="shared" si="2"/>
        <v>17.647058823529413</v>
      </c>
      <c r="L59" s="336">
        <f t="shared" si="0"/>
        <v>82.35294117647058</v>
      </c>
      <c r="M59" s="336">
        <f t="shared" si="1"/>
        <v>0</v>
      </c>
      <c r="N59" s="368">
        <f t="shared" si="3"/>
        <v>100</v>
      </c>
      <c r="O59" s="335">
        <v>6.8</v>
      </c>
      <c r="P59" s="336">
        <v>49</v>
      </c>
      <c r="Q59" s="336"/>
      <c r="R59" s="337">
        <f t="shared" si="4"/>
        <v>55.8</v>
      </c>
      <c r="S59" s="340">
        <v>2</v>
      </c>
      <c r="T59" s="838">
        <v>30381</v>
      </c>
      <c r="U59" s="836">
        <v>30405</v>
      </c>
      <c r="V59" s="299" t="s">
        <v>129</v>
      </c>
      <c r="W59" s="292" t="s">
        <v>17</v>
      </c>
      <c r="X59" s="292" t="s">
        <v>18</v>
      </c>
      <c r="Y59" s="292">
        <v>38.4</v>
      </c>
      <c r="Z59" s="299" t="s">
        <v>130</v>
      </c>
      <c r="AA59" s="292" t="s">
        <v>82</v>
      </c>
      <c r="AB59" s="292" t="s">
        <v>18</v>
      </c>
      <c r="AC59" s="292">
        <v>10.6</v>
      </c>
      <c r="AD59" s="299" t="s">
        <v>132</v>
      </c>
      <c r="AE59" s="292" t="s">
        <v>22</v>
      </c>
      <c r="AF59" s="292" t="s">
        <v>11</v>
      </c>
      <c r="AG59" s="300">
        <v>6.8</v>
      </c>
      <c r="AL59" s="299"/>
      <c r="AO59" s="300"/>
      <c r="AP59" s="299"/>
      <c r="AS59" s="300"/>
      <c r="AW59" s="300"/>
      <c r="BA59" s="301"/>
    </row>
    <row r="60" spans="1:53" s="292" customFormat="1">
      <c r="A60" s="338">
        <v>1984</v>
      </c>
      <c r="B60" s="836"/>
      <c r="C60" s="909" t="s">
        <v>541</v>
      </c>
      <c r="D60" s="909"/>
      <c r="E60" s="292">
        <v>0</v>
      </c>
      <c r="G60" s="366">
        <v>3</v>
      </c>
      <c r="H60" s="292">
        <v>14</v>
      </c>
      <c r="J60" s="377">
        <v>17</v>
      </c>
      <c r="K60" s="336">
        <f t="shared" si="2"/>
        <v>17.647058823529413</v>
      </c>
      <c r="L60" s="336">
        <f t="shared" si="0"/>
        <v>82.35294117647058</v>
      </c>
      <c r="M60" s="336">
        <f t="shared" si="1"/>
        <v>0</v>
      </c>
      <c r="N60" s="368">
        <f t="shared" si="3"/>
        <v>100</v>
      </c>
      <c r="O60" s="335">
        <v>6.8</v>
      </c>
      <c r="P60" s="336">
        <v>49</v>
      </c>
      <c r="Q60" s="336"/>
      <c r="R60" s="337">
        <f t="shared" si="4"/>
        <v>55.8</v>
      </c>
      <c r="S60" s="340">
        <v>2</v>
      </c>
      <c r="T60" s="838"/>
      <c r="U60" s="836"/>
      <c r="V60" s="299" t="s">
        <v>129</v>
      </c>
      <c r="W60" s="292" t="s">
        <v>17</v>
      </c>
      <c r="X60" s="292" t="s">
        <v>18</v>
      </c>
      <c r="Y60" s="292">
        <v>38.4</v>
      </c>
      <c r="Z60" s="299" t="s">
        <v>130</v>
      </c>
      <c r="AA60" s="292" t="s">
        <v>82</v>
      </c>
      <c r="AB60" s="292" t="s">
        <v>18</v>
      </c>
      <c r="AC60" s="292">
        <v>10.6</v>
      </c>
      <c r="AD60" s="299" t="s">
        <v>132</v>
      </c>
      <c r="AE60" s="292" t="s">
        <v>22</v>
      </c>
      <c r="AF60" s="292" t="s">
        <v>11</v>
      </c>
      <c r="AG60" s="300">
        <v>6.8</v>
      </c>
      <c r="AL60" s="299"/>
      <c r="AO60" s="300"/>
      <c r="AP60" s="299"/>
      <c r="AS60" s="300"/>
      <c r="AW60" s="300"/>
      <c r="BA60" s="301"/>
    </row>
    <row r="61" spans="1:53" s="292" customFormat="1">
      <c r="A61" s="338">
        <v>1984</v>
      </c>
      <c r="B61" s="836"/>
      <c r="C61" s="909" t="s">
        <v>541</v>
      </c>
      <c r="D61" s="909"/>
      <c r="E61" s="292">
        <v>366</v>
      </c>
      <c r="G61" s="366">
        <v>3</v>
      </c>
      <c r="H61" s="292">
        <v>14</v>
      </c>
      <c r="J61" s="377">
        <v>17</v>
      </c>
      <c r="K61" s="336">
        <f t="shared" si="2"/>
        <v>17.647058823529413</v>
      </c>
      <c r="L61" s="336">
        <f t="shared" si="0"/>
        <v>82.35294117647058</v>
      </c>
      <c r="M61" s="336">
        <f t="shared" si="1"/>
        <v>0</v>
      </c>
      <c r="N61" s="368">
        <f t="shared" si="3"/>
        <v>100</v>
      </c>
      <c r="O61" s="335">
        <v>6.8</v>
      </c>
      <c r="P61" s="336">
        <v>49</v>
      </c>
      <c r="Q61" s="336"/>
      <c r="R61" s="337">
        <f t="shared" si="4"/>
        <v>55.8</v>
      </c>
      <c r="S61" s="340">
        <v>2</v>
      </c>
      <c r="T61" s="838"/>
      <c r="U61" s="836"/>
      <c r="V61" s="299" t="s">
        <v>129</v>
      </c>
      <c r="W61" s="292" t="s">
        <v>17</v>
      </c>
      <c r="X61" s="292" t="s">
        <v>18</v>
      </c>
      <c r="Y61" s="292">
        <v>38.4</v>
      </c>
      <c r="Z61" s="299" t="s">
        <v>130</v>
      </c>
      <c r="AA61" s="292" t="s">
        <v>82</v>
      </c>
      <c r="AB61" s="292" t="s">
        <v>18</v>
      </c>
      <c r="AC61" s="292">
        <v>10.6</v>
      </c>
      <c r="AD61" s="299" t="s">
        <v>132</v>
      </c>
      <c r="AE61" s="292" t="s">
        <v>22</v>
      </c>
      <c r="AF61" s="292" t="s">
        <v>11</v>
      </c>
      <c r="AG61" s="300">
        <v>6.8</v>
      </c>
      <c r="AL61" s="299"/>
      <c r="AO61" s="300"/>
      <c r="AP61" s="299"/>
      <c r="AS61" s="300"/>
      <c r="AW61" s="300"/>
      <c r="BA61" s="301"/>
    </row>
    <row r="62" spans="1:53" s="292" customFormat="1">
      <c r="A62" s="338">
        <v>1985</v>
      </c>
      <c r="B62" s="836"/>
      <c r="C62" s="909" t="s">
        <v>541</v>
      </c>
      <c r="D62" s="909"/>
      <c r="E62" s="292">
        <v>0</v>
      </c>
      <c r="G62" s="366">
        <v>3</v>
      </c>
      <c r="H62" s="292">
        <v>14</v>
      </c>
      <c r="J62" s="377">
        <v>17</v>
      </c>
      <c r="K62" s="336">
        <f t="shared" si="2"/>
        <v>17.647058823529413</v>
      </c>
      <c r="L62" s="336">
        <f t="shared" si="0"/>
        <v>82.35294117647058</v>
      </c>
      <c r="M62" s="336">
        <f t="shared" si="1"/>
        <v>0</v>
      </c>
      <c r="N62" s="368">
        <f t="shared" si="3"/>
        <v>100</v>
      </c>
      <c r="O62" s="335">
        <v>6.8</v>
      </c>
      <c r="P62" s="336">
        <v>49</v>
      </c>
      <c r="Q62" s="336"/>
      <c r="R62" s="337">
        <f t="shared" si="4"/>
        <v>55.8</v>
      </c>
      <c r="S62" s="340">
        <v>2</v>
      </c>
      <c r="T62" s="838"/>
      <c r="U62" s="836"/>
      <c r="V62" s="299" t="s">
        <v>129</v>
      </c>
      <c r="W62" s="292" t="s">
        <v>17</v>
      </c>
      <c r="X62" s="292" t="s">
        <v>18</v>
      </c>
      <c r="Y62" s="292">
        <v>38.4</v>
      </c>
      <c r="Z62" s="299" t="s">
        <v>130</v>
      </c>
      <c r="AA62" s="292" t="s">
        <v>82</v>
      </c>
      <c r="AB62" s="292" t="s">
        <v>18</v>
      </c>
      <c r="AC62" s="292">
        <v>10.6</v>
      </c>
      <c r="AD62" s="299" t="s">
        <v>132</v>
      </c>
      <c r="AE62" s="292" t="s">
        <v>22</v>
      </c>
      <c r="AF62" s="292" t="s">
        <v>11</v>
      </c>
      <c r="AG62" s="300">
        <v>6.8</v>
      </c>
      <c r="AL62" s="299"/>
      <c r="AO62" s="300"/>
      <c r="AP62" s="299"/>
      <c r="AS62" s="300"/>
      <c r="AW62" s="300"/>
      <c r="BA62" s="301"/>
    </row>
    <row r="63" spans="1:53" s="292" customFormat="1">
      <c r="A63" s="338">
        <v>1985</v>
      </c>
      <c r="B63" s="836"/>
      <c r="C63" s="909" t="s">
        <v>541</v>
      </c>
      <c r="D63" s="909"/>
      <c r="E63" s="292">
        <v>365</v>
      </c>
      <c r="G63" s="366">
        <v>3</v>
      </c>
      <c r="H63" s="292">
        <v>14</v>
      </c>
      <c r="J63" s="377">
        <v>17</v>
      </c>
      <c r="K63" s="336">
        <f t="shared" si="2"/>
        <v>17.647058823529413</v>
      </c>
      <c r="L63" s="336">
        <f t="shared" si="0"/>
        <v>82.35294117647058</v>
      </c>
      <c r="M63" s="336">
        <f t="shared" si="1"/>
        <v>0</v>
      </c>
      <c r="N63" s="368">
        <f t="shared" si="3"/>
        <v>100</v>
      </c>
      <c r="O63" s="335">
        <v>6.8</v>
      </c>
      <c r="P63" s="336">
        <v>49</v>
      </c>
      <c r="Q63" s="336"/>
      <c r="R63" s="337">
        <f t="shared" si="4"/>
        <v>55.8</v>
      </c>
      <c r="S63" s="340">
        <v>2</v>
      </c>
      <c r="T63" s="838"/>
      <c r="U63" s="836"/>
      <c r="V63" s="299" t="s">
        <v>129</v>
      </c>
      <c r="W63" s="292" t="s">
        <v>17</v>
      </c>
      <c r="X63" s="292" t="s">
        <v>18</v>
      </c>
      <c r="Y63" s="292">
        <v>38.4</v>
      </c>
      <c r="Z63" s="299" t="s">
        <v>130</v>
      </c>
      <c r="AA63" s="292" t="s">
        <v>82</v>
      </c>
      <c r="AB63" s="292" t="s">
        <v>18</v>
      </c>
      <c r="AC63" s="292">
        <v>10.6</v>
      </c>
      <c r="AD63" s="299" t="s">
        <v>132</v>
      </c>
      <c r="AE63" s="292" t="s">
        <v>22</v>
      </c>
      <c r="AF63" s="292" t="s">
        <v>11</v>
      </c>
      <c r="AG63" s="300">
        <v>6.8</v>
      </c>
      <c r="AL63" s="299"/>
      <c r="AO63" s="300"/>
      <c r="AP63" s="299"/>
      <c r="AS63" s="300"/>
      <c r="AW63" s="300"/>
      <c r="BA63" s="301"/>
    </row>
    <row r="64" spans="1:53" s="292" customFormat="1">
      <c r="A64" s="338">
        <v>1986</v>
      </c>
      <c r="B64" s="836"/>
      <c r="C64" s="909" t="s">
        <v>541</v>
      </c>
      <c r="D64" s="909"/>
      <c r="E64" s="292">
        <v>0</v>
      </c>
      <c r="G64" s="366">
        <v>3</v>
      </c>
      <c r="H64" s="292">
        <v>14</v>
      </c>
      <c r="J64" s="377">
        <v>17</v>
      </c>
      <c r="K64" s="336">
        <f t="shared" si="2"/>
        <v>17.647058823529413</v>
      </c>
      <c r="L64" s="336">
        <f t="shared" si="0"/>
        <v>82.35294117647058</v>
      </c>
      <c r="M64" s="336">
        <f t="shared" si="1"/>
        <v>0</v>
      </c>
      <c r="N64" s="368">
        <f t="shared" si="3"/>
        <v>100</v>
      </c>
      <c r="O64" s="335">
        <v>6.8</v>
      </c>
      <c r="P64" s="336">
        <v>49</v>
      </c>
      <c r="Q64" s="336"/>
      <c r="R64" s="337">
        <f t="shared" si="4"/>
        <v>55.8</v>
      </c>
      <c r="S64" s="340">
        <v>2</v>
      </c>
      <c r="T64" s="838"/>
      <c r="U64" s="836"/>
      <c r="V64" s="299" t="s">
        <v>129</v>
      </c>
      <c r="W64" s="292" t="s">
        <v>17</v>
      </c>
      <c r="X64" s="292" t="s">
        <v>18</v>
      </c>
      <c r="Y64" s="292">
        <v>38.4</v>
      </c>
      <c r="Z64" s="299" t="s">
        <v>130</v>
      </c>
      <c r="AA64" s="292" t="s">
        <v>82</v>
      </c>
      <c r="AB64" s="292" t="s">
        <v>18</v>
      </c>
      <c r="AC64" s="292">
        <v>10.6</v>
      </c>
      <c r="AD64" s="299" t="s">
        <v>132</v>
      </c>
      <c r="AE64" s="292" t="s">
        <v>22</v>
      </c>
      <c r="AF64" s="292" t="s">
        <v>11</v>
      </c>
      <c r="AG64" s="300">
        <v>6.8</v>
      </c>
      <c r="AL64" s="299"/>
      <c r="AO64" s="300"/>
      <c r="AP64" s="299"/>
      <c r="AS64" s="300"/>
      <c r="AW64" s="300"/>
      <c r="BA64" s="301"/>
    </row>
    <row r="65" spans="1:53" s="292" customFormat="1">
      <c r="A65" s="338">
        <v>1986</v>
      </c>
      <c r="B65" s="836"/>
      <c r="C65" s="909" t="s">
        <v>541</v>
      </c>
      <c r="D65" s="909"/>
      <c r="E65" s="292">
        <v>365</v>
      </c>
      <c r="G65" s="366">
        <v>3</v>
      </c>
      <c r="H65" s="292">
        <v>14</v>
      </c>
      <c r="J65" s="377">
        <v>17</v>
      </c>
      <c r="K65" s="336">
        <f t="shared" si="2"/>
        <v>17.647058823529413</v>
      </c>
      <c r="L65" s="336">
        <f t="shared" si="0"/>
        <v>82.35294117647058</v>
      </c>
      <c r="M65" s="336">
        <f t="shared" si="1"/>
        <v>0</v>
      </c>
      <c r="N65" s="368">
        <f t="shared" si="3"/>
        <v>100</v>
      </c>
      <c r="O65" s="335">
        <v>6.8</v>
      </c>
      <c r="P65" s="336">
        <v>49</v>
      </c>
      <c r="Q65" s="336"/>
      <c r="R65" s="337">
        <f t="shared" si="4"/>
        <v>55.8</v>
      </c>
      <c r="S65" s="340">
        <v>2</v>
      </c>
      <c r="T65" s="838"/>
      <c r="U65" s="836"/>
      <c r="V65" s="299" t="s">
        <v>129</v>
      </c>
      <c r="W65" s="292" t="s">
        <v>17</v>
      </c>
      <c r="X65" s="292" t="s">
        <v>18</v>
      </c>
      <c r="Y65" s="292">
        <v>38.4</v>
      </c>
      <c r="Z65" s="299" t="s">
        <v>130</v>
      </c>
      <c r="AA65" s="292" t="s">
        <v>82</v>
      </c>
      <c r="AB65" s="292" t="s">
        <v>18</v>
      </c>
      <c r="AC65" s="292">
        <v>10.6</v>
      </c>
      <c r="AD65" s="299" t="s">
        <v>132</v>
      </c>
      <c r="AE65" s="292" t="s">
        <v>22</v>
      </c>
      <c r="AF65" s="292" t="s">
        <v>11</v>
      </c>
      <c r="AG65" s="300">
        <v>6.8</v>
      </c>
      <c r="AL65" s="299"/>
      <c r="AO65" s="300"/>
      <c r="AP65" s="299"/>
      <c r="AS65" s="300"/>
      <c r="AW65" s="300"/>
      <c r="BA65" s="301"/>
    </row>
    <row r="66" spans="1:53" s="292" customFormat="1">
      <c r="A66" s="338">
        <v>1987</v>
      </c>
      <c r="B66" s="836"/>
      <c r="C66" s="909" t="s">
        <v>541</v>
      </c>
      <c r="D66" s="909"/>
      <c r="E66" s="292">
        <v>69</v>
      </c>
      <c r="G66" s="366">
        <v>3</v>
      </c>
      <c r="H66" s="292">
        <v>14</v>
      </c>
      <c r="J66" s="377">
        <v>17</v>
      </c>
      <c r="K66" s="336">
        <f t="shared" si="2"/>
        <v>17.647058823529413</v>
      </c>
      <c r="L66" s="336">
        <f t="shared" si="0"/>
        <v>82.35294117647058</v>
      </c>
      <c r="M66" s="336">
        <f t="shared" si="1"/>
        <v>0</v>
      </c>
      <c r="N66" s="368">
        <f t="shared" si="3"/>
        <v>100</v>
      </c>
      <c r="O66" s="335">
        <v>6.8</v>
      </c>
      <c r="P66" s="336">
        <v>49</v>
      </c>
      <c r="Q66" s="336"/>
      <c r="R66" s="337">
        <f t="shared" si="4"/>
        <v>55.8</v>
      </c>
      <c r="S66" s="340">
        <v>2</v>
      </c>
      <c r="T66" s="838"/>
      <c r="U66" s="836"/>
      <c r="V66" s="299" t="s">
        <v>129</v>
      </c>
      <c r="W66" s="292" t="s">
        <v>17</v>
      </c>
      <c r="X66" s="292" t="s">
        <v>18</v>
      </c>
      <c r="Y66" s="292">
        <v>38.4</v>
      </c>
      <c r="Z66" s="299" t="s">
        <v>130</v>
      </c>
      <c r="AA66" s="292" t="s">
        <v>82</v>
      </c>
      <c r="AB66" s="292" t="s">
        <v>18</v>
      </c>
      <c r="AC66" s="292">
        <v>10.6</v>
      </c>
      <c r="AD66" s="299" t="s">
        <v>132</v>
      </c>
      <c r="AE66" s="292" t="s">
        <v>22</v>
      </c>
      <c r="AF66" s="292" t="s">
        <v>11</v>
      </c>
      <c r="AG66" s="300">
        <v>6.8</v>
      </c>
      <c r="AL66" s="299"/>
      <c r="AO66" s="300"/>
      <c r="AP66" s="299"/>
      <c r="AS66" s="300"/>
      <c r="AW66" s="300"/>
      <c r="BA66" s="301"/>
    </row>
    <row r="67" spans="1:53" s="73" customFormat="1">
      <c r="A67" s="101">
        <v>1987</v>
      </c>
      <c r="B67" s="852">
        <v>31847</v>
      </c>
      <c r="C67" s="901" t="s">
        <v>542</v>
      </c>
      <c r="D67" s="901"/>
      <c r="E67" s="73">
        <v>296</v>
      </c>
      <c r="F67" s="73">
        <v>1</v>
      </c>
      <c r="G67" s="119">
        <v>4</v>
      </c>
      <c r="H67" s="73">
        <v>15</v>
      </c>
      <c r="J67" s="126">
        <v>19</v>
      </c>
      <c r="K67" s="92">
        <f t="shared" si="2"/>
        <v>21.052631578947366</v>
      </c>
      <c r="L67" s="92">
        <f t="shared" si="0"/>
        <v>78.94736842105263</v>
      </c>
      <c r="M67" s="92">
        <f t="shared" si="1"/>
        <v>0</v>
      </c>
      <c r="N67" s="121">
        <f t="shared" si="3"/>
        <v>100</v>
      </c>
      <c r="O67" s="91">
        <v>9.3000000000000007</v>
      </c>
      <c r="P67" s="92">
        <v>44.9</v>
      </c>
      <c r="Q67" s="92"/>
      <c r="R67" s="93">
        <f t="shared" si="4"/>
        <v>54.2</v>
      </c>
      <c r="S67" s="97">
        <v>2</v>
      </c>
      <c r="T67" s="839">
        <v>31802</v>
      </c>
      <c r="U67" s="852">
        <v>31847</v>
      </c>
      <c r="V67" s="82" t="s">
        <v>129</v>
      </c>
      <c r="W67" s="73" t="s">
        <v>17</v>
      </c>
      <c r="X67" s="73" t="s">
        <v>18</v>
      </c>
      <c r="Y67" s="73">
        <v>35</v>
      </c>
      <c r="Z67" s="82" t="s">
        <v>130</v>
      </c>
      <c r="AA67" s="73" t="s">
        <v>82</v>
      </c>
      <c r="AB67" s="73" t="s">
        <v>18</v>
      </c>
      <c r="AC67" s="73">
        <v>9.9</v>
      </c>
      <c r="AD67" s="82" t="s">
        <v>132</v>
      </c>
      <c r="AE67" s="73" t="s">
        <v>22</v>
      </c>
      <c r="AF67" s="73" t="s">
        <v>11</v>
      </c>
      <c r="AG67" s="83">
        <v>9.3000000000000007</v>
      </c>
      <c r="AL67" s="82"/>
      <c r="AO67" s="83"/>
      <c r="AP67" s="82"/>
      <c r="AS67" s="83"/>
      <c r="AW67" s="83"/>
      <c r="BA67" s="84"/>
    </row>
    <row r="68" spans="1:53" s="73" customFormat="1">
      <c r="A68" s="101">
        <v>1988</v>
      </c>
      <c r="B68" s="852"/>
      <c r="C68" s="901" t="s">
        <v>542</v>
      </c>
      <c r="D68" s="901"/>
      <c r="E68" s="73">
        <v>0</v>
      </c>
      <c r="G68" s="119">
        <v>4</v>
      </c>
      <c r="H68" s="73">
        <v>15</v>
      </c>
      <c r="J68" s="126">
        <v>19</v>
      </c>
      <c r="K68" s="92">
        <f t="shared" si="2"/>
        <v>21.052631578947366</v>
      </c>
      <c r="L68" s="92">
        <f t="shared" si="0"/>
        <v>78.94736842105263</v>
      </c>
      <c r="M68" s="92">
        <f t="shared" si="1"/>
        <v>0</v>
      </c>
      <c r="N68" s="121">
        <f t="shared" si="3"/>
        <v>100</v>
      </c>
      <c r="O68" s="91">
        <v>9.3000000000000007</v>
      </c>
      <c r="P68" s="92">
        <v>44.9</v>
      </c>
      <c r="Q68" s="92"/>
      <c r="R68" s="93">
        <f t="shared" si="4"/>
        <v>54.2</v>
      </c>
      <c r="S68" s="97">
        <v>2</v>
      </c>
      <c r="T68" s="839"/>
      <c r="U68" s="852"/>
      <c r="V68" s="82" t="s">
        <v>129</v>
      </c>
      <c r="W68" s="73" t="s">
        <v>17</v>
      </c>
      <c r="X68" s="73" t="s">
        <v>18</v>
      </c>
      <c r="Y68" s="73">
        <v>35</v>
      </c>
      <c r="Z68" s="82" t="s">
        <v>130</v>
      </c>
      <c r="AA68" s="73" t="s">
        <v>82</v>
      </c>
      <c r="AB68" s="73" t="s">
        <v>18</v>
      </c>
      <c r="AC68" s="73">
        <v>9.9</v>
      </c>
      <c r="AD68" s="82" t="s">
        <v>132</v>
      </c>
      <c r="AE68" s="73" t="s">
        <v>22</v>
      </c>
      <c r="AF68" s="73" t="s">
        <v>11</v>
      </c>
      <c r="AG68" s="83">
        <v>9.3000000000000007</v>
      </c>
      <c r="AL68" s="82"/>
      <c r="AO68" s="83"/>
      <c r="AP68" s="82"/>
      <c r="AS68" s="83"/>
      <c r="AW68" s="83"/>
      <c r="BA68" s="84"/>
    </row>
    <row r="69" spans="1:53" s="73" customFormat="1">
      <c r="A69" s="101">
        <v>1988</v>
      </c>
      <c r="B69" s="852"/>
      <c r="C69" s="901" t="s">
        <v>542</v>
      </c>
      <c r="D69" s="901"/>
      <c r="E69" s="73">
        <v>366</v>
      </c>
      <c r="G69" s="119">
        <v>4</v>
      </c>
      <c r="H69" s="73">
        <v>15</v>
      </c>
      <c r="J69" s="126">
        <v>19</v>
      </c>
      <c r="K69" s="92">
        <f t="shared" si="2"/>
        <v>21.052631578947366</v>
      </c>
      <c r="L69" s="92">
        <f t="shared" si="0"/>
        <v>78.94736842105263</v>
      </c>
      <c r="M69" s="92">
        <f t="shared" si="1"/>
        <v>0</v>
      </c>
      <c r="N69" s="121">
        <f t="shared" si="3"/>
        <v>100</v>
      </c>
      <c r="O69" s="91">
        <v>9.3000000000000007</v>
      </c>
      <c r="P69" s="92">
        <v>44.9</v>
      </c>
      <c r="Q69" s="92"/>
      <c r="R69" s="93">
        <f t="shared" si="4"/>
        <v>54.2</v>
      </c>
      <c r="S69" s="97">
        <v>2</v>
      </c>
      <c r="T69" s="839"/>
      <c r="U69" s="852"/>
      <c r="V69" s="82" t="s">
        <v>129</v>
      </c>
      <c r="W69" s="73" t="s">
        <v>17</v>
      </c>
      <c r="X69" s="73" t="s">
        <v>18</v>
      </c>
      <c r="Y69" s="73">
        <v>35</v>
      </c>
      <c r="Z69" s="82" t="s">
        <v>130</v>
      </c>
      <c r="AA69" s="73" t="s">
        <v>82</v>
      </c>
      <c r="AB69" s="73" t="s">
        <v>18</v>
      </c>
      <c r="AC69" s="73">
        <v>9.9</v>
      </c>
      <c r="AD69" s="82" t="s">
        <v>132</v>
      </c>
      <c r="AE69" s="73" t="s">
        <v>22</v>
      </c>
      <c r="AF69" s="73" t="s">
        <v>11</v>
      </c>
      <c r="AG69" s="83">
        <v>9.3000000000000007</v>
      </c>
      <c r="AL69" s="82"/>
      <c r="AO69" s="83"/>
      <c r="AP69" s="82"/>
      <c r="AS69" s="83"/>
      <c r="AW69" s="83"/>
      <c r="BA69" s="84"/>
    </row>
    <row r="70" spans="1:53" s="73" customFormat="1">
      <c r="A70" s="73">
        <v>1989</v>
      </c>
      <c r="B70" s="852"/>
      <c r="C70" s="901" t="s">
        <v>542</v>
      </c>
      <c r="D70" s="901"/>
      <c r="E70" s="73">
        <v>181</v>
      </c>
      <c r="G70" s="119">
        <v>4</v>
      </c>
      <c r="H70" s="73">
        <v>15</v>
      </c>
      <c r="J70" s="126">
        <v>19</v>
      </c>
      <c r="K70" s="92">
        <f t="shared" ref="K70:K77" si="5">G70/J70*100</f>
        <v>21.052631578947366</v>
      </c>
      <c r="L70" s="92">
        <f t="shared" ref="L70:L77" si="6">H70/J70*100</f>
        <v>78.94736842105263</v>
      </c>
      <c r="M70" s="92">
        <f t="shared" ref="M70:M77" si="7">I70/J70*100</f>
        <v>0</v>
      </c>
      <c r="N70" s="121">
        <f t="shared" si="3"/>
        <v>100</v>
      </c>
      <c r="O70" s="91">
        <v>9.3000000000000007</v>
      </c>
      <c r="P70" s="92">
        <v>44.9</v>
      </c>
      <c r="Q70" s="92"/>
      <c r="R70" s="93">
        <f t="shared" si="4"/>
        <v>54.2</v>
      </c>
      <c r="S70" s="97">
        <v>2</v>
      </c>
      <c r="T70" s="839"/>
      <c r="U70" s="852"/>
      <c r="V70" s="82" t="s">
        <v>129</v>
      </c>
      <c r="W70" s="73" t="s">
        <v>17</v>
      </c>
      <c r="X70" s="73" t="s">
        <v>18</v>
      </c>
      <c r="Y70" s="73">
        <v>35</v>
      </c>
      <c r="Z70" s="82" t="s">
        <v>130</v>
      </c>
      <c r="AA70" s="73" t="s">
        <v>82</v>
      </c>
      <c r="AB70" s="73" t="s">
        <v>18</v>
      </c>
      <c r="AC70" s="73">
        <v>9.9</v>
      </c>
      <c r="AD70" s="82" t="s">
        <v>132</v>
      </c>
      <c r="AE70" s="73" t="s">
        <v>22</v>
      </c>
      <c r="AF70" s="73" t="s">
        <v>11</v>
      </c>
      <c r="AG70" s="83">
        <v>9.3000000000000007</v>
      </c>
      <c r="AL70" s="82"/>
      <c r="AO70" s="83"/>
      <c r="AP70" s="82"/>
      <c r="AS70" s="83"/>
      <c r="AW70" s="83"/>
      <c r="BA70" s="84"/>
    </row>
    <row r="71" spans="1:53" s="128" customFormat="1">
      <c r="A71" s="128">
        <v>1989</v>
      </c>
      <c r="B71" s="871">
        <v>32690</v>
      </c>
      <c r="C71" s="932" t="s">
        <v>542</v>
      </c>
      <c r="D71" s="932"/>
      <c r="E71" s="128">
        <v>184</v>
      </c>
      <c r="F71" s="146">
        <v>0</v>
      </c>
      <c r="G71" s="129">
        <v>4</v>
      </c>
      <c r="H71" s="128">
        <v>16</v>
      </c>
      <c r="J71" s="130">
        <v>20</v>
      </c>
      <c r="K71" s="131">
        <f t="shared" si="5"/>
        <v>20</v>
      </c>
      <c r="L71" s="131">
        <f t="shared" si="6"/>
        <v>80</v>
      </c>
      <c r="M71" s="131">
        <f t="shared" si="7"/>
        <v>0</v>
      </c>
      <c r="N71" s="132">
        <f t="shared" si="3"/>
        <v>100</v>
      </c>
      <c r="O71" s="133">
        <v>9.3000000000000007</v>
      </c>
      <c r="P71" s="131">
        <v>44.9</v>
      </c>
      <c r="Q71" s="131"/>
      <c r="R71" s="134">
        <f t="shared" si="4"/>
        <v>54.2</v>
      </c>
      <c r="S71" s="135">
        <v>2</v>
      </c>
      <c r="T71" s="861"/>
      <c r="U71" s="859"/>
      <c r="V71" s="136" t="s">
        <v>129</v>
      </c>
      <c r="W71" s="128" t="s">
        <v>17</v>
      </c>
      <c r="X71" s="128" t="s">
        <v>18</v>
      </c>
      <c r="Y71" s="128">
        <v>35</v>
      </c>
      <c r="Z71" s="136" t="s">
        <v>130</v>
      </c>
      <c r="AA71" s="128" t="s">
        <v>82</v>
      </c>
      <c r="AB71" s="128" t="s">
        <v>18</v>
      </c>
      <c r="AC71" s="128">
        <v>9.9</v>
      </c>
      <c r="AD71" s="136" t="s">
        <v>132</v>
      </c>
      <c r="AE71" s="128" t="s">
        <v>22</v>
      </c>
      <c r="AF71" s="128" t="s">
        <v>11</v>
      </c>
      <c r="AG71" s="137">
        <v>9.3000000000000007</v>
      </c>
      <c r="AL71" s="136"/>
      <c r="AO71" s="137"/>
      <c r="AP71" s="136"/>
      <c r="AS71" s="137"/>
      <c r="AW71" s="137"/>
      <c r="BA71" s="138"/>
    </row>
    <row r="72" spans="1:53" s="73" customFormat="1">
      <c r="A72" s="73">
        <v>1990</v>
      </c>
      <c r="B72" s="852"/>
      <c r="C72" s="901" t="s">
        <v>542</v>
      </c>
      <c r="D72" s="901"/>
      <c r="E72" s="73">
        <v>275</v>
      </c>
      <c r="G72" s="119">
        <v>4</v>
      </c>
      <c r="H72" s="73">
        <v>16</v>
      </c>
      <c r="J72" s="126">
        <v>20</v>
      </c>
      <c r="K72" s="92">
        <f t="shared" si="5"/>
        <v>20</v>
      </c>
      <c r="L72" s="92">
        <f t="shared" si="6"/>
        <v>80</v>
      </c>
      <c r="M72" s="92">
        <f t="shared" si="7"/>
        <v>0</v>
      </c>
      <c r="N72" s="121">
        <f t="shared" si="3"/>
        <v>100</v>
      </c>
      <c r="O72" s="91">
        <v>9.3000000000000007</v>
      </c>
      <c r="P72" s="92">
        <v>44.9</v>
      </c>
      <c r="Q72" s="92"/>
      <c r="R72" s="93">
        <f t="shared" si="4"/>
        <v>54.2</v>
      </c>
      <c r="S72" s="97">
        <v>2</v>
      </c>
      <c r="T72" s="839"/>
      <c r="U72" s="852"/>
      <c r="V72" s="82" t="s">
        <v>129</v>
      </c>
      <c r="W72" s="73" t="s">
        <v>17</v>
      </c>
      <c r="X72" s="73" t="s">
        <v>18</v>
      </c>
      <c r="Y72" s="83">
        <v>35</v>
      </c>
      <c r="Z72" s="73" t="s">
        <v>130</v>
      </c>
      <c r="AA72" s="73" t="s">
        <v>82</v>
      </c>
      <c r="AB72" s="73" t="s">
        <v>18</v>
      </c>
      <c r="AC72" s="73">
        <v>9.9</v>
      </c>
      <c r="AD72" s="82" t="s">
        <v>132</v>
      </c>
      <c r="AE72" s="73" t="s">
        <v>22</v>
      </c>
      <c r="AF72" s="73" t="s">
        <v>11</v>
      </c>
      <c r="AG72" s="83">
        <v>9.3000000000000007</v>
      </c>
      <c r="AL72" s="82"/>
      <c r="AO72" s="83"/>
      <c r="AP72" s="82"/>
      <c r="AS72" s="83"/>
      <c r="AW72" s="83"/>
      <c r="BA72" s="84"/>
    </row>
    <row r="73" spans="1:53" s="292" customFormat="1">
      <c r="A73" s="292">
        <v>1990</v>
      </c>
      <c r="B73" s="836">
        <v>33149</v>
      </c>
      <c r="C73" s="916" t="s">
        <v>543</v>
      </c>
      <c r="D73" s="916"/>
      <c r="E73" s="292">
        <f>365-E72</f>
        <v>90</v>
      </c>
      <c r="F73" s="292" t="s">
        <v>338</v>
      </c>
      <c r="G73" s="366">
        <v>5</v>
      </c>
      <c r="H73" s="292">
        <v>20</v>
      </c>
      <c r="J73" s="377">
        <v>25</v>
      </c>
      <c r="K73" s="336">
        <f t="shared" si="5"/>
        <v>20</v>
      </c>
      <c r="L73" s="336">
        <f t="shared" si="6"/>
        <v>80</v>
      </c>
      <c r="M73" s="336">
        <f t="shared" si="7"/>
        <v>0</v>
      </c>
      <c r="N73" s="368">
        <f t="shared" ref="N73:N118" si="8">SUM(K73:M73)</f>
        <v>100</v>
      </c>
      <c r="O73" s="335">
        <v>9.3000000000000007</v>
      </c>
      <c r="P73" s="336">
        <v>44.9</v>
      </c>
      <c r="Q73" s="336"/>
      <c r="R73" s="337">
        <f t="shared" ref="R73:R119" si="9">SUM(O73:Q73)</f>
        <v>54.2</v>
      </c>
      <c r="S73" s="340">
        <v>2</v>
      </c>
      <c r="T73" s="838"/>
      <c r="U73" s="836">
        <v>33149</v>
      </c>
      <c r="V73" s="299" t="s">
        <v>129</v>
      </c>
      <c r="W73" s="292" t="s">
        <v>17</v>
      </c>
      <c r="X73" s="292" t="s">
        <v>18</v>
      </c>
      <c r="Y73" s="300">
        <v>35</v>
      </c>
      <c r="Z73" s="292" t="s">
        <v>130</v>
      </c>
      <c r="AA73" s="292" t="s">
        <v>82</v>
      </c>
      <c r="AB73" s="292" t="s">
        <v>18</v>
      </c>
      <c r="AC73" s="292">
        <v>9.9</v>
      </c>
      <c r="AD73" s="299" t="s">
        <v>132</v>
      </c>
      <c r="AE73" s="292" t="s">
        <v>22</v>
      </c>
      <c r="AF73" s="292" t="s">
        <v>11</v>
      </c>
      <c r="AG73" s="300">
        <v>9.3000000000000007</v>
      </c>
      <c r="AL73" s="299"/>
      <c r="AO73" s="300"/>
      <c r="AP73" s="299"/>
      <c r="AS73" s="300"/>
      <c r="AW73" s="300"/>
      <c r="BA73" s="301"/>
    </row>
    <row r="74" spans="1:53" s="292" customFormat="1">
      <c r="A74" s="292">
        <v>1991</v>
      </c>
      <c r="B74" s="836"/>
      <c r="C74" s="916" t="s">
        <v>543</v>
      </c>
      <c r="D74" s="916"/>
      <c r="E74" s="292">
        <v>17</v>
      </c>
      <c r="G74" s="366">
        <v>5</v>
      </c>
      <c r="H74" s="292">
        <v>20</v>
      </c>
      <c r="J74" s="377">
        <v>25</v>
      </c>
      <c r="K74" s="336">
        <f t="shared" si="5"/>
        <v>20</v>
      </c>
      <c r="L74" s="336">
        <f t="shared" si="6"/>
        <v>80</v>
      </c>
      <c r="M74" s="336">
        <f t="shared" si="7"/>
        <v>0</v>
      </c>
      <c r="N74" s="368">
        <f t="shared" si="8"/>
        <v>100</v>
      </c>
      <c r="O74" s="335">
        <v>9.3000000000000007</v>
      </c>
      <c r="P74" s="336">
        <v>44.9</v>
      </c>
      <c r="Q74" s="336"/>
      <c r="R74" s="337">
        <f t="shared" si="9"/>
        <v>54.2</v>
      </c>
      <c r="S74" s="340">
        <v>2</v>
      </c>
      <c r="T74" s="838">
        <v>33209</v>
      </c>
      <c r="U74" s="836"/>
      <c r="V74" s="299" t="s">
        <v>129</v>
      </c>
      <c r="W74" s="292" t="s">
        <v>17</v>
      </c>
      <c r="X74" s="292" t="s">
        <v>18</v>
      </c>
      <c r="Y74" s="300">
        <v>35</v>
      </c>
      <c r="Z74" s="292" t="s">
        <v>130</v>
      </c>
      <c r="AA74" s="292" t="s">
        <v>82</v>
      </c>
      <c r="AB74" s="292" t="s">
        <v>18</v>
      </c>
      <c r="AC74" s="292">
        <v>9.9</v>
      </c>
      <c r="AD74" s="299" t="s">
        <v>132</v>
      </c>
      <c r="AE74" s="292" t="s">
        <v>22</v>
      </c>
      <c r="AF74" s="292" t="s">
        <v>11</v>
      </c>
      <c r="AG74" s="300">
        <v>9.3000000000000007</v>
      </c>
      <c r="AL74" s="299"/>
      <c r="AO74" s="300"/>
      <c r="AP74" s="299"/>
      <c r="AS74" s="300"/>
      <c r="AW74" s="300"/>
      <c r="BA74" s="301"/>
    </row>
    <row r="75" spans="1:53" s="73" customFormat="1">
      <c r="A75" s="73">
        <v>1991</v>
      </c>
      <c r="B75" s="852">
        <v>33256</v>
      </c>
      <c r="C75" s="917" t="s">
        <v>544</v>
      </c>
      <c r="D75" s="917"/>
      <c r="E75" s="73">
        <f>365-E74</f>
        <v>348</v>
      </c>
      <c r="F75" s="73">
        <v>1</v>
      </c>
      <c r="G75" s="119">
        <v>5</v>
      </c>
      <c r="H75" s="73">
        <v>15</v>
      </c>
      <c r="J75" s="126">
        <v>20</v>
      </c>
      <c r="K75" s="92">
        <f t="shared" si="5"/>
        <v>25</v>
      </c>
      <c r="L75" s="92">
        <f t="shared" si="6"/>
        <v>75</v>
      </c>
      <c r="M75" s="92">
        <f t="shared" si="7"/>
        <v>0</v>
      </c>
      <c r="N75" s="121">
        <f t="shared" si="8"/>
        <v>100</v>
      </c>
      <c r="O75" s="91">
        <v>11.9</v>
      </c>
      <c r="P75" s="92">
        <v>48.2</v>
      </c>
      <c r="Q75" s="92"/>
      <c r="R75" s="93">
        <f t="shared" si="9"/>
        <v>60.1</v>
      </c>
      <c r="S75" s="97">
        <v>2</v>
      </c>
      <c r="T75" s="839"/>
      <c r="U75" s="852">
        <v>33256</v>
      </c>
      <c r="V75" s="82" t="s">
        <v>129</v>
      </c>
      <c r="W75" s="73" t="s">
        <v>17</v>
      </c>
      <c r="X75" s="73" t="s">
        <v>18</v>
      </c>
      <c r="Y75" s="83">
        <v>40.5</v>
      </c>
      <c r="Z75" s="73" t="s">
        <v>130</v>
      </c>
      <c r="AA75" s="73" t="s">
        <v>82</v>
      </c>
      <c r="AB75" s="73" t="s">
        <v>18</v>
      </c>
      <c r="AC75" s="73">
        <v>7.7</v>
      </c>
      <c r="AD75" s="82" t="s">
        <v>132</v>
      </c>
      <c r="AE75" s="73" t="s">
        <v>22</v>
      </c>
      <c r="AF75" s="73" t="s">
        <v>11</v>
      </c>
      <c r="AG75" s="83">
        <v>11.9</v>
      </c>
      <c r="AL75" s="82"/>
      <c r="AO75" s="83"/>
      <c r="AP75" s="82"/>
      <c r="AS75" s="83"/>
      <c r="AW75" s="83"/>
      <c r="BA75" s="84"/>
    </row>
    <row r="76" spans="1:53" s="73" customFormat="1">
      <c r="A76" s="73">
        <v>1992</v>
      </c>
      <c r="B76" s="852"/>
      <c r="C76" s="917" t="s">
        <v>544</v>
      </c>
      <c r="D76" s="917"/>
      <c r="E76" s="73">
        <v>0</v>
      </c>
      <c r="G76" s="119">
        <v>5</v>
      </c>
      <c r="H76" s="73">
        <v>15</v>
      </c>
      <c r="J76" s="126">
        <v>20</v>
      </c>
      <c r="K76" s="92">
        <f t="shared" si="5"/>
        <v>25</v>
      </c>
      <c r="L76" s="92">
        <f t="shared" si="6"/>
        <v>75</v>
      </c>
      <c r="M76" s="92">
        <f t="shared" si="7"/>
        <v>0</v>
      </c>
      <c r="N76" s="121">
        <f t="shared" si="8"/>
        <v>100</v>
      </c>
      <c r="O76" s="91">
        <v>11.9</v>
      </c>
      <c r="P76" s="92">
        <v>48.2</v>
      </c>
      <c r="Q76" s="92"/>
      <c r="R76" s="93">
        <f t="shared" si="9"/>
        <v>60.1</v>
      </c>
      <c r="S76" s="97">
        <v>2</v>
      </c>
      <c r="T76" s="839"/>
      <c r="U76" s="852"/>
      <c r="V76" s="82" t="s">
        <v>129</v>
      </c>
      <c r="W76" s="73" t="s">
        <v>17</v>
      </c>
      <c r="X76" s="73" t="s">
        <v>18</v>
      </c>
      <c r="Y76" s="83">
        <v>40.5</v>
      </c>
      <c r="Z76" s="73" t="s">
        <v>130</v>
      </c>
      <c r="AA76" s="73" t="s">
        <v>82</v>
      </c>
      <c r="AB76" s="73" t="s">
        <v>18</v>
      </c>
      <c r="AC76" s="73">
        <v>7.7</v>
      </c>
      <c r="AD76" s="82" t="s">
        <v>132</v>
      </c>
      <c r="AE76" s="73" t="s">
        <v>22</v>
      </c>
      <c r="AF76" s="73" t="s">
        <v>11</v>
      </c>
      <c r="AG76" s="83">
        <v>11.9</v>
      </c>
      <c r="AL76" s="82"/>
      <c r="AO76" s="83"/>
      <c r="AP76" s="82"/>
      <c r="AS76" s="83"/>
      <c r="AW76" s="83"/>
      <c r="BA76" s="84"/>
    </row>
    <row r="77" spans="1:53" s="73" customFormat="1">
      <c r="A77" s="73">
        <v>1992</v>
      </c>
      <c r="B77" s="852"/>
      <c r="C77" s="917" t="s">
        <v>544</v>
      </c>
      <c r="D77" s="917"/>
      <c r="E77" s="73">
        <v>366</v>
      </c>
      <c r="G77" s="119">
        <v>5</v>
      </c>
      <c r="H77" s="73">
        <v>15</v>
      </c>
      <c r="J77" s="126">
        <v>20</v>
      </c>
      <c r="K77" s="92">
        <f t="shared" si="5"/>
        <v>25</v>
      </c>
      <c r="L77" s="92">
        <f t="shared" si="6"/>
        <v>75</v>
      </c>
      <c r="M77" s="92">
        <f t="shared" si="7"/>
        <v>0</v>
      </c>
      <c r="N77" s="121">
        <f t="shared" si="8"/>
        <v>100</v>
      </c>
      <c r="O77" s="91">
        <v>11.9</v>
      </c>
      <c r="P77" s="92">
        <v>48.2</v>
      </c>
      <c r="Q77" s="92"/>
      <c r="R77" s="93">
        <f t="shared" si="9"/>
        <v>60.1</v>
      </c>
      <c r="S77" s="97">
        <v>2</v>
      </c>
      <c r="T77" s="839"/>
      <c r="U77" s="852"/>
      <c r="V77" s="82" t="s">
        <v>129</v>
      </c>
      <c r="W77" s="73" t="s">
        <v>17</v>
      </c>
      <c r="X77" s="73" t="s">
        <v>18</v>
      </c>
      <c r="Y77" s="83">
        <v>40.5</v>
      </c>
      <c r="Z77" s="73" t="s">
        <v>130</v>
      </c>
      <c r="AA77" s="73" t="s">
        <v>82</v>
      </c>
      <c r="AB77" s="73" t="s">
        <v>18</v>
      </c>
      <c r="AC77" s="73">
        <v>7.7</v>
      </c>
      <c r="AD77" s="82" t="s">
        <v>132</v>
      </c>
      <c r="AE77" s="73" t="s">
        <v>22</v>
      </c>
      <c r="AF77" s="73" t="s">
        <v>11</v>
      </c>
      <c r="AG77" s="83">
        <v>11.9</v>
      </c>
      <c r="AL77" s="82"/>
      <c r="AO77" s="83"/>
      <c r="AP77" s="82"/>
      <c r="AS77" s="83"/>
      <c r="AW77" s="83"/>
      <c r="BA77" s="84"/>
    </row>
    <row r="78" spans="1:53" s="73" customFormat="1">
      <c r="A78" s="73">
        <v>1993</v>
      </c>
      <c r="B78" s="852"/>
      <c r="C78" s="917" t="s">
        <v>544</v>
      </c>
      <c r="D78" s="917"/>
      <c r="E78" s="73">
        <v>0</v>
      </c>
      <c r="G78" s="119">
        <v>5</v>
      </c>
      <c r="H78" s="73">
        <v>15</v>
      </c>
      <c r="J78" s="126">
        <v>20</v>
      </c>
      <c r="K78" s="92">
        <f t="shared" ref="K78:K101" si="10">G78/J78*100</f>
        <v>25</v>
      </c>
      <c r="L78" s="92">
        <f t="shared" ref="L78:L101" si="11">H78/J78*100</f>
        <v>75</v>
      </c>
      <c r="M78" s="92">
        <f t="shared" ref="M78:M101" si="12">I78/J78*100</f>
        <v>0</v>
      </c>
      <c r="N78" s="121">
        <f t="shared" si="8"/>
        <v>100</v>
      </c>
      <c r="O78" s="91">
        <v>11.9</v>
      </c>
      <c r="P78" s="92">
        <v>48.2</v>
      </c>
      <c r="Q78" s="92"/>
      <c r="R78" s="93">
        <f t="shared" si="9"/>
        <v>60.1</v>
      </c>
      <c r="S78" s="97">
        <v>2</v>
      </c>
      <c r="T78" s="839"/>
      <c r="U78" s="852"/>
      <c r="V78" s="82" t="s">
        <v>129</v>
      </c>
      <c r="W78" s="73" t="s">
        <v>17</v>
      </c>
      <c r="X78" s="73" t="s">
        <v>18</v>
      </c>
      <c r="Y78" s="83">
        <v>40.5</v>
      </c>
      <c r="Z78" s="73" t="s">
        <v>130</v>
      </c>
      <c r="AA78" s="73" t="s">
        <v>82</v>
      </c>
      <c r="AB78" s="73" t="s">
        <v>18</v>
      </c>
      <c r="AC78" s="73">
        <v>7.7</v>
      </c>
      <c r="AD78" s="82" t="s">
        <v>132</v>
      </c>
      <c r="AE78" s="73" t="s">
        <v>22</v>
      </c>
      <c r="AF78" s="73" t="s">
        <v>11</v>
      </c>
      <c r="AG78" s="83">
        <v>11.9</v>
      </c>
      <c r="AL78" s="82"/>
      <c r="AO78" s="83"/>
      <c r="AP78" s="82"/>
      <c r="AS78" s="83"/>
      <c r="AW78" s="83"/>
      <c r="BA78" s="84"/>
    </row>
    <row r="79" spans="1:53" s="73" customFormat="1">
      <c r="A79" s="73">
        <v>1993</v>
      </c>
      <c r="B79" s="852"/>
      <c r="C79" s="917" t="s">
        <v>544</v>
      </c>
      <c r="D79" s="917"/>
      <c r="E79" s="73">
        <f>365-E78</f>
        <v>365</v>
      </c>
      <c r="G79" s="119">
        <v>5</v>
      </c>
      <c r="H79" s="73">
        <v>15</v>
      </c>
      <c r="J79" s="126">
        <v>20</v>
      </c>
      <c r="K79" s="92">
        <f t="shared" si="10"/>
        <v>25</v>
      </c>
      <c r="L79" s="92">
        <f t="shared" si="11"/>
        <v>75</v>
      </c>
      <c r="M79" s="92">
        <f t="shared" si="12"/>
        <v>0</v>
      </c>
      <c r="N79" s="121">
        <f t="shared" si="8"/>
        <v>100</v>
      </c>
      <c r="O79" s="91">
        <v>11.9</v>
      </c>
      <c r="P79" s="92">
        <v>48.2</v>
      </c>
      <c r="Q79" s="92"/>
      <c r="R79" s="93">
        <f t="shared" si="9"/>
        <v>60.1</v>
      </c>
      <c r="S79" s="97">
        <v>2</v>
      </c>
      <c r="T79" s="839"/>
      <c r="U79" s="852"/>
      <c r="V79" s="82" t="s">
        <v>129</v>
      </c>
      <c r="W79" s="73" t="s">
        <v>17</v>
      </c>
      <c r="X79" s="73" t="s">
        <v>18</v>
      </c>
      <c r="Y79" s="83">
        <v>40.5</v>
      </c>
      <c r="Z79" s="73" t="s">
        <v>130</v>
      </c>
      <c r="AA79" s="73" t="s">
        <v>82</v>
      </c>
      <c r="AB79" s="73" t="s">
        <v>18</v>
      </c>
      <c r="AC79" s="73">
        <v>7.7</v>
      </c>
      <c r="AD79" s="82" t="s">
        <v>132</v>
      </c>
      <c r="AE79" s="73" t="s">
        <v>22</v>
      </c>
      <c r="AF79" s="73" t="s">
        <v>11</v>
      </c>
      <c r="AG79" s="83">
        <v>11.9</v>
      </c>
      <c r="AL79" s="82"/>
      <c r="AO79" s="83"/>
      <c r="AP79" s="82"/>
      <c r="AS79" s="83"/>
      <c r="AW79" s="83"/>
      <c r="BA79" s="84"/>
    </row>
    <row r="80" spans="1:53" s="73" customFormat="1">
      <c r="A80" s="73">
        <v>1994</v>
      </c>
      <c r="B80" s="852"/>
      <c r="C80" s="917" t="s">
        <v>544</v>
      </c>
      <c r="D80" s="917"/>
      <c r="E80" s="73">
        <v>320</v>
      </c>
      <c r="G80" s="119">
        <v>5</v>
      </c>
      <c r="H80" s="73">
        <v>15</v>
      </c>
      <c r="J80" s="126">
        <v>20</v>
      </c>
      <c r="K80" s="92">
        <f t="shared" si="10"/>
        <v>25</v>
      </c>
      <c r="L80" s="92">
        <f t="shared" si="11"/>
        <v>75</v>
      </c>
      <c r="M80" s="92">
        <f t="shared" si="12"/>
        <v>0</v>
      </c>
      <c r="N80" s="121">
        <f t="shared" si="8"/>
        <v>100</v>
      </c>
      <c r="O80" s="91">
        <v>11.9</v>
      </c>
      <c r="P80" s="92">
        <v>48.2</v>
      </c>
      <c r="Q80" s="92"/>
      <c r="R80" s="93">
        <f t="shared" si="9"/>
        <v>60.1</v>
      </c>
      <c r="S80" s="97">
        <v>2</v>
      </c>
      <c r="T80" s="839"/>
      <c r="U80" s="852"/>
      <c r="V80" s="82" t="s">
        <v>129</v>
      </c>
      <c r="W80" s="73" t="s">
        <v>17</v>
      </c>
      <c r="X80" s="73" t="s">
        <v>18</v>
      </c>
      <c r="Y80" s="83">
        <v>40.5</v>
      </c>
      <c r="Z80" s="73" t="s">
        <v>130</v>
      </c>
      <c r="AA80" s="73" t="s">
        <v>82</v>
      </c>
      <c r="AB80" s="73" t="s">
        <v>18</v>
      </c>
      <c r="AC80" s="73">
        <v>7.7</v>
      </c>
      <c r="AD80" s="82" t="s">
        <v>132</v>
      </c>
      <c r="AE80" s="73" t="s">
        <v>22</v>
      </c>
      <c r="AF80" s="73" t="s">
        <v>11</v>
      </c>
      <c r="AG80" s="83">
        <v>11.9</v>
      </c>
      <c r="AL80" s="82"/>
      <c r="AO80" s="83"/>
      <c r="AP80" s="82"/>
      <c r="AS80" s="83"/>
      <c r="AW80" s="83"/>
      <c r="BA80" s="84"/>
    </row>
    <row r="81" spans="1:53" s="292" customFormat="1">
      <c r="A81" s="292">
        <v>1994</v>
      </c>
      <c r="B81" s="836">
        <v>34655</v>
      </c>
      <c r="C81" s="916" t="s">
        <v>545</v>
      </c>
      <c r="D81" s="916"/>
      <c r="E81" s="292">
        <f>365-E80</f>
        <v>45</v>
      </c>
      <c r="F81" s="292">
        <v>1</v>
      </c>
      <c r="G81" s="366">
        <v>3</v>
      </c>
      <c r="H81" s="292">
        <v>15</v>
      </c>
      <c r="J81" s="377">
        <v>18</v>
      </c>
      <c r="K81" s="336">
        <f t="shared" si="10"/>
        <v>16.666666666666664</v>
      </c>
      <c r="L81" s="336">
        <f t="shared" si="11"/>
        <v>83.333333333333343</v>
      </c>
      <c r="M81" s="336">
        <f t="shared" si="12"/>
        <v>0</v>
      </c>
      <c r="N81" s="368">
        <f t="shared" si="8"/>
        <v>100</v>
      </c>
      <c r="O81" s="335">
        <v>7</v>
      </c>
      <c r="P81" s="336">
        <v>43.7</v>
      </c>
      <c r="Q81" s="336"/>
      <c r="R81" s="337">
        <f t="shared" si="9"/>
        <v>50.7</v>
      </c>
      <c r="S81" s="340">
        <v>2</v>
      </c>
      <c r="T81" s="838">
        <v>34623</v>
      </c>
      <c r="U81" s="836">
        <v>34655</v>
      </c>
      <c r="V81" s="299" t="s">
        <v>129</v>
      </c>
      <c r="W81" s="292" t="s">
        <v>17</v>
      </c>
      <c r="X81" s="292" t="s">
        <v>18</v>
      </c>
      <c r="Y81" s="300">
        <v>36.299999999999997</v>
      </c>
      <c r="Z81" s="292" t="s">
        <v>130</v>
      </c>
      <c r="AA81" s="292" t="s">
        <v>82</v>
      </c>
      <c r="AB81" s="292" t="s">
        <v>18</v>
      </c>
      <c r="AC81" s="292">
        <v>7.4</v>
      </c>
      <c r="AD81" s="299" t="s">
        <v>132</v>
      </c>
      <c r="AE81" s="292" t="s">
        <v>22</v>
      </c>
      <c r="AF81" s="292" t="s">
        <v>11</v>
      </c>
      <c r="AG81" s="300">
        <v>7</v>
      </c>
      <c r="AL81" s="299"/>
      <c r="AO81" s="300"/>
      <c r="AP81" s="299"/>
      <c r="AS81" s="300"/>
      <c r="AW81" s="300"/>
      <c r="BA81" s="301"/>
    </row>
    <row r="82" spans="1:53" s="292" customFormat="1">
      <c r="A82" s="292">
        <v>1995</v>
      </c>
      <c r="B82" s="836"/>
      <c r="C82" s="916" t="s">
        <v>545</v>
      </c>
      <c r="D82" s="916"/>
      <c r="E82" s="292">
        <v>0</v>
      </c>
      <c r="G82" s="366">
        <v>3</v>
      </c>
      <c r="H82" s="292">
        <v>15</v>
      </c>
      <c r="J82" s="377">
        <v>18</v>
      </c>
      <c r="K82" s="336">
        <f t="shared" si="10"/>
        <v>16.666666666666664</v>
      </c>
      <c r="L82" s="336">
        <f t="shared" si="11"/>
        <v>83.333333333333343</v>
      </c>
      <c r="M82" s="336">
        <f t="shared" si="12"/>
        <v>0</v>
      </c>
      <c r="N82" s="368">
        <f t="shared" si="8"/>
        <v>100</v>
      </c>
      <c r="O82" s="335">
        <v>7</v>
      </c>
      <c r="P82" s="336">
        <v>43.7</v>
      </c>
      <c r="Q82" s="336"/>
      <c r="R82" s="337">
        <f t="shared" si="9"/>
        <v>50.7</v>
      </c>
      <c r="S82" s="340">
        <v>2</v>
      </c>
      <c r="T82" s="838"/>
      <c r="U82" s="836"/>
      <c r="V82" s="299" t="s">
        <v>129</v>
      </c>
      <c r="W82" s="292" t="s">
        <v>17</v>
      </c>
      <c r="X82" s="292" t="s">
        <v>18</v>
      </c>
      <c r="Y82" s="300">
        <v>36.299999999999997</v>
      </c>
      <c r="Z82" s="292" t="s">
        <v>130</v>
      </c>
      <c r="AA82" s="292" t="s">
        <v>82</v>
      </c>
      <c r="AB82" s="292" t="s">
        <v>18</v>
      </c>
      <c r="AC82" s="292">
        <v>7.4</v>
      </c>
      <c r="AD82" s="299" t="s">
        <v>132</v>
      </c>
      <c r="AE82" s="292" t="s">
        <v>22</v>
      </c>
      <c r="AF82" s="292" t="s">
        <v>11</v>
      </c>
      <c r="AG82" s="300">
        <v>7</v>
      </c>
      <c r="AL82" s="299"/>
      <c r="AO82" s="300"/>
      <c r="AP82" s="299"/>
      <c r="AS82" s="300"/>
      <c r="AW82" s="300"/>
      <c r="BA82" s="301"/>
    </row>
    <row r="83" spans="1:53" s="292" customFormat="1">
      <c r="A83" s="292">
        <v>1995</v>
      </c>
      <c r="B83" s="836"/>
      <c r="C83" s="916" t="s">
        <v>545</v>
      </c>
      <c r="D83" s="916"/>
      <c r="E83" s="292">
        <f>365-E82</f>
        <v>365</v>
      </c>
      <c r="G83" s="366">
        <v>3</v>
      </c>
      <c r="H83" s="292">
        <v>15</v>
      </c>
      <c r="J83" s="377">
        <v>18</v>
      </c>
      <c r="K83" s="336">
        <f t="shared" si="10"/>
        <v>16.666666666666664</v>
      </c>
      <c r="L83" s="336">
        <f t="shared" si="11"/>
        <v>83.333333333333343</v>
      </c>
      <c r="M83" s="336">
        <f t="shared" si="12"/>
        <v>0</v>
      </c>
      <c r="N83" s="368">
        <f t="shared" si="8"/>
        <v>100</v>
      </c>
      <c r="O83" s="335">
        <v>7</v>
      </c>
      <c r="P83" s="336">
        <v>43.7</v>
      </c>
      <c r="Q83" s="336"/>
      <c r="R83" s="337">
        <f t="shared" si="9"/>
        <v>50.7</v>
      </c>
      <c r="S83" s="340">
        <v>2</v>
      </c>
      <c r="T83" s="838"/>
      <c r="U83" s="836"/>
      <c r="V83" s="299" t="s">
        <v>129</v>
      </c>
      <c r="W83" s="292" t="s">
        <v>17</v>
      </c>
      <c r="X83" s="292" t="s">
        <v>18</v>
      </c>
      <c r="Y83" s="300">
        <v>36.299999999999997</v>
      </c>
      <c r="Z83" s="292" t="s">
        <v>130</v>
      </c>
      <c r="AA83" s="292" t="s">
        <v>82</v>
      </c>
      <c r="AB83" s="292" t="s">
        <v>18</v>
      </c>
      <c r="AC83" s="292">
        <v>7.4</v>
      </c>
      <c r="AD83" s="299" t="s">
        <v>132</v>
      </c>
      <c r="AE83" s="292" t="s">
        <v>22</v>
      </c>
      <c r="AF83" s="292" t="s">
        <v>11</v>
      </c>
      <c r="AG83" s="300">
        <v>7</v>
      </c>
      <c r="AL83" s="299"/>
      <c r="AO83" s="300"/>
      <c r="AP83" s="299"/>
      <c r="AS83" s="300"/>
      <c r="AW83" s="300"/>
      <c r="BA83" s="301"/>
    </row>
    <row r="84" spans="1:53" s="292" customFormat="1">
      <c r="A84" s="292">
        <v>1996</v>
      </c>
      <c r="B84" s="836"/>
      <c r="C84" s="916" t="s">
        <v>545</v>
      </c>
      <c r="D84" s="916"/>
      <c r="E84" s="292">
        <v>0</v>
      </c>
      <c r="G84" s="366">
        <v>3</v>
      </c>
      <c r="H84" s="292">
        <v>15</v>
      </c>
      <c r="J84" s="377">
        <v>18</v>
      </c>
      <c r="K84" s="336">
        <f t="shared" si="10"/>
        <v>16.666666666666664</v>
      </c>
      <c r="L84" s="336">
        <f t="shared" si="11"/>
        <v>83.333333333333343</v>
      </c>
      <c r="M84" s="336">
        <f t="shared" si="12"/>
        <v>0</v>
      </c>
      <c r="N84" s="368">
        <f t="shared" si="8"/>
        <v>100</v>
      </c>
      <c r="O84" s="335">
        <v>7</v>
      </c>
      <c r="P84" s="336">
        <v>43.7</v>
      </c>
      <c r="Q84" s="336"/>
      <c r="R84" s="337">
        <f t="shared" si="9"/>
        <v>50.7</v>
      </c>
      <c r="S84" s="340">
        <v>2</v>
      </c>
      <c r="T84" s="838"/>
      <c r="U84" s="836"/>
      <c r="V84" s="299" t="s">
        <v>129</v>
      </c>
      <c r="W84" s="292" t="s">
        <v>17</v>
      </c>
      <c r="X84" s="292" t="s">
        <v>18</v>
      </c>
      <c r="Y84" s="300">
        <v>36.299999999999997</v>
      </c>
      <c r="Z84" s="292" t="s">
        <v>130</v>
      </c>
      <c r="AA84" s="292" t="s">
        <v>82</v>
      </c>
      <c r="AB84" s="292" t="s">
        <v>18</v>
      </c>
      <c r="AC84" s="292">
        <v>7.4</v>
      </c>
      <c r="AD84" s="299" t="s">
        <v>132</v>
      </c>
      <c r="AE84" s="292" t="s">
        <v>22</v>
      </c>
      <c r="AF84" s="292" t="s">
        <v>11</v>
      </c>
      <c r="AG84" s="300">
        <v>7</v>
      </c>
      <c r="AL84" s="299"/>
      <c r="AO84" s="300"/>
      <c r="AP84" s="299"/>
      <c r="AS84" s="300"/>
      <c r="AW84" s="300"/>
      <c r="BA84" s="301"/>
    </row>
    <row r="85" spans="1:53" s="292" customFormat="1">
      <c r="A85" s="292">
        <v>1996</v>
      </c>
      <c r="B85" s="836"/>
      <c r="C85" s="916" t="s">
        <v>545</v>
      </c>
      <c r="D85" s="916"/>
      <c r="E85" s="292">
        <v>366</v>
      </c>
      <c r="G85" s="366">
        <v>3</v>
      </c>
      <c r="H85" s="292">
        <v>15</v>
      </c>
      <c r="J85" s="377">
        <v>18</v>
      </c>
      <c r="K85" s="336">
        <f t="shared" si="10"/>
        <v>16.666666666666664</v>
      </c>
      <c r="L85" s="336">
        <f t="shared" si="11"/>
        <v>83.333333333333343</v>
      </c>
      <c r="M85" s="336">
        <f t="shared" si="12"/>
        <v>0</v>
      </c>
      <c r="N85" s="368">
        <f t="shared" si="8"/>
        <v>100</v>
      </c>
      <c r="O85" s="335">
        <v>7</v>
      </c>
      <c r="P85" s="336">
        <v>43.7</v>
      </c>
      <c r="Q85" s="336"/>
      <c r="R85" s="337">
        <f t="shared" si="9"/>
        <v>50.7</v>
      </c>
      <c r="S85" s="340">
        <v>2</v>
      </c>
      <c r="T85" s="838"/>
      <c r="U85" s="836"/>
      <c r="V85" s="299" t="s">
        <v>129</v>
      </c>
      <c r="W85" s="292" t="s">
        <v>17</v>
      </c>
      <c r="X85" s="292" t="s">
        <v>18</v>
      </c>
      <c r="Y85" s="300">
        <v>36.299999999999997</v>
      </c>
      <c r="Z85" s="292" t="s">
        <v>130</v>
      </c>
      <c r="AA85" s="292" t="s">
        <v>82</v>
      </c>
      <c r="AB85" s="292" t="s">
        <v>18</v>
      </c>
      <c r="AC85" s="292">
        <v>7.4</v>
      </c>
      <c r="AD85" s="299" t="s">
        <v>132</v>
      </c>
      <c r="AE85" s="292" t="s">
        <v>22</v>
      </c>
      <c r="AF85" s="292" t="s">
        <v>11</v>
      </c>
      <c r="AG85" s="300">
        <v>7</v>
      </c>
      <c r="AL85" s="299"/>
      <c r="AO85" s="300"/>
      <c r="AP85" s="299"/>
      <c r="AS85" s="300"/>
      <c r="AW85" s="300"/>
      <c r="BA85" s="301"/>
    </row>
    <row r="86" spans="1:53" s="292" customFormat="1">
      <c r="A86" s="292">
        <v>1997</v>
      </c>
      <c r="B86" s="836"/>
      <c r="C86" s="916" t="s">
        <v>545</v>
      </c>
      <c r="D86" s="916"/>
      <c r="E86" s="292">
        <v>364</v>
      </c>
      <c r="G86" s="366">
        <v>3</v>
      </c>
      <c r="H86" s="292">
        <v>15</v>
      </c>
      <c r="J86" s="377">
        <v>18</v>
      </c>
      <c r="K86" s="336">
        <f t="shared" si="10"/>
        <v>16.666666666666664</v>
      </c>
      <c r="L86" s="336">
        <f t="shared" si="11"/>
        <v>83.333333333333343</v>
      </c>
      <c r="M86" s="336">
        <f t="shared" si="12"/>
        <v>0</v>
      </c>
      <c r="N86" s="368">
        <f t="shared" si="8"/>
        <v>100</v>
      </c>
      <c r="O86" s="335">
        <v>7</v>
      </c>
      <c r="P86" s="336">
        <v>43.7</v>
      </c>
      <c r="Q86" s="336"/>
      <c r="R86" s="337">
        <f t="shared" si="9"/>
        <v>50.7</v>
      </c>
      <c r="S86" s="340">
        <v>2</v>
      </c>
      <c r="T86" s="838"/>
      <c r="U86" s="836"/>
      <c r="V86" s="299" t="s">
        <v>129</v>
      </c>
      <c r="W86" s="292" t="s">
        <v>17</v>
      </c>
      <c r="X86" s="292" t="s">
        <v>18</v>
      </c>
      <c r="Y86" s="300">
        <v>36.299999999999997</v>
      </c>
      <c r="Z86" s="292" t="s">
        <v>130</v>
      </c>
      <c r="AA86" s="292" t="s">
        <v>82</v>
      </c>
      <c r="AB86" s="292" t="s">
        <v>18</v>
      </c>
      <c r="AC86" s="292">
        <v>7.4</v>
      </c>
      <c r="AD86" s="299" t="s">
        <v>132</v>
      </c>
      <c r="AE86" s="292" t="s">
        <v>22</v>
      </c>
      <c r="AF86" s="292" t="s">
        <v>11</v>
      </c>
      <c r="AG86" s="300">
        <v>7</v>
      </c>
      <c r="AL86" s="299"/>
      <c r="AO86" s="300"/>
      <c r="AP86" s="299"/>
      <c r="AS86" s="300"/>
      <c r="AW86" s="300"/>
      <c r="BA86" s="301"/>
    </row>
    <row r="87" spans="1:53" s="292" customFormat="1">
      <c r="A87" s="292">
        <v>1997</v>
      </c>
      <c r="B87" s="865">
        <v>35795</v>
      </c>
      <c r="C87" s="916" t="s">
        <v>545</v>
      </c>
      <c r="D87" s="916"/>
      <c r="E87" s="292">
        <f>365-E86</f>
        <v>1</v>
      </c>
      <c r="F87" s="381">
        <v>0</v>
      </c>
      <c r="G87" s="366">
        <v>3</v>
      </c>
      <c r="H87" s="292">
        <v>14</v>
      </c>
      <c r="J87" s="377">
        <v>17</v>
      </c>
      <c r="K87" s="336">
        <f t="shared" si="10"/>
        <v>17.647058823529413</v>
      </c>
      <c r="L87" s="336">
        <f t="shared" si="11"/>
        <v>82.35294117647058</v>
      </c>
      <c r="M87" s="336">
        <f t="shared" si="12"/>
        <v>0</v>
      </c>
      <c r="N87" s="368">
        <f t="shared" si="8"/>
        <v>100</v>
      </c>
      <c r="O87" s="335">
        <v>7</v>
      </c>
      <c r="P87" s="336">
        <v>43.7</v>
      </c>
      <c r="Q87" s="336"/>
      <c r="R87" s="337">
        <f t="shared" si="9"/>
        <v>50.7</v>
      </c>
      <c r="S87" s="340">
        <v>2</v>
      </c>
      <c r="T87" s="838"/>
      <c r="U87" s="836"/>
      <c r="V87" s="299" t="s">
        <v>129</v>
      </c>
      <c r="W87" s="292" t="s">
        <v>17</v>
      </c>
      <c r="X87" s="292" t="s">
        <v>18</v>
      </c>
      <c r="Y87" s="300">
        <v>36.299999999999997</v>
      </c>
      <c r="Z87" s="292" t="s">
        <v>130</v>
      </c>
      <c r="AA87" s="292" t="s">
        <v>82</v>
      </c>
      <c r="AB87" s="292" t="s">
        <v>18</v>
      </c>
      <c r="AC87" s="292">
        <v>7.4</v>
      </c>
      <c r="AD87" s="299" t="s">
        <v>132</v>
      </c>
      <c r="AE87" s="292" t="s">
        <v>22</v>
      </c>
      <c r="AF87" s="292" t="s">
        <v>11</v>
      </c>
      <c r="AG87" s="300">
        <v>7</v>
      </c>
      <c r="AL87" s="299"/>
      <c r="AO87" s="300"/>
      <c r="AP87" s="299"/>
      <c r="AS87" s="300"/>
      <c r="AW87" s="300"/>
      <c r="BA87" s="301"/>
    </row>
    <row r="88" spans="1:53" s="292" customFormat="1">
      <c r="A88" s="292">
        <v>1998</v>
      </c>
      <c r="B88" s="836"/>
      <c r="C88" s="916" t="s">
        <v>545</v>
      </c>
      <c r="D88" s="916"/>
      <c r="E88" s="292">
        <v>299</v>
      </c>
      <c r="G88" s="366">
        <v>3</v>
      </c>
      <c r="H88" s="292">
        <v>14</v>
      </c>
      <c r="J88" s="377">
        <v>17</v>
      </c>
      <c r="K88" s="336">
        <f t="shared" si="10"/>
        <v>17.647058823529413</v>
      </c>
      <c r="L88" s="336">
        <f t="shared" si="11"/>
        <v>82.35294117647058</v>
      </c>
      <c r="M88" s="336">
        <f t="shared" si="12"/>
        <v>0</v>
      </c>
      <c r="N88" s="368">
        <f t="shared" si="8"/>
        <v>100</v>
      </c>
      <c r="O88" s="335">
        <v>7</v>
      </c>
      <c r="P88" s="336">
        <v>43.7</v>
      </c>
      <c r="Q88" s="336"/>
      <c r="R88" s="337">
        <f t="shared" si="9"/>
        <v>50.7</v>
      </c>
      <c r="S88" s="340">
        <v>2</v>
      </c>
      <c r="T88" s="838"/>
      <c r="U88" s="836"/>
      <c r="V88" s="299" t="s">
        <v>129</v>
      </c>
      <c r="W88" s="292" t="s">
        <v>17</v>
      </c>
      <c r="X88" s="292" t="s">
        <v>18</v>
      </c>
      <c r="Y88" s="300">
        <v>36.299999999999997</v>
      </c>
      <c r="Z88" s="292" t="s">
        <v>130</v>
      </c>
      <c r="AA88" s="292" t="s">
        <v>82</v>
      </c>
      <c r="AB88" s="292" t="s">
        <v>18</v>
      </c>
      <c r="AC88" s="292">
        <v>7.4</v>
      </c>
      <c r="AD88" s="299" t="s">
        <v>132</v>
      </c>
      <c r="AE88" s="292" t="s">
        <v>22</v>
      </c>
      <c r="AF88" s="292" t="s">
        <v>11</v>
      </c>
      <c r="AG88" s="300">
        <v>7</v>
      </c>
      <c r="AL88" s="299"/>
      <c r="AO88" s="300"/>
      <c r="AP88" s="299"/>
      <c r="AS88" s="300"/>
      <c r="AW88" s="300"/>
      <c r="BA88" s="301"/>
    </row>
    <row r="89" spans="1:53" s="73" customFormat="1">
      <c r="A89" s="73">
        <v>1998</v>
      </c>
      <c r="B89" s="852">
        <v>36095</v>
      </c>
      <c r="C89" s="917" t="s">
        <v>546</v>
      </c>
      <c r="D89" s="917"/>
      <c r="E89" s="73">
        <f>365-E88</f>
        <v>66</v>
      </c>
      <c r="F89" s="73">
        <v>1</v>
      </c>
      <c r="G89" s="119"/>
      <c r="I89" s="73">
        <v>16</v>
      </c>
      <c r="J89" s="126">
        <v>16</v>
      </c>
      <c r="K89" s="92">
        <f t="shared" si="10"/>
        <v>0</v>
      </c>
      <c r="L89" s="92">
        <f t="shared" si="11"/>
        <v>0</v>
      </c>
      <c r="M89" s="92">
        <f t="shared" si="12"/>
        <v>100</v>
      </c>
      <c r="N89" s="121">
        <f t="shared" si="8"/>
        <v>100</v>
      </c>
      <c r="O89" s="91"/>
      <c r="P89" s="92"/>
      <c r="Q89" s="92">
        <v>51.5</v>
      </c>
      <c r="R89" s="93">
        <f t="shared" si="9"/>
        <v>51.5</v>
      </c>
      <c r="S89" s="97">
        <v>2</v>
      </c>
      <c r="T89" s="839">
        <v>36065</v>
      </c>
      <c r="U89" s="852">
        <v>36095</v>
      </c>
      <c r="V89" s="82" t="s">
        <v>133</v>
      </c>
      <c r="W89" s="73" t="s">
        <v>20</v>
      </c>
      <c r="X89" s="73" t="s">
        <v>12</v>
      </c>
      <c r="Y89" s="83">
        <v>44.5</v>
      </c>
      <c r="Z89" s="73" t="s">
        <v>547</v>
      </c>
      <c r="AA89" s="73" t="s">
        <v>218</v>
      </c>
      <c r="AB89" s="73" t="s">
        <v>12</v>
      </c>
      <c r="AC89" s="73">
        <v>7</v>
      </c>
      <c r="AD89" s="82"/>
      <c r="AG89" s="83"/>
      <c r="AL89" s="82"/>
      <c r="AO89" s="83"/>
      <c r="AP89" s="82"/>
      <c r="AS89" s="83"/>
      <c r="AW89" s="83"/>
      <c r="BA89" s="84"/>
    </row>
    <row r="90" spans="1:53" s="73" customFormat="1">
      <c r="A90" s="73">
        <v>1999</v>
      </c>
      <c r="B90" s="852"/>
      <c r="C90" s="917" t="s">
        <v>546</v>
      </c>
      <c r="D90" s="917"/>
      <c r="E90" s="73">
        <v>211</v>
      </c>
      <c r="G90" s="119"/>
      <c r="I90" s="73">
        <v>16</v>
      </c>
      <c r="J90" s="126">
        <v>16</v>
      </c>
      <c r="K90" s="92">
        <f t="shared" si="10"/>
        <v>0</v>
      </c>
      <c r="L90" s="92">
        <f t="shared" si="11"/>
        <v>0</v>
      </c>
      <c r="M90" s="92">
        <f t="shared" si="12"/>
        <v>100</v>
      </c>
      <c r="N90" s="121">
        <f t="shared" si="8"/>
        <v>100</v>
      </c>
      <c r="O90" s="91"/>
      <c r="P90" s="92"/>
      <c r="Q90" s="92">
        <v>51.5</v>
      </c>
      <c r="R90" s="93">
        <f t="shared" si="9"/>
        <v>51.5</v>
      </c>
      <c r="S90" s="97">
        <v>2</v>
      </c>
      <c r="T90" s="839"/>
      <c r="U90" s="852"/>
      <c r="V90" s="82" t="s">
        <v>133</v>
      </c>
      <c r="W90" s="73" t="s">
        <v>20</v>
      </c>
      <c r="X90" s="73" t="s">
        <v>12</v>
      </c>
      <c r="Y90" s="83">
        <v>44.5</v>
      </c>
      <c r="Z90" s="73" t="s">
        <v>547</v>
      </c>
      <c r="AA90" s="73" t="s">
        <v>218</v>
      </c>
      <c r="AB90" s="73" t="s">
        <v>12</v>
      </c>
      <c r="AC90" s="73">
        <v>7</v>
      </c>
      <c r="AD90" s="82"/>
      <c r="AG90" s="83"/>
      <c r="AL90" s="82"/>
      <c r="AO90" s="83"/>
      <c r="AP90" s="82"/>
      <c r="AS90" s="83"/>
      <c r="AW90" s="83"/>
      <c r="BA90" s="84"/>
    </row>
    <row r="91" spans="1:53" s="73" customFormat="1">
      <c r="A91" s="73">
        <v>1999</v>
      </c>
      <c r="B91" s="860">
        <v>36372</v>
      </c>
      <c r="C91" s="917" t="s">
        <v>546</v>
      </c>
      <c r="D91" s="917"/>
      <c r="E91" s="73">
        <f>365-E90</f>
        <v>154</v>
      </c>
      <c r="F91" s="139">
        <v>0</v>
      </c>
      <c r="G91" s="119"/>
      <c r="I91" s="73">
        <v>15</v>
      </c>
      <c r="J91" s="126">
        <v>15</v>
      </c>
      <c r="K91" s="92">
        <f t="shared" si="10"/>
        <v>0</v>
      </c>
      <c r="L91" s="92">
        <f t="shared" si="11"/>
        <v>0</v>
      </c>
      <c r="M91" s="92">
        <f t="shared" si="12"/>
        <v>100</v>
      </c>
      <c r="N91" s="121">
        <f t="shared" si="8"/>
        <v>100</v>
      </c>
      <c r="O91" s="91"/>
      <c r="P91" s="92"/>
      <c r="Q91" s="92">
        <v>51.5</v>
      </c>
      <c r="R91" s="93">
        <f t="shared" si="9"/>
        <v>51.5</v>
      </c>
      <c r="S91" s="97">
        <v>2</v>
      </c>
      <c r="T91" s="839"/>
      <c r="U91" s="852"/>
      <c r="V91" s="82" t="s">
        <v>133</v>
      </c>
      <c r="W91" s="73" t="s">
        <v>20</v>
      </c>
      <c r="X91" s="73" t="s">
        <v>12</v>
      </c>
      <c r="Y91" s="83">
        <v>44.5</v>
      </c>
      <c r="Z91" s="73" t="s">
        <v>547</v>
      </c>
      <c r="AA91" s="73" t="s">
        <v>218</v>
      </c>
      <c r="AB91" s="73" t="s">
        <v>12</v>
      </c>
      <c r="AC91" s="73">
        <v>7</v>
      </c>
      <c r="AD91" s="82"/>
      <c r="AG91" s="83"/>
      <c r="AL91" s="82"/>
      <c r="AO91" s="83"/>
      <c r="AP91" s="82"/>
      <c r="AS91" s="83"/>
      <c r="AW91" s="83"/>
      <c r="BA91" s="84"/>
    </row>
    <row r="92" spans="1:53" s="73" customFormat="1">
      <c r="A92" s="73">
        <v>2000</v>
      </c>
      <c r="B92" s="852"/>
      <c r="C92" s="917" t="s">
        <v>546</v>
      </c>
      <c r="D92" s="917"/>
      <c r="E92" s="73">
        <v>0</v>
      </c>
      <c r="G92" s="119"/>
      <c r="I92" s="73">
        <v>15</v>
      </c>
      <c r="J92" s="126">
        <v>15</v>
      </c>
      <c r="K92" s="92">
        <f t="shared" si="10"/>
        <v>0</v>
      </c>
      <c r="L92" s="92">
        <f t="shared" si="11"/>
        <v>0</v>
      </c>
      <c r="M92" s="92">
        <f t="shared" si="12"/>
        <v>100</v>
      </c>
      <c r="N92" s="121">
        <f t="shared" si="8"/>
        <v>100</v>
      </c>
      <c r="O92" s="91"/>
      <c r="P92" s="92"/>
      <c r="Q92" s="92">
        <v>51.5</v>
      </c>
      <c r="R92" s="93">
        <f t="shared" si="9"/>
        <v>51.5</v>
      </c>
      <c r="S92" s="97">
        <v>2</v>
      </c>
      <c r="T92" s="839"/>
      <c r="U92" s="852"/>
      <c r="V92" s="82" t="s">
        <v>133</v>
      </c>
      <c r="W92" s="73" t="s">
        <v>20</v>
      </c>
      <c r="X92" s="73" t="s">
        <v>12</v>
      </c>
      <c r="Y92" s="83">
        <v>44.5</v>
      </c>
      <c r="Z92" s="73" t="s">
        <v>547</v>
      </c>
      <c r="AA92" s="73" t="s">
        <v>218</v>
      </c>
      <c r="AB92" s="73" t="s">
        <v>12</v>
      </c>
      <c r="AC92" s="73">
        <v>7</v>
      </c>
      <c r="AD92" s="82"/>
      <c r="AG92" s="83"/>
      <c r="AL92" s="82"/>
      <c r="AO92" s="83"/>
      <c r="AP92" s="82"/>
      <c r="AS92" s="83"/>
      <c r="AW92" s="83"/>
      <c r="BA92" s="84"/>
    </row>
    <row r="93" spans="1:53" s="73" customFormat="1">
      <c r="A93" s="73">
        <v>2000</v>
      </c>
      <c r="B93" s="852"/>
      <c r="C93" s="917" t="s">
        <v>546</v>
      </c>
      <c r="D93" s="917"/>
      <c r="E93" s="73">
        <v>366</v>
      </c>
      <c r="G93" s="119"/>
      <c r="I93" s="73">
        <v>15</v>
      </c>
      <c r="J93" s="126">
        <v>15</v>
      </c>
      <c r="K93" s="92">
        <f t="shared" si="10"/>
        <v>0</v>
      </c>
      <c r="L93" s="92">
        <f t="shared" si="11"/>
        <v>0</v>
      </c>
      <c r="M93" s="92">
        <f t="shared" si="12"/>
        <v>100</v>
      </c>
      <c r="N93" s="121">
        <f t="shared" si="8"/>
        <v>100</v>
      </c>
      <c r="O93" s="91"/>
      <c r="P93" s="92"/>
      <c r="Q93" s="92">
        <v>51.5</v>
      </c>
      <c r="R93" s="93">
        <f t="shared" si="9"/>
        <v>51.5</v>
      </c>
      <c r="S93" s="97">
        <v>2</v>
      </c>
      <c r="T93" s="839"/>
      <c r="U93" s="852"/>
      <c r="V93" s="82" t="s">
        <v>133</v>
      </c>
      <c r="W93" s="73" t="s">
        <v>20</v>
      </c>
      <c r="X93" s="73" t="s">
        <v>12</v>
      </c>
      <c r="Y93" s="83">
        <v>44.5</v>
      </c>
      <c r="Z93" s="73" t="s">
        <v>547</v>
      </c>
      <c r="AA93" s="73" t="s">
        <v>218</v>
      </c>
      <c r="AB93" s="73" t="s">
        <v>12</v>
      </c>
      <c r="AC93" s="73">
        <v>7</v>
      </c>
      <c r="AD93" s="82"/>
      <c r="AG93" s="83"/>
      <c r="AL93" s="82"/>
      <c r="AO93" s="83"/>
      <c r="AP93" s="82"/>
      <c r="AS93" s="83"/>
      <c r="AW93" s="83"/>
      <c r="BA93" s="84"/>
    </row>
    <row r="94" spans="1:53" s="73" customFormat="1">
      <c r="A94" s="73">
        <v>2001</v>
      </c>
      <c r="B94" s="852"/>
      <c r="C94" s="917" t="s">
        <v>546</v>
      </c>
      <c r="D94" s="917"/>
      <c r="E94" s="73">
        <v>0</v>
      </c>
      <c r="G94" s="119"/>
      <c r="I94" s="73">
        <v>15</v>
      </c>
      <c r="J94" s="126">
        <v>15</v>
      </c>
      <c r="K94" s="92">
        <f t="shared" si="10"/>
        <v>0</v>
      </c>
      <c r="L94" s="92">
        <f t="shared" si="11"/>
        <v>0</v>
      </c>
      <c r="M94" s="92">
        <f t="shared" si="12"/>
        <v>100</v>
      </c>
      <c r="N94" s="121">
        <f t="shared" si="8"/>
        <v>100</v>
      </c>
      <c r="O94" s="91"/>
      <c r="P94" s="92"/>
      <c r="Q94" s="92">
        <v>51.5</v>
      </c>
      <c r="R94" s="93">
        <f t="shared" si="9"/>
        <v>51.5</v>
      </c>
      <c r="S94" s="97">
        <v>2</v>
      </c>
      <c r="T94" s="839"/>
      <c r="U94" s="852"/>
      <c r="V94" s="82" t="s">
        <v>133</v>
      </c>
      <c r="W94" s="73" t="s">
        <v>20</v>
      </c>
      <c r="X94" s="73" t="s">
        <v>12</v>
      </c>
      <c r="Y94" s="83">
        <v>44.5</v>
      </c>
      <c r="Z94" s="73" t="s">
        <v>547</v>
      </c>
      <c r="AA94" s="73" t="s">
        <v>218</v>
      </c>
      <c r="AB94" s="73" t="s">
        <v>12</v>
      </c>
      <c r="AC94" s="73">
        <v>7</v>
      </c>
      <c r="AD94" s="82"/>
      <c r="AG94" s="83"/>
      <c r="AL94" s="82"/>
      <c r="AO94" s="83"/>
      <c r="AP94" s="82"/>
      <c r="AS94" s="83"/>
      <c r="AW94" s="83"/>
      <c r="BA94" s="84"/>
    </row>
    <row r="95" spans="1:53" s="73" customFormat="1">
      <c r="A95" s="73">
        <v>2001</v>
      </c>
      <c r="B95" s="852"/>
      <c r="C95" s="917" t="s">
        <v>546</v>
      </c>
      <c r="D95" s="917"/>
      <c r="E95" s="73">
        <f>365-E94</f>
        <v>365</v>
      </c>
      <c r="G95" s="119"/>
      <c r="I95" s="73">
        <v>15</v>
      </c>
      <c r="J95" s="126">
        <v>15</v>
      </c>
      <c r="K95" s="92">
        <f t="shared" si="10"/>
        <v>0</v>
      </c>
      <c r="L95" s="92">
        <f t="shared" si="11"/>
        <v>0</v>
      </c>
      <c r="M95" s="92">
        <f t="shared" si="12"/>
        <v>100</v>
      </c>
      <c r="N95" s="121">
        <f t="shared" si="8"/>
        <v>100</v>
      </c>
      <c r="O95" s="91"/>
      <c r="P95" s="92"/>
      <c r="Q95" s="92">
        <v>51.5</v>
      </c>
      <c r="R95" s="93">
        <f t="shared" si="9"/>
        <v>51.5</v>
      </c>
      <c r="S95" s="97">
        <v>2</v>
      </c>
      <c r="T95" s="839"/>
      <c r="U95" s="852"/>
      <c r="V95" s="82" t="s">
        <v>133</v>
      </c>
      <c r="W95" s="73" t="s">
        <v>20</v>
      </c>
      <c r="X95" s="73" t="s">
        <v>12</v>
      </c>
      <c r="Y95" s="83">
        <v>44.5</v>
      </c>
      <c r="Z95" s="73" t="s">
        <v>547</v>
      </c>
      <c r="AA95" s="73" t="s">
        <v>218</v>
      </c>
      <c r="AB95" s="73" t="s">
        <v>12</v>
      </c>
      <c r="AC95" s="73">
        <v>7</v>
      </c>
      <c r="AD95" s="82"/>
      <c r="AG95" s="83"/>
      <c r="AL95" s="82"/>
      <c r="AO95" s="83"/>
      <c r="AP95" s="82"/>
      <c r="AS95" s="83"/>
      <c r="AW95" s="83"/>
      <c r="BA95" s="84"/>
    </row>
    <row r="96" spans="1:53" s="73" customFormat="1">
      <c r="A96" s="73">
        <v>2002</v>
      </c>
      <c r="B96" s="852"/>
      <c r="C96" s="917" t="s">
        <v>546</v>
      </c>
      <c r="D96" s="917"/>
      <c r="E96" s="73">
        <v>294</v>
      </c>
      <c r="G96" s="119"/>
      <c r="I96" s="73">
        <v>15</v>
      </c>
      <c r="J96" s="126">
        <v>15</v>
      </c>
      <c r="K96" s="92">
        <f t="shared" si="10"/>
        <v>0</v>
      </c>
      <c r="L96" s="92">
        <f t="shared" si="11"/>
        <v>0</v>
      </c>
      <c r="M96" s="92">
        <f t="shared" si="12"/>
        <v>100</v>
      </c>
      <c r="N96" s="121">
        <f t="shared" si="8"/>
        <v>100</v>
      </c>
      <c r="O96" s="91"/>
      <c r="P96" s="92"/>
      <c r="Q96" s="92">
        <v>51.5</v>
      </c>
      <c r="R96" s="93">
        <f t="shared" si="9"/>
        <v>51.5</v>
      </c>
      <c r="S96" s="97">
        <v>2</v>
      </c>
      <c r="T96" s="839"/>
      <c r="U96" s="852"/>
      <c r="V96" s="82" t="s">
        <v>133</v>
      </c>
      <c r="W96" s="73" t="s">
        <v>20</v>
      </c>
      <c r="X96" s="73" t="s">
        <v>12</v>
      </c>
      <c r="Y96" s="83">
        <v>44.5</v>
      </c>
      <c r="Z96" s="73" t="s">
        <v>547</v>
      </c>
      <c r="AA96" s="73" t="s">
        <v>218</v>
      </c>
      <c r="AB96" s="73" t="s">
        <v>12</v>
      </c>
      <c r="AC96" s="73">
        <v>7</v>
      </c>
      <c r="AD96" s="82"/>
      <c r="AG96" s="83"/>
      <c r="AL96" s="82"/>
      <c r="AO96" s="83"/>
      <c r="AP96" s="82"/>
      <c r="AS96" s="83"/>
      <c r="AW96" s="83"/>
      <c r="BA96" s="84"/>
    </row>
    <row r="97" spans="1:53" s="292" customFormat="1">
      <c r="A97" s="292">
        <v>2002</v>
      </c>
      <c r="B97" s="836">
        <v>37551</v>
      </c>
      <c r="C97" s="916" t="s">
        <v>548</v>
      </c>
      <c r="D97" s="916"/>
      <c r="E97" s="292">
        <f>365-E96</f>
        <v>71</v>
      </c>
      <c r="F97" s="292">
        <v>1</v>
      </c>
      <c r="G97" s="366"/>
      <c r="I97" s="292">
        <v>14</v>
      </c>
      <c r="J97" s="377">
        <v>14</v>
      </c>
      <c r="K97" s="336">
        <f t="shared" si="10"/>
        <v>0</v>
      </c>
      <c r="L97" s="336">
        <f t="shared" si="11"/>
        <v>0</v>
      </c>
      <c r="M97" s="336">
        <f t="shared" si="12"/>
        <v>100</v>
      </c>
      <c r="N97" s="368">
        <f t="shared" si="8"/>
        <v>100</v>
      </c>
      <c r="O97" s="335"/>
      <c r="P97" s="336"/>
      <c r="Q97" s="336">
        <v>50.7</v>
      </c>
      <c r="R97" s="337">
        <f t="shared" si="9"/>
        <v>50.7</v>
      </c>
      <c r="S97" s="340">
        <v>2</v>
      </c>
      <c r="T97" s="838">
        <v>37521</v>
      </c>
      <c r="U97" s="836">
        <v>37551</v>
      </c>
      <c r="V97" s="299" t="s">
        <v>133</v>
      </c>
      <c r="W97" s="292" t="s">
        <v>20</v>
      </c>
      <c r="X97" s="292" t="s">
        <v>12</v>
      </c>
      <c r="Y97" s="300">
        <v>41.6</v>
      </c>
      <c r="Z97" s="292" t="s">
        <v>547</v>
      </c>
      <c r="AA97" s="292" t="s">
        <v>218</v>
      </c>
      <c r="AB97" s="292" t="s">
        <v>12</v>
      </c>
      <c r="AC97" s="292">
        <v>9.1</v>
      </c>
      <c r="AD97" s="299"/>
      <c r="AG97" s="300"/>
      <c r="AL97" s="299"/>
      <c r="AO97" s="300"/>
      <c r="AP97" s="299"/>
      <c r="AS97" s="300"/>
      <c r="AW97" s="300"/>
      <c r="BA97" s="301"/>
    </row>
    <row r="98" spans="1:53" s="292" customFormat="1">
      <c r="A98" s="292">
        <v>2003</v>
      </c>
      <c r="B98" s="836"/>
      <c r="C98" s="916" t="s">
        <v>548</v>
      </c>
      <c r="D98" s="916"/>
      <c r="E98" s="292">
        <v>0</v>
      </c>
      <c r="G98" s="366"/>
      <c r="I98" s="292">
        <v>14</v>
      </c>
      <c r="J98" s="377">
        <v>14</v>
      </c>
      <c r="K98" s="336">
        <f t="shared" si="10"/>
        <v>0</v>
      </c>
      <c r="L98" s="336">
        <f t="shared" si="11"/>
        <v>0</v>
      </c>
      <c r="M98" s="336">
        <f t="shared" si="12"/>
        <v>100</v>
      </c>
      <c r="N98" s="368">
        <f t="shared" si="8"/>
        <v>100</v>
      </c>
      <c r="O98" s="335"/>
      <c r="P98" s="336"/>
      <c r="Q98" s="336">
        <v>50.7</v>
      </c>
      <c r="R98" s="337">
        <f t="shared" si="9"/>
        <v>50.7</v>
      </c>
      <c r="S98" s="340">
        <v>2</v>
      </c>
      <c r="T98" s="838"/>
      <c r="U98" s="836"/>
      <c r="V98" s="299" t="s">
        <v>133</v>
      </c>
      <c r="W98" s="292" t="s">
        <v>20</v>
      </c>
      <c r="X98" s="292" t="s">
        <v>12</v>
      </c>
      <c r="Y98" s="300">
        <v>41.6</v>
      </c>
      <c r="Z98" s="292" t="s">
        <v>547</v>
      </c>
      <c r="AA98" s="292" t="s">
        <v>218</v>
      </c>
      <c r="AB98" s="292" t="s">
        <v>12</v>
      </c>
      <c r="AC98" s="292">
        <v>9.1</v>
      </c>
      <c r="AD98" s="299"/>
      <c r="AG98" s="300"/>
      <c r="AL98" s="299"/>
      <c r="AO98" s="300"/>
      <c r="AP98" s="299"/>
      <c r="AS98" s="300"/>
      <c r="AW98" s="300"/>
      <c r="BA98" s="301"/>
    </row>
    <row r="99" spans="1:53" s="292" customFormat="1">
      <c r="A99" s="292">
        <v>2003</v>
      </c>
      <c r="B99" s="836"/>
      <c r="C99" s="916" t="s">
        <v>548</v>
      </c>
      <c r="D99" s="916"/>
      <c r="E99" s="292">
        <f>365-E98</f>
        <v>365</v>
      </c>
      <c r="G99" s="366"/>
      <c r="I99" s="292">
        <v>14</v>
      </c>
      <c r="J99" s="377">
        <v>14</v>
      </c>
      <c r="K99" s="336">
        <f t="shared" si="10"/>
        <v>0</v>
      </c>
      <c r="L99" s="336">
        <f t="shared" si="11"/>
        <v>0</v>
      </c>
      <c r="M99" s="336">
        <f t="shared" si="12"/>
        <v>100</v>
      </c>
      <c r="N99" s="368">
        <f t="shared" si="8"/>
        <v>100</v>
      </c>
      <c r="O99" s="335"/>
      <c r="P99" s="336"/>
      <c r="Q99" s="336">
        <v>50.7</v>
      </c>
      <c r="R99" s="337">
        <f t="shared" si="9"/>
        <v>50.7</v>
      </c>
      <c r="S99" s="340">
        <v>2</v>
      </c>
      <c r="T99" s="838"/>
      <c r="U99" s="836"/>
      <c r="V99" s="299" t="s">
        <v>133</v>
      </c>
      <c r="W99" s="292" t="s">
        <v>20</v>
      </c>
      <c r="X99" s="292" t="s">
        <v>12</v>
      </c>
      <c r="Y99" s="300">
        <v>41.6</v>
      </c>
      <c r="Z99" s="292" t="s">
        <v>547</v>
      </c>
      <c r="AA99" s="292" t="s">
        <v>218</v>
      </c>
      <c r="AB99" s="292" t="s">
        <v>12</v>
      </c>
      <c r="AC99" s="292">
        <v>9.1</v>
      </c>
      <c r="AD99" s="299"/>
      <c r="AG99" s="300"/>
      <c r="AL99" s="299"/>
      <c r="AO99" s="300"/>
      <c r="AP99" s="299"/>
      <c r="AS99" s="300"/>
      <c r="AW99" s="300"/>
      <c r="BA99" s="301"/>
    </row>
    <row r="100" spans="1:53" s="292" customFormat="1">
      <c r="A100" s="292">
        <v>2004</v>
      </c>
      <c r="B100" s="836"/>
      <c r="C100" s="916" t="s">
        <v>548</v>
      </c>
      <c r="D100" s="916"/>
      <c r="E100" s="292">
        <v>0</v>
      </c>
      <c r="G100" s="366"/>
      <c r="I100" s="292">
        <v>14</v>
      </c>
      <c r="J100" s="377">
        <v>14</v>
      </c>
      <c r="K100" s="336">
        <f t="shared" si="10"/>
        <v>0</v>
      </c>
      <c r="L100" s="336">
        <f t="shared" si="11"/>
        <v>0</v>
      </c>
      <c r="M100" s="336">
        <f t="shared" si="12"/>
        <v>100</v>
      </c>
      <c r="N100" s="368">
        <f t="shared" si="8"/>
        <v>100</v>
      </c>
      <c r="O100" s="335"/>
      <c r="P100" s="336"/>
      <c r="Q100" s="336">
        <v>50.7</v>
      </c>
      <c r="R100" s="337">
        <f t="shared" si="9"/>
        <v>50.7</v>
      </c>
      <c r="S100" s="340">
        <v>2</v>
      </c>
      <c r="T100" s="838"/>
      <c r="U100" s="836"/>
      <c r="V100" s="299" t="s">
        <v>133</v>
      </c>
      <c r="W100" s="292" t="s">
        <v>20</v>
      </c>
      <c r="X100" s="292" t="s">
        <v>12</v>
      </c>
      <c r="Y100" s="300">
        <v>41.6</v>
      </c>
      <c r="Z100" s="292" t="s">
        <v>547</v>
      </c>
      <c r="AA100" s="292" t="s">
        <v>218</v>
      </c>
      <c r="AB100" s="292" t="s">
        <v>12</v>
      </c>
      <c r="AC100" s="292">
        <v>9.1</v>
      </c>
      <c r="AD100" s="299"/>
      <c r="AG100" s="300"/>
      <c r="AL100" s="299"/>
      <c r="AO100" s="300"/>
      <c r="AP100" s="299"/>
      <c r="AS100" s="300"/>
      <c r="AW100" s="300"/>
      <c r="BA100" s="301"/>
    </row>
    <row r="101" spans="1:53" s="292" customFormat="1">
      <c r="A101" s="292">
        <v>2004</v>
      </c>
      <c r="B101" s="836"/>
      <c r="C101" s="916" t="s">
        <v>548</v>
      </c>
      <c r="D101" s="916"/>
      <c r="E101" s="292">
        <v>366</v>
      </c>
      <c r="G101" s="366"/>
      <c r="I101" s="292">
        <v>14</v>
      </c>
      <c r="J101" s="377">
        <v>14</v>
      </c>
      <c r="K101" s="336">
        <f t="shared" si="10"/>
        <v>0</v>
      </c>
      <c r="L101" s="336">
        <f t="shared" si="11"/>
        <v>0</v>
      </c>
      <c r="M101" s="336">
        <f t="shared" si="12"/>
        <v>100</v>
      </c>
      <c r="N101" s="368">
        <f t="shared" si="8"/>
        <v>100</v>
      </c>
      <c r="O101" s="335"/>
      <c r="P101" s="336"/>
      <c r="Q101" s="336">
        <v>50.7</v>
      </c>
      <c r="R101" s="337">
        <f t="shared" si="9"/>
        <v>50.7</v>
      </c>
      <c r="S101" s="340">
        <v>2</v>
      </c>
      <c r="T101" s="838"/>
      <c r="U101" s="836"/>
      <c r="V101" s="299" t="s">
        <v>133</v>
      </c>
      <c r="W101" s="292" t="s">
        <v>20</v>
      </c>
      <c r="X101" s="292" t="s">
        <v>12</v>
      </c>
      <c r="Y101" s="300">
        <v>41.6</v>
      </c>
      <c r="Z101" s="292" t="s">
        <v>547</v>
      </c>
      <c r="AA101" s="292" t="s">
        <v>218</v>
      </c>
      <c r="AB101" s="292" t="s">
        <v>12</v>
      </c>
      <c r="AC101" s="292">
        <v>9.1</v>
      </c>
      <c r="AD101" s="299"/>
      <c r="AG101" s="300"/>
      <c r="AL101" s="299"/>
      <c r="AO101" s="300"/>
      <c r="AP101" s="299"/>
      <c r="AS101" s="300"/>
      <c r="AW101" s="300"/>
      <c r="BA101" s="301"/>
    </row>
    <row r="102" spans="1:53" s="292" customFormat="1">
      <c r="A102" s="292">
        <v>2005</v>
      </c>
      <c r="B102" s="836"/>
      <c r="C102" s="916" t="s">
        <v>548</v>
      </c>
      <c r="D102" s="916"/>
      <c r="E102" s="292">
        <v>325</v>
      </c>
      <c r="G102" s="366"/>
      <c r="I102" s="292">
        <v>14</v>
      </c>
      <c r="J102" s="377">
        <v>14</v>
      </c>
      <c r="K102" s="336">
        <f t="shared" ref="K102:K110" si="13">G102/J102*100</f>
        <v>0</v>
      </c>
      <c r="L102" s="336">
        <f t="shared" ref="L102:L110" si="14">H102/J102*100</f>
        <v>0</v>
      </c>
      <c r="M102" s="336">
        <f t="shared" ref="M102:M110" si="15">I102/J102*100</f>
        <v>100</v>
      </c>
      <c r="N102" s="368">
        <f t="shared" si="8"/>
        <v>100</v>
      </c>
      <c r="O102" s="335"/>
      <c r="P102" s="336"/>
      <c r="Q102" s="336">
        <v>50.7</v>
      </c>
      <c r="R102" s="337">
        <f t="shared" si="9"/>
        <v>50.7</v>
      </c>
      <c r="S102" s="340">
        <v>2</v>
      </c>
      <c r="T102" s="838"/>
      <c r="U102" s="836"/>
      <c r="V102" s="299" t="s">
        <v>133</v>
      </c>
      <c r="W102" s="292" t="s">
        <v>20</v>
      </c>
      <c r="X102" s="292" t="s">
        <v>12</v>
      </c>
      <c r="Y102" s="300">
        <v>41.6</v>
      </c>
      <c r="Z102" s="292" t="s">
        <v>547</v>
      </c>
      <c r="AA102" s="292" t="s">
        <v>218</v>
      </c>
      <c r="AB102" s="292" t="s">
        <v>12</v>
      </c>
      <c r="AC102" s="292">
        <v>9.1</v>
      </c>
      <c r="AD102" s="299"/>
      <c r="AG102" s="300"/>
      <c r="AL102" s="299"/>
      <c r="AO102" s="300"/>
      <c r="AP102" s="299"/>
      <c r="AS102" s="300"/>
      <c r="AW102" s="300"/>
      <c r="BA102" s="301"/>
    </row>
    <row r="103" spans="1:53" s="73" customFormat="1">
      <c r="A103" s="73">
        <v>2005</v>
      </c>
      <c r="B103" s="852">
        <v>38678</v>
      </c>
      <c r="C103" s="917" t="s">
        <v>549</v>
      </c>
      <c r="D103" s="917"/>
      <c r="E103" s="73">
        <v>40</v>
      </c>
      <c r="F103" s="73">
        <v>1</v>
      </c>
      <c r="G103" s="119"/>
      <c r="H103" s="73">
        <v>8</v>
      </c>
      <c r="I103" s="73">
        <v>8</v>
      </c>
      <c r="J103" s="126">
        <v>16</v>
      </c>
      <c r="K103" s="92">
        <f t="shared" si="13"/>
        <v>0</v>
      </c>
      <c r="L103" s="92">
        <f t="shared" si="14"/>
        <v>50</v>
      </c>
      <c r="M103" s="92">
        <f t="shared" si="15"/>
        <v>50</v>
      </c>
      <c r="N103" s="121">
        <f t="shared" si="8"/>
        <v>100</v>
      </c>
      <c r="O103" s="91"/>
      <c r="P103" s="92">
        <v>36.799999999999997</v>
      </c>
      <c r="Q103" s="92">
        <v>36.200000000000003</v>
      </c>
      <c r="R103" s="93">
        <f t="shared" si="9"/>
        <v>73</v>
      </c>
      <c r="S103" s="97">
        <v>2</v>
      </c>
      <c r="T103" s="839">
        <v>38613</v>
      </c>
      <c r="U103" s="852">
        <v>38678</v>
      </c>
      <c r="V103" s="82" t="s">
        <v>129</v>
      </c>
      <c r="W103" s="73" t="s">
        <v>17</v>
      </c>
      <c r="X103" s="73" t="s">
        <v>18</v>
      </c>
      <c r="Y103" s="83">
        <v>29.3</v>
      </c>
      <c r="Z103" s="73" t="s">
        <v>130</v>
      </c>
      <c r="AA103" s="73" t="s">
        <v>82</v>
      </c>
      <c r="AB103" s="73" t="s">
        <v>18</v>
      </c>
      <c r="AC103" s="73">
        <v>7.5</v>
      </c>
      <c r="AD103" s="82" t="s">
        <v>133</v>
      </c>
      <c r="AE103" s="73" t="s">
        <v>20</v>
      </c>
      <c r="AF103" s="73" t="s">
        <v>12</v>
      </c>
      <c r="AG103" s="83">
        <v>36.200000000000003</v>
      </c>
      <c r="AL103" s="82"/>
      <c r="AO103" s="83"/>
      <c r="AP103" s="82"/>
      <c r="AS103" s="83"/>
      <c r="AW103" s="83"/>
      <c r="BA103" s="84"/>
    </row>
    <row r="104" spans="1:53" s="73" customFormat="1">
      <c r="A104" s="73">
        <v>2006</v>
      </c>
      <c r="B104" s="852"/>
      <c r="C104" s="917" t="s">
        <v>549</v>
      </c>
      <c r="D104" s="917"/>
      <c r="E104" s="73">
        <v>0</v>
      </c>
      <c r="G104" s="119"/>
      <c r="H104" s="73">
        <v>8</v>
      </c>
      <c r="I104" s="73">
        <v>8</v>
      </c>
      <c r="J104" s="126">
        <v>16</v>
      </c>
      <c r="K104" s="92">
        <f t="shared" si="13"/>
        <v>0</v>
      </c>
      <c r="L104" s="92">
        <f t="shared" si="14"/>
        <v>50</v>
      </c>
      <c r="M104" s="92">
        <f t="shared" si="15"/>
        <v>50</v>
      </c>
      <c r="N104" s="121">
        <f t="shared" si="8"/>
        <v>100</v>
      </c>
      <c r="O104" s="91"/>
      <c r="P104" s="92">
        <v>36.799999999999997</v>
      </c>
      <c r="Q104" s="92">
        <v>36.200000000000003</v>
      </c>
      <c r="R104" s="93">
        <f t="shared" si="9"/>
        <v>73</v>
      </c>
      <c r="S104" s="97">
        <v>2</v>
      </c>
      <c r="T104" s="839"/>
      <c r="U104" s="852"/>
      <c r="V104" s="82" t="s">
        <v>129</v>
      </c>
      <c r="W104" s="73" t="s">
        <v>17</v>
      </c>
      <c r="X104" s="73" t="s">
        <v>18</v>
      </c>
      <c r="Y104" s="83">
        <v>29.3</v>
      </c>
      <c r="Z104" s="73" t="s">
        <v>130</v>
      </c>
      <c r="AA104" s="73" t="s">
        <v>82</v>
      </c>
      <c r="AB104" s="73" t="s">
        <v>18</v>
      </c>
      <c r="AC104" s="73">
        <v>7.5</v>
      </c>
      <c r="AD104" s="82" t="s">
        <v>133</v>
      </c>
      <c r="AE104" s="73" t="s">
        <v>20</v>
      </c>
      <c r="AF104" s="73" t="s">
        <v>12</v>
      </c>
      <c r="AG104" s="83">
        <v>36.200000000000003</v>
      </c>
      <c r="AL104" s="82"/>
      <c r="AO104" s="83"/>
      <c r="AP104" s="82"/>
      <c r="AS104" s="83"/>
      <c r="AW104" s="83"/>
      <c r="BA104" s="84"/>
    </row>
    <row r="105" spans="1:53" s="73" customFormat="1">
      <c r="A105" s="73">
        <v>2006</v>
      </c>
      <c r="B105" s="852"/>
      <c r="C105" s="917" t="s">
        <v>549</v>
      </c>
      <c r="D105" s="917"/>
      <c r="E105" s="73">
        <v>365</v>
      </c>
      <c r="G105" s="119"/>
      <c r="H105" s="73">
        <v>8</v>
      </c>
      <c r="I105" s="73">
        <v>8</v>
      </c>
      <c r="J105" s="126">
        <v>16</v>
      </c>
      <c r="K105" s="92">
        <f t="shared" si="13"/>
        <v>0</v>
      </c>
      <c r="L105" s="92">
        <f t="shared" si="14"/>
        <v>50</v>
      </c>
      <c r="M105" s="92">
        <f t="shared" si="15"/>
        <v>50</v>
      </c>
      <c r="N105" s="121">
        <f t="shared" si="8"/>
        <v>100</v>
      </c>
      <c r="O105" s="91"/>
      <c r="P105" s="92">
        <v>36.799999999999997</v>
      </c>
      <c r="Q105" s="92">
        <v>36.200000000000003</v>
      </c>
      <c r="R105" s="93">
        <f t="shared" si="9"/>
        <v>73</v>
      </c>
      <c r="S105" s="97">
        <v>2</v>
      </c>
      <c r="T105" s="839"/>
      <c r="U105" s="852"/>
      <c r="V105" s="82" t="s">
        <v>129</v>
      </c>
      <c r="W105" s="73" t="s">
        <v>17</v>
      </c>
      <c r="X105" s="73" t="s">
        <v>18</v>
      </c>
      <c r="Y105" s="83">
        <v>29.3</v>
      </c>
      <c r="Z105" s="73" t="s">
        <v>130</v>
      </c>
      <c r="AA105" s="73" t="s">
        <v>82</v>
      </c>
      <c r="AB105" s="73" t="s">
        <v>18</v>
      </c>
      <c r="AC105" s="73">
        <v>7.5</v>
      </c>
      <c r="AD105" s="82" t="s">
        <v>133</v>
      </c>
      <c r="AE105" s="73" t="s">
        <v>20</v>
      </c>
      <c r="AF105" s="73" t="s">
        <v>12</v>
      </c>
      <c r="AG105" s="83">
        <v>36.200000000000003</v>
      </c>
      <c r="AL105" s="82"/>
      <c r="AO105" s="83"/>
      <c r="AP105" s="82"/>
      <c r="AS105" s="83"/>
      <c r="AW105" s="83"/>
      <c r="BA105" s="84"/>
    </row>
    <row r="106" spans="1:53" s="73" customFormat="1">
      <c r="A106" s="73">
        <v>2007</v>
      </c>
      <c r="B106" s="852"/>
      <c r="C106" s="917" t="s">
        <v>549</v>
      </c>
      <c r="D106" s="917"/>
      <c r="E106" s="73">
        <v>0</v>
      </c>
      <c r="G106" s="119"/>
      <c r="H106" s="73">
        <v>8</v>
      </c>
      <c r="I106" s="73">
        <v>8</v>
      </c>
      <c r="J106" s="126">
        <v>16</v>
      </c>
      <c r="K106" s="92">
        <f t="shared" si="13"/>
        <v>0</v>
      </c>
      <c r="L106" s="92">
        <f t="shared" si="14"/>
        <v>50</v>
      </c>
      <c r="M106" s="92">
        <f t="shared" si="15"/>
        <v>50</v>
      </c>
      <c r="N106" s="121">
        <f t="shared" si="8"/>
        <v>100</v>
      </c>
      <c r="O106" s="91"/>
      <c r="P106" s="92">
        <v>36.799999999999997</v>
      </c>
      <c r="Q106" s="92">
        <v>36.200000000000003</v>
      </c>
      <c r="R106" s="93">
        <f t="shared" si="9"/>
        <v>73</v>
      </c>
      <c r="S106" s="97">
        <v>2</v>
      </c>
      <c r="T106" s="839"/>
      <c r="U106" s="852"/>
      <c r="V106" s="82" t="s">
        <v>129</v>
      </c>
      <c r="W106" s="73" t="s">
        <v>17</v>
      </c>
      <c r="X106" s="73" t="s">
        <v>18</v>
      </c>
      <c r="Y106" s="83">
        <v>29.3</v>
      </c>
      <c r="Z106" s="73" t="s">
        <v>130</v>
      </c>
      <c r="AA106" s="73" t="s">
        <v>82</v>
      </c>
      <c r="AB106" s="73" t="s">
        <v>18</v>
      </c>
      <c r="AC106" s="73">
        <v>7.5</v>
      </c>
      <c r="AD106" s="82" t="s">
        <v>133</v>
      </c>
      <c r="AE106" s="73" t="s">
        <v>20</v>
      </c>
      <c r="AF106" s="73" t="s">
        <v>12</v>
      </c>
      <c r="AG106" s="83">
        <v>36.200000000000003</v>
      </c>
      <c r="AL106" s="82"/>
      <c r="AO106" s="83"/>
      <c r="AP106" s="82"/>
      <c r="AS106" s="83"/>
      <c r="AW106" s="83"/>
      <c r="BA106" s="84"/>
    </row>
    <row r="107" spans="1:53" s="73" customFormat="1">
      <c r="A107" s="73">
        <v>2007</v>
      </c>
      <c r="B107" s="852"/>
      <c r="C107" s="917" t="s">
        <v>549</v>
      </c>
      <c r="D107" s="917"/>
      <c r="E107" s="73">
        <v>365</v>
      </c>
      <c r="G107" s="119"/>
      <c r="H107" s="73">
        <v>8</v>
      </c>
      <c r="I107" s="73">
        <v>8</v>
      </c>
      <c r="J107" s="126">
        <v>16</v>
      </c>
      <c r="K107" s="92">
        <f t="shared" si="13"/>
        <v>0</v>
      </c>
      <c r="L107" s="92">
        <f t="shared" si="14"/>
        <v>50</v>
      </c>
      <c r="M107" s="92">
        <f t="shared" si="15"/>
        <v>50</v>
      </c>
      <c r="N107" s="121">
        <f t="shared" si="8"/>
        <v>100</v>
      </c>
      <c r="O107" s="91"/>
      <c r="P107" s="92">
        <v>36.799999999999997</v>
      </c>
      <c r="Q107" s="92">
        <v>36.200000000000003</v>
      </c>
      <c r="R107" s="93">
        <f t="shared" si="9"/>
        <v>73</v>
      </c>
      <c r="S107" s="97">
        <v>2</v>
      </c>
      <c r="T107" s="839"/>
      <c r="U107" s="852"/>
      <c r="V107" s="82" t="s">
        <v>129</v>
      </c>
      <c r="W107" s="73" t="s">
        <v>17</v>
      </c>
      <c r="X107" s="73" t="s">
        <v>18</v>
      </c>
      <c r="Y107" s="83">
        <v>29.3</v>
      </c>
      <c r="Z107" s="73" t="s">
        <v>130</v>
      </c>
      <c r="AA107" s="73" t="s">
        <v>82</v>
      </c>
      <c r="AB107" s="73" t="s">
        <v>18</v>
      </c>
      <c r="AC107" s="73">
        <v>7.5</v>
      </c>
      <c r="AD107" s="82" t="s">
        <v>133</v>
      </c>
      <c r="AE107" s="73" t="s">
        <v>20</v>
      </c>
      <c r="AF107" s="73" t="s">
        <v>12</v>
      </c>
      <c r="AG107" s="83">
        <v>36.200000000000003</v>
      </c>
      <c r="AL107" s="82"/>
      <c r="AO107" s="83"/>
      <c r="AP107" s="82"/>
      <c r="AS107" s="83"/>
      <c r="AW107" s="83"/>
      <c r="BA107" s="84"/>
    </row>
    <row r="108" spans="1:53" s="73" customFormat="1">
      <c r="A108" s="73">
        <v>2008</v>
      </c>
      <c r="B108" s="852"/>
      <c r="C108" s="917" t="s">
        <v>549</v>
      </c>
      <c r="D108" s="917"/>
      <c r="E108" s="73">
        <v>0</v>
      </c>
      <c r="G108" s="119"/>
      <c r="H108" s="73">
        <v>8</v>
      </c>
      <c r="I108" s="73">
        <v>8</v>
      </c>
      <c r="J108" s="126">
        <v>16</v>
      </c>
      <c r="K108" s="92">
        <f t="shared" si="13"/>
        <v>0</v>
      </c>
      <c r="L108" s="92">
        <f t="shared" si="14"/>
        <v>50</v>
      </c>
      <c r="M108" s="92">
        <f t="shared" si="15"/>
        <v>50</v>
      </c>
      <c r="N108" s="121">
        <f t="shared" si="8"/>
        <v>100</v>
      </c>
      <c r="O108" s="91"/>
      <c r="P108" s="92">
        <v>36.799999999999997</v>
      </c>
      <c r="Q108" s="92">
        <v>36.200000000000003</v>
      </c>
      <c r="R108" s="93">
        <f t="shared" si="9"/>
        <v>73</v>
      </c>
      <c r="S108" s="97">
        <v>2</v>
      </c>
      <c r="T108" s="839"/>
      <c r="U108" s="852"/>
      <c r="V108" s="82" t="s">
        <v>129</v>
      </c>
      <c r="W108" s="73" t="s">
        <v>17</v>
      </c>
      <c r="X108" s="73" t="s">
        <v>18</v>
      </c>
      <c r="Y108" s="83">
        <v>29.3</v>
      </c>
      <c r="Z108" s="73" t="s">
        <v>130</v>
      </c>
      <c r="AA108" s="73" t="s">
        <v>82</v>
      </c>
      <c r="AB108" s="73" t="s">
        <v>18</v>
      </c>
      <c r="AC108" s="73">
        <v>7.5</v>
      </c>
      <c r="AD108" s="82" t="s">
        <v>133</v>
      </c>
      <c r="AE108" s="73" t="s">
        <v>20</v>
      </c>
      <c r="AF108" s="73" t="s">
        <v>12</v>
      </c>
      <c r="AG108" s="83">
        <v>36.200000000000003</v>
      </c>
      <c r="AL108" s="82"/>
      <c r="AO108" s="83"/>
      <c r="AP108" s="82"/>
      <c r="AS108" s="83"/>
      <c r="AW108" s="83"/>
      <c r="BA108" s="84"/>
    </row>
    <row r="109" spans="1:53" s="73" customFormat="1">
      <c r="A109" s="73">
        <v>2008</v>
      </c>
      <c r="B109" s="852"/>
      <c r="C109" s="917" t="s">
        <v>549</v>
      </c>
      <c r="D109" s="917"/>
      <c r="E109" s="73">
        <v>366</v>
      </c>
      <c r="G109" s="119"/>
      <c r="H109" s="73">
        <v>8</v>
      </c>
      <c r="I109" s="73">
        <v>8</v>
      </c>
      <c r="J109" s="126">
        <v>16</v>
      </c>
      <c r="K109" s="92">
        <f t="shared" si="13"/>
        <v>0</v>
      </c>
      <c r="L109" s="92">
        <f t="shared" si="14"/>
        <v>50</v>
      </c>
      <c r="M109" s="92">
        <f t="shared" si="15"/>
        <v>50</v>
      </c>
      <c r="N109" s="121">
        <f t="shared" si="8"/>
        <v>100</v>
      </c>
      <c r="O109" s="91"/>
      <c r="P109" s="92">
        <v>36.799999999999997</v>
      </c>
      <c r="Q109" s="92">
        <v>36.200000000000003</v>
      </c>
      <c r="R109" s="93">
        <f t="shared" si="9"/>
        <v>73</v>
      </c>
      <c r="S109" s="97">
        <v>2</v>
      </c>
      <c r="T109" s="839"/>
      <c r="U109" s="852"/>
      <c r="V109" s="82" t="s">
        <v>129</v>
      </c>
      <c r="W109" s="73" t="s">
        <v>17</v>
      </c>
      <c r="X109" s="73" t="s">
        <v>18</v>
      </c>
      <c r="Y109" s="83">
        <v>29.3</v>
      </c>
      <c r="Z109" s="73" t="s">
        <v>130</v>
      </c>
      <c r="AA109" s="73" t="s">
        <v>82</v>
      </c>
      <c r="AB109" s="73" t="s">
        <v>18</v>
      </c>
      <c r="AC109" s="73">
        <v>7.5</v>
      </c>
      <c r="AD109" s="82" t="s">
        <v>133</v>
      </c>
      <c r="AE109" s="73" t="s">
        <v>20</v>
      </c>
      <c r="AF109" s="73" t="s">
        <v>12</v>
      </c>
      <c r="AG109" s="83">
        <v>36.200000000000003</v>
      </c>
      <c r="AL109" s="82"/>
      <c r="AO109" s="83"/>
      <c r="AP109" s="82"/>
      <c r="AS109" s="83"/>
      <c r="AW109" s="83"/>
      <c r="BA109" s="84"/>
    </row>
    <row r="110" spans="1:53" s="73" customFormat="1">
      <c r="A110" s="73">
        <v>2009</v>
      </c>
      <c r="B110" s="852"/>
      <c r="C110" s="917" t="s">
        <v>549</v>
      </c>
      <c r="D110" s="917"/>
      <c r="E110" s="73">
        <v>300</v>
      </c>
      <c r="G110" s="119"/>
      <c r="H110" s="73">
        <v>8</v>
      </c>
      <c r="I110" s="73">
        <v>8</v>
      </c>
      <c r="J110" s="126">
        <v>16</v>
      </c>
      <c r="K110" s="92">
        <f t="shared" si="13"/>
        <v>0</v>
      </c>
      <c r="L110" s="92">
        <f t="shared" si="14"/>
        <v>50</v>
      </c>
      <c r="M110" s="92">
        <f t="shared" si="15"/>
        <v>50</v>
      </c>
      <c r="N110" s="121">
        <f t="shared" si="8"/>
        <v>100</v>
      </c>
      <c r="O110" s="91"/>
      <c r="P110" s="92">
        <v>36.799999999999997</v>
      </c>
      <c r="Q110" s="92">
        <v>36.200000000000003</v>
      </c>
      <c r="R110" s="93">
        <f t="shared" si="9"/>
        <v>73</v>
      </c>
      <c r="S110" s="97">
        <v>2</v>
      </c>
      <c r="T110" s="839"/>
      <c r="U110" s="852"/>
      <c r="V110" s="82" t="s">
        <v>129</v>
      </c>
      <c r="W110" s="73" t="s">
        <v>17</v>
      </c>
      <c r="X110" s="73" t="s">
        <v>18</v>
      </c>
      <c r="Y110" s="83">
        <v>29.3</v>
      </c>
      <c r="Z110" s="73" t="s">
        <v>130</v>
      </c>
      <c r="AA110" s="73" t="s">
        <v>82</v>
      </c>
      <c r="AB110" s="73" t="s">
        <v>18</v>
      </c>
      <c r="AC110" s="73">
        <v>7.5</v>
      </c>
      <c r="AD110" s="82" t="s">
        <v>133</v>
      </c>
      <c r="AE110" s="73" t="s">
        <v>20</v>
      </c>
      <c r="AF110" s="73" t="s">
        <v>12</v>
      </c>
      <c r="AG110" s="83">
        <v>36.200000000000003</v>
      </c>
      <c r="AL110" s="82"/>
      <c r="AO110" s="83"/>
      <c r="AP110" s="82"/>
      <c r="AS110" s="83"/>
      <c r="AW110" s="83"/>
      <c r="BA110" s="84"/>
    </row>
    <row r="111" spans="1:53" s="292" customFormat="1">
      <c r="A111" s="292">
        <v>2009</v>
      </c>
      <c r="B111" s="836">
        <v>40114</v>
      </c>
      <c r="C111" s="916" t="s">
        <v>550</v>
      </c>
      <c r="D111" s="916"/>
      <c r="E111" s="292">
        <v>65</v>
      </c>
      <c r="F111" s="292">
        <v>1</v>
      </c>
      <c r="G111" s="366">
        <v>5</v>
      </c>
      <c r="H111" s="292">
        <v>11</v>
      </c>
      <c r="J111" s="377">
        <v>16</v>
      </c>
      <c r="K111" s="336">
        <f t="shared" ref="K111:K118" si="16">G111/J111*100</f>
        <v>31.25</v>
      </c>
      <c r="L111" s="336">
        <f t="shared" ref="L111:L119" si="17">H111/J111*100</f>
        <v>68.75</v>
      </c>
      <c r="M111" s="336">
        <f t="shared" ref="M111:M119" si="18">I111/J111*100</f>
        <v>0</v>
      </c>
      <c r="N111" s="368">
        <f t="shared" si="8"/>
        <v>100</v>
      </c>
      <c r="O111" s="335">
        <v>15</v>
      </c>
      <c r="P111" s="336">
        <v>38.4</v>
      </c>
      <c r="Q111" s="336"/>
      <c r="R111" s="337">
        <f t="shared" si="9"/>
        <v>53.4</v>
      </c>
      <c r="S111" s="340">
        <v>2</v>
      </c>
      <c r="T111" s="838">
        <v>40083</v>
      </c>
      <c r="U111" s="836">
        <v>40114</v>
      </c>
      <c r="V111" s="299" t="s">
        <v>129</v>
      </c>
      <c r="W111" s="292" t="s">
        <v>17</v>
      </c>
      <c r="X111" s="292" t="s">
        <v>18</v>
      </c>
      <c r="Y111" s="300">
        <v>31.2</v>
      </c>
      <c r="Z111" s="292" t="s">
        <v>130</v>
      </c>
      <c r="AA111" s="292" t="s">
        <v>82</v>
      </c>
      <c r="AB111" s="292" t="s">
        <v>18</v>
      </c>
      <c r="AC111" s="292">
        <v>7.2</v>
      </c>
      <c r="AD111" s="299" t="s">
        <v>132</v>
      </c>
      <c r="AE111" s="292" t="s">
        <v>22</v>
      </c>
      <c r="AF111" s="292" t="s">
        <v>11</v>
      </c>
      <c r="AG111" s="300">
        <v>15</v>
      </c>
      <c r="AL111" s="299"/>
      <c r="AO111" s="300"/>
      <c r="AP111" s="299"/>
      <c r="AS111" s="300"/>
      <c r="AW111" s="300"/>
      <c r="BA111" s="301"/>
    </row>
    <row r="112" spans="1:53" s="292" customFormat="1">
      <c r="A112" s="292">
        <v>2010</v>
      </c>
      <c r="B112" s="836"/>
      <c r="C112" s="916" t="s">
        <v>550</v>
      </c>
      <c r="D112" s="916"/>
      <c r="E112" s="292">
        <v>0</v>
      </c>
      <c r="G112" s="366">
        <v>5</v>
      </c>
      <c r="H112" s="292">
        <v>11</v>
      </c>
      <c r="J112" s="377">
        <v>16</v>
      </c>
      <c r="K112" s="336">
        <f t="shared" si="16"/>
        <v>31.25</v>
      </c>
      <c r="L112" s="336">
        <f t="shared" si="17"/>
        <v>68.75</v>
      </c>
      <c r="M112" s="336">
        <f t="shared" si="18"/>
        <v>0</v>
      </c>
      <c r="N112" s="368">
        <f t="shared" si="8"/>
        <v>100</v>
      </c>
      <c r="O112" s="335">
        <v>15</v>
      </c>
      <c r="P112" s="336">
        <v>38.4</v>
      </c>
      <c r="Q112" s="336"/>
      <c r="R112" s="337">
        <f t="shared" si="9"/>
        <v>53.4</v>
      </c>
      <c r="S112" s="340">
        <v>2</v>
      </c>
      <c r="T112" s="838"/>
      <c r="U112" s="836"/>
      <c r="V112" s="299" t="s">
        <v>129</v>
      </c>
      <c r="W112" s="292" t="s">
        <v>17</v>
      </c>
      <c r="X112" s="292" t="s">
        <v>18</v>
      </c>
      <c r="Y112" s="300">
        <v>31.2</v>
      </c>
      <c r="Z112" s="292" t="s">
        <v>130</v>
      </c>
      <c r="AA112" s="292" t="s">
        <v>82</v>
      </c>
      <c r="AB112" s="292" t="s">
        <v>18</v>
      </c>
      <c r="AC112" s="292">
        <v>7.2</v>
      </c>
      <c r="AD112" s="299" t="s">
        <v>132</v>
      </c>
      <c r="AE112" s="292" t="s">
        <v>22</v>
      </c>
      <c r="AF112" s="292" t="s">
        <v>11</v>
      </c>
      <c r="AG112" s="300">
        <v>15</v>
      </c>
      <c r="AL112" s="299"/>
      <c r="AO112" s="300"/>
      <c r="AP112" s="299"/>
      <c r="AS112" s="300"/>
      <c r="AW112" s="300"/>
      <c r="BA112" s="301"/>
    </row>
    <row r="113" spans="1:53" s="292" customFormat="1">
      <c r="A113" s="292">
        <v>2010</v>
      </c>
      <c r="B113" s="836"/>
      <c r="C113" s="916" t="s">
        <v>550</v>
      </c>
      <c r="D113" s="916"/>
      <c r="E113" s="292">
        <v>365</v>
      </c>
      <c r="G113" s="366">
        <v>5</v>
      </c>
      <c r="H113" s="292">
        <v>11</v>
      </c>
      <c r="J113" s="377">
        <v>16</v>
      </c>
      <c r="K113" s="336">
        <f t="shared" si="16"/>
        <v>31.25</v>
      </c>
      <c r="L113" s="336">
        <f t="shared" si="17"/>
        <v>68.75</v>
      </c>
      <c r="M113" s="336">
        <f t="shared" si="18"/>
        <v>0</v>
      </c>
      <c r="N113" s="368">
        <f t="shared" si="8"/>
        <v>100</v>
      </c>
      <c r="O113" s="335">
        <v>15</v>
      </c>
      <c r="P113" s="336">
        <v>38.4</v>
      </c>
      <c r="Q113" s="336"/>
      <c r="R113" s="337">
        <f t="shared" si="9"/>
        <v>53.4</v>
      </c>
      <c r="S113" s="340">
        <v>2</v>
      </c>
      <c r="T113" s="838"/>
      <c r="U113" s="836"/>
      <c r="V113" s="299" t="s">
        <v>129</v>
      </c>
      <c r="W113" s="292" t="s">
        <v>17</v>
      </c>
      <c r="X113" s="292" t="s">
        <v>18</v>
      </c>
      <c r="Y113" s="300">
        <v>31.2</v>
      </c>
      <c r="Z113" s="292" t="s">
        <v>130</v>
      </c>
      <c r="AA113" s="292" t="s">
        <v>82</v>
      </c>
      <c r="AB113" s="292" t="s">
        <v>18</v>
      </c>
      <c r="AC113" s="292">
        <v>7.2</v>
      </c>
      <c r="AD113" s="299" t="s">
        <v>132</v>
      </c>
      <c r="AE113" s="292" t="s">
        <v>22</v>
      </c>
      <c r="AF113" s="292" t="s">
        <v>11</v>
      </c>
      <c r="AG113" s="300">
        <v>15</v>
      </c>
      <c r="AL113" s="299"/>
      <c r="AO113" s="300"/>
      <c r="AP113" s="299"/>
      <c r="AS113" s="300"/>
      <c r="AW113" s="300"/>
      <c r="BA113" s="301"/>
    </row>
    <row r="114" spans="1:53" s="292" customFormat="1">
      <c r="A114" s="292">
        <v>2011</v>
      </c>
      <c r="B114" s="836"/>
      <c r="C114" s="916" t="s">
        <v>550</v>
      </c>
      <c r="D114" s="916"/>
      <c r="E114" s="292">
        <v>0</v>
      </c>
      <c r="G114" s="366">
        <v>5</v>
      </c>
      <c r="H114" s="292">
        <v>11</v>
      </c>
      <c r="J114" s="377">
        <v>16</v>
      </c>
      <c r="K114" s="336">
        <f t="shared" si="16"/>
        <v>31.25</v>
      </c>
      <c r="L114" s="336">
        <f t="shared" si="17"/>
        <v>68.75</v>
      </c>
      <c r="M114" s="336">
        <f t="shared" si="18"/>
        <v>0</v>
      </c>
      <c r="N114" s="368">
        <f t="shared" si="8"/>
        <v>100</v>
      </c>
      <c r="O114" s="335">
        <v>15</v>
      </c>
      <c r="P114" s="336">
        <v>38.4</v>
      </c>
      <c r="Q114" s="336"/>
      <c r="R114" s="337">
        <f t="shared" si="9"/>
        <v>53.4</v>
      </c>
      <c r="S114" s="340">
        <v>2</v>
      </c>
      <c r="T114" s="838"/>
      <c r="U114" s="836"/>
      <c r="V114" s="299" t="s">
        <v>129</v>
      </c>
      <c r="W114" s="292" t="s">
        <v>17</v>
      </c>
      <c r="X114" s="292" t="s">
        <v>18</v>
      </c>
      <c r="Y114" s="300">
        <v>31.2</v>
      </c>
      <c r="Z114" s="292" t="s">
        <v>130</v>
      </c>
      <c r="AA114" s="292" t="s">
        <v>82</v>
      </c>
      <c r="AB114" s="292" t="s">
        <v>18</v>
      </c>
      <c r="AC114" s="292">
        <v>7.2</v>
      </c>
      <c r="AD114" s="299" t="s">
        <v>132</v>
      </c>
      <c r="AE114" s="292" t="s">
        <v>22</v>
      </c>
      <c r="AF114" s="292" t="s">
        <v>11</v>
      </c>
      <c r="AG114" s="300">
        <v>15</v>
      </c>
      <c r="AL114" s="299"/>
      <c r="AO114" s="300"/>
      <c r="AP114" s="299"/>
      <c r="AS114" s="300"/>
      <c r="AW114" s="300"/>
      <c r="BA114" s="301"/>
    </row>
    <row r="115" spans="1:53" s="292" customFormat="1">
      <c r="A115" s="292">
        <v>2011</v>
      </c>
      <c r="B115" s="836"/>
      <c r="C115" s="916" t="s">
        <v>550</v>
      </c>
      <c r="D115" s="916"/>
      <c r="E115" s="292">
        <v>365</v>
      </c>
      <c r="G115" s="366">
        <v>5</v>
      </c>
      <c r="H115" s="292">
        <v>11</v>
      </c>
      <c r="J115" s="377">
        <v>16</v>
      </c>
      <c r="K115" s="336">
        <f t="shared" si="16"/>
        <v>31.25</v>
      </c>
      <c r="L115" s="336">
        <f t="shared" si="17"/>
        <v>68.75</v>
      </c>
      <c r="M115" s="336">
        <f t="shared" si="18"/>
        <v>0</v>
      </c>
      <c r="N115" s="368">
        <f t="shared" si="8"/>
        <v>100</v>
      </c>
      <c r="O115" s="335">
        <v>15</v>
      </c>
      <c r="P115" s="336">
        <v>38.4</v>
      </c>
      <c r="Q115" s="336"/>
      <c r="R115" s="337">
        <f t="shared" si="9"/>
        <v>53.4</v>
      </c>
      <c r="S115" s="340">
        <v>2</v>
      </c>
      <c r="T115" s="838"/>
      <c r="U115" s="836"/>
      <c r="V115" s="299" t="s">
        <v>129</v>
      </c>
      <c r="W115" s="292" t="s">
        <v>17</v>
      </c>
      <c r="X115" s="292" t="s">
        <v>18</v>
      </c>
      <c r="Y115" s="300">
        <v>31.2</v>
      </c>
      <c r="Z115" s="292" t="s">
        <v>130</v>
      </c>
      <c r="AA115" s="292" t="s">
        <v>82</v>
      </c>
      <c r="AB115" s="292" t="s">
        <v>18</v>
      </c>
      <c r="AC115" s="292">
        <v>7.2</v>
      </c>
      <c r="AD115" s="299" t="s">
        <v>132</v>
      </c>
      <c r="AE115" s="292" t="s">
        <v>22</v>
      </c>
      <c r="AF115" s="292" t="s">
        <v>11</v>
      </c>
      <c r="AG115" s="300">
        <v>15</v>
      </c>
      <c r="AL115" s="299"/>
      <c r="AO115" s="300"/>
      <c r="AP115" s="299"/>
      <c r="AS115" s="300"/>
      <c r="AW115" s="300"/>
      <c r="BA115" s="301"/>
    </row>
    <row r="116" spans="1:53" s="292" customFormat="1">
      <c r="A116" s="292">
        <v>2012</v>
      </c>
      <c r="B116" s="836"/>
      <c r="C116" s="916" t="s">
        <v>550</v>
      </c>
      <c r="D116" s="916"/>
      <c r="E116" s="292">
        <v>0</v>
      </c>
      <c r="G116" s="366">
        <v>5</v>
      </c>
      <c r="H116" s="292">
        <v>11</v>
      </c>
      <c r="J116" s="377">
        <v>16</v>
      </c>
      <c r="K116" s="336">
        <f t="shared" si="16"/>
        <v>31.25</v>
      </c>
      <c r="L116" s="336">
        <f t="shared" si="17"/>
        <v>68.75</v>
      </c>
      <c r="M116" s="336">
        <f t="shared" si="18"/>
        <v>0</v>
      </c>
      <c r="N116" s="368">
        <f t="shared" si="8"/>
        <v>100</v>
      </c>
      <c r="O116" s="335">
        <v>15</v>
      </c>
      <c r="P116" s="336">
        <v>38.4</v>
      </c>
      <c r="Q116" s="336"/>
      <c r="R116" s="337">
        <f t="shared" si="9"/>
        <v>53.4</v>
      </c>
      <c r="S116" s="340">
        <v>2</v>
      </c>
      <c r="T116" s="838"/>
      <c r="U116" s="836"/>
      <c r="V116" s="299" t="s">
        <v>129</v>
      </c>
      <c r="W116" s="292" t="s">
        <v>17</v>
      </c>
      <c r="X116" s="292" t="s">
        <v>18</v>
      </c>
      <c r="Y116" s="300">
        <v>31.2</v>
      </c>
      <c r="Z116" s="292" t="s">
        <v>130</v>
      </c>
      <c r="AA116" s="292" t="s">
        <v>82</v>
      </c>
      <c r="AB116" s="292" t="s">
        <v>18</v>
      </c>
      <c r="AC116" s="292">
        <v>7.2</v>
      </c>
      <c r="AD116" s="299" t="s">
        <v>132</v>
      </c>
      <c r="AE116" s="292" t="s">
        <v>22</v>
      </c>
      <c r="AF116" s="292" t="s">
        <v>11</v>
      </c>
      <c r="AG116" s="300">
        <v>15</v>
      </c>
      <c r="AL116" s="299"/>
      <c r="AO116" s="300"/>
      <c r="AP116" s="299"/>
      <c r="AS116" s="300"/>
      <c r="AW116" s="300"/>
      <c r="BA116" s="301"/>
    </row>
    <row r="117" spans="1:53" s="292" customFormat="1">
      <c r="A117" s="292">
        <v>2012</v>
      </c>
      <c r="B117" s="836"/>
      <c r="C117" s="916" t="s">
        <v>550</v>
      </c>
      <c r="D117" s="916"/>
      <c r="E117" s="292">
        <v>366</v>
      </c>
      <c r="G117" s="366">
        <v>5</v>
      </c>
      <c r="H117" s="292">
        <v>11</v>
      </c>
      <c r="J117" s="377">
        <v>16</v>
      </c>
      <c r="K117" s="336">
        <f t="shared" si="16"/>
        <v>31.25</v>
      </c>
      <c r="L117" s="336">
        <f t="shared" si="17"/>
        <v>68.75</v>
      </c>
      <c r="M117" s="336">
        <f t="shared" si="18"/>
        <v>0</v>
      </c>
      <c r="N117" s="368">
        <f t="shared" si="8"/>
        <v>100</v>
      </c>
      <c r="O117" s="335">
        <v>15</v>
      </c>
      <c r="P117" s="336">
        <v>38.4</v>
      </c>
      <c r="Q117" s="336"/>
      <c r="R117" s="337">
        <f t="shared" si="9"/>
        <v>53.4</v>
      </c>
      <c r="S117" s="340">
        <v>2</v>
      </c>
      <c r="T117" s="838"/>
      <c r="U117" s="836"/>
      <c r="V117" s="299" t="s">
        <v>129</v>
      </c>
      <c r="W117" s="292" t="s">
        <v>17</v>
      </c>
      <c r="X117" s="292" t="s">
        <v>18</v>
      </c>
      <c r="Y117" s="300">
        <v>31.2</v>
      </c>
      <c r="Z117" s="292" t="s">
        <v>130</v>
      </c>
      <c r="AA117" s="292" t="s">
        <v>82</v>
      </c>
      <c r="AB117" s="292" t="s">
        <v>18</v>
      </c>
      <c r="AC117" s="292">
        <v>7.2</v>
      </c>
      <c r="AD117" s="299" t="s">
        <v>132</v>
      </c>
      <c r="AE117" s="292" t="s">
        <v>22</v>
      </c>
      <c r="AF117" s="292" t="s">
        <v>11</v>
      </c>
      <c r="AG117" s="300">
        <v>15</v>
      </c>
      <c r="AL117" s="299"/>
      <c r="AO117" s="300"/>
      <c r="AP117" s="299"/>
      <c r="AS117" s="300"/>
      <c r="AW117" s="300"/>
      <c r="BA117" s="301"/>
    </row>
    <row r="118" spans="1:53" s="292" customFormat="1">
      <c r="A118" s="292">
        <v>2013</v>
      </c>
      <c r="B118" s="836"/>
      <c r="C118" s="916" t="s">
        <v>550</v>
      </c>
      <c r="D118" s="916"/>
      <c r="E118" s="292">
        <v>350</v>
      </c>
      <c r="G118" s="366">
        <v>5</v>
      </c>
      <c r="H118" s="292">
        <v>11</v>
      </c>
      <c r="J118" s="377">
        <v>16</v>
      </c>
      <c r="K118" s="336">
        <f t="shared" si="16"/>
        <v>31.25</v>
      </c>
      <c r="L118" s="336">
        <f t="shared" si="17"/>
        <v>68.75</v>
      </c>
      <c r="M118" s="336">
        <f t="shared" si="18"/>
        <v>0</v>
      </c>
      <c r="N118" s="368">
        <f t="shared" si="8"/>
        <v>100</v>
      </c>
      <c r="O118" s="335">
        <v>15</v>
      </c>
      <c r="P118" s="336">
        <v>38.4</v>
      </c>
      <c r="Q118" s="336"/>
      <c r="R118" s="337">
        <f t="shared" si="9"/>
        <v>53.4</v>
      </c>
      <c r="S118" s="340">
        <v>2</v>
      </c>
      <c r="T118" s="838"/>
      <c r="U118" s="836"/>
      <c r="V118" s="299" t="s">
        <v>129</v>
      </c>
      <c r="W118" s="292" t="s">
        <v>17</v>
      </c>
      <c r="X118" s="292" t="s">
        <v>18</v>
      </c>
      <c r="Y118" s="300">
        <v>31.2</v>
      </c>
      <c r="Z118" s="292" t="s">
        <v>130</v>
      </c>
      <c r="AA118" s="292" t="s">
        <v>82</v>
      </c>
      <c r="AB118" s="292" t="s">
        <v>18</v>
      </c>
      <c r="AC118" s="292">
        <v>7.2</v>
      </c>
      <c r="AD118" s="299" t="s">
        <v>132</v>
      </c>
      <c r="AE118" s="292" t="s">
        <v>22</v>
      </c>
      <c r="AF118" s="292" t="s">
        <v>11</v>
      </c>
      <c r="AG118" s="300">
        <v>15</v>
      </c>
      <c r="AL118" s="299"/>
      <c r="AO118" s="300"/>
      <c r="AP118" s="299"/>
      <c r="AS118" s="300"/>
      <c r="AW118" s="300"/>
      <c r="BA118" s="301"/>
    </row>
    <row r="119" spans="1:53" s="281" customFormat="1">
      <c r="A119" s="281">
        <v>2013</v>
      </c>
      <c r="B119" s="852">
        <v>41625</v>
      </c>
      <c r="C119" s="917" t="s">
        <v>1246</v>
      </c>
      <c r="D119" s="917"/>
      <c r="E119" s="281">
        <f>365-E118</f>
        <v>15</v>
      </c>
      <c r="F119" s="281">
        <v>1</v>
      </c>
      <c r="G119" s="119"/>
      <c r="H119" s="281">
        <v>10</v>
      </c>
      <c r="I119" s="281">
        <v>6</v>
      </c>
      <c r="J119" s="126">
        <v>16</v>
      </c>
      <c r="K119" s="92">
        <f>G119/J119*100</f>
        <v>0</v>
      </c>
      <c r="L119" s="92">
        <f t="shared" si="17"/>
        <v>62.5</v>
      </c>
      <c r="M119" s="92">
        <f t="shared" si="18"/>
        <v>37.5</v>
      </c>
      <c r="N119" s="121">
        <f>SUM(K119:M119)</f>
        <v>100</v>
      </c>
      <c r="O119" s="91">
        <v>0</v>
      </c>
      <c r="P119" s="92">
        <v>49.3</v>
      </c>
      <c r="Q119" s="92">
        <v>30.6</v>
      </c>
      <c r="R119" s="93">
        <f t="shared" si="9"/>
        <v>79.900000000000006</v>
      </c>
      <c r="S119" s="97">
        <v>2</v>
      </c>
      <c r="T119" s="839">
        <v>41539</v>
      </c>
      <c r="U119" s="852">
        <v>41625</v>
      </c>
      <c r="V119" s="82" t="s">
        <v>129</v>
      </c>
      <c r="W119" s="281" t="s">
        <v>17</v>
      </c>
      <c r="X119" s="281" t="s">
        <v>18</v>
      </c>
      <c r="Y119" s="83">
        <v>40.4</v>
      </c>
      <c r="Z119" s="281" t="s">
        <v>130</v>
      </c>
      <c r="AA119" s="281" t="s">
        <v>82</v>
      </c>
      <c r="AB119" s="281" t="s">
        <v>18</v>
      </c>
      <c r="AC119" s="281">
        <v>8.9</v>
      </c>
      <c r="AD119" s="82" t="s">
        <v>133</v>
      </c>
      <c r="AE119" s="281" t="s">
        <v>20</v>
      </c>
      <c r="AF119" s="281" t="s">
        <v>12</v>
      </c>
      <c r="AG119" s="83">
        <v>30.6</v>
      </c>
      <c r="AL119" s="82"/>
      <c r="AO119" s="83"/>
      <c r="AP119" s="82"/>
      <c r="AS119" s="83"/>
      <c r="AW119" s="83"/>
      <c r="BA119" s="84"/>
    </row>
    <row r="120" spans="1:53" s="448" customFormat="1">
      <c r="A120" s="448">
        <v>2014</v>
      </c>
      <c r="B120" s="852"/>
      <c r="C120" s="917" t="s">
        <v>1246</v>
      </c>
      <c r="D120" s="917"/>
      <c r="E120" s="448">
        <v>0</v>
      </c>
      <c r="G120" s="411"/>
      <c r="H120" s="448">
        <v>10</v>
      </c>
      <c r="I120" s="448">
        <v>6</v>
      </c>
      <c r="J120" s="413">
        <v>16</v>
      </c>
      <c r="K120" s="409">
        <f>G120/J120*100</f>
        <v>0</v>
      </c>
      <c r="L120" s="409">
        <f>H120/J120*100</f>
        <v>62.5</v>
      </c>
      <c r="M120" s="409">
        <f>I120/J120*100</f>
        <v>37.5</v>
      </c>
      <c r="N120" s="412">
        <f>SUM(K120:M120)</f>
        <v>100</v>
      </c>
      <c r="O120" s="408">
        <v>0</v>
      </c>
      <c r="P120" s="409">
        <v>49.3</v>
      </c>
      <c r="Q120" s="409">
        <v>30.6</v>
      </c>
      <c r="R120" s="410">
        <f>SUM(O120:Q120)</f>
        <v>79.900000000000006</v>
      </c>
      <c r="S120" s="97">
        <v>2</v>
      </c>
      <c r="T120" s="839"/>
      <c r="U120" s="852"/>
      <c r="V120" s="405" t="s">
        <v>129</v>
      </c>
      <c r="W120" s="448" t="s">
        <v>17</v>
      </c>
      <c r="X120" s="448" t="s">
        <v>18</v>
      </c>
      <c r="Y120" s="406">
        <v>40.4</v>
      </c>
      <c r="Z120" s="448" t="s">
        <v>130</v>
      </c>
      <c r="AA120" s="448" t="s">
        <v>82</v>
      </c>
      <c r="AB120" s="448" t="s">
        <v>18</v>
      </c>
      <c r="AC120" s="448">
        <v>8.9</v>
      </c>
      <c r="AD120" s="405" t="s">
        <v>133</v>
      </c>
      <c r="AE120" s="448" t="s">
        <v>20</v>
      </c>
      <c r="AF120" s="448" t="s">
        <v>12</v>
      </c>
      <c r="AG120" s="406">
        <v>30.6</v>
      </c>
      <c r="AL120" s="405"/>
      <c r="AO120" s="406"/>
      <c r="AP120" s="405"/>
      <c r="AS120" s="406"/>
      <c r="AW120" s="406"/>
      <c r="BA120" s="407"/>
    </row>
    <row r="121" spans="1:53" s="448" customFormat="1">
      <c r="A121" s="448">
        <v>2014</v>
      </c>
      <c r="B121" s="852"/>
      <c r="C121" s="917" t="s">
        <v>1246</v>
      </c>
      <c r="D121" s="917"/>
      <c r="E121" s="448">
        <v>365</v>
      </c>
      <c r="G121" s="411"/>
      <c r="H121" s="448">
        <v>10</v>
      </c>
      <c r="I121" s="448">
        <v>6</v>
      </c>
      <c r="J121" s="413">
        <v>16</v>
      </c>
      <c r="K121" s="409">
        <f>G121/J121*100</f>
        <v>0</v>
      </c>
      <c r="L121" s="409">
        <f>H121/J121*100</f>
        <v>62.5</v>
      </c>
      <c r="M121" s="409">
        <f>I121/J121*100</f>
        <v>37.5</v>
      </c>
      <c r="N121" s="412">
        <f>SUM(K121:M121)</f>
        <v>100</v>
      </c>
      <c r="O121" s="408">
        <v>0</v>
      </c>
      <c r="P121" s="409">
        <v>49.3</v>
      </c>
      <c r="Q121" s="409">
        <v>30.6</v>
      </c>
      <c r="R121" s="410">
        <f>SUM(O121:Q121)</f>
        <v>79.900000000000006</v>
      </c>
      <c r="S121" s="97">
        <v>2</v>
      </c>
      <c r="T121" s="839"/>
      <c r="U121" s="852"/>
      <c r="V121" s="405" t="s">
        <v>129</v>
      </c>
      <c r="W121" s="448" t="s">
        <v>17</v>
      </c>
      <c r="X121" s="448" t="s">
        <v>18</v>
      </c>
      <c r="Y121" s="406">
        <v>40.4</v>
      </c>
      <c r="Z121" s="448" t="s">
        <v>130</v>
      </c>
      <c r="AA121" s="448" t="s">
        <v>82</v>
      </c>
      <c r="AB121" s="448" t="s">
        <v>18</v>
      </c>
      <c r="AC121" s="448">
        <v>8.9</v>
      </c>
      <c r="AD121" s="405" t="s">
        <v>133</v>
      </c>
      <c r="AE121" s="448" t="s">
        <v>20</v>
      </c>
      <c r="AF121" s="448" t="s">
        <v>12</v>
      </c>
      <c r="AG121" s="406">
        <v>30.6</v>
      </c>
      <c r="AL121" s="405"/>
      <c r="AO121" s="406"/>
      <c r="AP121" s="405"/>
      <c r="AS121" s="406"/>
      <c r="AW121" s="406"/>
      <c r="BA121" s="407"/>
    </row>
    <row r="122" spans="1:53" s="597" customFormat="1">
      <c r="A122" s="597">
        <v>2015</v>
      </c>
      <c r="B122" s="852"/>
      <c r="C122" s="917" t="s">
        <v>1246</v>
      </c>
      <c r="D122" s="917"/>
      <c r="E122" s="597">
        <v>0</v>
      </c>
      <c r="G122" s="498"/>
      <c r="H122" s="597">
        <v>10</v>
      </c>
      <c r="I122" s="597">
        <v>6</v>
      </c>
      <c r="J122" s="500">
        <v>16</v>
      </c>
      <c r="K122" s="496">
        <f t="shared" ref="K122:K124" si="19">G122/J122*100</f>
        <v>0</v>
      </c>
      <c r="L122" s="496">
        <f t="shared" ref="L122:L124" si="20">H122/J122*100</f>
        <v>62.5</v>
      </c>
      <c r="M122" s="496">
        <f t="shared" ref="M122:M124" si="21">I122/J122*100</f>
        <v>37.5</v>
      </c>
      <c r="N122" s="499">
        <f t="shared" ref="N122:N124" si="22">SUM(K122:M122)</f>
        <v>100</v>
      </c>
      <c r="O122" s="495">
        <v>0</v>
      </c>
      <c r="P122" s="496">
        <v>49.3</v>
      </c>
      <c r="Q122" s="496">
        <v>30.6</v>
      </c>
      <c r="R122" s="497">
        <f t="shared" ref="R122:R124" si="23">SUM(O122:Q122)</f>
        <v>79.900000000000006</v>
      </c>
      <c r="S122" s="97">
        <v>2</v>
      </c>
      <c r="T122" s="839"/>
      <c r="U122" s="852"/>
      <c r="V122" s="492" t="s">
        <v>129</v>
      </c>
      <c r="W122" s="597" t="s">
        <v>17</v>
      </c>
      <c r="X122" s="597" t="s">
        <v>18</v>
      </c>
      <c r="Y122" s="493">
        <v>40.4</v>
      </c>
      <c r="Z122" s="597" t="s">
        <v>130</v>
      </c>
      <c r="AA122" s="597" t="s">
        <v>82</v>
      </c>
      <c r="AB122" s="597" t="s">
        <v>18</v>
      </c>
      <c r="AC122" s="597">
        <v>8.9</v>
      </c>
      <c r="AD122" s="492" t="s">
        <v>133</v>
      </c>
      <c r="AE122" s="597" t="s">
        <v>20</v>
      </c>
      <c r="AF122" s="597" t="s">
        <v>12</v>
      </c>
      <c r="AG122" s="493">
        <v>30.6</v>
      </c>
      <c r="AL122" s="492"/>
      <c r="AO122" s="493"/>
      <c r="AP122" s="492"/>
      <c r="AS122" s="493"/>
      <c r="AW122" s="493"/>
      <c r="BA122" s="494"/>
    </row>
    <row r="123" spans="1:53" s="597" customFormat="1">
      <c r="A123" s="597">
        <v>2015</v>
      </c>
      <c r="B123" s="852"/>
      <c r="C123" s="917" t="s">
        <v>1246</v>
      </c>
      <c r="D123" s="917"/>
      <c r="E123" s="597">
        <v>365</v>
      </c>
      <c r="G123" s="498"/>
      <c r="H123" s="597">
        <v>10</v>
      </c>
      <c r="I123" s="597">
        <v>6</v>
      </c>
      <c r="J123" s="500">
        <v>16</v>
      </c>
      <c r="K123" s="496">
        <f t="shared" si="19"/>
        <v>0</v>
      </c>
      <c r="L123" s="496">
        <f t="shared" si="20"/>
        <v>62.5</v>
      </c>
      <c r="M123" s="496">
        <f t="shared" si="21"/>
        <v>37.5</v>
      </c>
      <c r="N123" s="499">
        <f t="shared" si="22"/>
        <v>100</v>
      </c>
      <c r="O123" s="495">
        <v>0</v>
      </c>
      <c r="P123" s="496">
        <v>49.3</v>
      </c>
      <c r="Q123" s="496">
        <v>30.6</v>
      </c>
      <c r="R123" s="497">
        <f t="shared" si="23"/>
        <v>79.900000000000006</v>
      </c>
      <c r="S123" s="97">
        <v>2</v>
      </c>
      <c r="T123" s="839"/>
      <c r="U123" s="852"/>
      <c r="V123" s="492" t="s">
        <v>129</v>
      </c>
      <c r="W123" s="597" t="s">
        <v>17</v>
      </c>
      <c r="X123" s="597" t="s">
        <v>18</v>
      </c>
      <c r="Y123" s="493">
        <v>40.4</v>
      </c>
      <c r="Z123" s="597" t="s">
        <v>130</v>
      </c>
      <c r="AA123" s="597" t="s">
        <v>82</v>
      </c>
      <c r="AB123" s="597" t="s">
        <v>18</v>
      </c>
      <c r="AC123" s="597">
        <v>8.9</v>
      </c>
      <c r="AD123" s="492" t="s">
        <v>133</v>
      </c>
      <c r="AE123" s="597" t="s">
        <v>20</v>
      </c>
      <c r="AF123" s="597" t="s">
        <v>12</v>
      </c>
      <c r="AG123" s="493">
        <v>30.6</v>
      </c>
      <c r="AL123" s="492"/>
      <c r="AO123" s="493"/>
      <c r="AP123" s="492"/>
      <c r="AS123" s="493"/>
      <c r="AW123" s="493"/>
      <c r="BA123" s="494"/>
    </row>
    <row r="124" spans="1:53" s="659" customFormat="1">
      <c r="A124" s="659">
        <v>2016</v>
      </c>
      <c r="B124" s="852"/>
      <c r="C124" s="917" t="s">
        <v>1246</v>
      </c>
      <c r="D124" s="917"/>
      <c r="E124" s="659">
        <v>0</v>
      </c>
      <c r="G124" s="498"/>
      <c r="H124" s="659">
        <v>10</v>
      </c>
      <c r="I124" s="659">
        <v>6</v>
      </c>
      <c r="J124" s="500">
        <v>16</v>
      </c>
      <c r="K124" s="496">
        <f t="shared" si="19"/>
        <v>0</v>
      </c>
      <c r="L124" s="496">
        <f t="shared" si="20"/>
        <v>62.5</v>
      </c>
      <c r="M124" s="496">
        <f t="shared" si="21"/>
        <v>37.5</v>
      </c>
      <c r="N124" s="499">
        <f t="shared" si="22"/>
        <v>100</v>
      </c>
      <c r="O124" s="495">
        <v>0</v>
      </c>
      <c r="P124" s="496">
        <v>49.3</v>
      </c>
      <c r="Q124" s="496">
        <v>30.6</v>
      </c>
      <c r="R124" s="497">
        <f t="shared" si="23"/>
        <v>79.900000000000006</v>
      </c>
      <c r="S124" s="97">
        <v>2</v>
      </c>
      <c r="T124" s="839"/>
      <c r="U124" s="852"/>
      <c r="V124" s="492" t="s">
        <v>129</v>
      </c>
      <c r="W124" s="659" t="s">
        <v>17</v>
      </c>
      <c r="X124" s="659" t="s">
        <v>18</v>
      </c>
      <c r="Y124" s="493">
        <v>40.4</v>
      </c>
      <c r="Z124" s="659" t="s">
        <v>130</v>
      </c>
      <c r="AA124" s="659" t="s">
        <v>82</v>
      </c>
      <c r="AB124" s="659" t="s">
        <v>18</v>
      </c>
      <c r="AC124" s="659">
        <v>8.9</v>
      </c>
      <c r="AD124" s="492" t="s">
        <v>133</v>
      </c>
      <c r="AE124" s="659" t="s">
        <v>20</v>
      </c>
      <c r="AF124" s="659" t="s">
        <v>12</v>
      </c>
      <c r="AG124" s="493">
        <v>30.6</v>
      </c>
      <c r="AL124" s="492"/>
      <c r="AO124" s="493"/>
      <c r="AP124" s="492"/>
      <c r="AS124" s="493"/>
      <c r="AW124" s="493"/>
      <c r="BA124" s="494"/>
    </row>
    <row r="125" spans="1:53" s="659" customFormat="1">
      <c r="A125" s="659">
        <v>2016</v>
      </c>
      <c r="B125" s="852"/>
      <c r="C125" s="917" t="s">
        <v>1246</v>
      </c>
      <c r="D125" s="917"/>
      <c r="E125" s="659">
        <v>366</v>
      </c>
      <c r="G125" s="498"/>
      <c r="H125" s="659">
        <v>10</v>
      </c>
      <c r="I125" s="659">
        <v>6</v>
      </c>
      <c r="J125" s="500">
        <v>16</v>
      </c>
      <c r="K125" s="496">
        <f t="shared" ref="K125" si="24">G125/J125*100</f>
        <v>0</v>
      </c>
      <c r="L125" s="496">
        <f t="shared" ref="L125" si="25">H125/J125*100</f>
        <v>62.5</v>
      </c>
      <c r="M125" s="496">
        <f t="shared" ref="M125" si="26">I125/J125*100</f>
        <v>37.5</v>
      </c>
      <c r="N125" s="499">
        <f t="shared" ref="N125" si="27">SUM(K125:M125)</f>
        <v>100</v>
      </c>
      <c r="O125" s="495">
        <v>0</v>
      </c>
      <c r="P125" s="496">
        <v>49.3</v>
      </c>
      <c r="Q125" s="496">
        <v>30.6</v>
      </c>
      <c r="R125" s="497">
        <f t="shared" ref="R125" si="28">SUM(O125:Q125)</f>
        <v>79.900000000000006</v>
      </c>
      <c r="S125" s="97">
        <v>2</v>
      </c>
      <c r="T125" s="839"/>
      <c r="U125" s="852"/>
      <c r="V125" s="492" t="s">
        <v>129</v>
      </c>
      <c r="W125" s="659" t="s">
        <v>17</v>
      </c>
      <c r="X125" s="659" t="s">
        <v>18</v>
      </c>
      <c r="Y125" s="493">
        <v>40.4</v>
      </c>
      <c r="Z125" s="659" t="s">
        <v>130</v>
      </c>
      <c r="AA125" s="659" t="s">
        <v>82</v>
      </c>
      <c r="AB125" s="659" t="s">
        <v>18</v>
      </c>
      <c r="AC125" s="659">
        <v>8.9</v>
      </c>
      <c r="AD125" s="492" t="s">
        <v>133</v>
      </c>
      <c r="AE125" s="659" t="s">
        <v>20</v>
      </c>
      <c r="AF125" s="659" t="s">
        <v>12</v>
      </c>
      <c r="AG125" s="493">
        <v>30.6</v>
      </c>
      <c r="AL125" s="492"/>
      <c r="AO125" s="493"/>
      <c r="AP125" s="492"/>
      <c r="AS125" s="493"/>
      <c r="AW125" s="493"/>
      <c r="BA125" s="494"/>
    </row>
    <row r="126" spans="1:53" s="727" customFormat="1">
      <c r="A126" s="727">
        <v>2017</v>
      </c>
      <c r="B126" s="852"/>
      <c r="C126" s="917" t="s">
        <v>1246</v>
      </c>
      <c r="D126" s="917"/>
      <c r="E126" s="727">
        <v>147</v>
      </c>
      <c r="G126" s="498"/>
      <c r="H126" s="727">
        <v>10</v>
      </c>
      <c r="I126" s="727">
        <v>6</v>
      </c>
      <c r="J126" s="500">
        <v>16</v>
      </c>
      <c r="K126" s="496">
        <f t="shared" ref="K126:K127" si="29">G126/J126*100</f>
        <v>0</v>
      </c>
      <c r="L126" s="496">
        <f t="shared" ref="L126:L127" si="30">H126/J126*100</f>
        <v>62.5</v>
      </c>
      <c r="M126" s="496">
        <f t="shared" ref="M126:M127" si="31">I126/J126*100</f>
        <v>37.5</v>
      </c>
      <c r="N126" s="499">
        <f t="shared" ref="N126:N127" si="32">SUM(K126:M126)</f>
        <v>100</v>
      </c>
      <c r="O126" s="495">
        <v>0</v>
      </c>
      <c r="P126" s="496">
        <v>49.3</v>
      </c>
      <c r="Q126" s="496">
        <v>30.6</v>
      </c>
      <c r="R126" s="497">
        <f t="shared" ref="R126:R127" si="33">SUM(O126:Q126)</f>
        <v>79.900000000000006</v>
      </c>
      <c r="S126" s="97">
        <v>2</v>
      </c>
      <c r="T126" s="839"/>
      <c r="U126" s="852"/>
      <c r="V126" s="492" t="s">
        <v>129</v>
      </c>
      <c r="W126" s="727" t="s">
        <v>17</v>
      </c>
      <c r="X126" s="727" t="s">
        <v>18</v>
      </c>
      <c r="Y126" s="493">
        <v>40.4</v>
      </c>
      <c r="Z126" s="727" t="s">
        <v>130</v>
      </c>
      <c r="AA126" s="727" t="s">
        <v>82</v>
      </c>
      <c r="AB126" s="727" t="s">
        <v>18</v>
      </c>
      <c r="AC126" s="727">
        <v>8.9</v>
      </c>
      <c r="AD126" s="492" t="s">
        <v>133</v>
      </c>
      <c r="AE126" s="727" t="s">
        <v>20</v>
      </c>
      <c r="AF126" s="727" t="s">
        <v>12</v>
      </c>
      <c r="AG126" s="493">
        <v>30.6</v>
      </c>
      <c r="AL126" s="492"/>
      <c r="AO126" s="493"/>
      <c r="AP126" s="492"/>
      <c r="AS126" s="493"/>
      <c r="AW126" s="493"/>
      <c r="BA126" s="494"/>
    </row>
    <row r="127" spans="1:53" s="727" customFormat="1">
      <c r="A127" s="727">
        <v>2017</v>
      </c>
      <c r="B127" s="866">
        <v>42883</v>
      </c>
      <c r="C127" s="917" t="s">
        <v>1246</v>
      </c>
      <c r="D127" s="917"/>
      <c r="E127" s="727">
        <v>149</v>
      </c>
      <c r="F127" s="190">
        <v>0</v>
      </c>
      <c r="G127" s="498"/>
      <c r="H127" s="727">
        <v>10</v>
      </c>
      <c r="I127" s="727">
        <v>5</v>
      </c>
      <c r="J127" s="500">
        <v>15</v>
      </c>
      <c r="K127" s="496">
        <f t="shared" si="29"/>
        <v>0</v>
      </c>
      <c r="L127" s="496">
        <f t="shared" si="30"/>
        <v>66.666666666666657</v>
      </c>
      <c r="M127" s="496">
        <f t="shared" si="31"/>
        <v>33.333333333333329</v>
      </c>
      <c r="N127" s="499">
        <f t="shared" si="32"/>
        <v>99.999999999999986</v>
      </c>
      <c r="O127" s="495">
        <v>0</v>
      </c>
      <c r="P127" s="496">
        <v>49.3</v>
      </c>
      <c r="Q127" s="496">
        <v>30.6</v>
      </c>
      <c r="R127" s="497">
        <f t="shared" si="33"/>
        <v>79.900000000000006</v>
      </c>
      <c r="S127" s="97">
        <v>2</v>
      </c>
      <c r="T127" s="839"/>
      <c r="U127" s="852"/>
      <c r="V127" s="492" t="s">
        <v>129</v>
      </c>
      <c r="W127" s="727" t="s">
        <v>17</v>
      </c>
      <c r="X127" s="727" t="s">
        <v>18</v>
      </c>
      <c r="Y127" s="493">
        <v>40.4</v>
      </c>
      <c r="Z127" s="727" t="s">
        <v>130</v>
      </c>
      <c r="AA127" s="727" t="s">
        <v>82</v>
      </c>
      <c r="AB127" s="727" t="s">
        <v>18</v>
      </c>
      <c r="AC127" s="727">
        <v>8.9</v>
      </c>
      <c r="AD127" s="492" t="s">
        <v>133</v>
      </c>
      <c r="AE127" s="727" t="s">
        <v>20</v>
      </c>
      <c r="AF127" s="727" t="s">
        <v>12</v>
      </c>
      <c r="AG127" s="493">
        <v>30.6</v>
      </c>
      <c r="AL127" s="492"/>
      <c r="AO127" s="493"/>
      <c r="AP127" s="492"/>
      <c r="AS127" s="493"/>
      <c r="AW127" s="493"/>
      <c r="BA127" s="494"/>
    </row>
    <row r="128" spans="1:53" s="727" customFormat="1">
      <c r="A128" s="727">
        <v>2017</v>
      </c>
      <c r="B128" s="866">
        <v>43032</v>
      </c>
      <c r="C128" s="917" t="s">
        <v>1246</v>
      </c>
      <c r="D128" s="917"/>
      <c r="E128" s="727">
        <v>69</v>
      </c>
      <c r="F128" s="190">
        <v>0</v>
      </c>
      <c r="G128" s="498"/>
      <c r="H128" s="727">
        <v>8</v>
      </c>
      <c r="I128" s="727">
        <v>5</v>
      </c>
      <c r="J128" s="500">
        <v>13</v>
      </c>
      <c r="K128" s="496">
        <f t="shared" ref="K128" si="34">G128/J128*100</f>
        <v>0</v>
      </c>
      <c r="L128" s="496">
        <f t="shared" ref="L128" si="35">H128/J128*100</f>
        <v>61.53846153846154</v>
      </c>
      <c r="M128" s="496">
        <f t="shared" ref="M128" si="36">I128/J128*100</f>
        <v>38.461538461538467</v>
      </c>
      <c r="N128" s="499">
        <f t="shared" ref="N128" si="37">SUM(K128:M128)</f>
        <v>100</v>
      </c>
      <c r="O128" s="495">
        <v>0</v>
      </c>
      <c r="P128" s="496">
        <v>49.3</v>
      </c>
      <c r="Q128" s="496">
        <v>30.6</v>
      </c>
      <c r="R128" s="497">
        <f t="shared" ref="R128" si="38">SUM(O128:Q128)</f>
        <v>79.900000000000006</v>
      </c>
      <c r="S128" s="97">
        <v>2</v>
      </c>
      <c r="T128" s="839"/>
      <c r="U128" s="852"/>
      <c r="V128" s="492" t="s">
        <v>129</v>
      </c>
      <c r="W128" s="727" t="s">
        <v>17</v>
      </c>
      <c r="X128" s="727" t="s">
        <v>18</v>
      </c>
      <c r="Y128" s="493">
        <v>40.4</v>
      </c>
      <c r="Z128" s="727" t="s">
        <v>130</v>
      </c>
      <c r="AA128" s="727" t="s">
        <v>82</v>
      </c>
      <c r="AB128" s="727" t="s">
        <v>18</v>
      </c>
      <c r="AC128" s="727">
        <v>8.9</v>
      </c>
      <c r="AD128" s="492" t="s">
        <v>133</v>
      </c>
      <c r="AE128" s="727" t="s">
        <v>20</v>
      </c>
      <c r="AF128" s="727" t="s">
        <v>12</v>
      </c>
      <c r="AG128" s="493">
        <v>30.6</v>
      </c>
      <c r="AL128" s="492"/>
      <c r="AO128" s="493"/>
      <c r="AP128" s="492"/>
      <c r="AS128" s="493"/>
      <c r="AW128" s="493"/>
      <c r="BA128" s="494"/>
    </row>
    <row r="129" spans="1:53" s="760" customFormat="1">
      <c r="A129" s="760">
        <v>2018</v>
      </c>
      <c r="B129" s="866"/>
      <c r="C129" s="917" t="s">
        <v>1246</v>
      </c>
      <c r="D129" s="917"/>
      <c r="E129" s="760">
        <v>72</v>
      </c>
      <c r="F129" s="190"/>
      <c r="G129" s="498"/>
      <c r="H129" s="760">
        <v>8</v>
      </c>
      <c r="I129" s="760">
        <v>5</v>
      </c>
      <c r="J129" s="500">
        <v>13</v>
      </c>
      <c r="K129" s="496">
        <f t="shared" ref="K129:K130" si="39">G129/J129*100</f>
        <v>0</v>
      </c>
      <c r="L129" s="496">
        <f t="shared" ref="L129:L130" si="40">H129/J129*100</f>
        <v>61.53846153846154</v>
      </c>
      <c r="M129" s="496">
        <f t="shared" ref="M129:M130" si="41">I129/J129*100</f>
        <v>38.461538461538467</v>
      </c>
      <c r="N129" s="499">
        <f t="shared" ref="N129:N130" si="42">SUM(K129:M129)</f>
        <v>100</v>
      </c>
      <c r="O129" s="495">
        <v>0</v>
      </c>
      <c r="P129" s="496">
        <v>49.3</v>
      </c>
      <c r="Q129" s="496">
        <v>30.6</v>
      </c>
      <c r="R129" s="497">
        <f t="shared" ref="R129:R130" si="43">SUM(O129:Q129)</f>
        <v>79.900000000000006</v>
      </c>
      <c r="S129" s="97">
        <v>2</v>
      </c>
      <c r="T129" s="839"/>
      <c r="U129" s="852"/>
      <c r="V129" s="492" t="s">
        <v>129</v>
      </c>
      <c r="W129" s="760" t="s">
        <v>17</v>
      </c>
      <c r="X129" s="760" t="s">
        <v>18</v>
      </c>
      <c r="Y129" s="493">
        <v>40.4</v>
      </c>
      <c r="Z129" s="760" t="s">
        <v>130</v>
      </c>
      <c r="AA129" s="760" t="s">
        <v>82</v>
      </c>
      <c r="AB129" s="760" t="s">
        <v>18</v>
      </c>
      <c r="AC129" s="760">
        <v>8.9</v>
      </c>
      <c r="AD129" s="492" t="s">
        <v>133</v>
      </c>
      <c r="AE129" s="760" t="s">
        <v>20</v>
      </c>
      <c r="AF129" s="760" t="s">
        <v>12</v>
      </c>
      <c r="AG129" s="493">
        <v>30.6</v>
      </c>
      <c r="AL129" s="492"/>
      <c r="AO129" s="493"/>
      <c r="AP129" s="492"/>
      <c r="AS129" s="493"/>
      <c r="AW129" s="493"/>
      <c r="BA129" s="494"/>
    </row>
    <row r="130" spans="1:53" s="759" customFormat="1">
      <c r="A130" s="759">
        <v>2018</v>
      </c>
      <c r="B130" s="836">
        <v>43173</v>
      </c>
      <c r="C130" s="916" t="s">
        <v>1398</v>
      </c>
      <c r="D130" s="916"/>
      <c r="E130" s="759">
        <v>293</v>
      </c>
      <c r="F130" s="759">
        <v>1</v>
      </c>
      <c r="G130" s="539"/>
      <c r="H130" s="759">
        <v>10</v>
      </c>
      <c r="I130" s="759">
        <v>6</v>
      </c>
      <c r="J130" s="541">
        <v>16</v>
      </c>
      <c r="K130" s="537">
        <f t="shared" si="39"/>
        <v>0</v>
      </c>
      <c r="L130" s="537">
        <f t="shared" si="40"/>
        <v>62.5</v>
      </c>
      <c r="M130" s="537">
        <f t="shared" si="41"/>
        <v>37.5</v>
      </c>
      <c r="N130" s="540">
        <f t="shared" si="42"/>
        <v>100</v>
      </c>
      <c r="O130" s="536"/>
      <c r="P130" s="537">
        <v>34.700000000000003</v>
      </c>
      <c r="Q130" s="537">
        <v>21.4</v>
      </c>
      <c r="R130" s="538">
        <f t="shared" si="43"/>
        <v>56.1</v>
      </c>
      <c r="S130" s="340">
        <v>2</v>
      </c>
      <c r="T130" s="838">
        <v>43002</v>
      </c>
      <c r="U130" s="836">
        <v>43173</v>
      </c>
      <c r="V130" s="532" t="s">
        <v>129</v>
      </c>
      <c r="W130" s="759" t="s">
        <v>17</v>
      </c>
      <c r="X130" s="759" t="s">
        <v>18</v>
      </c>
      <c r="Y130" s="533">
        <v>28.2</v>
      </c>
      <c r="Z130" s="759" t="s">
        <v>130</v>
      </c>
      <c r="AA130" s="759" t="s">
        <v>82</v>
      </c>
      <c r="AB130" s="759" t="s">
        <v>18</v>
      </c>
      <c r="AC130" s="759">
        <v>6.5</v>
      </c>
      <c r="AD130" s="532" t="s">
        <v>133</v>
      </c>
      <c r="AE130" s="759" t="s">
        <v>20</v>
      </c>
      <c r="AF130" s="759" t="s">
        <v>12</v>
      </c>
      <c r="AG130" s="533">
        <v>21.4</v>
      </c>
      <c r="AL130" s="532"/>
      <c r="AO130" s="533"/>
      <c r="AP130" s="532"/>
      <c r="AS130" s="533"/>
      <c r="AW130" s="533"/>
      <c r="BA130" s="534"/>
    </row>
    <row r="131" spans="1:53" s="786" customFormat="1">
      <c r="A131" s="786">
        <v>2019</v>
      </c>
      <c r="B131" s="836"/>
      <c r="C131" s="916" t="s">
        <v>1398</v>
      </c>
      <c r="D131" s="916"/>
      <c r="E131" s="786">
        <v>0</v>
      </c>
      <c r="G131" s="539"/>
      <c r="H131" s="786">
        <v>10</v>
      </c>
      <c r="I131" s="786">
        <v>6</v>
      </c>
      <c r="J131" s="541">
        <v>16</v>
      </c>
      <c r="K131" s="537">
        <f t="shared" ref="K131:K132" si="44">G131/J131*100</f>
        <v>0</v>
      </c>
      <c r="L131" s="537">
        <f t="shared" ref="L131:L132" si="45">H131/J131*100</f>
        <v>62.5</v>
      </c>
      <c r="M131" s="537">
        <f t="shared" ref="M131:M132" si="46">I131/J131*100</f>
        <v>37.5</v>
      </c>
      <c r="N131" s="540">
        <f t="shared" ref="N131:N132" si="47">SUM(K131:M131)</f>
        <v>100</v>
      </c>
      <c r="O131" s="536"/>
      <c r="P131" s="537">
        <v>34.700000000000003</v>
      </c>
      <c r="Q131" s="537">
        <v>21.4</v>
      </c>
      <c r="R131" s="538">
        <f t="shared" ref="R131:R132" si="48">SUM(O131:Q131)</f>
        <v>56.1</v>
      </c>
      <c r="S131" s="340">
        <v>2</v>
      </c>
      <c r="T131" s="838"/>
      <c r="U131" s="836"/>
      <c r="V131" s="532" t="s">
        <v>129</v>
      </c>
      <c r="W131" s="786" t="s">
        <v>17</v>
      </c>
      <c r="X131" s="786" t="s">
        <v>18</v>
      </c>
      <c r="Y131" s="533">
        <v>28.2</v>
      </c>
      <c r="Z131" s="786" t="s">
        <v>130</v>
      </c>
      <c r="AA131" s="786" t="s">
        <v>82</v>
      </c>
      <c r="AB131" s="786" t="s">
        <v>18</v>
      </c>
      <c r="AC131" s="786">
        <v>6.5</v>
      </c>
      <c r="AD131" s="532" t="s">
        <v>133</v>
      </c>
      <c r="AE131" s="786" t="s">
        <v>20</v>
      </c>
      <c r="AF131" s="786" t="s">
        <v>12</v>
      </c>
      <c r="AG131" s="533">
        <v>21.4</v>
      </c>
      <c r="AL131" s="532"/>
      <c r="AO131" s="533"/>
      <c r="AP131" s="532"/>
      <c r="AS131" s="533"/>
      <c r="AW131" s="533"/>
      <c r="BA131" s="534"/>
    </row>
    <row r="132" spans="1:53" s="786" customFormat="1">
      <c r="A132" s="786">
        <v>2019</v>
      </c>
      <c r="B132" s="836"/>
      <c r="C132" s="916" t="s">
        <v>1398</v>
      </c>
      <c r="D132" s="916"/>
      <c r="E132" s="786">
        <v>365</v>
      </c>
      <c r="G132" s="539"/>
      <c r="H132" s="786">
        <v>10</v>
      </c>
      <c r="I132" s="786">
        <v>6</v>
      </c>
      <c r="J132" s="541">
        <v>16</v>
      </c>
      <c r="K132" s="537">
        <f t="shared" si="44"/>
        <v>0</v>
      </c>
      <c r="L132" s="537">
        <f t="shared" si="45"/>
        <v>62.5</v>
      </c>
      <c r="M132" s="537">
        <f t="shared" si="46"/>
        <v>37.5</v>
      </c>
      <c r="N132" s="540">
        <f t="shared" si="47"/>
        <v>100</v>
      </c>
      <c r="O132" s="536"/>
      <c r="P132" s="537">
        <v>34.700000000000003</v>
      </c>
      <c r="Q132" s="537">
        <v>21.4</v>
      </c>
      <c r="R132" s="538">
        <f t="shared" si="48"/>
        <v>56.1</v>
      </c>
      <c r="S132" s="340">
        <v>2</v>
      </c>
      <c r="T132" s="838"/>
      <c r="U132" s="836"/>
      <c r="V132" s="532" t="s">
        <v>129</v>
      </c>
      <c r="W132" s="786" t="s">
        <v>17</v>
      </c>
      <c r="X132" s="786" t="s">
        <v>18</v>
      </c>
      <c r="Y132" s="533">
        <v>28.2</v>
      </c>
      <c r="Z132" s="786" t="s">
        <v>130</v>
      </c>
      <c r="AA132" s="786" t="s">
        <v>82</v>
      </c>
      <c r="AB132" s="786" t="s">
        <v>18</v>
      </c>
      <c r="AC132" s="786">
        <v>6.5</v>
      </c>
      <c r="AD132" s="532" t="s">
        <v>133</v>
      </c>
      <c r="AE132" s="786" t="s">
        <v>20</v>
      </c>
      <c r="AF132" s="786" t="s">
        <v>12</v>
      </c>
      <c r="AG132" s="533">
        <v>21.4</v>
      </c>
      <c r="AL132" s="532"/>
      <c r="AO132" s="533"/>
      <c r="AP132" s="532"/>
      <c r="AS132" s="533"/>
      <c r="AW132" s="533"/>
      <c r="BA132" s="534"/>
    </row>
    <row r="134" spans="1:53" s="2" customFormat="1" ht="18" customHeight="1">
      <c r="B134" s="22" t="s">
        <v>1269</v>
      </c>
    </row>
    <row r="135" spans="1:53" s="2" customFormat="1" ht="9" customHeight="1"/>
    <row r="136" spans="1:53" s="317" customFormat="1" ht="9" customHeight="1">
      <c r="A136" s="315"/>
      <c r="B136" s="316" t="s">
        <v>1220</v>
      </c>
      <c r="C136" s="316"/>
      <c r="D136" s="316"/>
      <c r="E136" s="316"/>
      <c r="F136" s="316"/>
      <c r="G136" s="316" t="s">
        <v>1221</v>
      </c>
      <c r="H136" s="316"/>
      <c r="I136" s="316"/>
      <c r="J136" s="316"/>
      <c r="K136" s="316"/>
      <c r="L136" s="316"/>
      <c r="M136" s="316"/>
      <c r="N136" s="316"/>
      <c r="R136" s="895" t="s">
        <v>1222</v>
      </c>
      <c r="S136" s="895"/>
      <c r="T136" s="895"/>
      <c r="U136" s="895"/>
      <c r="V136" s="895"/>
      <c r="W136" s="895"/>
      <c r="X136" s="318"/>
      <c r="Y136" s="318"/>
      <c r="AA136" s="318"/>
      <c r="AB136" s="318"/>
      <c r="AC136" s="318"/>
      <c r="AD136" s="318"/>
    </row>
    <row r="137" spans="1:53" s="322" customFormat="1" ht="9" customHeight="1">
      <c r="A137" s="319"/>
      <c r="B137" s="320" t="s">
        <v>1224</v>
      </c>
      <c r="C137" s="321"/>
      <c r="D137" s="321"/>
      <c r="E137" s="321"/>
      <c r="F137" s="321"/>
      <c r="G137" s="320" t="s">
        <v>1223</v>
      </c>
      <c r="H137" s="321"/>
      <c r="I137" s="321"/>
      <c r="J137" s="321"/>
      <c r="K137" s="321"/>
      <c r="L137" s="321"/>
      <c r="M137" s="321"/>
      <c r="N137" s="321"/>
      <c r="R137" s="323" t="s">
        <v>1225</v>
      </c>
      <c r="S137" s="324"/>
      <c r="T137" s="325"/>
      <c r="U137" s="325"/>
      <c r="V137" s="325"/>
      <c r="W137" s="323" t="s">
        <v>1226</v>
      </c>
      <c r="X137" s="325"/>
      <c r="Y137" s="325"/>
      <c r="AA137" s="325"/>
      <c r="AB137" s="325"/>
      <c r="AC137" s="325"/>
      <c r="AD137" s="325"/>
    </row>
    <row r="138" spans="1:53" s="307" customFormat="1" ht="12" customHeight="1">
      <c r="A138" s="326" t="s">
        <v>3</v>
      </c>
      <c r="B138" s="327" t="s">
        <v>8</v>
      </c>
      <c r="C138" s="327" t="s">
        <v>9</v>
      </c>
      <c r="D138" s="327" t="s">
        <v>10</v>
      </c>
      <c r="E138" s="328" t="s">
        <v>1200</v>
      </c>
      <c r="F138" s="327"/>
      <c r="G138" s="307" t="s">
        <v>3</v>
      </c>
      <c r="H138" s="896" t="s">
        <v>0</v>
      </c>
      <c r="I138" s="896"/>
      <c r="J138" s="896" t="s">
        <v>1</v>
      </c>
      <c r="K138" s="896"/>
      <c r="L138" s="896" t="s">
        <v>2</v>
      </c>
      <c r="M138" s="896"/>
      <c r="N138" s="897" t="s">
        <v>1200</v>
      </c>
      <c r="O138" s="897"/>
      <c r="P138" s="329"/>
      <c r="Q138" s="329"/>
      <c r="R138" s="330" t="s">
        <v>3</v>
      </c>
      <c r="S138" s="331" t="s">
        <v>136</v>
      </c>
      <c r="T138" s="329" t="s">
        <v>134</v>
      </c>
      <c r="U138" s="327" t="s">
        <v>135</v>
      </c>
      <c r="V138" s="329"/>
      <c r="W138" s="332" t="s">
        <v>26</v>
      </c>
    </row>
    <row r="139" spans="1:53" s="243" customFormat="1">
      <c r="A139" s="243">
        <v>1959</v>
      </c>
      <c r="B139" s="244">
        <f xml:space="preserve"> (K6*($E6/365))+(K7*($E7/365))</f>
        <v>11.76470588235294</v>
      </c>
      <c r="C139" s="244">
        <f xml:space="preserve"> (L6*($E6/365))+(L7*($E7/365))</f>
        <v>88.235294117647058</v>
      </c>
      <c r="D139" s="244">
        <f xml:space="preserve"> (M6*($E6/365))+(M7*($E7/365))</f>
        <v>0</v>
      </c>
      <c r="E139" s="246">
        <f>B139+C139+D139</f>
        <v>100</v>
      </c>
      <c r="G139" s="243">
        <v>1959</v>
      </c>
      <c r="H139" s="898">
        <f>(O6/$R6*100*($E6/365))+(O7/$R7*100*($E7/365))</f>
        <v>5.8823529411764701</v>
      </c>
      <c r="I139" s="898"/>
      <c r="J139" s="898">
        <f>(P6/$R6*100*($E6/365))+(P7/$R7*100*($E7/365))</f>
        <v>94.117647058823522</v>
      </c>
      <c r="K139" s="898"/>
      <c r="L139" s="898">
        <f>(Q6/$R6*100*($E6/365))+(Q7/$R7*100*($E7/365))</f>
        <v>0</v>
      </c>
      <c r="M139" s="898"/>
      <c r="N139" s="926">
        <f>H139+J139+K139</f>
        <v>99.999999999999986</v>
      </c>
      <c r="O139" s="949"/>
      <c r="R139" s="243">
        <v>1959</v>
      </c>
      <c r="S139" s="244">
        <f>(O6*($E6/365))+(O7*($E7/365))</f>
        <v>3.4</v>
      </c>
      <c r="T139" s="244">
        <f>(P6*($E6/365))+(P7*($E7/365))</f>
        <v>54.4</v>
      </c>
      <c r="U139" s="244">
        <f>(Q6*($E6/365))+(Q7*($E7/365))</f>
        <v>0</v>
      </c>
      <c r="V139" s="245"/>
      <c r="W139" s="247">
        <f>S139+T139+U139</f>
        <v>57.8</v>
      </c>
      <c r="Y139" s="244"/>
    </row>
    <row r="140" spans="1:53">
      <c r="A140" s="1">
        <v>1960</v>
      </c>
      <c r="B140" s="7">
        <f>(K8*($E8/366))+(K9*($E9/366))</f>
        <v>5.8502089360334288</v>
      </c>
      <c r="C140" s="7">
        <f>(L8*($E8/366))+(L9*($E9/366))</f>
        <v>94.149791063966575</v>
      </c>
      <c r="D140" s="7">
        <f>(M8*($E8/366))+(M9*($E9/366))</f>
        <v>0</v>
      </c>
      <c r="E140" s="40">
        <f>SUM(B140:D140)</f>
        <v>100</v>
      </c>
      <c r="G140" s="1">
        <v>1960</v>
      </c>
      <c r="H140" s="886">
        <f>(O8/$R8*100*($E8/366))+(O9/$R9*100*($E9/366))</f>
        <v>2.9251044680167144</v>
      </c>
      <c r="I140" s="886"/>
      <c r="J140" s="886">
        <f>(P8/$R8*100*($E8/366))+(P9/$R9*100*($E9/366))</f>
        <v>97.074895531983287</v>
      </c>
      <c r="K140" s="886"/>
      <c r="L140" s="886">
        <f>(Q8/$R8*100*($E8/366))+(Q9/$R9*100*($E9/366))</f>
        <v>0</v>
      </c>
      <c r="M140" s="886"/>
      <c r="N140" s="919">
        <f>SUM(H140:M140)</f>
        <v>100</v>
      </c>
      <c r="O140" s="947"/>
      <c r="R140" s="1">
        <v>1960</v>
      </c>
      <c r="S140" s="7">
        <f>(O8*($E8/366))+(O9*($E9/366))</f>
        <v>1.6907103825136611</v>
      </c>
      <c r="T140" s="7">
        <f>(P8*($E8/366))+(P9*($E9/366))</f>
        <v>54.4</v>
      </c>
      <c r="U140" s="7">
        <f>(Q8*($E8/366))+(Q9*($E9/366))</f>
        <v>0</v>
      </c>
      <c r="V140" s="12"/>
      <c r="W140" s="14">
        <f>SUM(S140:U140)</f>
        <v>56.090710382513663</v>
      </c>
      <c r="Y140" s="7"/>
    </row>
    <row r="141" spans="1:53">
      <c r="A141" s="1">
        <v>1961</v>
      </c>
      <c r="B141" s="7">
        <f>(K10*($E10/365))+(K11*($E11/365))</f>
        <v>3.1311154598825826</v>
      </c>
      <c r="C141" s="7">
        <f>(L10*($E10/365))+(L11*($E11/365))</f>
        <v>96.868884540117421</v>
      </c>
      <c r="D141" s="7">
        <f>(M10*($E10/365))+(M11*($E11/365))</f>
        <v>0</v>
      </c>
      <c r="E141" s="40">
        <f t="shared" ref="E141:E193" si="49">SUM(B141:D141)</f>
        <v>100</v>
      </c>
      <c r="G141" s="1">
        <v>1961</v>
      </c>
      <c r="H141" s="886">
        <f>(O10/$R10*100*($E10/365))+(O11/$R11*100*($E11/365))</f>
        <v>2.8468364795184451</v>
      </c>
      <c r="I141" s="886"/>
      <c r="J141" s="886">
        <f>(P10/$R10*100*($E10/365))+(P11/$R11*100*($E11/365))</f>
        <v>97.153163520481556</v>
      </c>
      <c r="K141" s="886"/>
      <c r="L141" s="886">
        <f>(Q10/$R10*100*($E10/365))+(Q11/$R11*100*($E11/365))</f>
        <v>0</v>
      </c>
      <c r="M141" s="886"/>
      <c r="N141" s="919">
        <f>SUM(H141:M141)</f>
        <v>100</v>
      </c>
      <c r="O141" s="947"/>
      <c r="R141" s="1">
        <v>1961</v>
      </c>
      <c r="S141" s="7">
        <f>(O10*($E10/365))+(O11*($E11/365))</f>
        <v>1.7621917808219176</v>
      </c>
      <c r="T141" s="7">
        <f>(P10*($E10/365))+(P11*($E11/365))</f>
        <v>53.62410958904109</v>
      </c>
      <c r="U141" s="7">
        <f>(Q10*($E10/365))+(Q11*($E11/365))</f>
        <v>0</v>
      </c>
      <c r="V141" s="12"/>
      <c r="W141" s="14">
        <f t="shared" ref="W141:W193" si="50">SUM(S141:U141)</f>
        <v>55.386301369863006</v>
      </c>
      <c r="Y141" s="7"/>
    </row>
    <row r="142" spans="1:53">
      <c r="A142" s="1">
        <v>1962</v>
      </c>
      <c r="B142" s="7">
        <f>(K12*($E12/365))+(K13*($E13/365))+(K14*($E14/365))</f>
        <v>22.178734507501627</v>
      </c>
      <c r="C142" s="7">
        <f>(L12*($E12/365))+(L13*($E13/365))+(L14*($E14/365))</f>
        <v>77.821265492498384</v>
      </c>
      <c r="D142" s="7">
        <f>(M12*($E12/365))+(M13*($E13/365))+(M14*($E14/365))</f>
        <v>0</v>
      </c>
      <c r="E142" s="40">
        <f t="shared" si="49"/>
        <v>100.00000000000001</v>
      </c>
      <c r="G142" s="1">
        <v>1962</v>
      </c>
      <c r="H142" s="886">
        <f>(O12/$R12*100*($E12/365))+(O13/$R13*100*($E13/365))+(O14/$R14*100*($E14/365))</f>
        <v>20.165091729922324</v>
      </c>
      <c r="I142" s="886"/>
      <c r="J142" s="886">
        <f>(P12/$R12*100*($E12/365))+(P13/$R13*100*($E13/365))+(P14/$R14*100*($E14/365))</f>
        <v>79.83490827007769</v>
      </c>
      <c r="K142" s="886"/>
      <c r="L142" s="886">
        <f>(Q12/$R12*100*($E12/365))+(Q13/$R13*100*($E13/365))+(Q14/$R14*100*($E14/365))</f>
        <v>0</v>
      </c>
      <c r="M142" s="886"/>
      <c r="N142" s="919">
        <f t="shared" ref="N142:N192" si="51">SUM(H142:M142)</f>
        <v>100.00000000000001</v>
      </c>
      <c r="O142" s="947"/>
      <c r="R142" s="1">
        <v>1962</v>
      </c>
      <c r="S142" s="7">
        <f>(O12*($E12/365))+(O13*($E13/365))+(O14*($E14/365))</f>
        <v>12.482191780821919</v>
      </c>
      <c r="T142" s="7">
        <f>(P12*($E12/365))+(P13*($E13/365))+(P14*($E14/365))</f>
        <v>48.5</v>
      </c>
      <c r="U142" s="7">
        <f>(Q12*($E12/365))+(Q13*($E13/365))+(Q14*($E14/365))</f>
        <v>0</v>
      </c>
      <c r="V142" s="12"/>
      <c r="W142" s="14">
        <f t="shared" si="50"/>
        <v>60.982191780821921</v>
      </c>
      <c r="Y142" s="7"/>
    </row>
    <row r="143" spans="1:53">
      <c r="A143" s="1">
        <v>1963</v>
      </c>
      <c r="B143" s="7">
        <f>(K15*($E15/365))+(K16*($E16/365))</f>
        <v>24.060665362035223</v>
      </c>
      <c r="C143" s="7">
        <f>(L15*($E15/365))+(L16*($E16/365))</f>
        <v>75.939334637964777</v>
      </c>
      <c r="D143" s="7">
        <f>(M15*($E15/365))+(M16*($E16/365))</f>
        <v>0</v>
      </c>
      <c r="E143" s="40">
        <f t="shared" si="49"/>
        <v>100</v>
      </c>
      <c r="G143" s="1">
        <v>1963</v>
      </c>
      <c r="H143" s="886">
        <f>(O15/$R15*100*($E15/365))+(O16/$R16*100*($E16/365))</f>
        <v>21.647819063004846</v>
      </c>
      <c r="I143" s="886"/>
      <c r="J143" s="886">
        <f>(P15/$R15*100*($E15/365))+(P16/$R16*100*($E16/365))</f>
        <v>78.352180936995154</v>
      </c>
      <c r="K143" s="886"/>
      <c r="L143" s="886">
        <f>(Q15/$R15*100*($E15/365))+(Q16/$R16*100*($E16/365))</f>
        <v>0</v>
      </c>
      <c r="M143" s="886"/>
      <c r="N143" s="919">
        <f t="shared" si="51"/>
        <v>100</v>
      </c>
      <c r="O143" s="947"/>
      <c r="R143" s="1">
        <v>1963</v>
      </c>
      <c r="S143" s="7">
        <f>(O15*($E15/365))+(O16*($E16/365))</f>
        <v>13.4</v>
      </c>
      <c r="T143" s="7">
        <f>(P15*($E15/365))+(P16*($E16/365))</f>
        <v>48.5</v>
      </c>
      <c r="U143" s="7">
        <f>(Q15*($E15/365))+(Q16*($E16/365))</f>
        <v>0</v>
      </c>
      <c r="V143" s="12"/>
      <c r="W143" s="14">
        <f t="shared" si="50"/>
        <v>61.9</v>
      </c>
      <c r="Y143" s="7"/>
    </row>
    <row r="144" spans="1:53">
      <c r="A144" s="1">
        <v>1964</v>
      </c>
      <c r="B144" s="7">
        <f>(K17*($E17/366))+(K18*($E18/366))</f>
        <v>25</v>
      </c>
      <c r="C144" s="7">
        <f>(L17*($E17/366))+(L18*($E18/366))</f>
        <v>75</v>
      </c>
      <c r="D144" s="7">
        <f>(M17*($E17/366))+(M18*($E18/366))</f>
        <v>0</v>
      </c>
      <c r="E144" s="40">
        <f t="shared" si="49"/>
        <v>100</v>
      </c>
      <c r="G144" s="1">
        <v>1964</v>
      </c>
      <c r="H144" s="886">
        <f>(O17/$R17*100*($E17/366))+(O18/$R18*100*($E18/366))</f>
        <v>21.647819063004846</v>
      </c>
      <c r="I144" s="886"/>
      <c r="J144" s="886">
        <f>(P17/$R17*100*($E17/366))+(P18/$R18*100*($E18/366))</f>
        <v>78.352180936995154</v>
      </c>
      <c r="K144" s="886"/>
      <c r="L144" s="886">
        <f>(Q17/$R17*100*($E17/366))+(Q18/$R18*100*($E18/366))</f>
        <v>0</v>
      </c>
      <c r="M144" s="886"/>
      <c r="N144" s="919">
        <f t="shared" si="51"/>
        <v>100</v>
      </c>
      <c r="O144" s="947"/>
      <c r="R144" s="1">
        <v>1964</v>
      </c>
      <c r="S144" s="7">
        <f>(O17*($E17/366))+(O18*($E18/366))</f>
        <v>13.4</v>
      </c>
      <c r="T144" s="7">
        <f>(P17*($E17/366))+(P18*($E18/366))</f>
        <v>48.5</v>
      </c>
      <c r="U144" s="7">
        <f>(Q17*($E17/366))+(Q18*($E18/366))</f>
        <v>0</v>
      </c>
      <c r="V144" s="12"/>
      <c r="W144" s="14">
        <f t="shared" si="50"/>
        <v>61.9</v>
      </c>
      <c r="Y144" s="7"/>
    </row>
    <row r="145" spans="1:25">
      <c r="A145" s="1">
        <v>1965</v>
      </c>
      <c r="B145" s="7">
        <f>(K19*($E19/365))+(K20*($E20/365))</f>
        <v>23.907371167645138</v>
      </c>
      <c r="C145" s="7">
        <f>(L19*($E19/365))+(L20*($E20/365))</f>
        <v>76.092628832354862</v>
      </c>
      <c r="D145" s="7">
        <f>(M19*($E19/365))+(M20*($E20/365))</f>
        <v>0</v>
      </c>
      <c r="E145" s="40">
        <f t="shared" si="49"/>
        <v>100</v>
      </c>
      <c r="G145" s="1">
        <v>1965</v>
      </c>
      <c r="H145" s="886">
        <f>(O19/$R19*100*($E19/365))+(O20/$R20*100*($E20/365))</f>
        <v>20.738629665272189</v>
      </c>
      <c r="I145" s="886"/>
      <c r="J145" s="886">
        <f>(P19/$R19*100*($E19/365))+(P20/$R20*100*($E20/365))</f>
        <v>79.261370334727815</v>
      </c>
      <c r="K145" s="886"/>
      <c r="L145" s="886">
        <f>(Q19/$R19*100*($E19/365))+(Q20/$R20*100*($E20/365))</f>
        <v>0</v>
      </c>
      <c r="M145" s="886"/>
      <c r="N145" s="919">
        <f t="shared" si="51"/>
        <v>100</v>
      </c>
      <c r="O145" s="947"/>
      <c r="R145" s="1">
        <v>1965</v>
      </c>
      <c r="S145" s="7">
        <f>(O19*($E19/365))+(O20*($E20/365))</f>
        <v>12.757534246575341</v>
      </c>
      <c r="T145" s="7">
        <f>(P19*($E19/365))+(P20*($E20/365))</f>
        <v>48.665205479452055</v>
      </c>
      <c r="U145" s="7">
        <f>(Q19*($E19/365))+(Q20*($E20/365))</f>
        <v>0</v>
      </c>
      <c r="V145" s="12"/>
      <c r="W145" s="14">
        <f t="shared" si="50"/>
        <v>61.422739726027395</v>
      </c>
      <c r="Y145" s="7"/>
    </row>
    <row r="146" spans="1:25">
      <c r="A146" s="1">
        <v>1966</v>
      </c>
      <c r="B146" s="7">
        <f>(K21*($E21/365))+(K22*($E22/365))+(K23*($E23/365))</f>
        <v>15.655577299412915</v>
      </c>
      <c r="C146" s="7">
        <f>(L21*($E21/365))+(L22*($E22/365))+(L23*($E23/365))</f>
        <v>80.522504892367905</v>
      </c>
      <c r="D146" s="7">
        <f>(M21*($E21/365))+(M22*($E22/365))+(M23*($E23/365))</f>
        <v>3.8219178082191778</v>
      </c>
      <c r="E146" s="40">
        <f t="shared" si="49"/>
        <v>100</v>
      </c>
      <c r="G146" s="1">
        <v>1966</v>
      </c>
      <c r="H146" s="886">
        <f>(O21/$R21*100*($E21/365))+(O22/$R22*100*($E22/365))+(O23/$R23*100*($E23/365))</f>
        <v>13.72173069370972</v>
      </c>
      <c r="I146" s="886"/>
      <c r="J146" s="886">
        <f>(P21/$R21*100*($E21/365))+(P22/$R22*100*($E22/365))+(P23/$R23*100*($E23/365))</f>
        <v>82.441740639512119</v>
      </c>
      <c r="K146" s="886"/>
      <c r="L146" s="886">
        <f>(Q21/$R21*100*($E21/365))+(Q22/$R22*100*($E22/365))+(Q23/$R23*100*($E23/365))</f>
        <v>3.8365286667781615</v>
      </c>
      <c r="M146" s="886"/>
      <c r="N146" s="919">
        <f t="shared" si="51"/>
        <v>100</v>
      </c>
      <c r="O146" s="947"/>
      <c r="R146" s="1">
        <v>1966</v>
      </c>
      <c r="S146" s="7">
        <f>(O21*($E21/365))+(O22*($E22/365))+(O23*($E23/365))</f>
        <v>8.1369863013698627</v>
      </c>
      <c r="T146" s="7">
        <f>(P21*($E21/365))+(P22*($E22/365))+(P23*($E23/365))</f>
        <v>49.399999999999991</v>
      </c>
      <c r="U146" s="7">
        <f>(Q21*($E21/365))+(Q22*($E22/365))+(Q23*($E23/365))</f>
        <v>3.4567123287671233</v>
      </c>
      <c r="V146" s="12"/>
      <c r="W146" s="14">
        <f t="shared" si="50"/>
        <v>60.993698630136976</v>
      </c>
      <c r="Y146" s="7"/>
    </row>
    <row r="147" spans="1:25">
      <c r="A147" s="1">
        <v>1967</v>
      </c>
      <c r="B147" s="7">
        <f>(K24*($E24/365))+(K25*($E25/365))</f>
        <v>0</v>
      </c>
      <c r="C147" s="7">
        <f>(L24*($E24/365))+(L25*($E25/365))</f>
        <v>55.000000000000007</v>
      </c>
      <c r="D147" s="7">
        <f>(M24*($E24/365))+(M25*($E25/365))</f>
        <v>45</v>
      </c>
      <c r="E147" s="40">
        <f t="shared" si="49"/>
        <v>100</v>
      </c>
      <c r="G147" s="1">
        <v>1967</v>
      </c>
      <c r="H147" s="886">
        <f>(O24/$R24*100*($E24/365))+(O25/$R25*100*($E25/365))</f>
        <v>0</v>
      </c>
      <c r="I147" s="886"/>
      <c r="J147" s="886">
        <f>(P24/$R24*100*($E24/365))+(P25/$R25*100*($E25/365))</f>
        <v>54.827968923418425</v>
      </c>
      <c r="K147" s="886"/>
      <c r="L147" s="886">
        <f>(Q24/$R24*100*($E24/365))+(Q25/$R25*100*($E25/365))</f>
        <v>45.172031076581582</v>
      </c>
      <c r="M147" s="886"/>
      <c r="N147" s="919">
        <f t="shared" si="51"/>
        <v>100</v>
      </c>
      <c r="O147" s="947"/>
      <c r="R147" s="1">
        <v>1967</v>
      </c>
      <c r="S147" s="7">
        <f>(O24*($E24/365))+(O25*($E25/365))</f>
        <v>0</v>
      </c>
      <c r="T147" s="7">
        <f>(P24*($E24/365))+(P25*($E25/365))</f>
        <v>49.4</v>
      </c>
      <c r="U147" s="7">
        <f>(Q24*($E24/365))+(Q25*($E25/365))</f>
        <v>40.700000000000003</v>
      </c>
      <c r="V147" s="12"/>
      <c r="W147" s="14">
        <f t="shared" si="50"/>
        <v>90.1</v>
      </c>
      <c r="Y147" s="7"/>
    </row>
    <row r="148" spans="1:25">
      <c r="A148" s="1">
        <v>1968</v>
      </c>
      <c r="B148" s="7">
        <f>(K26*($E26/366))+(K27*($E27/366))</f>
        <v>0</v>
      </c>
      <c r="C148" s="7">
        <f>(L26*($E26/366))+(L27*($E27/366))</f>
        <v>55.000000000000007</v>
      </c>
      <c r="D148" s="7">
        <f>(M26*($E26/366))+(M27*($E27/366))</f>
        <v>45</v>
      </c>
      <c r="E148" s="40">
        <f t="shared" si="49"/>
        <v>100</v>
      </c>
      <c r="G148" s="1">
        <v>1968</v>
      </c>
      <c r="H148" s="886">
        <f>(O26/$R26*100*($E26/366))+(O27/$R27*100*($E27/366))</f>
        <v>0</v>
      </c>
      <c r="I148" s="886"/>
      <c r="J148" s="886">
        <f>(P26/$R26*100*($E26/366))+(P27/$R27*100*($E27/366))</f>
        <v>54.827968923418425</v>
      </c>
      <c r="K148" s="886"/>
      <c r="L148" s="886">
        <f>(Q26/$R26*100*($E26/366))+(Q27/$R27*100*($E27/366))</f>
        <v>45.172031076581582</v>
      </c>
      <c r="M148" s="886"/>
      <c r="N148" s="919">
        <f t="shared" si="51"/>
        <v>100</v>
      </c>
      <c r="O148" s="947"/>
      <c r="R148" s="1">
        <v>1968</v>
      </c>
      <c r="S148" s="7">
        <f>(O26*($E26/366))+(O27*($E27/366))</f>
        <v>0</v>
      </c>
      <c r="T148" s="7">
        <f>(P26*($E26/366))+(P27*($E27/366))</f>
        <v>49.4</v>
      </c>
      <c r="U148" s="7">
        <f>(Q26*($E26/366))+(Q27*($E27/366))</f>
        <v>40.700000000000003</v>
      </c>
      <c r="V148" s="12"/>
      <c r="W148" s="14">
        <f t="shared" si="50"/>
        <v>90.1</v>
      </c>
      <c r="Y148" s="7"/>
    </row>
    <row r="149" spans="1:25">
      <c r="A149" s="1">
        <v>1969</v>
      </c>
      <c r="B149" s="7">
        <f>(K28*($E28/365))+(K29*($E29/365))</f>
        <v>3.647260273972603</v>
      </c>
      <c r="C149" s="7">
        <f>(L28*($E28/365))+(L29*($E29/365))</f>
        <v>44.301369863013704</v>
      </c>
      <c r="D149" s="7">
        <f>(M28*($E28/365))+(M29*($E29/365))</f>
        <v>50.835616438356169</v>
      </c>
      <c r="E149" s="40">
        <f t="shared" si="49"/>
        <v>98.784246575342479</v>
      </c>
      <c r="G149" s="1">
        <v>1969</v>
      </c>
      <c r="H149" s="886">
        <f>(O28/$R28*100*($E28/365))+(O29/$R29*100*($E29/365))</f>
        <v>2.2795376712328768</v>
      </c>
      <c r="I149" s="886"/>
      <c r="J149" s="886">
        <f>(P28/$R28*100*($E28/365))+(P29/$R29*100*($E29/365))</f>
        <v>44.162802365712373</v>
      </c>
      <c r="K149" s="886"/>
      <c r="L149" s="886">
        <f>(Q28/$R28*100*($E28/365))+(Q29/$R29*100*($E29/365))</f>
        <v>53.557659963054761</v>
      </c>
      <c r="M149" s="886"/>
      <c r="N149" s="919">
        <f t="shared" si="51"/>
        <v>100.00000000000001</v>
      </c>
      <c r="O149" s="947"/>
      <c r="R149" s="1">
        <v>1969</v>
      </c>
      <c r="S149" s="7">
        <f>(O28*($E28/365))+(O29*($E29/365))</f>
        <v>1.167123287671233</v>
      </c>
      <c r="T149" s="7">
        <f>(P28*($E28/365))+(P29*($E29/365))</f>
        <v>39.790684931506853</v>
      </c>
      <c r="U149" s="7">
        <f>(Q28*($E28/365))+(Q29*($E29/365))</f>
        <v>41.57534246575343</v>
      </c>
      <c r="V149" s="12"/>
      <c r="W149" s="14">
        <f t="shared" si="50"/>
        <v>82.533150684931513</v>
      </c>
      <c r="Y149" s="7"/>
    </row>
    <row r="150" spans="1:25">
      <c r="A150" s="1">
        <v>1970</v>
      </c>
      <c r="B150" s="7">
        <f>(K30*($E30/365))+(K31*($E31/365))</f>
        <v>18.75</v>
      </c>
      <c r="C150" s="7">
        <f>(L30*($E30/365))+(L31*($E31/365))</f>
        <v>0</v>
      </c>
      <c r="D150" s="7">
        <f>(M30*($E30/365))+(M31*($E31/365))</f>
        <v>75</v>
      </c>
      <c r="E150" s="40">
        <f t="shared" si="49"/>
        <v>93.75</v>
      </c>
      <c r="G150" s="1">
        <v>1970</v>
      </c>
      <c r="H150" s="886">
        <f>(O30/$R30*100*($E30/365))+(O31/$R31*100*($E31/365))</f>
        <v>11.71875</v>
      </c>
      <c r="I150" s="886"/>
      <c r="J150" s="886">
        <f>(P30/$R30*100*($E30/365))+(P31/$R31*100*($E31/365))</f>
        <v>0</v>
      </c>
      <c r="K150" s="886"/>
      <c r="L150" s="886">
        <f>(Q30/$R30*100*($E30/365))+(Q31/$R31*100*($E31/365))</f>
        <v>88.28125</v>
      </c>
      <c r="M150" s="886"/>
      <c r="N150" s="919">
        <f t="shared" si="51"/>
        <v>100</v>
      </c>
      <c r="O150" s="947"/>
      <c r="R150" s="1">
        <v>1970</v>
      </c>
      <c r="S150" s="7">
        <f>(O30*($E30/365))+(O31*($E31/365))</f>
        <v>6</v>
      </c>
      <c r="T150" s="7">
        <f>(P30*($E30/365))+(P31*($E31/365))</f>
        <v>0</v>
      </c>
      <c r="U150" s="7">
        <f>(Q30*($E30/365))+(Q31*($E31/365))</f>
        <v>45.2</v>
      </c>
      <c r="V150" s="12"/>
      <c r="W150" s="14">
        <f t="shared" si="50"/>
        <v>51.2</v>
      </c>
      <c r="Y150" s="7"/>
    </row>
    <row r="151" spans="1:25">
      <c r="A151" s="1">
        <v>1971</v>
      </c>
      <c r="B151" s="7">
        <f>(K32*($E32/365))+(K33*($E33/365))</f>
        <v>18.75</v>
      </c>
      <c r="C151" s="7">
        <f>(L32*($E32/365))+(L33*($E33/365))</f>
        <v>0</v>
      </c>
      <c r="D151" s="7">
        <f>(M32*($E32/365))+(M33*($E33/365))</f>
        <v>75</v>
      </c>
      <c r="E151" s="40">
        <f t="shared" si="49"/>
        <v>93.75</v>
      </c>
      <c r="G151" s="1">
        <v>1971</v>
      </c>
      <c r="H151" s="886">
        <f>(O32/$R32*100*($E32/365))+(O33/$R33*100*($E33/365))</f>
        <v>11.71875</v>
      </c>
      <c r="I151" s="886"/>
      <c r="J151" s="886">
        <f>(P32/$R32*100*($E32/365))+(P33/$R33*100*($E33/365))</f>
        <v>0</v>
      </c>
      <c r="K151" s="886"/>
      <c r="L151" s="886">
        <f>(Q32/$R32*100*($E32/365))+(Q33/$R33*100*($E33/365))</f>
        <v>88.28125</v>
      </c>
      <c r="M151" s="886"/>
      <c r="N151" s="919">
        <f t="shared" si="51"/>
        <v>100</v>
      </c>
      <c r="O151" s="947"/>
      <c r="R151" s="1">
        <v>1971</v>
      </c>
      <c r="S151" s="7">
        <f>(O32*($E32/365))+(O33*($E33/365))</f>
        <v>6</v>
      </c>
      <c r="T151" s="7">
        <f>(P32*($E32/365))+(P33*($E33/365))</f>
        <v>0</v>
      </c>
      <c r="U151" s="7">
        <f>(Q32*($E32/365))+(Q33*($E33/365))</f>
        <v>45.2</v>
      </c>
      <c r="V151" s="12"/>
      <c r="W151" s="14">
        <f t="shared" si="50"/>
        <v>51.2</v>
      </c>
      <c r="Y151" s="7"/>
    </row>
    <row r="152" spans="1:25">
      <c r="A152" s="1">
        <v>1972</v>
      </c>
      <c r="B152" s="7">
        <f>(K34*($E34/366))+(K35*($E35/366))+(K36*($E36/366))</f>
        <v>19.169323011536129</v>
      </c>
      <c r="C152" s="7">
        <f>(L34*($E34/366))+(L35*($E35/366))+(L36*($E36/366))</f>
        <v>0</v>
      </c>
      <c r="D152" s="7">
        <f>(M34*($E34/366))+(M35*($E35/366))+(M36*($E36/366))</f>
        <v>78.491196114146945</v>
      </c>
      <c r="E152" s="40">
        <f t="shared" si="49"/>
        <v>97.660519125683066</v>
      </c>
      <c r="G152" s="1">
        <v>1972</v>
      </c>
      <c r="H152" s="886">
        <f>(O34/$R34*100*($E34/366))+(O35/$R35*100*($E35/366))+(O36/$R36*100*($E36/366))</f>
        <v>11.879224639364242</v>
      </c>
      <c r="I152" s="886"/>
      <c r="J152" s="886">
        <f>(P34/$R34*100*($E34/366))+(P35/$R35*100*($E35/366))+(P36/$R36*100*($E36/366))</f>
        <v>0</v>
      </c>
      <c r="K152" s="886"/>
      <c r="L152" s="886">
        <f>(Q34/$R34*100*($E34/366))+(Q35/$R35*100*($E35/366))+(Q36/$R36*100*($E36/366))</f>
        <v>88.120775360635747</v>
      </c>
      <c r="M152" s="886"/>
      <c r="N152" s="919">
        <f t="shared" si="51"/>
        <v>99.999999999999986</v>
      </c>
      <c r="O152" s="947"/>
      <c r="R152" s="1">
        <v>1972</v>
      </c>
      <c r="S152" s="7">
        <f>(O34*($E34/366))+(O35*($E35/366))+(O36*($E36/366))</f>
        <v>6.1068306010928959</v>
      </c>
      <c r="T152" s="7">
        <f>(P34*($E34/366))+(P35*($E35/366))+(P36*($E36/366))</f>
        <v>0</v>
      </c>
      <c r="U152" s="7">
        <f>(Q34*($E34/366))+(Q35*($E35/366))+(Q36*($E36/366))</f>
        <v>45.255737704918033</v>
      </c>
      <c r="V152" s="12"/>
      <c r="W152" s="14">
        <f t="shared" si="50"/>
        <v>51.362568306010928</v>
      </c>
      <c r="Y152" s="7"/>
    </row>
    <row r="153" spans="1:25">
      <c r="A153" s="1">
        <v>1973</v>
      </c>
      <c r="B153" s="7">
        <f>(K37*($E37/365))+(K38*($E38/365))</f>
        <v>27.777777777777779</v>
      </c>
      <c r="C153" s="7">
        <f>(L37*($E37/365))+(L38*($E38/365))</f>
        <v>0</v>
      </c>
      <c r="D153" s="7">
        <f>(M37*($E37/365))+(M38*($E38/365))</f>
        <v>72.222222222222214</v>
      </c>
      <c r="E153" s="40">
        <f t="shared" si="49"/>
        <v>100</v>
      </c>
      <c r="G153" s="1">
        <v>1973</v>
      </c>
      <c r="H153" s="886">
        <f>(O37/$R37*100*($E37/365))+(O38/$R38*100*($E38/365))</f>
        <v>15.173674588665447</v>
      </c>
      <c r="I153" s="886"/>
      <c r="J153" s="886">
        <f>(P37/$R37*100*($E37/365))+(P38/$R38*100*($E38/365))</f>
        <v>0</v>
      </c>
      <c r="K153" s="886"/>
      <c r="L153" s="886">
        <f>(Q37/$R37*100*($E37/365))+(Q38/$R38*100*($E38/365))</f>
        <v>84.826325411334551</v>
      </c>
      <c r="M153" s="886"/>
      <c r="N153" s="919">
        <f t="shared" si="51"/>
        <v>100</v>
      </c>
      <c r="O153" s="947"/>
      <c r="R153" s="1">
        <v>1973</v>
      </c>
      <c r="S153" s="7">
        <f>(O37*($E37/365))+(O38*($E38/365))</f>
        <v>8.3000000000000007</v>
      </c>
      <c r="T153" s="7">
        <f>(P37*($E37/365))+(P38*($E38/365))</f>
        <v>0</v>
      </c>
      <c r="U153" s="7">
        <f>(Q37*($E37/365))+(Q38*($E38/365))</f>
        <v>46.4</v>
      </c>
      <c r="V153" s="12"/>
      <c r="W153" s="14">
        <f t="shared" si="50"/>
        <v>54.7</v>
      </c>
      <c r="Y153" s="7"/>
    </row>
    <row r="154" spans="1:25">
      <c r="A154" s="1">
        <v>1974</v>
      </c>
      <c r="B154" s="7">
        <f>(K39*($E39/365))+(K40*($E40/365))</f>
        <v>26.027397260273972</v>
      </c>
      <c r="C154" s="7">
        <f>(L39*($E39/365))+(L40*($E40/365))</f>
        <v>0</v>
      </c>
      <c r="D154" s="7">
        <f>(M39*($E39/365))+(M40*($E40/365))</f>
        <v>73.972602739726028</v>
      </c>
      <c r="E154" s="40">
        <f t="shared" si="49"/>
        <v>100</v>
      </c>
      <c r="G154" s="1">
        <v>1974</v>
      </c>
      <c r="H154" s="886">
        <f>(O39/$R39*100*($E39/365))+(O40/$R40*100*($E40/365))</f>
        <v>15.173674588665445</v>
      </c>
      <c r="I154" s="886"/>
      <c r="J154" s="886">
        <f>(P39/$R39*100*($E39/365))+(P40/$R40*100*($E40/365))</f>
        <v>0</v>
      </c>
      <c r="K154" s="886"/>
      <c r="L154" s="886">
        <f>(Q39/$R39*100*($E39/365))+(Q40/$R40*100*($E40/365))</f>
        <v>84.826325411334551</v>
      </c>
      <c r="M154" s="886"/>
      <c r="N154" s="919">
        <f t="shared" si="51"/>
        <v>100</v>
      </c>
      <c r="O154" s="947"/>
      <c r="R154" s="1">
        <v>1974</v>
      </c>
      <c r="S154" s="7">
        <f>(O39*($E39/365))+(O40*($E40/365))</f>
        <v>8.3000000000000007</v>
      </c>
      <c r="T154" s="7">
        <f>(P39*($E39/365))+(P40*($E40/365))</f>
        <v>0</v>
      </c>
      <c r="U154" s="7">
        <f>(Q39*($E39/365))+(Q40*($E40/365))</f>
        <v>46.4</v>
      </c>
      <c r="V154" s="12"/>
      <c r="W154" s="14">
        <f t="shared" si="50"/>
        <v>54.7</v>
      </c>
      <c r="Y154" s="7"/>
    </row>
    <row r="155" spans="1:25">
      <c r="A155" s="1">
        <v>1975</v>
      </c>
      <c r="B155" s="7">
        <f>(K41*($E41/365))+(K42*($E42/365))</f>
        <v>25</v>
      </c>
      <c r="C155" s="7">
        <f>(L41*($E41/365))+(L42*($E42/365))</f>
        <v>0</v>
      </c>
      <c r="D155" s="7">
        <f>(M41*($E41/365))+(M42*($E42/365))</f>
        <v>75</v>
      </c>
      <c r="E155" s="40">
        <f t="shared" si="49"/>
        <v>100</v>
      </c>
      <c r="G155" s="1">
        <v>1975</v>
      </c>
      <c r="H155" s="886">
        <f>(O41/$R41*100*($E41/365))+(O42/$R42*100*($E42/365))</f>
        <v>15.173674588665447</v>
      </c>
      <c r="I155" s="886"/>
      <c r="J155" s="886">
        <f>(P41/$R41*100*($E41/365))+(P42/$R42*100*($E42/365))</f>
        <v>0</v>
      </c>
      <c r="K155" s="886"/>
      <c r="L155" s="886">
        <f>(Q41/$R41*100*($E41/365))+(Q42/$R42*100*($E42/365))</f>
        <v>84.826325411334551</v>
      </c>
      <c r="M155" s="886"/>
      <c r="N155" s="919">
        <f t="shared" si="51"/>
        <v>100</v>
      </c>
      <c r="O155" s="947"/>
      <c r="R155" s="1">
        <v>1975</v>
      </c>
      <c r="S155" s="7">
        <f>(O41*($E41/365))+(O42*($E42/365))</f>
        <v>8.3000000000000007</v>
      </c>
      <c r="T155" s="7">
        <f>(P41*($E41/365))+(P42*($E42/365))</f>
        <v>0</v>
      </c>
      <c r="U155" s="7">
        <f>(Q41*($E41/365))+(Q42*($E42/365))</f>
        <v>46.4</v>
      </c>
      <c r="V155" s="12"/>
      <c r="W155" s="14">
        <f t="shared" si="50"/>
        <v>54.7</v>
      </c>
      <c r="Y155" s="7"/>
    </row>
    <row r="156" spans="1:25">
      <c r="A156" s="1">
        <v>1976</v>
      </c>
      <c r="B156" s="7">
        <f>(K43*($E43/366))+(K44*($E44/366))</f>
        <v>25</v>
      </c>
      <c r="C156" s="7">
        <f>(L43*($E43/366))+(L44*($E44/366))</f>
        <v>0</v>
      </c>
      <c r="D156" s="7">
        <f>(M43*($E43/366))+(M44*($E44/366))</f>
        <v>74.999999999999986</v>
      </c>
      <c r="E156" s="40">
        <f t="shared" si="49"/>
        <v>99.999999999999986</v>
      </c>
      <c r="G156" s="1">
        <v>1976</v>
      </c>
      <c r="H156" s="886">
        <f>(O43/$R43*100*($E43/366))+(O44/$R44*100*($E44/366))</f>
        <v>15.188376406496104</v>
      </c>
      <c r="I156" s="886"/>
      <c r="J156" s="886">
        <f>(P43/$R43*100*($E43/366))+(P44/$R44*100*($E44/366))</f>
        <v>0</v>
      </c>
      <c r="K156" s="886"/>
      <c r="L156" s="886">
        <f>(Q43/$R43*100*($E43/366))+(Q44/$R44*100*($E44/366))</f>
        <v>84.811623593503882</v>
      </c>
      <c r="M156" s="886"/>
      <c r="N156" s="919">
        <f t="shared" si="51"/>
        <v>99.999999999999986</v>
      </c>
      <c r="O156" s="947"/>
      <c r="R156" s="1">
        <v>1976</v>
      </c>
      <c r="S156" s="7">
        <f>(O43*($E43/366))+(O44*($E44/366))</f>
        <v>8.2814207650273222</v>
      </c>
      <c r="T156" s="7">
        <f>(P43*($E43/366))+(P44*($E44/366))</f>
        <v>0</v>
      </c>
      <c r="U156" s="7">
        <f>(Q43*($E43/366))+(Q44*($E44/366))</f>
        <v>46.246721311475405</v>
      </c>
      <c r="V156" s="12"/>
      <c r="W156" s="14">
        <f t="shared" si="50"/>
        <v>54.528142076502725</v>
      </c>
      <c r="Y156" s="7"/>
    </row>
    <row r="157" spans="1:25">
      <c r="A157" s="1">
        <v>1977</v>
      </c>
      <c r="B157" s="7">
        <f>(K45*($E45/365))+(K46*($E46/365))</f>
        <v>25</v>
      </c>
      <c r="C157" s="7">
        <f>(L45*($E45/365))+(L46*($E46/365))</f>
        <v>0</v>
      </c>
      <c r="D157" s="7">
        <f>(M45*($E45/365))+(M46*($E46/365))</f>
        <v>75</v>
      </c>
      <c r="E157" s="40">
        <f t="shared" si="49"/>
        <v>100</v>
      </c>
      <c r="G157" s="1">
        <v>1977</v>
      </c>
      <c r="H157" s="886">
        <f>(O45/$R45*100*($E45/365))+(O46/$R46*100*($E46/365))</f>
        <v>15.490196078431373</v>
      </c>
      <c r="I157" s="886"/>
      <c r="J157" s="886">
        <f>(P45/$R45*100*($E45/365))+(P46/$R46*100*($E46/365))</f>
        <v>0</v>
      </c>
      <c r="K157" s="886"/>
      <c r="L157" s="886">
        <f>(Q45/$R45*100*($E45/365))+(Q46/$R46*100*($E46/365))</f>
        <v>84.509803921568633</v>
      </c>
      <c r="M157" s="886"/>
      <c r="N157" s="919">
        <f t="shared" si="51"/>
        <v>100</v>
      </c>
      <c r="O157" s="947"/>
      <c r="R157" s="1">
        <v>1977</v>
      </c>
      <c r="S157" s="7">
        <f>(O45*($E45/365))+(O46*($E46/365))</f>
        <v>7.9</v>
      </c>
      <c r="T157" s="7">
        <f>(P45*($E45/365))+(P46*($E46/365))</f>
        <v>0</v>
      </c>
      <c r="U157" s="7">
        <f>(Q45*($E45/365))+(Q46*($E46/365))</f>
        <v>43.1</v>
      </c>
      <c r="V157" s="12"/>
      <c r="W157" s="14">
        <f t="shared" si="50"/>
        <v>51</v>
      </c>
      <c r="Y157" s="7"/>
    </row>
    <row r="158" spans="1:25">
      <c r="A158" s="1">
        <v>1978</v>
      </c>
      <c r="B158" s="7">
        <f>(K47*($E47/365))+(K48*($E48/365))</f>
        <v>25</v>
      </c>
      <c r="C158" s="7">
        <f>(L47*($E47/365))+(L48*($E48/365))</f>
        <v>0</v>
      </c>
      <c r="D158" s="7">
        <f>(M47*($E47/365))+(M48*($E48/365))</f>
        <v>75</v>
      </c>
      <c r="E158" s="40">
        <f t="shared" si="49"/>
        <v>100</v>
      </c>
      <c r="G158" s="1">
        <v>1978</v>
      </c>
      <c r="H158" s="886">
        <f>(O47/$R47*100*($E47/365))+(O48/$R48*100*($E48/365))</f>
        <v>15.490196078431373</v>
      </c>
      <c r="I158" s="886"/>
      <c r="J158" s="886">
        <f>(P47/$R47*100*($E47/365))+(P48/$R48*100*($E48/365))</f>
        <v>0</v>
      </c>
      <c r="K158" s="886"/>
      <c r="L158" s="886">
        <f>(Q47/$R47*100*($E47/365))+(Q48/$R48*100*($E48/365))</f>
        <v>84.509803921568633</v>
      </c>
      <c r="M158" s="886"/>
      <c r="N158" s="919">
        <f t="shared" si="51"/>
        <v>100</v>
      </c>
      <c r="O158" s="947"/>
      <c r="R158" s="1">
        <v>1978</v>
      </c>
      <c r="S158" s="7">
        <f>(O47*($E47/365))+(O48*($E48/365))</f>
        <v>7.9</v>
      </c>
      <c r="T158" s="7">
        <f>(P47*($E47/365))+(P48*($E48/365))</f>
        <v>0</v>
      </c>
      <c r="U158" s="7">
        <f>(Q47*($E47/365))+(Q48*($E48/365))</f>
        <v>43.1</v>
      </c>
      <c r="V158" s="12"/>
      <c r="W158" s="14">
        <f t="shared" si="50"/>
        <v>51</v>
      </c>
      <c r="Y158" s="7"/>
    </row>
    <row r="159" spans="1:25">
      <c r="A159" s="1">
        <v>1979</v>
      </c>
      <c r="B159" s="7">
        <f>(K49*($E49/365))+(K50*($E50/365))</f>
        <v>25</v>
      </c>
      <c r="C159" s="7">
        <f>(L49*($E49/365))+(L50*($E50/365))</f>
        <v>0</v>
      </c>
      <c r="D159" s="7">
        <f>(M49*($E49/365))+(M50*($E50/365))</f>
        <v>75</v>
      </c>
      <c r="E159" s="40">
        <f t="shared" si="49"/>
        <v>100</v>
      </c>
      <c r="G159" s="1">
        <v>1979</v>
      </c>
      <c r="H159" s="886">
        <f>(O49/$R49*100*($E49/365))+(O50/$R50*100*($E50/365))</f>
        <v>15.490196078431373</v>
      </c>
      <c r="I159" s="886"/>
      <c r="J159" s="886">
        <f>(P49/$R49*100*($E49/365))+(P50/$R50*100*($E50/365))</f>
        <v>0</v>
      </c>
      <c r="K159" s="886"/>
      <c r="L159" s="886">
        <f>(Q49/$R49*100*($E49/365))+(Q50/$R50*100*($E50/365))</f>
        <v>84.509803921568633</v>
      </c>
      <c r="M159" s="886"/>
      <c r="N159" s="919">
        <f t="shared" si="51"/>
        <v>100</v>
      </c>
      <c r="O159" s="947"/>
      <c r="R159" s="1">
        <v>1979</v>
      </c>
      <c r="S159" s="7">
        <f>(O49*($E49/365))+(O50*($E50/365))</f>
        <v>7.9</v>
      </c>
      <c r="T159" s="7">
        <f>(P49*($E49/365))+(P50*($E50/365))</f>
        <v>0</v>
      </c>
      <c r="U159" s="7">
        <f>(Q49*($E49/365))+(Q50*($E50/365))</f>
        <v>43.1</v>
      </c>
      <c r="V159" s="12"/>
      <c r="W159" s="14">
        <f t="shared" si="50"/>
        <v>51</v>
      </c>
      <c r="Y159" s="7"/>
    </row>
    <row r="160" spans="1:25">
      <c r="A160" s="1">
        <v>1980</v>
      </c>
      <c r="B160" s="7">
        <f>(K51*($E51/366))+(K52*($E52/366))</f>
        <v>24.766955962712956</v>
      </c>
      <c r="C160" s="7">
        <f>(L51*($E51/366))+(L52*($E52/366))</f>
        <v>0</v>
      </c>
      <c r="D160" s="7">
        <f>(M51*($E51/366))+(M52*($E52/366))</f>
        <v>75.233044037287044</v>
      </c>
      <c r="E160" s="40">
        <f t="shared" si="49"/>
        <v>100</v>
      </c>
      <c r="G160" s="1">
        <v>1980</v>
      </c>
      <c r="H160" s="886">
        <f>(O51/$R51*100*($E51/366))+(O52/$R52*100*($E52/366))</f>
        <v>16.141012100510657</v>
      </c>
      <c r="I160" s="886"/>
      <c r="J160" s="886">
        <f>(P51/$R51*100*($E51/366))+(P52/$R52*100*($E52/366))</f>
        <v>0</v>
      </c>
      <c r="K160" s="886"/>
      <c r="L160" s="886">
        <f>(Q51/$R51*100*($E51/366))+(Q52/$R52*100*($E52/366))</f>
        <v>83.858987899489364</v>
      </c>
      <c r="M160" s="886"/>
      <c r="N160" s="919">
        <f t="shared" si="51"/>
        <v>100.00000000000003</v>
      </c>
      <c r="O160" s="947"/>
      <c r="R160" s="1">
        <v>1980</v>
      </c>
      <c r="S160" s="7">
        <f>(O51*($E51/366))+(O52*($E52/366))</f>
        <v>8.3437158469945363</v>
      </c>
      <c r="T160" s="7">
        <f>(P51*($E51/366))+(P52*($E52/366))</f>
        <v>0</v>
      </c>
      <c r="U160" s="7">
        <f>(Q51*($E51/366))+(Q52*($E52/366))</f>
        <v>43.226775956284158</v>
      </c>
      <c r="V160" s="12"/>
      <c r="W160" s="14">
        <f t="shared" si="50"/>
        <v>51.570491803278692</v>
      </c>
      <c r="Y160" s="7"/>
    </row>
    <row r="161" spans="1:25">
      <c r="A161" s="1">
        <v>1981</v>
      </c>
      <c r="B161" s="7">
        <f>(K53*($E53/365))+(K54*($E54/365))</f>
        <v>23.52941176470588</v>
      </c>
      <c r="C161" s="7">
        <f>(L53*($E53/365))+(L54*($E54/365))</f>
        <v>0</v>
      </c>
      <c r="D161" s="7">
        <f>(M53*($E53/365))+(M54*($E54/365))</f>
        <v>76.470588235294116</v>
      </c>
      <c r="E161" s="40">
        <f t="shared" si="49"/>
        <v>100</v>
      </c>
      <c r="G161" s="1">
        <v>1981</v>
      </c>
      <c r="H161" s="886">
        <f>(O53/$R53*100*($E53/365))+(O54/$R54*100*($E54/365))</f>
        <v>19.597069597069599</v>
      </c>
      <c r="I161" s="886"/>
      <c r="J161" s="886">
        <f>(P53/$R53*100*($E53/365))+(P54/$R54*100*($E54/365))</f>
        <v>0</v>
      </c>
      <c r="K161" s="886"/>
      <c r="L161" s="886">
        <f>(Q53/$R53*100*($E53/365))+(Q54/$R54*100*($E54/365))</f>
        <v>80.402930402930409</v>
      </c>
      <c r="M161" s="886"/>
      <c r="N161" s="919">
        <f t="shared" si="51"/>
        <v>100</v>
      </c>
      <c r="O161" s="947"/>
      <c r="R161" s="1">
        <v>1981</v>
      </c>
      <c r="S161" s="7">
        <f>(O53*($E53/365))+(O54*($E54/365))</f>
        <v>10.7</v>
      </c>
      <c r="T161" s="7">
        <f>(P53*($E53/365))+(P54*($E54/365))</f>
        <v>0</v>
      </c>
      <c r="U161" s="7">
        <f>(Q53*($E53/365))+(Q54*($E54/365))</f>
        <v>43.9</v>
      </c>
      <c r="V161" s="12"/>
      <c r="W161" s="14">
        <f t="shared" si="50"/>
        <v>54.599999999999994</v>
      </c>
      <c r="Y161" s="7"/>
    </row>
    <row r="162" spans="1:25">
      <c r="A162" s="1">
        <v>1982</v>
      </c>
      <c r="B162" s="7">
        <f>(K55*($E55/365))+(K56*($E56/365))+(K57*($E57/365))</f>
        <v>22.433521353746976</v>
      </c>
      <c r="C162" s="7">
        <f>(L55*($E55/365))+(L56*($E56/365))+(L57*($E57/365))</f>
        <v>18.646253021756646</v>
      </c>
      <c r="D162" s="7">
        <f>(M55*($E55/365))+(M56*($E56/365))+(M57*($E57/365))</f>
        <v>58.920225624496375</v>
      </c>
      <c r="E162" s="40">
        <f t="shared" si="49"/>
        <v>100</v>
      </c>
      <c r="G162" s="1">
        <v>1982</v>
      </c>
      <c r="H162" s="886">
        <f>(O55/$R55*100*($E55/365))+(O56/$R56*100*($E56/365))+(O57/$R57*100*($E57/365))</f>
        <v>18.548287702482604</v>
      </c>
      <c r="I162" s="886"/>
      <c r="J162" s="886">
        <f>(P55/$R55*100*($E55/365))+(P56/$R56*100*($E56/365))+(P57/$R57*100*($E57/365))</f>
        <v>19.741139765027054</v>
      </c>
      <c r="K162" s="886"/>
      <c r="L162" s="886">
        <f>(Q55/$R55*100*($E55/365))+(Q56/$R56*100*($E56/365))+(Q57/$R57*100*($E57/365))</f>
        <v>61.710572532490346</v>
      </c>
      <c r="M162" s="886"/>
      <c r="N162" s="919">
        <f t="shared" si="51"/>
        <v>100</v>
      </c>
      <c r="O162" s="947"/>
      <c r="R162" s="1">
        <v>1982</v>
      </c>
      <c r="S162" s="7">
        <f>(O55*($E55/365))+(O56*($E56/365))+(O57*($E57/365))</f>
        <v>10.201643835616437</v>
      </c>
      <c r="T162" s="7">
        <f>(P55*($E55/365))+(P56*($E56/365))+(P57*($E57/365))</f>
        <v>11.094520547945205</v>
      </c>
      <c r="U162" s="7">
        <f>(Q55*($E55/365))+(Q56*($E56/365))+(Q57*($E57/365))</f>
        <v>33.195616438356161</v>
      </c>
      <c r="V162" s="12"/>
      <c r="W162" s="14">
        <f t="shared" si="50"/>
        <v>54.4917808219178</v>
      </c>
      <c r="Y162" s="7"/>
    </row>
    <row r="163" spans="1:25">
      <c r="A163" s="1">
        <v>1983</v>
      </c>
      <c r="B163" s="7">
        <f>(K58*($E58/365))+(K59*($E59/365))</f>
        <v>19.065269943593876</v>
      </c>
      <c r="C163" s="7">
        <f>(L58*($E58/365))+(L59*($E59/365))</f>
        <v>80.93473005640611</v>
      </c>
      <c r="D163" s="7">
        <f>(M58*($E58/365))+(M59*($E59/365))</f>
        <v>0</v>
      </c>
      <c r="E163" s="40">
        <f t="shared" si="49"/>
        <v>99.999999999999986</v>
      </c>
      <c r="G163" s="1">
        <v>1983</v>
      </c>
      <c r="H163" s="886">
        <f>(O58/$R58*100*($E58/365))+(O59/$R59*100*($E59/365))</f>
        <v>13.838553643838411</v>
      </c>
      <c r="I163" s="886"/>
      <c r="J163" s="886">
        <f>(P58/$R58*100*($E58/365))+(P59/$R59*100*($E59/365))</f>
        <v>86.161446356161605</v>
      </c>
      <c r="K163" s="886"/>
      <c r="L163" s="886">
        <f>(Q58/$R58*100*($E58/365))+(Q59/$R59*100*($E59/365))</f>
        <v>0</v>
      </c>
      <c r="M163" s="886"/>
      <c r="N163" s="919">
        <f t="shared" si="51"/>
        <v>100.00000000000001</v>
      </c>
      <c r="O163" s="947"/>
      <c r="R163" s="1">
        <v>1983</v>
      </c>
      <c r="S163" s="7">
        <f>(O58*($E58/365))+(O59*($E59/365))</f>
        <v>7.7402739726027399</v>
      </c>
      <c r="T163" s="7">
        <f>(P58*($E58/365))+(P59*($E59/365))</f>
        <v>48.156164383561638</v>
      </c>
      <c r="U163" s="7">
        <f>(Q58*($E58/365))+(Q59*($E59/365))</f>
        <v>0</v>
      </c>
      <c r="V163" s="12"/>
      <c r="W163" s="14">
        <f t="shared" si="50"/>
        <v>55.896438356164381</v>
      </c>
      <c r="Y163" s="7"/>
    </row>
    <row r="164" spans="1:25">
      <c r="A164" s="1">
        <v>1984</v>
      </c>
      <c r="B164" s="7">
        <f>(K60*($E60/366))+(K61*($E61/366))</f>
        <v>17.647058823529413</v>
      </c>
      <c r="C164" s="7">
        <f>(L60*($E60/366))+(L61*($E61/366))</f>
        <v>82.35294117647058</v>
      </c>
      <c r="D164" s="7">
        <f>(M60*($E60/366))+(M61*($E61/366))</f>
        <v>0</v>
      </c>
      <c r="E164" s="40">
        <f t="shared" si="49"/>
        <v>100</v>
      </c>
      <c r="G164" s="1">
        <v>1984</v>
      </c>
      <c r="H164" s="886">
        <f>(O60/$R60*100*($E60/366))+(O61/$R61*100*($E61/366))</f>
        <v>12.186379928315413</v>
      </c>
      <c r="I164" s="886"/>
      <c r="J164" s="886">
        <f>(P60/$R60*100*($E60/366))+(P61/$R61*100*($E61/366))</f>
        <v>87.813620071684596</v>
      </c>
      <c r="K164" s="886"/>
      <c r="L164" s="886">
        <f>(Q60/$R60*100*($E60/366))+(Q61/$R61*100*($E61/366))</f>
        <v>0</v>
      </c>
      <c r="M164" s="886"/>
      <c r="N164" s="919">
        <f t="shared" si="51"/>
        <v>100.00000000000001</v>
      </c>
      <c r="O164" s="947"/>
      <c r="R164" s="1">
        <v>1984</v>
      </c>
      <c r="S164" s="7">
        <f>(O60*($E60/366))+(O61*($E61/366))</f>
        <v>6.8</v>
      </c>
      <c r="T164" s="7">
        <f>(P60*($E60/366))+(P61*($E61/366))</f>
        <v>49</v>
      </c>
      <c r="U164" s="7">
        <f>(Q60*($E60/366))+(Q61*($E61/366))</f>
        <v>0</v>
      </c>
      <c r="V164" s="12"/>
      <c r="W164" s="14">
        <f t="shared" si="50"/>
        <v>55.8</v>
      </c>
      <c r="Y164" s="7"/>
    </row>
    <row r="165" spans="1:25">
      <c r="A165" s="1">
        <v>1985</v>
      </c>
      <c r="B165" s="7">
        <f>(K62*($E62/365))+(K63*($E63/365))</f>
        <v>17.647058823529413</v>
      </c>
      <c r="C165" s="7">
        <f>(L62*($E62/365))+(L63*($E63/365))</f>
        <v>82.35294117647058</v>
      </c>
      <c r="D165" s="7">
        <f>(M62*($E62/365))+(M63*($E63/365))</f>
        <v>0</v>
      </c>
      <c r="E165" s="40">
        <f t="shared" si="49"/>
        <v>100</v>
      </c>
      <c r="G165" s="1">
        <v>1985</v>
      </c>
      <c r="H165" s="886">
        <f>(O62/$R62*100*($E62/365))+(O63/$R63*100*($E63/365))</f>
        <v>12.186379928315413</v>
      </c>
      <c r="I165" s="886"/>
      <c r="J165" s="886">
        <f>(P62/$R62*100*($E62/365))+(P63/$R63*100*($E63/365))</f>
        <v>87.813620071684596</v>
      </c>
      <c r="K165" s="886"/>
      <c r="L165" s="886">
        <f>(Q62/$R62*100*($E62/365))+(Q63/$R63*100*($E63/365))</f>
        <v>0</v>
      </c>
      <c r="M165" s="886"/>
      <c r="N165" s="919">
        <f t="shared" si="51"/>
        <v>100.00000000000001</v>
      </c>
      <c r="O165" s="947"/>
      <c r="R165" s="1">
        <v>1985</v>
      </c>
      <c r="S165" s="7">
        <f>(O62*($E62/365))+(O63*($E63/365))</f>
        <v>6.8</v>
      </c>
      <c r="T165" s="7">
        <f>(P62*($E62/365))+(P63*($E63/365))</f>
        <v>49</v>
      </c>
      <c r="U165" s="7">
        <f>(Q62*($E62/365))+(Q63*($E63/365))</f>
        <v>0</v>
      </c>
      <c r="V165" s="12"/>
      <c r="W165" s="14">
        <f t="shared" si="50"/>
        <v>55.8</v>
      </c>
      <c r="Y165" s="7"/>
    </row>
    <row r="166" spans="1:25" ht="9" customHeight="1">
      <c r="A166" s="1">
        <v>1986</v>
      </c>
      <c r="B166" s="7">
        <f>(K64*($E64/365))+(K65*($E65/365))</f>
        <v>17.647058823529413</v>
      </c>
      <c r="C166" s="7">
        <f>(L64*($E64/365))+(L65*($E65/365))</f>
        <v>82.35294117647058</v>
      </c>
      <c r="D166" s="7">
        <f>(M64*($E64/365))+(M65*($E65/365))</f>
        <v>0</v>
      </c>
      <c r="E166" s="40">
        <f t="shared" si="49"/>
        <v>100</v>
      </c>
      <c r="G166" s="1">
        <v>1986</v>
      </c>
      <c r="H166" s="886">
        <f>(O64/$R64*100*($E64/365))+(O65/$R65*100*($E65/365))</f>
        <v>12.186379928315413</v>
      </c>
      <c r="I166" s="886"/>
      <c r="J166" s="886">
        <f>(P64/$R64*100*($E64/365))+(P65/$R65*100*($E65/365))</f>
        <v>87.813620071684596</v>
      </c>
      <c r="K166" s="886"/>
      <c r="L166" s="886">
        <f>(Q64/$R64*100*($E64/365))+(Q65/$R65*100*($E65/365))</f>
        <v>0</v>
      </c>
      <c r="M166" s="886"/>
      <c r="N166" s="919">
        <f t="shared" si="51"/>
        <v>100.00000000000001</v>
      </c>
      <c r="O166" s="947"/>
      <c r="R166" s="1">
        <v>1986</v>
      </c>
      <c r="S166" s="7">
        <f>(O64*($E64/365))+(O65*($E65/365))</f>
        <v>6.8</v>
      </c>
      <c r="T166" s="7">
        <f>(P64*($E64/365))+(P65*($E65/365))</f>
        <v>49</v>
      </c>
      <c r="U166" s="7">
        <f>(Q64*($E64/365))+(Q65*($E65/365))</f>
        <v>0</v>
      </c>
      <c r="V166" s="12"/>
      <c r="W166" s="14">
        <f t="shared" si="50"/>
        <v>55.8</v>
      </c>
      <c r="Y166" s="7"/>
    </row>
    <row r="167" spans="1:25" ht="9" customHeight="1">
      <c r="A167" s="1">
        <v>1987</v>
      </c>
      <c r="B167" s="7">
        <f>(K66*($E66/365))+(K67*($E67/365))</f>
        <v>20.408838373128631</v>
      </c>
      <c r="C167" s="7">
        <f>(L66*($E66/365))+(L67*($E67/365))</f>
        <v>79.591161626871369</v>
      </c>
      <c r="D167" s="7">
        <f>(M66*($E66/365))+(M67*($E67/365))</f>
        <v>0</v>
      </c>
      <c r="E167" s="40">
        <f t="shared" si="49"/>
        <v>100</v>
      </c>
      <c r="G167" s="1">
        <v>1987</v>
      </c>
      <c r="H167" s="886">
        <f>(O66/$R66*100*($E66/365))+(O67/$R67*100*($E67/365))</f>
        <v>16.218704122525097</v>
      </c>
      <c r="I167" s="886"/>
      <c r="J167" s="886">
        <f>(P66/$R66*100*($E66/365))+(P67/$R67*100*($E67/365))</f>
        <v>83.781295877474903</v>
      </c>
      <c r="K167" s="886"/>
      <c r="L167" s="886">
        <f>(Q66/$R66*100*($E66/365))+(Q67/$R67*100*($E67/365))</f>
        <v>0</v>
      </c>
      <c r="M167" s="886"/>
      <c r="N167" s="919">
        <f t="shared" si="51"/>
        <v>100</v>
      </c>
      <c r="O167" s="947"/>
      <c r="R167" s="1">
        <v>1987</v>
      </c>
      <c r="S167" s="7">
        <f>(O66*($E66/365))+(O67*($E67/365))</f>
        <v>8.8273972602739725</v>
      </c>
      <c r="T167" s="7">
        <f>(P66*($E66/365))+(P67*($E67/365))</f>
        <v>45.67506849315069</v>
      </c>
      <c r="U167" s="7">
        <f>(Q66*($E66/365))+(Q67*($E67/365))</f>
        <v>0</v>
      </c>
      <c r="V167" s="12"/>
      <c r="W167" s="14">
        <f t="shared" si="50"/>
        <v>54.502465753424659</v>
      </c>
      <c r="Y167" s="7"/>
    </row>
    <row r="168" spans="1:25" ht="9" customHeight="1">
      <c r="A168" s="1">
        <v>1988</v>
      </c>
      <c r="B168" s="7">
        <f>(K68*($E68/366))+(K69*($E69/366))</f>
        <v>21.052631578947366</v>
      </c>
      <c r="C168" s="7">
        <f>(L68*($E68/366))+(L69*($E69/366))</f>
        <v>78.94736842105263</v>
      </c>
      <c r="D168" s="7">
        <f>(M68*($E68/366))+(M69*($E69/366))</f>
        <v>0</v>
      </c>
      <c r="E168" s="40">
        <f t="shared" si="49"/>
        <v>100</v>
      </c>
      <c r="G168" s="1">
        <v>1988</v>
      </c>
      <c r="H168" s="886">
        <f>(O68/$R68*100*($E68/366))+(O69/$R69*100*($E69/366))</f>
        <v>17.158671586715869</v>
      </c>
      <c r="I168" s="886"/>
      <c r="J168" s="886">
        <f>(P68/$R68*100*($E68/366))+(P69/$R69*100*($E69/366))</f>
        <v>82.841328413284117</v>
      </c>
      <c r="K168" s="886"/>
      <c r="L168" s="886">
        <f>(Q68/$R68*100*($E68/366))+(Q69/$R69*100*($E69/366))</f>
        <v>0</v>
      </c>
      <c r="M168" s="886"/>
      <c r="N168" s="919">
        <f t="shared" si="51"/>
        <v>99.999999999999986</v>
      </c>
      <c r="O168" s="947"/>
      <c r="R168" s="1">
        <v>1988</v>
      </c>
      <c r="S168" s="7">
        <f>(O68*($E68/366))+(O69*($E69/366))</f>
        <v>9.3000000000000007</v>
      </c>
      <c r="T168" s="7">
        <f>(P68*($E68/366))+(P69*($E69/366))</f>
        <v>44.9</v>
      </c>
      <c r="U168" s="7">
        <f>(Q68*($E68/366))+(Q69*($E69/366))</f>
        <v>0</v>
      </c>
      <c r="V168" s="12"/>
      <c r="W168" s="14">
        <f t="shared" si="50"/>
        <v>54.2</v>
      </c>
      <c r="Y168" s="7"/>
    </row>
    <row r="169" spans="1:25" s="4" customFormat="1" ht="9" customHeight="1">
      <c r="A169" s="4">
        <v>1989</v>
      </c>
      <c r="B169" s="11">
        <f>(K70*($E70/365))+(K71*($E71/365))</f>
        <v>20.52198990627253</v>
      </c>
      <c r="C169" s="11">
        <f>(L70*($E70/365))+(L71*($E71/365))</f>
        <v>79.478010093727477</v>
      </c>
      <c r="D169" s="11">
        <f>(M70*($E70/365))+(M71*($E71/365))</f>
        <v>0</v>
      </c>
      <c r="E169" s="41">
        <f t="shared" si="49"/>
        <v>100</v>
      </c>
      <c r="G169" s="4">
        <v>1989</v>
      </c>
      <c r="H169" s="892">
        <f>(O70/$R70*100*($E70/365))+(O71/$R71*100*($E71/365))</f>
        <v>17.158671586715869</v>
      </c>
      <c r="I169" s="892"/>
      <c r="J169" s="892">
        <f>(P70/$R70*100*($E70/365))+(P71/$R71*100*($E71/365))</f>
        <v>82.841328413284117</v>
      </c>
      <c r="K169" s="892"/>
      <c r="L169" s="892">
        <f>(Q70/$R70*100*($E70/365))+(Q71/$R71*100*($E71/365))</f>
        <v>0</v>
      </c>
      <c r="M169" s="892"/>
      <c r="N169" s="893">
        <f t="shared" si="51"/>
        <v>99.999999999999986</v>
      </c>
      <c r="O169" s="948"/>
      <c r="R169" s="4">
        <v>1989</v>
      </c>
      <c r="S169" s="11">
        <f>(O70*($E70/365))+(O71*($E71/365))</f>
        <v>9.3000000000000007</v>
      </c>
      <c r="T169" s="11">
        <f>(P70*($E70/365))+(P71*($E71/365))</f>
        <v>44.900000000000006</v>
      </c>
      <c r="U169" s="11">
        <f>(Q70*($E70/365))+(Q71*($E71/365))</f>
        <v>0</v>
      </c>
      <c r="V169" s="27"/>
      <c r="W169" s="28">
        <f t="shared" si="50"/>
        <v>54.2</v>
      </c>
      <c r="Y169" s="11"/>
    </row>
    <row r="170" spans="1:25" ht="9" customHeight="1">
      <c r="A170" s="1">
        <v>1990</v>
      </c>
      <c r="B170" s="7">
        <f>(K72*($E72/365))+(K73*($E73/365))</f>
        <v>20</v>
      </c>
      <c r="C170" s="7">
        <f>(L72*($E72/365))+(L73*($E73/365))</f>
        <v>80</v>
      </c>
      <c r="D170" s="7">
        <f>(M72*($E72/365))+(M73*($E73/365))</f>
        <v>0</v>
      </c>
      <c r="E170" s="40">
        <f t="shared" si="49"/>
        <v>100</v>
      </c>
      <c r="G170" s="1">
        <v>1990</v>
      </c>
      <c r="H170" s="886">
        <f>(O72/$R72*100*($E72/365))+(O73/$R73*100*($E73/365))</f>
        <v>17.158671586715869</v>
      </c>
      <c r="I170" s="886"/>
      <c r="J170" s="886">
        <f>(P72/$R72*100*($E72/365))+(P73/$R73*100*($E73/365))</f>
        <v>82.841328413284117</v>
      </c>
      <c r="K170" s="886"/>
      <c r="L170" s="886">
        <f>(Q72/$R72*100*($E72/365))+(Q73/$R73*100*($E73/365))</f>
        <v>0</v>
      </c>
      <c r="M170" s="886"/>
      <c r="N170" s="919">
        <f t="shared" si="51"/>
        <v>99.999999999999986</v>
      </c>
      <c r="O170" s="947"/>
      <c r="R170" s="1">
        <v>1990</v>
      </c>
      <c r="S170" s="7">
        <f>(O72*($E72/365))+(O73*($E73/365))</f>
        <v>9.3000000000000007</v>
      </c>
      <c r="T170" s="7">
        <f>(P72*($E72/365))+(P73*($E73/365))</f>
        <v>44.9</v>
      </c>
      <c r="U170" s="7">
        <f>(Q72*($E72/365))+(Q73*($E73/365))</f>
        <v>0</v>
      </c>
      <c r="V170" s="12"/>
      <c r="W170" s="14">
        <f t="shared" si="50"/>
        <v>54.2</v>
      </c>
      <c r="Y170" s="7"/>
    </row>
    <row r="171" spans="1:25" ht="9" customHeight="1">
      <c r="A171" s="1">
        <v>1991</v>
      </c>
      <c r="B171" s="7">
        <f>(K74*($E74/365))+(K75*($E75/365))</f>
        <v>24.767123287671229</v>
      </c>
      <c r="C171" s="7">
        <f>(L74*($E74/365))+(L75*($E75/365))</f>
        <v>75.232876712328761</v>
      </c>
      <c r="D171" s="7">
        <f>(M74*($E74/365))+(M75*($E75/365))</f>
        <v>0</v>
      </c>
      <c r="E171" s="40">
        <f t="shared" si="49"/>
        <v>99.999999999999986</v>
      </c>
      <c r="G171" s="1">
        <v>1991</v>
      </c>
      <c r="H171" s="886">
        <f>(O74/$R74*100*($E74/365))+(O75/$R75*100*($E75/365))</f>
        <v>19.677296504006911</v>
      </c>
      <c r="I171" s="886"/>
      <c r="J171" s="886">
        <f>(P74/$R74*100*($E74/365))+(P75/$R75*100*($E75/365))</f>
        <v>80.322703495993096</v>
      </c>
      <c r="K171" s="886"/>
      <c r="L171" s="886">
        <f>(Q74/$R74*100*($E74/365))+(Q75/$R75*100*($E75/365))</f>
        <v>0</v>
      </c>
      <c r="M171" s="886"/>
      <c r="N171" s="919">
        <f t="shared" si="51"/>
        <v>100</v>
      </c>
      <c r="O171" s="947"/>
      <c r="R171" s="1">
        <v>1991</v>
      </c>
      <c r="S171" s="7">
        <f>(O74*($E74/365))+(O75*($E75/365))</f>
        <v>11.778904109589041</v>
      </c>
      <c r="T171" s="7">
        <f>(P74*($E74/365))+(P75*($E75/365))</f>
        <v>48.046301369863009</v>
      </c>
      <c r="U171" s="7">
        <f>(Q74*($E74/365))+(Q75*($E75/365))</f>
        <v>0</v>
      </c>
      <c r="V171" s="12"/>
      <c r="W171" s="14">
        <f t="shared" si="50"/>
        <v>59.825205479452052</v>
      </c>
      <c r="Y171" s="7"/>
    </row>
    <row r="172" spans="1:25" ht="9" customHeight="1">
      <c r="A172" s="1">
        <v>1992</v>
      </c>
      <c r="B172" s="7">
        <f>(K76*($E76/366))+(K77*($E77/366))</f>
        <v>25</v>
      </c>
      <c r="C172" s="7">
        <f>(L76*($E76/366))+(L77*($E77/366))</f>
        <v>75</v>
      </c>
      <c r="D172" s="7">
        <f>(M76*($E76/366))+(M77*($E77/366))</f>
        <v>0</v>
      </c>
      <c r="E172" s="40">
        <f t="shared" si="49"/>
        <v>100</v>
      </c>
      <c r="G172" s="1">
        <v>1992</v>
      </c>
      <c r="H172" s="886">
        <f>(O76/$R76*100*($E76/366))+(O77/$R77*100*($E77/366))</f>
        <v>19.800332778702163</v>
      </c>
      <c r="I172" s="886"/>
      <c r="J172" s="886">
        <f>(P76/$R76*100*($E76/366))+(P77/$R77*100*($E77/366))</f>
        <v>80.199667221297844</v>
      </c>
      <c r="K172" s="886"/>
      <c r="L172" s="886">
        <f>(Q76/$R76*100*($E76/366))+(Q77/$R77*100*($E77/366))</f>
        <v>0</v>
      </c>
      <c r="M172" s="886"/>
      <c r="N172" s="919">
        <f t="shared" si="51"/>
        <v>100</v>
      </c>
      <c r="O172" s="947"/>
      <c r="R172" s="1">
        <v>1992</v>
      </c>
      <c r="S172" s="7">
        <f>(O76*($E76/366))+(O77*($E77/366))</f>
        <v>11.9</v>
      </c>
      <c r="T172" s="7">
        <f>(P76*($E76/366))+(P77*($E77/366))</f>
        <v>48.2</v>
      </c>
      <c r="U172" s="7">
        <f>(Q76*($E76/366))+(Q77*($E77/366))</f>
        <v>0</v>
      </c>
      <c r="V172" s="12"/>
      <c r="W172" s="14">
        <f t="shared" si="50"/>
        <v>60.1</v>
      </c>
      <c r="Y172" s="7"/>
    </row>
    <row r="173" spans="1:25" ht="9" customHeight="1">
      <c r="A173" s="1">
        <v>1993</v>
      </c>
      <c r="B173" s="7">
        <f>(K78*($E78/365))+(K79*($E79/365))</f>
        <v>25</v>
      </c>
      <c r="C173" s="7">
        <f>(L78*($E78/365))+(L79*($E79/365))</f>
        <v>75</v>
      </c>
      <c r="D173" s="7">
        <f>(M78*($E78/365))+(M79*($E79/365))</f>
        <v>0</v>
      </c>
      <c r="E173" s="40">
        <f t="shared" si="49"/>
        <v>100</v>
      </c>
      <c r="G173" s="1">
        <v>1993</v>
      </c>
      <c r="H173" s="886">
        <f>(O78/$R78*100*($E78/365))+(O79/$R79*100*($E79/365))</f>
        <v>19.800332778702163</v>
      </c>
      <c r="I173" s="886"/>
      <c r="J173" s="886">
        <f>(P78/$R78*100*($E78/365))+(P79/$R79*100*($E79/365))</f>
        <v>80.199667221297844</v>
      </c>
      <c r="K173" s="886"/>
      <c r="L173" s="886">
        <f>(Q78/$R78*100*($E78/365))+(Q79/$R79*100*($E79/365))</f>
        <v>0</v>
      </c>
      <c r="M173" s="886"/>
      <c r="N173" s="919">
        <f t="shared" si="51"/>
        <v>100</v>
      </c>
      <c r="O173" s="947"/>
      <c r="R173" s="1">
        <v>1993</v>
      </c>
      <c r="S173" s="7">
        <f>(O78*($E78/365))+(O79*($E79/365))</f>
        <v>11.9</v>
      </c>
      <c r="T173" s="7">
        <f>(P78*($E78/365))+(P79*($E79/365))</f>
        <v>48.2</v>
      </c>
      <c r="U173" s="7">
        <f>(Q78*($E78/365))+(Q79*($E79/365))</f>
        <v>0</v>
      </c>
      <c r="V173" s="12"/>
      <c r="W173" s="14">
        <f t="shared" si="50"/>
        <v>60.1</v>
      </c>
      <c r="Y173" s="7"/>
    </row>
    <row r="174" spans="1:25" ht="9" customHeight="1">
      <c r="A174" s="1">
        <v>1994</v>
      </c>
      <c r="B174" s="7">
        <f>(K80*($E80/365))+(K81*($E81/365))</f>
        <v>23.972602739726025</v>
      </c>
      <c r="C174" s="7">
        <f>(L80*($E80/365))+(L81*($E81/365))</f>
        <v>76.027397260273972</v>
      </c>
      <c r="D174" s="7">
        <f>(M80*($E80/365))+(M81*($E81/365))</f>
        <v>0</v>
      </c>
      <c r="E174" s="40">
        <f t="shared" si="49"/>
        <v>100</v>
      </c>
      <c r="G174" s="1">
        <v>1994</v>
      </c>
      <c r="H174" s="886">
        <f>(O80/$R80*100*($E80/365))+(O81/$R81*100*($E81/365))</f>
        <v>19.061392505020876</v>
      </c>
      <c r="I174" s="886"/>
      <c r="J174" s="886">
        <f>(P80/$R80*100*($E80/365))+(P81/$R81*100*($E81/365))</f>
        <v>80.938607494979124</v>
      </c>
      <c r="K174" s="886"/>
      <c r="L174" s="886">
        <f>(Q80/$R80*100*($E80/365))+(Q81/$R81*100*($E81/365))</f>
        <v>0</v>
      </c>
      <c r="M174" s="886"/>
      <c r="N174" s="919">
        <f t="shared" si="51"/>
        <v>100</v>
      </c>
      <c r="O174" s="947"/>
      <c r="R174" s="1">
        <v>1994</v>
      </c>
      <c r="S174" s="7">
        <f>(O80*($E80/365))+(O81*($E81/365))</f>
        <v>11.295890410958904</v>
      </c>
      <c r="T174" s="7">
        <f>(P80*($E80/365))+(P81*($E81/365))</f>
        <v>47.645205479452052</v>
      </c>
      <c r="U174" s="7">
        <f>(Q80*($E80/365))+(Q81*($E81/365))</f>
        <v>0</v>
      </c>
      <c r="V174" s="12"/>
      <c r="W174" s="14">
        <f t="shared" si="50"/>
        <v>58.941095890410956</v>
      </c>
      <c r="Y174" s="7"/>
    </row>
    <row r="175" spans="1:25" ht="9" customHeight="1">
      <c r="A175" s="1">
        <v>1995</v>
      </c>
      <c r="B175" s="7">
        <f>(K82*($E82/365))+(K83*($E83/365))</f>
        <v>16.666666666666664</v>
      </c>
      <c r="C175" s="7">
        <f>(L82*($E82/365))+(L83*($E83/365))</f>
        <v>83.333333333333343</v>
      </c>
      <c r="D175" s="7">
        <f>(M82*($E82/365))+(M83*($E83/365))</f>
        <v>0</v>
      </c>
      <c r="E175" s="40">
        <f t="shared" si="49"/>
        <v>100</v>
      </c>
      <c r="G175" s="1">
        <v>1995</v>
      </c>
      <c r="H175" s="886">
        <f>(O82/$R82*100*($E82/365))+(O83/$R83*100*($E83/365))</f>
        <v>13.80670611439842</v>
      </c>
      <c r="I175" s="886"/>
      <c r="J175" s="886">
        <f>(P82/$R82*100*($E82/365))+(P83/$R83*100*($E83/365))</f>
        <v>86.193293885601577</v>
      </c>
      <c r="K175" s="886"/>
      <c r="L175" s="886">
        <f>(Q82/$R82*100*($E82/365))+(Q83/$R83*100*($E83/365))</f>
        <v>0</v>
      </c>
      <c r="M175" s="886"/>
      <c r="N175" s="919">
        <f t="shared" si="51"/>
        <v>100</v>
      </c>
      <c r="O175" s="947"/>
      <c r="R175" s="1">
        <v>1995</v>
      </c>
      <c r="S175" s="7">
        <f>(O82*($E82/365))+(O83*($E83/365))</f>
        <v>7</v>
      </c>
      <c r="T175" s="7">
        <f>(P82*($E82/365))+(P83*($E83/365))</f>
        <v>43.7</v>
      </c>
      <c r="U175" s="7">
        <f>(Q82*($E82/365))+(Q83*($E83/365))</f>
        <v>0</v>
      </c>
      <c r="V175" s="12"/>
      <c r="W175" s="14">
        <f t="shared" si="50"/>
        <v>50.7</v>
      </c>
      <c r="Y175" s="7"/>
    </row>
    <row r="176" spans="1:25" ht="9" customHeight="1">
      <c r="A176" s="1">
        <v>1996</v>
      </c>
      <c r="B176" s="7">
        <f>(K84*($E84/366))+(K85*($E85/366))</f>
        <v>16.666666666666664</v>
      </c>
      <c r="C176" s="7">
        <f>(L84*($E84/366))+(L85*($E85/366))</f>
        <v>83.333333333333343</v>
      </c>
      <c r="D176" s="7">
        <f>(M84*($E84/366))+(M85*($E85/366))</f>
        <v>0</v>
      </c>
      <c r="E176" s="40">
        <f t="shared" si="49"/>
        <v>100</v>
      </c>
      <c r="G176" s="1">
        <v>1996</v>
      </c>
      <c r="H176" s="886">
        <f>(O84/$R84*100*($E84/366))+(O85/$R85*100*($E85/366))</f>
        <v>13.80670611439842</v>
      </c>
      <c r="I176" s="886"/>
      <c r="J176" s="886">
        <f>(P84/$R84*100*($E84/366))+(P85/$R85*100*($E85/366))</f>
        <v>86.193293885601577</v>
      </c>
      <c r="K176" s="886"/>
      <c r="L176" s="886">
        <f>(Q84/$R84*100*($E84/366))+(Q85/$R85*100*($E85/366))</f>
        <v>0</v>
      </c>
      <c r="M176" s="886"/>
      <c r="N176" s="919">
        <f t="shared" si="51"/>
        <v>100</v>
      </c>
      <c r="O176" s="947"/>
      <c r="R176" s="1">
        <v>1996</v>
      </c>
      <c r="S176" s="7">
        <f>(O84*($E84/366))+(O85*($E85/366))</f>
        <v>7</v>
      </c>
      <c r="T176" s="7">
        <f>(P84*($E84/366))+(P85*($E85/366))</f>
        <v>43.7</v>
      </c>
      <c r="U176" s="7">
        <f>(Q84*($E84/366))+(Q85*($E85/366))</f>
        <v>0</v>
      </c>
      <c r="V176" s="12"/>
      <c r="W176" s="14">
        <f t="shared" si="50"/>
        <v>50.7</v>
      </c>
      <c r="Y176" s="7"/>
    </row>
    <row r="177" spans="1:25" ht="9" customHeight="1">
      <c r="A177" s="1">
        <v>1997</v>
      </c>
      <c r="B177" s="7">
        <f>(K86*($E86/365))+(K87*($E87/365))</f>
        <v>16.669352672575876</v>
      </c>
      <c r="C177" s="7">
        <f>(L86*($E86/365))+(L87*($E87/365))</f>
        <v>83.330647327424131</v>
      </c>
      <c r="D177" s="7">
        <f>(M86*($E86/365))+(M87*($E87/365))</f>
        <v>0</v>
      </c>
      <c r="E177" s="40">
        <f t="shared" si="49"/>
        <v>100</v>
      </c>
      <c r="G177" s="1">
        <v>1997</v>
      </c>
      <c r="H177" s="886">
        <f>(O86/$R86*100*($E86/365))+(O87/$R87*100*($E87/365))</f>
        <v>13.80670611439842</v>
      </c>
      <c r="I177" s="886"/>
      <c r="J177" s="886">
        <f>(P86/$R86*100*($E86/365))+(P87/$R87*100*($E87/365))</f>
        <v>86.193293885601577</v>
      </c>
      <c r="K177" s="886"/>
      <c r="L177" s="886">
        <f>(Q86/$R86*100*($E86/365))+(Q87/$R87*100*($E87/365))</f>
        <v>0</v>
      </c>
      <c r="M177" s="886"/>
      <c r="N177" s="919">
        <f t="shared" si="51"/>
        <v>100</v>
      </c>
      <c r="O177" s="947"/>
      <c r="R177" s="1">
        <v>1997</v>
      </c>
      <c r="S177" s="7">
        <f>(O86*($E86/365))+(O87*($E87/365))</f>
        <v>7</v>
      </c>
      <c r="T177" s="7">
        <f>(P86*($E86/365))+(P87*($E87/365))</f>
        <v>43.7</v>
      </c>
      <c r="U177" s="7">
        <f>(Q86*($E86/365))+(Q87*($E87/365))</f>
        <v>0</v>
      </c>
      <c r="V177" s="12"/>
      <c r="W177" s="14">
        <f t="shared" si="50"/>
        <v>50.7</v>
      </c>
      <c r="Y177" s="7"/>
    </row>
    <row r="178" spans="1:25" ht="9" customHeight="1">
      <c r="A178" s="1">
        <v>1998</v>
      </c>
      <c r="B178" s="7">
        <f>(K88*($E88/365))+(K89*($E89/365))</f>
        <v>14.456083803384368</v>
      </c>
      <c r="C178" s="7">
        <f>(L88*($E88/365))+(L89*($E89/365))</f>
        <v>67.461724415793711</v>
      </c>
      <c r="D178" s="7">
        <f>(M88*($E88/365))+(M89*($E89/365))</f>
        <v>18.082191780821919</v>
      </c>
      <c r="E178" s="40">
        <f t="shared" si="49"/>
        <v>100</v>
      </c>
      <c r="G178" s="1">
        <v>1998</v>
      </c>
      <c r="H178" s="886">
        <f>(O88/$R88*100*($E88/365))+(O89/$R89*100*($E89/365))</f>
        <v>11.31015103617843</v>
      </c>
      <c r="I178" s="886"/>
      <c r="J178" s="886">
        <f>(P88/$R88*100*($E88/365))+(P89/$R89*100*($E89/365))</f>
        <v>70.607657182999645</v>
      </c>
      <c r="K178" s="886"/>
      <c r="L178" s="886">
        <f>(Q88/$R88*100*($E88/365))+(Q89/$R89*100*($E89/365))</f>
        <v>18.082191780821919</v>
      </c>
      <c r="M178" s="886"/>
      <c r="N178" s="919">
        <f t="shared" si="51"/>
        <v>99.999999999999986</v>
      </c>
      <c r="O178" s="947"/>
      <c r="R178" s="1">
        <v>1998</v>
      </c>
      <c r="S178" s="7">
        <f>(O88*($E88/365))+(O89*($E89/365))</f>
        <v>5.7342465753424658</v>
      </c>
      <c r="T178" s="7">
        <f>(P88*($E88/365))+(P89*($E89/365))</f>
        <v>35.798082191780821</v>
      </c>
      <c r="U178" s="7">
        <f>(Q88*($E88/365))+(Q89*($E89/365))</f>
        <v>9.3123287671232884</v>
      </c>
      <c r="V178" s="12"/>
      <c r="W178" s="14">
        <f t="shared" si="50"/>
        <v>50.844657534246579</v>
      </c>
      <c r="Y178" s="7"/>
    </row>
    <row r="179" spans="1:25" ht="9" customHeight="1">
      <c r="A179" s="1">
        <v>1999</v>
      </c>
      <c r="B179" s="7">
        <f>(K90*($E90/365))+(K91*($E91/365))</f>
        <v>0</v>
      </c>
      <c r="C179" s="7">
        <f>(L90*($E90/365))+(L91*($E91/365))</f>
        <v>0</v>
      </c>
      <c r="D179" s="7">
        <f>(M90*($E90/365))+(M91*($E91/365))</f>
        <v>100</v>
      </c>
      <c r="E179" s="40">
        <f t="shared" si="49"/>
        <v>100</v>
      </c>
      <c r="G179" s="1">
        <v>1999</v>
      </c>
      <c r="H179" s="886">
        <f>(O90/$R90*100*($E90/365))+(O91/$R91*100*($E91/365))</f>
        <v>0</v>
      </c>
      <c r="I179" s="886"/>
      <c r="J179" s="886">
        <f>(P90/$R90*100*($E90/365))+(P91/$R91*100*($E91/365))</f>
        <v>0</v>
      </c>
      <c r="K179" s="886"/>
      <c r="L179" s="886">
        <f>(Q90/$R90*100*($E90/365))+(Q91/$R91*100*($E91/365))</f>
        <v>100</v>
      </c>
      <c r="M179" s="886"/>
      <c r="N179" s="919">
        <f t="shared" si="51"/>
        <v>100</v>
      </c>
      <c r="O179" s="947"/>
      <c r="R179" s="1">
        <v>1999</v>
      </c>
      <c r="S179" s="7">
        <f>(O90*($E90/365))+(O91*($E91/365))</f>
        <v>0</v>
      </c>
      <c r="T179" s="7">
        <f>(P90*($E90/365))+(P91*($E91/365))</f>
        <v>0</v>
      </c>
      <c r="U179" s="7">
        <f>(Q90*($E90/365))+(Q91*($E91/365))</f>
        <v>51.5</v>
      </c>
      <c r="V179" s="12"/>
      <c r="W179" s="14">
        <f t="shared" si="50"/>
        <v>51.5</v>
      </c>
      <c r="Y179" s="7"/>
    </row>
    <row r="180" spans="1:25" ht="9" customHeight="1">
      <c r="A180" s="1">
        <v>2000</v>
      </c>
      <c r="B180" s="7">
        <f>(K92*($E92/366))+(K93*($E93/366))</f>
        <v>0</v>
      </c>
      <c r="C180" s="7">
        <f>(L92*($E92/366))+(L93*($E93/366))</f>
        <v>0</v>
      </c>
      <c r="D180" s="7">
        <f>(M92*($E92/366))+(M93*($E93/366))</f>
        <v>100</v>
      </c>
      <c r="E180" s="40">
        <f t="shared" si="49"/>
        <v>100</v>
      </c>
      <c r="G180" s="1">
        <v>2000</v>
      </c>
      <c r="H180" s="886">
        <f>(O92/$R92*100*($E92/366))+(O93/$R93*100*($E93/366))</f>
        <v>0</v>
      </c>
      <c r="I180" s="886"/>
      <c r="J180" s="886">
        <f>(P92/$R92*100*($E92/366))+(P93/$R93*100*($E93/366))</f>
        <v>0</v>
      </c>
      <c r="K180" s="886"/>
      <c r="L180" s="886">
        <f>(Q92/$R92*100*($E92/366))+(Q93/$R93*100*($E93/366))</f>
        <v>100</v>
      </c>
      <c r="M180" s="886"/>
      <c r="N180" s="919">
        <f t="shared" si="51"/>
        <v>100</v>
      </c>
      <c r="O180" s="947"/>
      <c r="R180" s="1">
        <v>2000</v>
      </c>
      <c r="S180" s="7">
        <f>(O92*($E92/366))+(O93*($E93/366))</f>
        <v>0</v>
      </c>
      <c r="T180" s="7">
        <f>(P92*($E92/366))+(P93*($E93/366))</f>
        <v>0</v>
      </c>
      <c r="U180" s="7">
        <f>(Q92*($E92/366))+(Q93*($E93/366))</f>
        <v>51.5</v>
      </c>
      <c r="V180" s="12"/>
      <c r="W180" s="14">
        <f t="shared" si="50"/>
        <v>51.5</v>
      </c>
      <c r="Y180" s="7"/>
    </row>
    <row r="181" spans="1:25" ht="9" customHeight="1">
      <c r="A181" s="1">
        <v>2001</v>
      </c>
      <c r="B181" s="7">
        <f>(K94*($E94/365))+(K95*($E95/365))</f>
        <v>0</v>
      </c>
      <c r="C181" s="7">
        <f>(L94*($E94/365))+(L95*($E95/365))</f>
        <v>0</v>
      </c>
      <c r="D181" s="7">
        <f>(M94*($E94/365))+(M95*($E95/365))</f>
        <v>100</v>
      </c>
      <c r="E181" s="40">
        <f t="shared" si="49"/>
        <v>100</v>
      </c>
      <c r="G181" s="1">
        <v>2001</v>
      </c>
      <c r="H181" s="886">
        <f>(O94/$R94*100*($E94/365))+(O95/$R95*100*($E95/365))</f>
        <v>0</v>
      </c>
      <c r="I181" s="886"/>
      <c r="J181" s="886">
        <f>(P94/$R94*100*($E94/365))+(P95/$R95*100*($E95/365))</f>
        <v>0</v>
      </c>
      <c r="K181" s="886"/>
      <c r="L181" s="886">
        <f>(Q94/$R94*100*($E94/365))+(Q95/$R95*100*($E95/365))</f>
        <v>100</v>
      </c>
      <c r="M181" s="886"/>
      <c r="N181" s="919">
        <f t="shared" si="51"/>
        <v>100</v>
      </c>
      <c r="O181" s="947"/>
      <c r="R181" s="1">
        <v>2001</v>
      </c>
      <c r="S181" s="7">
        <f>(O94*($E94/365))+(O95*($E95/365))</f>
        <v>0</v>
      </c>
      <c r="T181" s="7">
        <f>(P94*($E94/365))+(P95*($E95/365))</f>
        <v>0</v>
      </c>
      <c r="U181" s="7">
        <f>(Q94*($E94/365))+(Q95*($E95/365))</f>
        <v>51.5</v>
      </c>
      <c r="V181" s="12"/>
      <c r="W181" s="14">
        <f t="shared" si="50"/>
        <v>51.5</v>
      </c>
      <c r="Y181" s="7"/>
    </row>
    <row r="182" spans="1:25" ht="9" customHeight="1">
      <c r="A182" s="1">
        <v>2002</v>
      </c>
      <c r="B182" s="7">
        <f>(K96*($E96/365))+(K97*($E97/365))</f>
        <v>0</v>
      </c>
      <c r="C182" s="7">
        <f>(L96*($E96/365))+(L97*($E97/365))</f>
        <v>0</v>
      </c>
      <c r="D182" s="7">
        <f>(M96*($E96/365))+(M97*($E97/365))</f>
        <v>100</v>
      </c>
      <c r="E182" s="40">
        <f t="shared" si="49"/>
        <v>100</v>
      </c>
      <c r="G182" s="1">
        <v>2002</v>
      </c>
      <c r="H182" s="886">
        <f>(O96/$R96*100*($E96/365))+(O97/$R97*100*($E97/365))</f>
        <v>0</v>
      </c>
      <c r="I182" s="886"/>
      <c r="J182" s="886">
        <f>(P96/$R96*100*($E96/365))+(P97/$R97*100*($E97/365))</f>
        <v>0</v>
      </c>
      <c r="K182" s="886"/>
      <c r="L182" s="886">
        <f>(Q96/$R96*100*($E96/365))+(Q97/$R97*100*($E97/365))</f>
        <v>100</v>
      </c>
      <c r="M182" s="886"/>
      <c r="N182" s="919">
        <f t="shared" si="51"/>
        <v>100</v>
      </c>
      <c r="O182" s="947"/>
      <c r="R182" s="1">
        <v>2002</v>
      </c>
      <c r="S182" s="7">
        <f>(O96*($E96/365))+(O97*($E97/365))</f>
        <v>0</v>
      </c>
      <c r="T182" s="7">
        <f>(P96*($E96/365))+(P97*($E97/365))</f>
        <v>0</v>
      </c>
      <c r="U182" s="7">
        <f>(Q96*($E96/365))+(Q97*($E97/365))</f>
        <v>51.344383561643838</v>
      </c>
      <c r="V182" s="12"/>
      <c r="W182" s="14">
        <f t="shared" si="50"/>
        <v>51.344383561643838</v>
      </c>
      <c r="Y182" s="7"/>
    </row>
    <row r="183" spans="1:25" ht="9" customHeight="1">
      <c r="A183" s="1">
        <v>2003</v>
      </c>
      <c r="B183" s="7">
        <f>(K98*($E98/365))+(K99*($E99/365))</f>
        <v>0</v>
      </c>
      <c r="C183" s="7">
        <f>(L98*($E98/365))+(L99*($E99/365))</f>
        <v>0</v>
      </c>
      <c r="D183" s="7">
        <f>(M98*($E98/365))+(M99*($E99/365))</f>
        <v>100</v>
      </c>
      <c r="E183" s="40">
        <f t="shared" si="49"/>
        <v>100</v>
      </c>
      <c r="G183" s="1">
        <v>2003</v>
      </c>
      <c r="H183" s="886">
        <f>(O98/$R98*100*($E98/365))+(O99/$R99*100*($E99/365))</f>
        <v>0</v>
      </c>
      <c r="I183" s="886"/>
      <c r="J183" s="886">
        <f>(P98/$R98*100*($E98/365))+(P99/$R99*100*($E99/365))</f>
        <v>0</v>
      </c>
      <c r="K183" s="886"/>
      <c r="L183" s="886">
        <f>(Q98/$R98*100*($E98/365))+(Q99/$R99*100*($E99/365))</f>
        <v>100</v>
      </c>
      <c r="M183" s="886"/>
      <c r="N183" s="919">
        <f t="shared" si="51"/>
        <v>100</v>
      </c>
      <c r="O183" s="947"/>
      <c r="R183" s="1">
        <v>2003</v>
      </c>
      <c r="S183" s="7">
        <f>(O98*($E98/365))+(O99*($E99/365))</f>
        <v>0</v>
      </c>
      <c r="T183" s="7">
        <f>(P98*($E98/365))+(P99*($E99/365))</f>
        <v>0</v>
      </c>
      <c r="U183" s="7">
        <f>(Q98*($E98/365))+(Q99*($E99/365))</f>
        <v>50.7</v>
      </c>
      <c r="V183" s="12"/>
      <c r="W183" s="14">
        <f t="shared" si="50"/>
        <v>50.7</v>
      </c>
      <c r="Y183" s="7"/>
    </row>
    <row r="184" spans="1:25" ht="9" customHeight="1">
      <c r="A184" s="1">
        <v>2004</v>
      </c>
      <c r="B184" s="7">
        <f>(K100*($E100/366))+(K101*($E101/366))</f>
        <v>0</v>
      </c>
      <c r="C184" s="7">
        <f>(L100*($E100/366))+(L101*($E101/366))</f>
        <v>0</v>
      </c>
      <c r="D184" s="7">
        <f>(M100*($E100/366))+(M101*($E101/366))</f>
        <v>100</v>
      </c>
      <c r="E184" s="40">
        <f t="shared" si="49"/>
        <v>100</v>
      </c>
      <c r="G184" s="1">
        <v>2004</v>
      </c>
      <c r="H184" s="886">
        <f>(O100/$R100*100*($E100/366))+(O101/$R101*100*($E101/366))</f>
        <v>0</v>
      </c>
      <c r="I184" s="886"/>
      <c r="J184" s="886">
        <f>(P100/$R100*100*($E100/366))+(P101/$R101*100*($E101/366))</f>
        <v>0</v>
      </c>
      <c r="K184" s="886"/>
      <c r="L184" s="886">
        <f>(Q100/$R100*100*($E100/366))+(Q101/$R101*100*($E101/366))</f>
        <v>100</v>
      </c>
      <c r="M184" s="886"/>
      <c r="N184" s="919">
        <f t="shared" si="51"/>
        <v>100</v>
      </c>
      <c r="O184" s="947"/>
      <c r="R184" s="1">
        <v>2004</v>
      </c>
      <c r="S184" s="7">
        <f>(O100*($E100/366))+(O101*($E101/366))</f>
        <v>0</v>
      </c>
      <c r="T184" s="7">
        <f>(P100*($E100/366))+(P101*($E101/366))</f>
        <v>0</v>
      </c>
      <c r="U184" s="7">
        <f>(Q100*($E100/366))+(Q101*($E101/366))</f>
        <v>50.7</v>
      </c>
      <c r="V184" s="12"/>
      <c r="W184" s="14">
        <f t="shared" si="50"/>
        <v>50.7</v>
      </c>
      <c r="Y184" s="7"/>
    </row>
    <row r="185" spans="1:25" ht="9" customHeight="1">
      <c r="A185" s="1">
        <v>2005</v>
      </c>
      <c r="B185" s="7">
        <f>(K102*($E102/365))+(K103*($E103/365))</f>
        <v>0</v>
      </c>
      <c r="C185" s="7">
        <f>(L102*($E102/365))+(L103*($E103/365))</f>
        <v>5.4794520547945202</v>
      </c>
      <c r="D185" s="7">
        <f>(M102*($E102/365))+(M103*($E103/365))</f>
        <v>94.520547945205479</v>
      </c>
      <c r="E185" s="40">
        <f t="shared" si="49"/>
        <v>100</v>
      </c>
      <c r="G185" s="1">
        <v>2005</v>
      </c>
      <c r="H185" s="886">
        <f>(O102/$R102*100*($E102/365))+(O103/$R103*100*($E103/365))</f>
        <v>0</v>
      </c>
      <c r="I185" s="886"/>
      <c r="J185" s="886">
        <f>(P102/$R102*100*($E102/365))+(P103/$R103*100*($E103/365))</f>
        <v>5.5244886470257075</v>
      </c>
      <c r="K185" s="886"/>
      <c r="L185" s="886">
        <f>(Q102/$R102*100*($E102/365))+(Q103/$R103*100*($E103/365))</f>
        <v>94.475511352974294</v>
      </c>
      <c r="M185" s="886"/>
      <c r="N185" s="919">
        <f t="shared" si="51"/>
        <v>100</v>
      </c>
      <c r="O185" s="947"/>
      <c r="R185" s="1">
        <v>2005</v>
      </c>
      <c r="S185" s="7">
        <f>(O102*($E102/365))+(O103*($E103/365))</f>
        <v>0</v>
      </c>
      <c r="T185" s="7">
        <f>(P102*($E102/365))+(P103*($E103/365))</f>
        <v>4.0328767123287665</v>
      </c>
      <c r="U185" s="7">
        <f>(Q102*($E102/365))+(Q103*($E103/365))</f>
        <v>49.110958904109594</v>
      </c>
      <c r="V185" s="12"/>
      <c r="W185" s="14">
        <f t="shared" si="50"/>
        <v>53.143835616438359</v>
      </c>
      <c r="Y185" s="7"/>
    </row>
    <row r="186" spans="1:25" ht="9" customHeight="1">
      <c r="A186" s="1">
        <v>2006</v>
      </c>
      <c r="B186" s="7">
        <f>(K104*($E104/365))+(K105*($E105/365))</f>
        <v>0</v>
      </c>
      <c r="C186" s="7">
        <f>(L104*($E104/365))+(L105*($E105/365))</f>
        <v>50</v>
      </c>
      <c r="D186" s="7">
        <f>(M104*($E104/365))+(M105*($E105/365))</f>
        <v>50</v>
      </c>
      <c r="E186" s="40">
        <f t="shared" si="49"/>
        <v>100</v>
      </c>
      <c r="G186" s="1">
        <v>2006</v>
      </c>
      <c r="H186" s="886">
        <f>(O104/$R104*100*($E104/365))+(O105/$R105*100*($E105/365))</f>
        <v>0</v>
      </c>
      <c r="I186" s="886"/>
      <c r="J186" s="886">
        <f>(P104/$R104*100*($E104/365))+(P105/$R105*100*($E105/365))</f>
        <v>50.410958904109584</v>
      </c>
      <c r="K186" s="886"/>
      <c r="L186" s="886">
        <f>(Q104/$R104*100*($E104/365))+(Q105/$R105*100*($E105/365))</f>
        <v>49.589041095890416</v>
      </c>
      <c r="M186" s="886"/>
      <c r="N186" s="919">
        <f t="shared" si="51"/>
        <v>100</v>
      </c>
      <c r="O186" s="947"/>
      <c r="R186" s="1">
        <v>2006</v>
      </c>
      <c r="S186" s="7">
        <f>(O104*($E104/365))+(O105*($E105/365))</f>
        <v>0</v>
      </c>
      <c r="T186" s="7">
        <f>(P104*($E104/365))+(P105*($E105/365))</f>
        <v>36.799999999999997</v>
      </c>
      <c r="U186" s="7">
        <f>(Q104*($E104/365))+(Q105*($E105/365))</f>
        <v>36.200000000000003</v>
      </c>
      <c r="V186" s="12"/>
      <c r="W186" s="14">
        <f t="shared" si="50"/>
        <v>73</v>
      </c>
      <c r="Y186" s="7"/>
    </row>
    <row r="187" spans="1:25" ht="9" customHeight="1">
      <c r="A187" s="1">
        <v>2007</v>
      </c>
      <c r="B187" s="7">
        <f>(K106*($E106/365))+(K107*($E107/365))</f>
        <v>0</v>
      </c>
      <c r="C187" s="7">
        <f>(L106*($E106/365))+(L107*($E107/365))</f>
        <v>50</v>
      </c>
      <c r="D187" s="7">
        <f>(M106*($E106/365))+(M107*($E107/365))</f>
        <v>50</v>
      </c>
      <c r="E187" s="40">
        <f t="shared" si="49"/>
        <v>100</v>
      </c>
      <c r="G187" s="1">
        <v>2007</v>
      </c>
      <c r="H187" s="886">
        <f>(O106/$R106*100*($E106/365))+(O107/$R107*100*($E107/365))</f>
        <v>0</v>
      </c>
      <c r="I187" s="886"/>
      <c r="J187" s="886">
        <f>(P106/$R106*100*($E106/365))+(P107/$R107*100*($E107/365))</f>
        <v>50.410958904109584</v>
      </c>
      <c r="K187" s="886"/>
      <c r="L187" s="886">
        <f>(Q106/$R106*100*($E106/365))+(Q107/$R107*100*($E107/365))</f>
        <v>49.589041095890416</v>
      </c>
      <c r="M187" s="886"/>
      <c r="N187" s="919">
        <f t="shared" si="51"/>
        <v>100</v>
      </c>
      <c r="O187" s="947"/>
      <c r="R187" s="1">
        <v>2007</v>
      </c>
      <c r="S187" s="7">
        <f>(O106*($E106/365))+(O107*($E107/365))</f>
        <v>0</v>
      </c>
      <c r="T187" s="7">
        <f>(P106*($E106/365))+(P107*($E107/365))</f>
        <v>36.799999999999997</v>
      </c>
      <c r="U187" s="7">
        <f>(Q106*($E106/365))+(Q107*($E107/365))</f>
        <v>36.200000000000003</v>
      </c>
      <c r="V187" s="12"/>
      <c r="W187" s="14">
        <f t="shared" si="50"/>
        <v>73</v>
      </c>
      <c r="Y187" s="7"/>
    </row>
    <row r="188" spans="1:25" ht="9" customHeight="1">
      <c r="A188" s="1">
        <v>2008</v>
      </c>
      <c r="B188" s="7">
        <f>(K108*($E108/366))+(K109*($E109/366))</f>
        <v>0</v>
      </c>
      <c r="C188" s="7">
        <f>(L108*($E108/366))+(L109*($E109/366))</f>
        <v>50</v>
      </c>
      <c r="D188" s="7">
        <f>(M108*($E108/366))+(M109*($E109/366))</f>
        <v>50</v>
      </c>
      <c r="E188" s="40">
        <f t="shared" si="49"/>
        <v>100</v>
      </c>
      <c r="G188" s="1">
        <v>2008</v>
      </c>
      <c r="H188" s="886">
        <f>(O108/$R108*100*($E108/366))+(O109/$R109*100*($E109/366))</f>
        <v>0</v>
      </c>
      <c r="I188" s="886"/>
      <c r="J188" s="886">
        <f>(P108/$R108*100*($E108/366))+(P109/$R109*100*($E109/366))</f>
        <v>50.410958904109584</v>
      </c>
      <c r="K188" s="886"/>
      <c r="L188" s="886">
        <f>(Q108/$R108*100*($E108/366))+(Q109/$R109*100*($E109/366))</f>
        <v>49.589041095890416</v>
      </c>
      <c r="M188" s="886"/>
      <c r="N188" s="919">
        <f t="shared" si="51"/>
        <v>100</v>
      </c>
      <c r="O188" s="947"/>
      <c r="R188" s="1">
        <v>2008</v>
      </c>
      <c r="S188" s="7">
        <f>(O108*($E108/366))+(O109*($E109/366))</f>
        <v>0</v>
      </c>
      <c r="T188" s="7">
        <f>(P108*($E108/366))+(P109*($E109/366))</f>
        <v>36.799999999999997</v>
      </c>
      <c r="U188" s="7">
        <f>(Q108*($E108/366))+(Q109*($E109/366))</f>
        <v>36.200000000000003</v>
      </c>
      <c r="V188" s="12"/>
      <c r="W188" s="14">
        <f t="shared" si="50"/>
        <v>73</v>
      </c>
      <c r="Y188" s="7"/>
    </row>
    <row r="189" spans="1:25" ht="9" customHeight="1">
      <c r="A189" s="1">
        <v>2009</v>
      </c>
      <c r="B189" s="7">
        <f>(K110*($E110/365))+(K111*($E111/365))</f>
        <v>5.5650684931506849</v>
      </c>
      <c r="C189" s="7">
        <f>(L110*($E110/365))+(L111*($E111/365))</f>
        <v>53.339041095890408</v>
      </c>
      <c r="D189" s="7">
        <f>(M110*($E110/365))+(M111*($E111/365))</f>
        <v>41.095890410958901</v>
      </c>
      <c r="E189" s="40">
        <f t="shared" si="49"/>
        <v>100</v>
      </c>
      <c r="G189" s="1">
        <v>2009</v>
      </c>
      <c r="H189" s="886">
        <f>(O110/$R110*100*($E110/365))+(O111/$R111*100*($E111/365))</f>
        <v>5.0023087578882564</v>
      </c>
      <c r="I189" s="886"/>
      <c r="J189" s="886">
        <f>(P110/$R110*100*($E110/365))+(P111/$R111*100*($E111/365))</f>
        <v>54.239575272886739</v>
      </c>
      <c r="K189" s="886"/>
      <c r="L189" s="886">
        <f>(Q110/$R110*100*($E110/365))+(Q111/$R111*100*($E111/365))</f>
        <v>40.758115969224995</v>
      </c>
      <c r="M189" s="886"/>
      <c r="N189" s="919">
        <f t="shared" si="51"/>
        <v>100</v>
      </c>
      <c r="O189" s="947"/>
      <c r="R189" s="1">
        <v>2009</v>
      </c>
      <c r="S189" s="7">
        <f>(O110*($E110/365))+(O111*($E111/365))</f>
        <v>2.6712328767123288</v>
      </c>
      <c r="T189" s="7">
        <f>(P110*($E110/365))+(P111*($E111/365))</f>
        <v>37.084931506849308</v>
      </c>
      <c r="U189" s="7">
        <f>(Q110*($E110/365))+(Q111*($E111/365))</f>
        <v>29.753424657534246</v>
      </c>
      <c r="V189" s="12"/>
      <c r="W189" s="14">
        <f t="shared" si="50"/>
        <v>69.509589041095893</v>
      </c>
      <c r="Y189" s="7"/>
    </row>
    <row r="190" spans="1:25" ht="9" customHeight="1">
      <c r="A190" s="1">
        <v>2010</v>
      </c>
      <c r="B190" s="7">
        <f>(K112*($E112/365))+(K113*($E113/365))</f>
        <v>31.25</v>
      </c>
      <c r="C190" s="7">
        <f>(L112*($E112/365))+(L113*($E113/365))</f>
        <v>68.75</v>
      </c>
      <c r="D190" s="7">
        <f>(M112*($E112/365))+(M113*($E113/365))</f>
        <v>0</v>
      </c>
      <c r="E190" s="40">
        <f t="shared" si="49"/>
        <v>100</v>
      </c>
      <c r="G190" s="1">
        <v>2010</v>
      </c>
      <c r="H190" s="886">
        <f>(O112/$R112*100*($E112/365))+(O113/$R113*100*($E113/365))</f>
        <v>28.08988764044944</v>
      </c>
      <c r="I190" s="886"/>
      <c r="J190" s="886">
        <f>(P112/$R112*100*($E112/365))+(P113/$R113*100*($E113/365))</f>
        <v>71.910112359550567</v>
      </c>
      <c r="K190" s="886"/>
      <c r="L190" s="886">
        <f>(Q112/$R112*100*($E112/365))+(Q113/$R113*100*($E113/365))</f>
        <v>0</v>
      </c>
      <c r="M190" s="886"/>
      <c r="N190" s="919">
        <f t="shared" si="51"/>
        <v>100</v>
      </c>
      <c r="O190" s="947"/>
      <c r="R190" s="1">
        <v>2010</v>
      </c>
      <c r="S190" s="7">
        <f>(O112*($E112/365))+(O113*($E113/365))</f>
        <v>15</v>
      </c>
      <c r="T190" s="7">
        <f>(P112*($E112/365))+(P113*($E113/365))</f>
        <v>38.4</v>
      </c>
      <c r="U190" s="7">
        <f>(Q112*($E112/365))+(Q113*($E113/365))</f>
        <v>0</v>
      </c>
      <c r="V190" s="12"/>
      <c r="W190" s="14">
        <f t="shared" si="50"/>
        <v>53.4</v>
      </c>
      <c r="Y190" s="7"/>
    </row>
    <row r="191" spans="1:25" ht="9" customHeight="1">
      <c r="A191" s="1">
        <v>2011</v>
      </c>
      <c r="B191" s="7">
        <f>(K114*($E114/365))+(K115*($E115/365))</f>
        <v>31.25</v>
      </c>
      <c r="C191" s="7">
        <f>(L114*($E114/365))+(L115*($E115/365))</f>
        <v>68.75</v>
      </c>
      <c r="D191" s="7">
        <f>(M114*($E114/365))+(M115*($E115/365))</f>
        <v>0</v>
      </c>
      <c r="E191" s="40">
        <f t="shared" si="49"/>
        <v>100</v>
      </c>
      <c r="G191" s="1">
        <v>2011</v>
      </c>
      <c r="H191" s="886">
        <f>(O114/$R114*100*($E114/365))+(O115/$R115*100*($E115/365))</f>
        <v>28.08988764044944</v>
      </c>
      <c r="I191" s="886"/>
      <c r="J191" s="886">
        <f>(P114/$R114*100*($E114/365))+(P115/$R115*100*($E115/365))</f>
        <v>71.910112359550567</v>
      </c>
      <c r="K191" s="886"/>
      <c r="L191" s="886">
        <f>(Q114/$R114*100*($E114/365))+(Q115/$R115*100*($E115/365))</f>
        <v>0</v>
      </c>
      <c r="M191" s="886"/>
      <c r="N191" s="919">
        <f t="shared" si="51"/>
        <v>100</v>
      </c>
      <c r="O191" s="947"/>
      <c r="R191" s="1">
        <v>2011</v>
      </c>
      <c r="S191" s="7">
        <f>(O114*($E114/365))+(O115*($E115/365))</f>
        <v>15</v>
      </c>
      <c r="T191" s="7">
        <f>(P114*($E114/365))+(P115*($E115/365))</f>
        <v>38.4</v>
      </c>
      <c r="U191" s="7">
        <f>(Q114*($E114/365))+(Q115*($E115/365))</f>
        <v>0</v>
      </c>
      <c r="V191" s="12"/>
      <c r="W191" s="14">
        <f t="shared" si="50"/>
        <v>53.4</v>
      </c>
      <c r="Y191" s="7"/>
    </row>
    <row r="192" spans="1:25" ht="9" customHeight="1">
      <c r="A192" s="1">
        <v>2012</v>
      </c>
      <c r="B192" s="7">
        <f>(K116*($E116/366))+(K117*($E117/366))</f>
        <v>31.25</v>
      </c>
      <c r="C192" s="7">
        <f>(L116*($E116/366))+(L117*($E117/366))</f>
        <v>68.75</v>
      </c>
      <c r="D192" s="7">
        <f>(M116*($E116/366))+(M117*($E117/366))</f>
        <v>0</v>
      </c>
      <c r="E192" s="40">
        <f t="shared" si="49"/>
        <v>100</v>
      </c>
      <c r="G192" s="1">
        <v>2012</v>
      </c>
      <c r="H192" s="886">
        <f>(O116/$R116*100*($E116/366))+(O117/$R117*100*($E117/366))</f>
        <v>28.08988764044944</v>
      </c>
      <c r="I192" s="886"/>
      <c r="J192" s="886">
        <f>(P116/$R116*100*($E116/366))+(P117/$R117*100*($E117/366))</f>
        <v>71.910112359550567</v>
      </c>
      <c r="K192" s="886"/>
      <c r="L192" s="886">
        <f>(Q116/$R116*100*($E116/366))+(Q117/$R117*100*($E117/366))</f>
        <v>0</v>
      </c>
      <c r="M192" s="886"/>
      <c r="N192" s="919">
        <f t="shared" si="51"/>
        <v>100</v>
      </c>
      <c r="O192" s="947"/>
      <c r="R192" s="1">
        <v>2012</v>
      </c>
      <c r="S192" s="7">
        <f>(O116*($E116/366))+(O117*($E117/366))</f>
        <v>15</v>
      </c>
      <c r="T192" s="7">
        <f>(P116*($E116/366))+(P117*($E117/366))</f>
        <v>38.4</v>
      </c>
      <c r="U192" s="7">
        <f>(Q116*($E116/366))+(Q117*($E117/366))</f>
        <v>0</v>
      </c>
      <c r="V192" s="12"/>
      <c r="W192" s="14">
        <f t="shared" si="50"/>
        <v>53.4</v>
      </c>
      <c r="Y192" s="7"/>
    </row>
    <row r="193" spans="1:23">
      <c r="A193" s="1">
        <v>2013</v>
      </c>
      <c r="B193" s="7">
        <f>(K118*($E118/365))+(K119*($E119/365))</f>
        <v>29.965753424657532</v>
      </c>
      <c r="C193" s="7">
        <f>(L118*($E118/365))+(L119*($E119/365))</f>
        <v>68.493150684931507</v>
      </c>
      <c r="D193" s="7">
        <f>(M118*($E118/365))+(M119*($E119/365))</f>
        <v>1.5410958904109588</v>
      </c>
      <c r="E193" s="266">
        <f t="shared" si="49"/>
        <v>100</v>
      </c>
      <c r="G193" s="1">
        <v>2013</v>
      </c>
      <c r="H193" s="886">
        <f>(O118/$R118*100*($E118/365))+(O119/$R119*100*($E119/365))</f>
        <v>26.935508696321378</v>
      </c>
      <c r="I193" s="886"/>
      <c r="J193" s="886">
        <f>(P118/$R118*100*($E118/365))+(P119/$R119*100*($E119/365))</f>
        <v>71.490606139003603</v>
      </c>
      <c r="K193" s="886"/>
      <c r="L193" s="886">
        <f>(Q118/$R118*100*($E118/365))+(Q119/$R119*100*($E119/365))</f>
        <v>1.5738851646750218</v>
      </c>
      <c r="M193" s="886"/>
      <c r="N193" s="919">
        <f>SUM(H193:M193)</f>
        <v>100</v>
      </c>
      <c r="O193" s="947"/>
      <c r="R193" s="1">
        <v>2013</v>
      </c>
      <c r="S193" s="7">
        <f>(O118*($E118/365))+(O119*($E119/365))</f>
        <v>14.383561643835616</v>
      </c>
      <c r="T193" s="7">
        <f>(P118*($E118/365))+(P119*($E119/365))</f>
        <v>38.847945205479448</v>
      </c>
      <c r="U193" s="7">
        <f>(Q118*($E118/365))+(Q119*($E119/365))</f>
        <v>1.2575342465753425</v>
      </c>
      <c r="W193" s="14">
        <f t="shared" si="50"/>
        <v>54.489041095890407</v>
      </c>
    </row>
    <row r="194" spans="1:23">
      <c r="A194" s="1">
        <v>2014</v>
      </c>
      <c r="B194" s="7">
        <f>(K120*($E120/365))+(K121*($E121/365))</f>
        <v>0</v>
      </c>
      <c r="C194" s="7">
        <f>(L120*($E120/365))+(L121*($E121/365))</f>
        <v>62.5</v>
      </c>
      <c r="D194" s="7">
        <f>(M120*($E120/365))+(M121*($E121/365))</f>
        <v>37.5</v>
      </c>
      <c r="E194" s="446">
        <f>SUM(B194:D194)</f>
        <v>100</v>
      </c>
      <c r="G194" s="1">
        <v>2014</v>
      </c>
      <c r="H194" s="886">
        <f>(O120/$R120*100*($E120/365))+(O121/$R121*100*($E121/365))</f>
        <v>0</v>
      </c>
      <c r="I194" s="886"/>
      <c r="J194" s="886">
        <f>(P120/$R120*100*($E120/365))+(P121/$R121*100*($E121/365))</f>
        <v>61.702127659574458</v>
      </c>
      <c r="K194" s="886"/>
      <c r="L194" s="886">
        <f>(Q120/$R120*100*($E120/365))+(Q121/$R121*100*($E121/365))</f>
        <v>38.297872340425535</v>
      </c>
      <c r="M194" s="886"/>
      <c r="N194" s="919">
        <f>SUM(H194:M194)</f>
        <v>100</v>
      </c>
      <c r="O194" s="947"/>
      <c r="R194" s="1">
        <v>2014</v>
      </c>
      <c r="S194" s="7">
        <f>(O120*($E120/365))+(O121*($E121/365))</f>
        <v>0</v>
      </c>
      <c r="T194" s="7">
        <f>(P120*($E120/365))+(P121*($E121/365))</f>
        <v>49.3</v>
      </c>
      <c r="U194" s="7">
        <f>(Q120*($E120/365))+(Q121*($E121/365))</f>
        <v>30.6</v>
      </c>
      <c r="W194" s="14">
        <f>SUM(S194:U194)</f>
        <v>79.900000000000006</v>
      </c>
    </row>
    <row r="195" spans="1:23" s="603" customFormat="1">
      <c r="A195" s="603">
        <v>2015</v>
      </c>
      <c r="B195" s="599">
        <f>(K122*($E122/365))+(K123*($E123/365))</f>
        <v>0</v>
      </c>
      <c r="C195" s="599">
        <f>(L122*($E122/365))+(L123*($E123/365))</f>
        <v>62.5</v>
      </c>
      <c r="D195" s="599">
        <f>(M122*($E122/365))+(M123*($E123/365))</f>
        <v>37.5</v>
      </c>
      <c r="E195" s="594">
        <f>SUM(B195:D195)</f>
        <v>100</v>
      </c>
      <c r="G195" s="603">
        <v>2015</v>
      </c>
      <c r="H195" s="886">
        <f>(O122/$R122*100*($E122/365))+(O123/$R123*100*($E123/365))</f>
        <v>0</v>
      </c>
      <c r="I195" s="886"/>
      <c r="J195" s="886">
        <f>(P122/$R122*100*($E122/365))+(P123/$R123*100*($E123/365))</f>
        <v>61.702127659574458</v>
      </c>
      <c r="K195" s="886"/>
      <c r="L195" s="886">
        <f>(Q122/$R122*100*($E122/365))+(Q123/$R123*100*($E123/365))</f>
        <v>38.297872340425535</v>
      </c>
      <c r="M195" s="886"/>
      <c r="N195" s="919">
        <f>SUM(H195:M195)</f>
        <v>100</v>
      </c>
      <c r="O195" s="947"/>
      <c r="R195" s="603">
        <v>2015</v>
      </c>
      <c r="S195" s="599">
        <f>(O122*($E122/365))+(O123*($E123/365))</f>
        <v>0</v>
      </c>
      <c r="T195" s="599">
        <f>(P122*($E122/365))+(P123*($E123/365))</f>
        <v>49.3</v>
      </c>
      <c r="U195" s="599">
        <f>(Q122*($E122/365))+(Q123*($E123/365))</f>
        <v>30.6</v>
      </c>
      <c r="W195" s="600">
        <f>SUM(S195:U195)</f>
        <v>79.900000000000006</v>
      </c>
    </row>
    <row r="196" spans="1:23" s="663" customFormat="1">
      <c r="A196" s="663">
        <v>2016</v>
      </c>
      <c r="B196" s="661">
        <f>(K124*($E124/366))+(K125*($E125/366))</f>
        <v>0</v>
      </c>
      <c r="C196" s="661">
        <f>(L124*($E124/366))+(L125*($E125/366))</f>
        <v>62.5</v>
      </c>
      <c r="D196" s="661">
        <f>(M124*($E124/366))+(M125*($E125/366))</f>
        <v>37.5</v>
      </c>
      <c r="E196" s="656">
        <f>SUM(B196:D196)</f>
        <v>100</v>
      </c>
      <c r="G196" s="663">
        <v>2016</v>
      </c>
      <c r="H196" s="886">
        <f>(O124/$R124*100*($E124/366))+(O125/$R125*100*($E125/366))</f>
        <v>0</v>
      </c>
      <c r="I196" s="886"/>
      <c r="J196" s="886">
        <f>(P124/$R124*100*($E124/366))+(P125/$R125*100*($E125/366))</f>
        <v>61.702127659574458</v>
      </c>
      <c r="K196" s="886"/>
      <c r="L196" s="886">
        <f>(Q124/$R124*100*($E124/366))+(Q125/$R125*100*($E125/366))</f>
        <v>38.297872340425535</v>
      </c>
      <c r="M196" s="886"/>
      <c r="N196" s="919">
        <f>SUM(H196:M196)</f>
        <v>100</v>
      </c>
      <c r="O196" s="947"/>
      <c r="R196" s="663">
        <v>2016</v>
      </c>
      <c r="S196" s="661">
        <f>(O124*($E124/366))+(O125*($E125/366))</f>
        <v>0</v>
      </c>
      <c r="T196" s="661">
        <f>(P124*($E124/366))+(P125*($E125/366))</f>
        <v>49.3</v>
      </c>
      <c r="U196" s="661">
        <f>(Q124*($E124/366))+(Q125*($E125/366))</f>
        <v>30.6</v>
      </c>
      <c r="W196" s="662">
        <f>SUM(S196:U196)</f>
        <v>79.900000000000006</v>
      </c>
    </row>
    <row r="197" spans="1:23">
      <c r="A197" s="749">
        <v>2017</v>
      </c>
      <c r="B197" s="746">
        <f>(K126*($E126/365))+(K127*($E127/365))+(K128*($E128/365))</f>
        <v>0</v>
      </c>
      <c r="C197" s="746">
        <f>(L126*($E126/365))+(L127*($E127/365))+(L128*($E128/365))</f>
        <v>64.019142957499128</v>
      </c>
      <c r="D197" s="746">
        <f>(M126*($E126/365))+(M127*($E127/365))+(M128*($E128/365))</f>
        <v>35.98085704250088</v>
      </c>
      <c r="E197" s="743">
        <f>SUM(B197:D197)</f>
        <v>100</v>
      </c>
      <c r="F197" s="749"/>
      <c r="G197" s="749">
        <v>2017</v>
      </c>
      <c r="H197" s="886">
        <f>(O126/$R126*100*($E126/365))+(O127/$R127*100*($E127/365))+(O128/$R128*100*($E128/365))</f>
        <v>0</v>
      </c>
      <c r="I197" s="886"/>
      <c r="J197" s="886">
        <f>(P126/$R126*100*($E126/365))+(P127/$R127*100*($E127/365))+(P128/$R128*100*($E128/365))</f>
        <v>61.702127659574451</v>
      </c>
      <c r="K197" s="886"/>
      <c r="L197" s="886">
        <f>(Q126/$R126*100*($E126/365))+(Q127/$R127*100*($E127/365))+(Q128/$R128*100*($E128/365))</f>
        <v>38.297872340425535</v>
      </c>
      <c r="M197" s="886"/>
      <c r="N197" s="919">
        <f>SUM(H197:M197)</f>
        <v>99.999999999999986</v>
      </c>
      <c r="O197" s="947"/>
      <c r="P197" s="749"/>
      <c r="Q197" s="749"/>
      <c r="R197" s="749">
        <v>2017</v>
      </c>
      <c r="S197" s="746">
        <f>(O126*($E126/365))+(O127*($E127/365))+(O128*($E128/365))</f>
        <v>0</v>
      </c>
      <c r="T197" s="746">
        <f t="shared" ref="T197:U197" si="52">(P126*($E126/365))+(P127*($E127/365))+(P128*($E128/365))</f>
        <v>49.3</v>
      </c>
      <c r="U197" s="746">
        <f t="shared" si="52"/>
        <v>30.6</v>
      </c>
      <c r="V197" s="749"/>
      <c r="W197" s="747">
        <f>SUM(S197:U197)</f>
        <v>79.900000000000006</v>
      </c>
    </row>
    <row r="198" spans="1:23">
      <c r="A198" s="766">
        <v>2018</v>
      </c>
      <c r="B198" s="762">
        <f>(K129*($E129/365))+(K130*($E130/365))</f>
        <v>0</v>
      </c>
      <c r="C198" s="762">
        <f t="shared" ref="C198:D198" si="53">(L129*($E129/365))+(L130*($E130/365))</f>
        <v>62.310326659641731</v>
      </c>
      <c r="D198" s="762">
        <f t="shared" si="53"/>
        <v>37.689673340358276</v>
      </c>
      <c r="E198" s="754">
        <f t="shared" ref="E198" si="54">SUM(B198:D198)</f>
        <v>100</v>
      </c>
      <c r="F198" s="766"/>
      <c r="G198" s="766">
        <v>2018</v>
      </c>
      <c r="H198" s="886">
        <f>(O129/$R129*100*($E129/365))+(O130/$R130*100*($E130/365))</f>
        <v>0</v>
      </c>
      <c r="I198" s="886"/>
      <c r="J198" s="886">
        <f>(P129/$R129*100*($E129/365))+(P130/$R130*100*($E130/365))</f>
        <v>61.82390711511016</v>
      </c>
      <c r="K198" s="886"/>
      <c r="L198" s="886">
        <f>(Q129/$R129*100*($E129/365))+(Q130/$R130*100*($E130/365))</f>
        <v>38.17609288488984</v>
      </c>
      <c r="M198" s="886"/>
      <c r="N198" s="919">
        <f t="shared" ref="N198" si="55">SUM(H198:M198)</f>
        <v>100</v>
      </c>
      <c r="O198" s="947"/>
      <c r="P198" s="766"/>
      <c r="Q198" s="766"/>
      <c r="R198" s="766">
        <v>2018</v>
      </c>
      <c r="S198" s="762">
        <f>(O129*($E129/365))+(O130*($E130/365))</f>
        <v>0</v>
      </c>
      <c r="T198" s="762">
        <f t="shared" ref="T198:U198" si="56">(P129*($E129/365))+(P130*($E130/365))</f>
        <v>37.580000000000005</v>
      </c>
      <c r="U198" s="762">
        <f t="shared" si="56"/>
        <v>23.214794520547944</v>
      </c>
      <c r="V198" s="766"/>
      <c r="W198" s="763">
        <f t="shared" ref="W198" si="57">SUM(S198:U198)</f>
        <v>60.794794520547953</v>
      </c>
    </row>
    <row r="199" spans="1:23">
      <c r="A199" s="794">
        <v>2019</v>
      </c>
      <c r="B199" s="791">
        <f>(K131*($E131/365))+(K132*($E132/365))</f>
        <v>0</v>
      </c>
      <c r="C199" s="791">
        <f>(L131*($E131/365))+(L132*($E132/365))</f>
        <v>62.5</v>
      </c>
      <c r="D199" s="791">
        <f>(M131*($E131/365))+(M132*($E132/365))</f>
        <v>37.5</v>
      </c>
      <c r="E199" s="784">
        <f t="shared" ref="E199" si="58">SUM(B199:D199)</f>
        <v>100</v>
      </c>
      <c r="F199" s="794"/>
      <c r="G199" s="794">
        <v>2019</v>
      </c>
      <c r="H199" s="886">
        <f>(O131/$R131*100*($E131/365))+(O132/$R132*100*($E132/365))</f>
        <v>0</v>
      </c>
      <c r="I199" s="886"/>
      <c r="J199" s="886">
        <f>(P131/$R131*100*($E131/365))+(P132/$R132*100*($E132/365))</f>
        <v>61.853832442067734</v>
      </c>
      <c r="K199" s="886"/>
      <c r="L199" s="886">
        <f>(Q131/$R131*100*($E131/365))+(Q132/$R132*100*($E132/365))</f>
        <v>38.146167557932259</v>
      </c>
      <c r="M199" s="886"/>
      <c r="N199" s="919">
        <f t="shared" ref="N199" si="59">SUM(H199:M199)</f>
        <v>100</v>
      </c>
      <c r="O199" s="947"/>
      <c r="P199" s="794"/>
      <c r="Q199" s="794"/>
      <c r="R199" s="794">
        <v>2019</v>
      </c>
      <c r="S199" s="791">
        <f>(O131*($E131/365))+(O132*($E132/365))</f>
        <v>0</v>
      </c>
      <c r="T199" s="791">
        <f>(P131*($E131/365))+(P132*($E132/365))</f>
        <v>34.700000000000003</v>
      </c>
      <c r="U199" s="791">
        <f>(Q131*($E131/365))+(Q132*($E132/365))</f>
        <v>21.4</v>
      </c>
      <c r="V199" s="794"/>
      <c r="W199" s="792">
        <f t="shared" ref="W199" si="60">SUM(S199:U199)</f>
        <v>56.1</v>
      </c>
    </row>
    <row r="200" spans="1:23">
      <c r="A200" s="794"/>
      <c r="G200" s="794"/>
      <c r="R200" s="794"/>
    </row>
  </sheetData>
  <mergeCells count="397">
    <mergeCell ref="J198:K198"/>
    <mergeCell ref="L198:M198"/>
    <mergeCell ref="H198:I198"/>
    <mergeCell ref="N198:O198"/>
    <mergeCell ref="J197:K197"/>
    <mergeCell ref="L197:M197"/>
    <mergeCell ref="H197:I197"/>
    <mergeCell ref="N197:O197"/>
    <mergeCell ref="H196:I196"/>
    <mergeCell ref="J196:K196"/>
    <mergeCell ref="L196:M196"/>
    <mergeCell ref="N196:O196"/>
    <mergeCell ref="H194:I194"/>
    <mergeCell ref="J194:K194"/>
    <mergeCell ref="L194:M194"/>
    <mergeCell ref="N194:O194"/>
    <mergeCell ref="H195:I195"/>
    <mergeCell ref="J195:K195"/>
    <mergeCell ref="L195:M195"/>
    <mergeCell ref="N195:O195"/>
    <mergeCell ref="H147:I147"/>
    <mergeCell ref="H148:I148"/>
    <mergeCell ref="H149:I149"/>
    <mergeCell ref="H156:I156"/>
    <mergeCell ref="H157:I157"/>
    <mergeCell ref="H158:I158"/>
    <mergeCell ref="H159:I159"/>
    <mergeCell ref="H160:I160"/>
    <mergeCell ref="H161:I161"/>
    <mergeCell ref="H150:I150"/>
    <mergeCell ref="H151:I151"/>
    <mergeCell ref="H152:I152"/>
    <mergeCell ref="H153:I153"/>
    <mergeCell ref="H154:I154"/>
    <mergeCell ref="J161:K161"/>
    <mergeCell ref="J162:K162"/>
    <mergeCell ref="C120:D120"/>
    <mergeCell ref="C121:D121"/>
    <mergeCell ref="N139:O139"/>
    <mergeCell ref="H141:I141"/>
    <mergeCell ref="H142:I142"/>
    <mergeCell ref="H143:I143"/>
    <mergeCell ref="H144:I144"/>
    <mergeCell ref="H145:I145"/>
    <mergeCell ref="H146:I146"/>
    <mergeCell ref="N141:O141"/>
    <mergeCell ref="N142:O142"/>
    <mergeCell ref="N143:O143"/>
    <mergeCell ref="N144:O144"/>
    <mergeCell ref="N145:O145"/>
    <mergeCell ref="N146:O146"/>
    <mergeCell ref="C122:D122"/>
    <mergeCell ref="C123:D123"/>
    <mergeCell ref="C125:D125"/>
    <mergeCell ref="C124:D124"/>
    <mergeCell ref="C126:D126"/>
    <mergeCell ref="C127:D127"/>
    <mergeCell ref="C128:D128"/>
    <mergeCell ref="C129:D129"/>
    <mergeCell ref="C130:D130"/>
    <mergeCell ref="C106:D106"/>
    <mergeCell ref="C107:D107"/>
    <mergeCell ref="C108:D108"/>
    <mergeCell ref="C109:D109"/>
    <mergeCell ref="C110:D110"/>
    <mergeCell ref="C117:D117"/>
    <mergeCell ref="C111:D111"/>
    <mergeCell ref="C112:D112"/>
    <mergeCell ref="C113:D113"/>
    <mergeCell ref="C114:D114"/>
    <mergeCell ref="C115:D115"/>
    <mergeCell ref="C116:D116"/>
    <mergeCell ref="C97:D97"/>
    <mergeCell ref="C98:D98"/>
    <mergeCell ref="C99:D99"/>
    <mergeCell ref="C100:D100"/>
    <mergeCell ref="C101:D101"/>
    <mergeCell ref="C102:D102"/>
    <mergeCell ref="C103:D103"/>
    <mergeCell ref="C104:D104"/>
    <mergeCell ref="C105:D105"/>
    <mergeCell ref="C88:D88"/>
    <mergeCell ref="C89:D89"/>
    <mergeCell ref="C90:D90"/>
    <mergeCell ref="C91:D91"/>
    <mergeCell ref="C92:D92"/>
    <mergeCell ref="C93:D93"/>
    <mergeCell ref="C94:D94"/>
    <mergeCell ref="C95:D95"/>
    <mergeCell ref="C96:D96"/>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C16:D16"/>
    <mergeCell ref="C17:D17"/>
    <mergeCell ref="C18:D18"/>
    <mergeCell ref="C19:D19"/>
    <mergeCell ref="C20:D20"/>
    <mergeCell ref="C21:D21"/>
    <mergeCell ref="C22:D22"/>
    <mergeCell ref="C23:D23"/>
    <mergeCell ref="C24:D2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G3:M3"/>
    <mergeCell ref="O3:Q3"/>
    <mergeCell ref="C9:D9"/>
    <mergeCell ref="C10:D10"/>
    <mergeCell ref="A4:A5"/>
    <mergeCell ref="B4:B5"/>
    <mergeCell ref="C4:D5"/>
    <mergeCell ref="E4:E5"/>
    <mergeCell ref="F4:F5"/>
    <mergeCell ref="G4:J4"/>
    <mergeCell ref="R136:W136"/>
    <mergeCell ref="H138:I138"/>
    <mergeCell ref="J138:K138"/>
    <mergeCell ref="L138:M138"/>
    <mergeCell ref="N138:O138"/>
    <mergeCell ref="H140:I140"/>
    <mergeCell ref="N140:O140"/>
    <mergeCell ref="H139:I139"/>
    <mergeCell ref="J139:K139"/>
    <mergeCell ref="L139:M139"/>
    <mergeCell ref="J163:K163"/>
    <mergeCell ref="J164:K164"/>
    <mergeCell ref="J165:K165"/>
    <mergeCell ref="J166:K166"/>
    <mergeCell ref="J167:K167"/>
    <mergeCell ref="J158:K158"/>
    <mergeCell ref="J159:K159"/>
    <mergeCell ref="J160:K160"/>
    <mergeCell ref="H182:I182"/>
    <mergeCell ref="J176:K176"/>
    <mergeCell ref="J177:K177"/>
    <mergeCell ref="J178:K178"/>
    <mergeCell ref="J171:K171"/>
    <mergeCell ref="J172:K172"/>
    <mergeCell ref="J169:K169"/>
    <mergeCell ref="J170:K170"/>
    <mergeCell ref="J175:K175"/>
    <mergeCell ref="J168:K168"/>
    <mergeCell ref="H183:I183"/>
    <mergeCell ref="H155:I155"/>
    <mergeCell ref="H168:I168"/>
    <mergeCell ref="H169:I169"/>
    <mergeCell ref="H170:I170"/>
    <mergeCell ref="H165:I165"/>
    <mergeCell ref="H166:I166"/>
    <mergeCell ref="H167:I167"/>
    <mergeCell ref="H179:I179"/>
    <mergeCell ref="H173:I173"/>
    <mergeCell ref="H162:I162"/>
    <mergeCell ref="H163:I163"/>
    <mergeCell ref="H164:I164"/>
    <mergeCell ref="H178:I178"/>
    <mergeCell ref="H171:I171"/>
    <mergeCell ref="H172:I172"/>
    <mergeCell ref="J149:K149"/>
    <mergeCell ref="J150:K150"/>
    <mergeCell ref="J151:K151"/>
    <mergeCell ref="J152:K152"/>
    <mergeCell ref="J153:K153"/>
    <mergeCell ref="J154:K154"/>
    <mergeCell ref="J155:K155"/>
    <mergeCell ref="J156:K156"/>
    <mergeCell ref="J157:K157"/>
    <mergeCell ref="H192:I192"/>
    <mergeCell ref="J140:K140"/>
    <mergeCell ref="J141:K141"/>
    <mergeCell ref="J142:K142"/>
    <mergeCell ref="J143:K143"/>
    <mergeCell ref="J144:K144"/>
    <mergeCell ref="J145:K145"/>
    <mergeCell ref="J146:K146"/>
    <mergeCell ref="J147:K147"/>
    <mergeCell ref="J148:K148"/>
    <mergeCell ref="H186:I186"/>
    <mergeCell ref="H187:I187"/>
    <mergeCell ref="H188:I188"/>
    <mergeCell ref="H189:I189"/>
    <mergeCell ref="H190:I190"/>
    <mergeCell ref="H191:I191"/>
    <mergeCell ref="H180:I180"/>
    <mergeCell ref="H181:I181"/>
    <mergeCell ref="H184:I184"/>
    <mergeCell ref="H185:I185"/>
    <mergeCell ref="H174:I174"/>
    <mergeCell ref="H175:I175"/>
    <mergeCell ref="H176:I176"/>
    <mergeCell ref="H177:I177"/>
    <mergeCell ref="J191:K191"/>
    <mergeCell ref="J192:K192"/>
    <mergeCell ref="L140:M140"/>
    <mergeCell ref="L141:M141"/>
    <mergeCell ref="L142:M142"/>
    <mergeCell ref="L143:M143"/>
    <mergeCell ref="L144:M144"/>
    <mergeCell ref="L145:M145"/>
    <mergeCell ref="L146:M146"/>
    <mergeCell ref="L147:M147"/>
    <mergeCell ref="J185:K185"/>
    <mergeCell ref="J186:K186"/>
    <mergeCell ref="J187:K187"/>
    <mergeCell ref="J188:K188"/>
    <mergeCell ref="J189:K189"/>
    <mergeCell ref="J190:K190"/>
    <mergeCell ref="J179:K179"/>
    <mergeCell ref="J180:K180"/>
    <mergeCell ref="J181:K181"/>
    <mergeCell ref="J182:K182"/>
    <mergeCell ref="J183:K183"/>
    <mergeCell ref="J184:K184"/>
    <mergeCell ref="J173:K173"/>
    <mergeCell ref="J174:K174"/>
    <mergeCell ref="L148:M148"/>
    <mergeCell ref="L149:M149"/>
    <mergeCell ref="L150:M150"/>
    <mergeCell ref="L151:M151"/>
    <mergeCell ref="L152:M152"/>
    <mergeCell ref="L153:M153"/>
    <mergeCell ref="L154:M154"/>
    <mergeCell ref="L155:M155"/>
    <mergeCell ref="L156:M156"/>
    <mergeCell ref="N147:O147"/>
    <mergeCell ref="N148:O148"/>
    <mergeCell ref="N149:O149"/>
    <mergeCell ref="L190:M190"/>
    <mergeCell ref="L191:M191"/>
    <mergeCell ref="L192:M192"/>
    <mergeCell ref="L186:M186"/>
    <mergeCell ref="L187:M187"/>
    <mergeCell ref="L188:M188"/>
    <mergeCell ref="L189:M189"/>
    <mergeCell ref="L169:M169"/>
    <mergeCell ref="L170:M170"/>
    <mergeCell ref="L171:M171"/>
    <mergeCell ref="L185:M185"/>
    <mergeCell ref="L178:M178"/>
    <mergeCell ref="L179:M179"/>
    <mergeCell ref="L180:M180"/>
    <mergeCell ref="L181:M181"/>
    <mergeCell ref="L182:M182"/>
    <mergeCell ref="L183:M183"/>
    <mergeCell ref="L172:M172"/>
    <mergeCell ref="L173:M173"/>
    <mergeCell ref="L174:M174"/>
    <mergeCell ref="L184:M184"/>
    <mergeCell ref="N152:O152"/>
    <mergeCell ref="N153:O153"/>
    <mergeCell ref="L175:M175"/>
    <mergeCell ref="L176:M176"/>
    <mergeCell ref="L177:M177"/>
    <mergeCell ref="N154:O154"/>
    <mergeCell ref="N155:O155"/>
    <mergeCell ref="N156:O156"/>
    <mergeCell ref="N157:O157"/>
    <mergeCell ref="N158:O158"/>
    <mergeCell ref="N159:O159"/>
    <mergeCell ref="N171:O171"/>
    <mergeCell ref="L157:M157"/>
    <mergeCell ref="L158:M158"/>
    <mergeCell ref="L159:M159"/>
    <mergeCell ref="L166:M166"/>
    <mergeCell ref="L167:M167"/>
    <mergeCell ref="L168:M168"/>
    <mergeCell ref="L160:M160"/>
    <mergeCell ref="L161:M161"/>
    <mergeCell ref="L162:M162"/>
    <mergeCell ref="L163:M163"/>
    <mergeCell ref="L164:M164"/>
    <mergeCell ref="L165:M165"/>
    <mergeCell ref="N160:O160"/>
    <mergeCell ref="N161:O161"/>
    <mergeCell ref="N162:O162"/>
    <mergeCell ref="N163:O163"/>
    <mergeCell ref="N164:O164"/>
    <mergeCell ref="N165:O165"/>
    <mergeCell ref="AT4:AW4"/>
    <mergeCell ref="AX4:BA4"/>
    <mergeCell ref="H193:I193"/>
    <mergeCell ref="J193:K193"/>
    <mergeCell ref="L193:M193"/>
    <mergeCell ref="N179:O179"/>
    <mergeCell ref="N180:O180"/>
    <mergeCell ref="N181:O181"/>
    <mergeCell ref="N182:O182"/>
    <mergeCell ref="N191:O191"/>
    <mergeCell ref="N172:O172"/>
    <mergeCell ref="N173:O173"/>
    <mergeCell ref="N174:O174"/>
    <mergeCell ref="N175:O175"/>
    <mergeCell ref="N176:O176"/>
    <mergeCell ref="N177:O177"/>
    <mergeCell ref="N150:O150"/>
    <mergeCell ref="N151:O151"/>
    <mergeCell ref="C131:D131"/>
    <mergeCell ref="C132:D132"/>
    <mergeCell ref="H199:I199"/>
    <mergeCell ref="J199:K199"/>
    <mergeCell ref="L199:M199"/>
    <mergeCell ref="N199:O199"/>
    <mergeCell ref="C118:D118"/>
    <mergeCell ref="C119:D119"/>
    <mergeCell ref="N193:O193"/>
    <mergeCell ref="N189:O189"/>
    <mergeCell ref="N190:O190"/>
    <mergeCell ref="N192:O192"/>
    <mergeCell ref="N183:O183"/>
    <mergeCell ref="N184:O184"/>
    <mergeCell ref="N185:O185"/>
    <mergeCell ref="N186:O186"/>
    <mergeCell ref="N187:O187"/>
    <mergeCell ref="N188:O188"/>
    <mergeCell ref="N178:O178"/>
    <mergeCell ref="N166:O166"/>
    <mergeCell ref="N167:O167"/>
    <mergeCell ref="N168:O168"/>
    <mergeCell ref="N169:O169"/>
    <mergeCell ref="N170:O17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A213"/>
  <sheetViews>
    <sheetView zoomScale="150" zoomScaleNormal="100" workbookViewId="0">
      <pane xSplit="1" ySplit="5" topLeftCell="B100" activePane="bottomRight" state="frozen"/>
      <selection pane="topRight" activeCell="B1" sqref="B1"/>
      <selection pane="bottomLeft" activeCell="A6" sqref="A6"/>
      <selection pane="bottomRight" activeCell="E133" sqref="E13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45" width="5.5" style="1" customWidth="1"/>
    <col min="46" max="53" width="5.6640625" style="1" customWidth="1"/>
    <col min="54" max="16384" width="10.6640625" style="1"/>
  </cols>
  <sheetData>
    <row r="1" spans="1:53" s="2" customFormat="1" ht="15" customHeight="1">
      <c r="B1" s="22" t="s">
        <v>14</v>
      </c>
    </row>
    <row r="2" spans="1:53" s="2" customFormat="1" ht="15" customHeight="1">
      <c r="B2" s="22" t="s">
        <v>56</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764</v>
      </c>
      <c r="D6" s="925"/>
      <c r="E6" s="227">
        <v>0</v>
      </c>
      <c r="G6" s="235">
        <v>16</v>
      </c>
      <c r="J6" s="242">
        <v>16</v>
      </c>
      <c r="K6" s="218">
        <f>G6/J6*100</f>
        <v>100</v>
      </c>
      <c r="L6" s="218">
        <f>H6/J6*100</f>
        <v>0</v>
      </c>
      <c r="M6" s="218">
        <f>I6/J6*100</f>
        <v>0</v>
      </c>
      <c r="N6" s="237">
        <f>SUM(K6:M6)</f>
        <v>100</v>
      </c>
      <c r="O6" s="217">
        <v>57</v>
      </c>
      <c r="P6" s="218"/>
      <c r="Q6" s="218"/>
      <c r="R6" s="219">
        <f>SUM(O6:Q6)</f>
        <v>57</v>
      </c>
      <c r="S6" s="227">
        <v>1</v>
      </c>
      <c r="T6" s="870"/>
      <c r="U6" s="853"/>
      <c r="V6" s="226" t="s">
        <v>776</v>
      </c>
      <c r="W6" s="227" t="s">
        <v>74</v>
      </c>
      <c r="X6" s="227" t="s">
        <v>11</v>
      </c>
      <c r="Y6" s="228">
        <v>57</v>
      </c>
      <c r="AD6" s="249"/>
      <c r="AG6" s="228"/>
      <c r="AL6" s="226"/>
      <c r="AO6" s="228"/>
      <c r="AP6" s="226"/>
      <c r="AS6" s="228"/>
      <c r="AW6" s="228"/>
      <c r="BA6" s="229"/>
    </row>
    <row r="7" spans="1:53" s="227" customFormat="1">
      <c r="A7" s="233">
        <v>1959</v>
      </c>
      <c r="B7" s="853"/>
      <c r="C7" s="925" t="s">
        <v>764</v>
      </c>
      <c r="D7" s="925"/>
      <c r="E7" s="227">
        <v>365</v>
      </c>
      <c r="G7" s="235">
        <v>16</v>
      </c>
      <c r="J7" s="242">
        <v>16</v>
      </c>
      <c r="K7" s="218">
        <f>G7/J7*100</f>
        <v>100</v>
      </c>
      <c r="L7" s="218">
        <f>H7/J7*100</f>
        <v>0</v>
      </c>
      <c r="M7" s="218">
        <f>I7/J7*100</f>
        <v>0</v>
      </c>
      <c r="N7" s="237">
        <f>SUM(K7:M7)</f>
        <v>100</v>
      </c>
      <c r="O7" s="217">
        <v>57</v>
      </c>
      <c r="P7" s="218"/>
      <c r="Q7" s="218"/>
      <c r="R7" s="219">
        <f>SUM(O7:Q7)</f>
        <v>57</v>
      </c>
      <c r="S7" s="227">
        <v>1</v>
      </c>
      <c r="T7" s="870"/>
      <c r="U7" s="853"/>
      <c r="V7" s="226" t="s">
        <v>776</v>
      </c>
      <c r="W7" s="227" t="s">
        <v>74</v>
      </c>
      <c r="X7" s="227" t="s">
        <v>11</v>
      </c>
      <c r="Y7" s="228">
        <v>57</v>
      </c>
      <c r="AD7" s="249"/>
      <c r="AG7" s="228"/>
      <c r="AL7" s="226"/>
      <c r="AO7" s="228"/>
      <c r="AP7" s="226"/>
      <c r="AS7" s="228"/>
      <c r="AW7" s="228"/>
      <c r="BA7" s="229"/>
    </row>
    <row r="8" spans="1:53" s="73" customFormat="1">
      <c r="A8" s="101">
        <v>1960</v>
      </c>
      <c r="B8" s="852"/>
      <c r="C8" s="917" t="s">
        <v>764</v>
      </c>
      <c r="D8" s="917"/>
      <c r="E8" s="73">
        <v>0</v>
      </c>
      <c r="G8" s="119">
        <v>16</v>
      </c>
      <c r="J8" s="126">
        <v>16</v>
      </c>
      <c r="K8" s="92">
        <f>G8/J8*100</f>
        <v>100</v>
      </c>
      <c r="L8" s="92">
        <f>H8/J8*100</f>
        <v>0</v>
      </c>
      <c r="M8" s="92">
        <f>I8/J8*100</f>
        <v>0</v>
      </c>
      <c r="N8" s="121">
        <f>SUM(K8:M8)</f>
        <v>100</v>
      </c>
      <c r="O8" s="91">
        <v>57</v>
      </c>
      <c r="P8" s="92"/>
      <c r="Q8" s="92"/>
      <c r="R8" s="93">
        <f>SUM(O8:Q8)</f>
        <v>57</v>
      </c>
      <c r="S8" s="73">
        <v>1</v>
      </c>
      <c r="T8" s="839"/>
      <c r="U8" s="852"/>
      <c r="V8" s="82" t="s">
        <v>776</v>
      </c>
      <c r="W8" s="73" t="s">
        <v>74</v>
      </c>
      <c r="X8" s="73" t="s">
        <v>11</v>
      </c>
      <c r="Y8" s="83">
        <v>57</v>
      </c>
      <c r="AD8" s="147"/>
      <c r="AG8" s="83"/>
      <c r="AL8" s="82"/>
      <c r="AO8" s="83"/>
      <c r="AP8" s="82"/>
      <c r="AS8" s="83"/>
      <c r="AW8" s="83"/>
      <c r="BA8" s="84"/>
    </row>
    <row r="9" spans="1:53" s="73" customFormat="1">
      <c r="A9" s="101">
        <v>1960</v>
      </c>
      <c r="B9" s="852"/>
      <c r="C9" s="917" t="s">
        <v>764</v>
      </c>
      <c r="D9" s="917"/>
      <c r="E9" s="73">
        <v>366</v>
      </c>
      <c r="G9" s="119">
        <v>16</v>
      </c>
      <c r="J9" s="126">
        <v>16</v>
      </c>
      <c r="K9" s="92">
        <f>G9/J9*100</f>
        <v>100</v>
      </c>
      <c r="L9" s="92">
        <f>H9/J9*100</f>
        <v>0</v>
      </c>
      <c r="M9" s="92">
        <f>I9/J9*100</f>
        <v>0</v>
      </c>
      <c r="N9" s="121">
        <f>SUM(K9:M9)</f>
        <v>100</v>
      </c>
      <c r="O9" s="91">
        <v>57</v>
      </c>
      <c r="P9" s="92"/>
      <c r="Q9" s="92"/>
      <c r="R9" s="93">
        <f t="shared" ref="R9:R28" si="0">SUM(O9:Q9)</f>
        <v>57</v>
      </c>
      <c r="S9" s="73">
        <v>1</v>
      </c>
      <c r="T9" s="839"/>
      <c r="U9" s="852"/>
      <c r="V9" s="82" t="s">
        <v>776</v>
      </c>
      <c r="W9" s="73" t="s">
        <v>74</v>
      </c>
      <c r="X9" s="73" t="s">
        <v>11</v>
      </c>
      <c r="Y9" s="83">
        <v>57</v>
      </c>
      <c r="AD9" s="147"/>
      <c r="AG9" s="83"/>
      <c r="AL9" s="82"/>
      <c r="AO9" s="83"/>
      <c r="AP9" s="82"/>
      <c r="AS9" s="83"/>
      <c r="AW9" s="83"/>
      <c r="BA9" s="84"/>
    </row>
    <row r="10" spans="1:53" s="73" customFormat="1">
      <c r="A10" s="101">
        <v>1961</v>
      </c>
      <c r="B10" s="852"/>
      <c r="C10" s="917" t="s">
        <v>764</v>
      </c>
      <c r="D10" s="917"/>
      <c r="E10" s="73">
        <v>263</v>
      </c>
      <c r="G10" s="119">
        <v>16</v>
      </c>
      <c r="J10" s="126">
        <v>16</v>
      </c>
      <c r="K10" s="92">
        <f>G10/J10*100</f>
        <v>100</v>
      </c>
      <c r="L10" s="92">
        <f>H10/J10*100</f>
        <v>0</v>
      </c>
      <c r="M10" s="92">
        <f>I10/J10*100</f>
        <v>0</v>
      </c>
      <c r="N10" s="121">
        <f>SUM(K10:M10)</f>
        <v>100</v>
      </c>
      <c r="O10" s="91">
        <v>57</v>
      </c>
      <c r="P10" s="92"/>
      <c r="Q10" s="92"/>
      <c r="R10" s="93">
        <f t="shared" si="0"/>
        <v>57</v>
      </c>
      <c r="S10" s="73">
        <v>1</v>
      </c>
      <c r="T10" s="839"/>
      <c r="U10" s="852"/>
      <c r="V10" s="82" t="s">
        <v>776</v>
      </c>
      <c r="W10" s="73" t="s">
        <v>74</v>
      </c>
      <c r="X10" s="73" t="s">
        <v>11</v>
      </c>
      <c r="Y10" s="83">
        <v>57</v>
      </c>
      <c r="AD10" s="147"/>
      <c r="AG10" s="83"/>
      <c r="AL10" s="82"/>
      <c r="AO10" s="83"/>
      <c r="AP10" s="82"/>
      <c r="AS10" s="83"/>
      <c r="AW10" s="83"/>
      <c r="BA10" s="84"/>
    </row>
    <row r="11" spans="1:53" s="292" customFormat="1">
      <c r="A11" s="338">
        <v>1961</v>
      </c>
      <c r="B11" s="836">
        <v>22545</v>
      </c>
      <c r="C11" s="916" t="s">
        <v>765</v>
      </c>
      <c r="D11" s="916"/>
      <c r="E11" s="292">
        <v>44</v>
      </c>
      <c r="F11" s="292">
        <v>1</v>
      </c>
      <c r="G11" s="366">
        <v>0</v>
      </c>
      <c r="H11" s="292">
        <v>0</v>
      </c>
      <c r="I11" s="292">
        <v>0</v>
      </c>
      <c r="J11" s="377">
        <v>18</v>
      </c>
      <c r="K11" s="336">
        <f t="shared" ref="K11:K27" si="1">G11/J11*100</f>
        <v>0</v>
      </c>
      <c r="L11" s="336">
        <f t="shared" ref="L11:L27" si="2">H11/J11*100</f>
        <v>0</v>
      </c>
      <c r="M11" s="336">
        <f t="shared" ref="M11:M27" si="3">I11/J11*100</f>
        <v>0</v>
      </c>
      <c r="N11" s="368">
        <f t="shared" ref="N11:N27" si="4">SUM(K11:M11)</f>
        <v>0</v>
      </c>
      <c r="O11" s="335">
        <v>0</v>
      </c>
      <c r="P11" s="336">
        <v>0</v>
      </c>
      <c r="Q11" s="336">
        <v>0</v>
      </c>
      <c r="R11" s="337">
        <f t="shared" si="0"/>
        <v>0</v>
      </c>
      <c r="S11" s="292">
        <v>6</v>
      </c>
      <c r="T11" s="838"/>
      <c r="U11" s="836">
        <v>22545</v>
      </c>
      <c r="V11" s="379" t="s">
        <v>800</v>
      </c>
      <c r="Y11" s="300"/>
      <c r="AD11" s="388"/>
      <c r="AG11" s="300"/>
      <c r="AL11" s="299"/>
      <c r="AO11" s="300"/>
      <c r="AP11" s="299"/>
      <c r="AS11" s="300"/>
      <c r="AW11" s="300"/>
      <c r="BA11" s="301"/>
    </row>
    <row r="12" spans="1:53" s="73" customFormat="1">
      <c r="A12" s="101">
        <v>1961</v>
      </c>
      <c r="B12" s="852">
        <v>22589</v>
      </c>
      <c r="C12" s="917" t="s">
        <v>767</v>
      </c>
      <c r="D12" s="917"/>
      <c r="E12" s="73">
        <v>58</v>
      </c>
      <c r="F12" s="73">
        <v>1</v>
      </c>
      <c r="G12" s="119">
        <v>18</v>
      </c>
      <c r="J12" s="126">
        <v>18</v>
      </c>
      <c r="K12" s="92">
        <f t="shared" si="1"/>
        <v>100</v>
      </c>
      <c r="L12" s="92">
        <f t="shared" si="2"/>
        <v>0</v>
      </c>
      <c r="M12" s="92">
        <f t="shared" si="3"/>
        <v>0</v>
      </c>
      <c r="N12" s="121">
        <f t="shared" si="4"/>
        <v>100</v>
      </c>
      <c r="O12" s="91">
        <v>58.7</v>
      </c>
      <c r="P12" s="92"/>
      <c r="Q12" s="92"/>
      <c r="R12" s="93">
        <f t="shared" si="0"/>
        <v>58.7</v>
      </c>
      <c r="S12" s="73">
        <v>1</v>
      </c>
      <c r="T12" s="839">
        <v>22583</v>
      </c>
      <c r="U12" s="852">
        <v>22589</v>
      </c>
      <c r="V12" s="82" t="s">
        <v>776</v>
      </c>
      <c r="W12" s="73" t="s">
        <v>74</v>
      </c>
      <c r="X12" s="73" t="s">
        <v>11</v>
      </c>
      <c r="Y12" s="83">
        <v>58.7</v>
      </c>
      <c r="AD12" s="147"/>
      <c r="AG12" s="83"/>
      <c r="AL12" s="82"/>
      <c r="AO12" s="83"/>
      <c r="AP12" s="82"/>
      <c r="AS12" s="83"/>
      <c r="AW12" s="83"/>
      <c r="BA12" s="84"/>
    </row>
    <row r="13" spans="1:53" s="73" customFormat="1">
      <c r="A13" s="101">
        <v>1962</v>
      </c>
      <c r="B13" s="852"/>
      <c r="C13" s="917" t="s">
        <v>767</v>
      </c>
      <c r="D13" s="917"/>
      <c r="E13" s="73">
        <v>0</v>
      </c>
      <c r="G13" s="119">
        <v>18</v>
      </c>
      <c r="J13" s="126">
        <v>18</v>
      </c>
      <c r="K13" s="92">
        <f t="shared" si="1"/>
        <v>100</v>
      </c>
      <c r="L13" s="92">
        <f t="shared" si="2"/>
        <v>0</v>
      </c>
      <c r="M13" s="92">
        <f t="shared" si="3"/>
        <v>0</v>
      </c>
      <c r="N13" s="121">
        <f t="shared" si="4"/>
        <v>100</v>
      </c>
      <c r="O13" s="91">
        <v>58.7</v>
      </c>
      <c r="P13" s="92"/>
      <c r="Q13" s="92"/>
      <c r="R13" s="93">
        <f t="shared" si="0"/>
        <v>58.7</v>
      </c>
      <c r="S13" s="73">
        <v>1</v>
      </c>
      <c r="T13" s="839"/>
      <c r="U13" s="852"/>
      <c r="V13" s="82" t="s">
        <v>776</v>
      </c>
      <c r="W13" s="73" t="s">
        <v>74</v>
      </c>
      <c r="X13" s="73" t="s">
        <v>11</v>
      </c>
      <c r="Y13" s="83">
        <v>58.7</v>
      </c>
      <c r="AD13" s="147"/>
      <c r="AG13" s="83"/>
      <c r="AL13" s="82"/>
      <c r="AO13" s="83"/>
      <c r="AP13" s="82"/>
      <c r="AS13" s="83"/>
      <c r="AW13" s="83"/>
      <c r="BA13" s="84"/>
    </row>
    <row r="14" spans="1:53" s="73" customFormat="1">
      <c r="A14" s="101">
        <v>1962</v>
      </c>
      <c r="B14" s="852"/>
      <c r="C14" s="917" t="s">
        <v>767</v>
      </c>
      <c r="D14" s="917"/>
      <c r="E14" s="73">
        <v>365</v>
      </c>
      <c r="G14" s="119">
        <v>18</v>
      </c>
      <c r="J14" s="126">
        <v>18</v>
      </c>
      <c r="K14" s="92">
        <f t="shared" si="1"/>
        <v>100</v>
      </c>
      <c r="L14" s="92">
        <f t="shared" si="2"/>
        <v>0</v>
      </c>
      <c r="M14" s="92">
        <f t="shared" si="3"/>
        <v>0</v>
      </c>
      <c r="N14" s="121">
        <f t="shared" si="4"/>
        <v>100</v>
      </c>
      <c r="O14" s="91">
        <v>58.7</v>
      </c>
      <c r="P14" s="92"/>
      <c r="Q14" s="92"/>
      <c r="R14" s="93">
        <f t="shared" si="0"/>
        <v>58.7</v>
      </c>
      <c r="S14" s="73">
        <v>1</v>
      </c>
      <c r="T14" s="839"/>
      <c r="U14" s="852"/>
      <c r="V14" s="82" t="s">
        <v>776</v>
      </c>
      <c r="W14" s="73" t="s">
        <v>74</v>
      </c>
      <c r="X14" s="73" t="s">
        <v>11</v>
      </c>
      <c r="Y14" s="83">
        <v>58.7</v>
      </c>
      <c r="AD14" s="147"/>
      <c r="AG14" s="83"/>
      <c r="AL14" s="82"/>
      <c r="AO14" s="83"/>
      <c r="AP14" s="82"/>
      <c r="AS14" s="83"/>
      <c r="AW14" s="83"/>
      <c r="BA14" s="84"/>
    </row>
    <row r="15" spans="1:53" s="73" customFormat="1">
      <c r="A15" s="101">
        <v>1962.6</v>
      </c>
      <c r="B15" s="852"/>
      <c r="C15" s="917" t="s">
        <v>767</v>
      </c>
      <c r="D15" s="917"/>
      <c r="E15" s="73">
        <v>169</v>
      </c>
      <c r="G15" s="119">
        <v>18</v>
      </c>
      <c r="J15" s="126">
        <v>18</v>
      </c>
      <c r="K15" s="92">
        <f t="shared" si="1"/>
        <v>100</v>
      </c>
      <c r="L15" s="92">
        <f t="shared" si="2"/>
        <v>0</v>
      </c>
      <c r="M15" s="92">
        <f t="shared" si="3"/>
        <v>0</v>
      </c>
      <c r="N15" s="121">
        <f t="shared" si="4"/>
        <v>100</v>
      </c>
      <c r="O15" s="91">
        <v>58.7</v>
      </c>
      <c r="P15" s="92"/>
      <c r="Q15" s="92"/>
      <c r="R15" s="93">
        <f t="shared" si="0"/>
        <v>58.7</v>
      </c>
      <c r="S15" s="73">
        <v>1</v>
      </c>
      <c r="T15" s="839"/>
      <c r="U15" s="852"/>
      <c r="V15" s="82" t="s">
        <v>776</v>
      </c>
      <c r="W15" s="73" t="s">
        <v>74</v>
      </c>
      <c r="X15" s="73" t="s">
        <v>11</v>
      </c>
      <c r="Y15" s="83">
        <v>58.7</v>
      </c>
      <c r="AD15" s="147"/>
      <c r="AG15" s="83"/>
      <c r="AL15" s="82"/>
      <c r="AO15" s="83"/>
      <c r="AP15" s="82"/>
      <c r="AS15" s="83"/>
      <c r="AW15" s="83"/>
      <c r="BA15" s="84"/>
    </row>
    <row r="16" spans="1:53" s="292" customFormat="1">
      <c r="A16" s="338">
        <v>1963.05714285714</v>
      </c>
      <c r="B16" s="836">
        <v>23181</v>
      </c>
      <c r="C16" s="916" t="s">
        <v>768</v>
      </c>
      <c r="D16" s="916"/>
      <c r="E16" s="292">
        <v>101</v>
      </c>
      <c r="F16" s="292">
        <v>2</v>
      </c>
      <c r="G16" s="366">
        <v>0</v>
      </c>
      <c r="H16" s="292">
        <v>0</v>
      </c>
      <c r="I16" s="292">
        <v>0</v>
      </c>
      <c r="J16" s="377">
        <v>17</v>
      </c>
      <c r="K16" s="336">
        <f t="shared" si="1"/>
        <v>0</v>
      </c>
      <c r="L16" s="336">
        <f t="shared" si="2"/>
        <v>0</v>
      </c>
      <c r="M16" s="336">
        <f t="shared" si="3"/>
        <v>0</v>
      </c>
      <c r="N16" s="368">
        <f t="shared" si="4"/>
        <v>0</v>
      </c>
      <c r="O16" s="335">
        <v>0</v>
      </c>
      <c r="P16" s="336">
        <v>0</v>
      </c>
      <c r="Q16" s="336">
        <v>0</v>
      </c>
      <c r="R16" s="337">
        <f t="shared" si="0"/>
        <v>0</v>
      </c>
      <c r="S16" s="292">
        <v>6</v>
      </c>
      <c r="T16" s="838"/>
      <c r="U16" s="836">
        <v>23181</v>
      </c>
      <c r="V16" s="379" t="s">
        <v>800</v>
      </c>
      <c r="Y16" s="300"/>
      <c r="AD16" s="388"/>
      <c r="AG16" s="300"/>
      <c r="AL16" s="299"/>
      <c r="AO16" s="300"/>
      <c r="AP16" s="299"/>
      <c r="AS16" s="300"/>
      <c r="AW16" s="300"/>
      <c r="BA16" s="301"/>
    </row>
    <row r="17" spans="1:53" s="73" customFormat="1">
      <c r="A17" s="101">
        <v>1963.05714285714</v>
      </c>
      <c r="B17" s="852">
        <v>23282</v>
      </c>
      <c r="C17" s="917" t="s">
        <v>769</v>
      </c>
      <c r="D17" s="917"/>
      <c r="E17" s="73">
        <v>41</v>
      </c>
      <c r="F17" s="73">
        <v>2</v>
      </c>
      <c r="G17" s="119">
        <v>0</v>
      </c>
      <c r="H17" s="73">
        <v>0</v>
      </c>
      <c r="I17" s="73">
        <v>0</v>
      </c>
      <c r="J17" s="126">
        <v>16</v>
      </c>
      <c r="K17" s="92">
        <f t="shared" si="1"/>
        <v>0</v>
      </c>
      <c r="L17" s="92">
        <f t="shared" si="2"/>
        <v>0</v>
      </c>
      <c r="M17" s="92">
        <f t="shared" si="3"/>
        <v>0</v>
      </c>
      <c r="N17" s="121">
        <f t="shared" si="4"/>
        <v>0</v>
      </c>
      <c r="O17" s="91">
        <v>0</v>
      </c>
      <c r="P17" s="92">
        <v>0</v>
      </c>
      <c r="Q17" s="92">
        <v>0</v>
      </c>
      <c r="R17" s="93">
        <f t="shared" si="0"/>
        <v>0</v>
      </c>
      <c r="S17" s="73">
        <v>6</v>
      </c>
      <c r="T17" s="839"/>
      <c r="U17" s="852">
        <v>23282</v>
      </c>
      <c r="V17" s="145" t="s">
        <v>800</v>
      </c>
      <c r="Y17" s="83"/>
      <c r="AD17" s="147"/>
      <c r="AG17" s="83"/>
      <c r="AL17" s="82"/>
      <c r="AO17" s="83"/>
      <c r="AP17" s="82"/>
      <c r="AS17" s="83"/>
      <c r="AW17" s="83"/>
      <c r="BA17" s="84"/>
    </row>
    <row r="18" spans="1:53" s="292" customFormat="1">
      <c r="A18" s="338">
        <v>1963.05714285714</v>
      </c>
      <c r="B18" s="836">
        <v>23323</v>
      </c>
      <c r="C18" s="916" t="s">
        <v>1361</v>
      </c>
      <c r="D18" s="916"/>
      <c r="E18" s="292">
        <v>53</v>
      </c>
      <c r="F18" s="292">
        <v>1</v>
      </c>
      <c r="G18" s="366">
        <v>21</v>
      </c>
      <c r="J18" s="377">
        <v>21</v>
      </c>
      <c r="K18" s="336">
        <f t="shared" si="1"/>
        <v>100</v>
      </c>
      <c r="L18" s="336">
        <f t="shared" si="2"/>
        <v>0</v>
      </c>
      <c r="M18" s="336">
        <f t="shared" si="3"/>
        <v>0</v>
      </c>
      <c r="N18" s="368">
        <f t="shared" si="4"/>
        <v>100</v>
      </c>
      <c r="O18" s="335">
        <v>46</v>
      </c>
      <c r="P18" s="336"/>
      <c r="Q18" s="336"/>
      <c r="R18" s="337">
        <f t="shared" si="0"/>
        <v>46</v>
      </c>
      <c r="S18" s="292">
        <v>4</v>
      </c>
      <c r="T18" s="838">
        <v>23318</v>
      </c>
      <c r="U18" s="836">
        <v>23323</v>
      </c>
      <c r="V18" s="299" t="s">
        <v>568</v>
      </c>
      <c r="W18" s="292" t="s">
        <v>22</v>
      </c>
      <c r="X18" s="292" t="s">
        <v>11</v>
      </c>
      <c r="Y18" s="300">
        <v>46</v>
      </c>
      <c r="AD18" s="388"/>
      <c r="AG18" s="300"/>
      <c r="AL18" s="299"/>
      <c r="AO18" s="300"/>
      <c r="AP18" s="299"/>
      <c r="AS18" s="300"/>
      <c r="AW18" s="300"/>
      <c r="BA18" s="301"/>
    </row>
    <row r="19" spans="1:53" s="73" customFormat="1">
      <c r="A19" s="101">
        <v>1963.05714285714</v>
      </c>
      <c r="B19" s="852">
        <v>23376</v>
      </c>
      <c r="C19" s="917" t="s">
        <v>770</v>
      </c>
      <c r="D19" s="917"/>
      <c r="E19" s="73">
        <v>1</v>
      </c>
      <c r="F19" s="73">
        <v>5</v>
      </c>
      <c r="G19" s="119">
        <v>0</v>
      </c>
      <c r="H19" s="73">
        <v>0</v>
      </c>
      <c r="I19" s="73">
        <v>0</v>
      </c>
      <c r="J19" s="126">
        <v>17</v>
      </c>
      <c r="K19" s="92">
        <f t="shared" si="1"/>
        <v>0</v>
      </c>
      <c r="L19" s="92">
        <f t="shared" si="2"/>
        <v>0</v>
      </c>
      <c r="M19" s="92">
        <f t="shared" si="3"/>
        <v>0</v>
      </c>
      <c r="N19" s="121">
        <f t="shared" si="4"/>
        <v>0</v>
      </c>
      <c r="O19" s="91">
        <v>0</v>
      </c>
      <c r="P19" s="92">
        <v>0</v>
      </c>
      <c r="Q19" s="92">
        <v>0</v>
      </c>
      <c r="R19" s="93">
        <f t="shared" si="0"/>
        <v>0</v>
      </c>
      <c r="S19" s="73">
        <v>6</v>
      </c>
      <c r="T19" s="839"/>
      <c r="U19" s="852">
        <v>23376</v>
      </c>
      <c r="V19" s="145" t="s">
        <v>800</v>
      </c>
      <c r="Y19" s="83"/>
      <c r="AD19" s="147"/>
      <c r="AG19" s="83"/>
      <c r="AL19" s="82"/>
      <c r="AO19" s="83"/>
      <c r="AP19" s="82"/>
      <c r="AS19" s="83"/>
      <c r="AW19" s="83"/>
      <c r="BA19" s="84"/>
    </row>
    <row r="20" spans="1:53" s="73" customFormat="1">
      <c r="A20" s="101">
        <v>1963.5142857142901</v>
      </c>
      <c r="B20" s="852"/>
      <c r="C20" s="917" t="s">
        <v>770</v>
      </c>
      <c r="D20" s="917"/>
      <c r="E20" s="73">
        <v>49</v>
      </c>
      <c r="G20" s="119">
        <v>0</v>
      </c>
      <c r="H20" s="73">
        <v>0</v>
      </c>
      <c r="I20" s="73">
        <v>0</v>
      </c>
      <c r="J20" s="126">
        <v>17</v>
      </c>
      <c r="K20" s="92">
        <f t="shared" si="1"/>
        <v>0</v>
      </c>
      <c r="L20" s="92">
        <f t="shared" si="2"/>
        <v>0</v>
      </c>
      <c r="M20" s="92">
        <f t="shared" si="3"/>
        <v>0</v>
      </c>
      <c r="N20" s="121">
        <f t="shared" si="4"/>
        <v>0</v>
      </c>
      <c r="O20" s="91">
        <v>0</v>
      </c>
      <c r="P20" s="92">
        <v>0</v>
      </c>
      <c r="Q20" s="92">
        <v>0</v>
      </c>
      <c r="R20" s="93">
        <f t="shared" si="0"/>
        <v>0</v>
      </c>
      <c r="S20" s="73">
        <v>6</v>
      </c>
      <c r="T20" s="839"/>
      <c r="U20" s="852"/>
      <c r="V20" s="145" t="s">
        <v>800</v>
      </c>
      <c r="Y20" s="83"/>
      <c r="AD20" s="147"/>
      <c r="AG20" s="83"/>
      <c r="AL20" s="82"/>
      <c r="AO20" s="83"/>
      <c r="AP20" s="82"/>
      <c r="AS20" s="83"/>
      <c r="AW20" s="83"/>
      <c r="BA20" s="84"/>
    </row>
    <row r="21" spans="1:53" s="292" customFormat="1">
      <c r="A21" s="338">
        <v>1963.9714285714299</v>
      </c>
      <c r="B21" s="836">
        <v>23426</v>
      </c>
      <c r="C21" s="916" t="s">
        <v>1362</v>
      </c>
      <c r="D21" s="916"/>
      <c r="E21" s="292">
        <v>317</v>
      </c>
      <c r="F21" s="292">
        <v>1</v>
      </c>
      <c r="G21" s="366">
        <v>21</v>
      </c>
      <c r="J21" s="377">
        <v>21</v>
      </c>
      <c r="K21" s="336">
        <f t="shared" si="1"/>
        <v>100</v>
      </c>
      <c r="L21" s="336">
        <f t="shared" si="2"/>
        <v>0</v>
      </c>
      <c r="M21" s="336">
        <f t="shared" si="3"/>
        <v>0</v>
      </c>
      <c r="N21" s="368">
        <f t="shared" si="4"/>
        <v>100</v>
      </c>
      <c r="O21" s="335">
        <v>57</v>
      </c>
      <c r="P21" s="336"/>
      <c r="Q21" s="336"/>
      <c r="R21" s="337">
        <f t="shared" si="0"/>
        <v>57</v>
      </c>
      <c r="S21" s="292">
        <v>1</v>
      </c>
      <c r="T21" s="838">
        <v>23423</v>
      </c>
      <c r="U21" s="836">
        <v>23426</v>
      </c>
      <c r="V21" s="299" t="s">
        <v>568</v>
      </c>
      <c r="W21" s="292" t="s">
        <v>22</v>
      </c>
      <c r="X21" s="292" t="s">
        <v>11</v>
      </c>
      <c r="Y21" s="300">
        <v>57</v>
      </c>
      <c r="AD21" s="388"/>
      <c r="AG21" s="300"/>
      <c r="AL21" s="299"/>
      <c r="AO21" s="300"/>
      <c r="AP21" s="299"/>
      <c r="AS21" s="300"/>
      <c r="AW21" s="300"/>
      <c r="BA21" s="301"/>
    </row>
    <row r="22" spans="1:53" s="292" customFormat="1">
      <c r="A22" s="338">
        <v>1965</v>
      </c>
      <c r="B22" s="836"/>
      <c r="C22" s="916" t="s">
        <v>1362</v>
      </c>
      <c r="D22" s="916"/>
      <c r="E22" s="292">
        <v>196</v>
      </c>
      <c r="G22" s="366">
        <v>21</v>
      </c>
      <c r="J22" s="377">
        <v>21</v>
      </c>
      <c r="K22" s="336">
        <f t="shared" si="1"/>
        <v>100</v>
      </c>
      <c r="L22" s="336">
        <f t="shared" si="2"/>
        <v>0</v>
      </c>
      <c r="M22" s="336">
        <f t="shared" si="3"/>
        <v>0</v>
      </c>
      <c r="N22" s="368">
        <f t="shared" si="4"/>
        <v>100</v>
      </c>
      <c r="O22" s="335">
        <v>57</v>
      </c>
      <c r="P22" s="336"/>
      <c r="Q22" s="336"/>
      <c r="R22" s="337">
        <f t="shared" si="0"/>
        <v>57</v>
      </c>
      <c r="S22" s="292">
        <v>1</v>
      </c>
      <c r="T22" s="838"/>
      <c r="U22" s="836"/>
      <c r="V22" s="299" t="s">
        <v>568</v>
      </c>
      <c r="W22" s="292" t="s">
        <v>22</v>
      </c>
      <c r="X22" s="292" t="s">
        <v>11</v>
      </c>
      <c r="Y22" s="300">
        <v>57</v>
      </c>
      <c r="AD22" s="388"/>
      <c r="AG22" s="300"/>
      <c r="AL22" s="299"/>
      <c r="AO22" s="300"/>
      <c r="AP22" s="299"/>
      <c r="AS22" s="300"/>
      <c r="AW22" s="300"/>
      <c r="BA22" s="301"/>
    </row>
    <row r="23" spans="1:53" s="73" customFormat="1">
      <c r="A23" s="101">
        <v>1965</v>
      </c>
      <c r="B23" s="852">
        <v>23939</v>
      </c>
      <c r="C23" s="917" t="s">
        <v>771</v>
      </c>
      <c r="D23" s="917"/>
      <c r="E23" s="73">
        <v>35</v>
      </c>
      <c r="F23" s="73">
        <v>6</v>
      </c>
      <c r="G23" s="119">
        <v>16</v>
      </c>
      <c r="J23" s="126">
        <v>16</v>
      </c>
      <c r="K23" s="92">
        <f t="shared" si="1"/>
        <v>100</v>
      </c>
      <c r="L23" s="92">
        <f t="shared" si="2"/>
        <v>0</v>
      </c>
      <c r="M23" s="92">
        <f t="shared" si="3"/>
        <v>0</v>
      </c>
      <c r="N23" s="121">
        <f t="shared" si="4"/>
        <v>100</v>
      </c>
      <c r="O23" s="91">
        <v>57</v>
      </c>
      <c r="P23" s="92"/>
      <c r="Q23" s="92"/>
      <c r="R23" s="93">
        <f t="shared" si="0"/>
        <v>57</v>
      </c>
      <c r="S23" s="73">
        <v>1</v>
      </c>
      <c r="T23" s="839"/>
      <c r="U23" s="852">
        <v>23939</v>
      </c>
      <c r="V23" s="82" t="s">
        <v>568</v>
      </c>
      <c r="W23" s="73" t="s">
        <v>22</v>
      </c>
      <c r="X23" s="73" t="s">
        <v>11</v>
      </c>
      <c r="Y23" s="83">
        <v>57</v>
      </c>
      <c r="AD23" s="147"/>
      <c r="AG23" s="83"/>
      <c r="AL23" s="82"/>
      <c r="AO23" s="83"/>
      <c r="AP23" s="82"/>
      <c r="AS23" s="83"/>
      <c r="AW23" s="83"/>
      <c r="BA23" s="84"/>
    </row>
    <row r="24" spans="1:53" s="292" customFormat="1">
      <c r="A24" s="338">
        <v>1965</v>
      </c>
      <c r="B24" s="836">
        <v>23974</v>
      </c>
      <c r="C24" s="916" t="s">
        <v>772</v>
      </c>
      <c r="D24" s="916"/>
      <c r="E24" s="292">
        <v>28</v>
      </c>
      <c r="F24" s="292">
        <v>5</v>
      </c>
      <c r="G24" s="366">
        <v>12</v>
      </c>
      <c r="J24" s="377">
        <v>12</v>
      </c>
      <c r="K24" s="336">
        <f t="shared" si="1"/>
        <v>100</v>
      </c>
      <c r="L24" s="336">
        <f t="shared" si="2"/>
        <v>0</v>
      </c>
      <c r="M24" s="336">
        <f t="shared" si="3"/>
        <v>0</v>
      </c>
      <c r="N24" s="368">
        <f t="shared" si="4"/>
        <v>100</v>
      </c>
      <c r="O24" s="335">
        <v>12</v>
      </c>
      <c r="P24" s="336"/>
      <c r="Q24" s="336"/>
      <c r="R24" s="337">
        <f t="shared" si="0"/>
        <v>12</v>
      </c>
      <c r="S24" s="292">
        <v>4</v>
      </c>
      <c r="T24" s="838"/>
      <c r="U24" s="836">
        <v>23974</v>
      </c>
      <c r="V24" s="299" t="s">
        <v>777</v>
      </c>
      <c r="W24" s="292" t="s">
        <v>22</v>
      </c>
      <c r="X24" s="292" t="s">
        <v>11</v>
      </c>
      <c r="Y24" s="300">
        <v>12</v>
      </c>
      <c r="AD24" s="299"/>
      <c r="AG24" s="300"/>
      <c r="AL24" s="299"/>
      <c r="AO24" s="300"/>
      <c r="AP24" s="299"/>
      <c r="AS24" s="300"/>
      <c r="AW24" s="300"/>
      <c r="BA24" s="301"/>
    </row>
    <row r="25" spans="1:53" s="73" customFormat="1">
      <c r="A25" s="101">
        <v>1964.88571428572</v>
      </c>
      <c r="B25" s="852">
        <v>24002</v>
      </c>
      <c r="C25" s="917" t="s">
        <v>773</v>
      </c>
      <c r="D25" s="917"/>
      <c r="E25" s="73">
        <v>106</v>
      </c>
      <c r="F25" s="73">
        <v>5</v>
      </c>
      <c r="G25" s="119">
        <v>25</v>
      </c>
      <c r="J25" s="126">
        <v>25</v>
      </c>
      <c r="K25" s="92">
        <f t="shared" si="1"/>
        <v>100</v>
      </c>
      <c r="L25" s="92">
        <f t="shared" si="2"/>
        <v>0</v>
      </c>
      <c r="M25" s="92">
        <f t="shared" si="3"/>
        <v>0</v>
      </c>
      <c r="N25" s="121">
        <f t="shared" si="4"/>
        <v>100</v>
      </c>
      <c r="O25" s="91">
        <v>50.7</v>
      </c>
      <c r="P25" s="92"/>
      <c r="Q25" s="92"/>
      <c r="R25" s="93">
        <f t="shared" si="0"/>
        <v>50.7</v>
      </c>
      <c r="S25" s="73">
        <v>2</v>
      </c>
      <c r="T25" s="839"/>
      <c r="U25" s="852">
        <v>24002</v>
      </c>
      <c r="V25" s="82" t="s">
        <v>777</v>
      </c>
      <c r="W25" s="73" t="s">
        <v>22</v>
      </c>
      <c r="X25" s="73" t="s">
        <v>11</v>
      </c>
      <c r="Y25" s="83">
        <v>15</v>
      </c>
      <c r="Z25" s="73" t="s">
        <v>776</v>
      </c>
      <c r="AA25" s="73" t="s">
        <v>74</v>
      </c>
      <c r="AB25" s="73" t="s">
        <v>11</v>
      </c>
      <c r="AC25" s="73">
        <v>33</v>
      </c>
      <c r="AD25" s="82" t="s">
        <v>1282</v>
      </c>
      <c r="AE25" s="73" t="s">
        <v>76</v>
      </c>
      <c r="AF25" s="73" t="s">
        <v>11</v>
      </c>
      <c r="AG25" s="83">
        <v>2.7</v>
      </c>
      <c r="AL25" s="82"/>
      <c r="AO25" s="83"/>
      <c r="AP25" s="82"/>
      <c r="AS25" s="83"/>
      <c r="AW25" s="83"/>
      <c r="BA25" s="84"/>
    </row>
    <row r="26" spans="1:53" s="73" customFormat="1">
      <c r="A26" s="101">
        <v>1966</v>
      </c>
      <c r="B26" s="852"/>
      <c r="C26" s="917" t="s">
        <v>773</v>
      </c>
      <c r="D26" s="917"/>
      <c r="E26" s="73">
        <v>355</v>
      </c>
      <c r="G26" s="119">
        <v>25</v>
      </c>
      <c r="J26" s="126">
        <v>25</v>
      </c>
      <c r="K26" s="92">
        <f t="shared" si="1"/>
        <v>100</v>
      </c>
      <c r="L26" s="92">
        <f t="shared" si="2"/>
        <v>0</v>
      </c>
      <c r="M26" s="92">
        <f t="shared" si="3"/>
        <v>0</v>
      </c>
      <c r="N26" s="121">
        <f t="shared" si="4"/>
        <v>100</v>
      </c>
      <c r="O26" s="91">
        <v>50.7</v>
      </c>
      <c r="P26" s="92"/>
      <c r="Q26" s="92"/>
      <c r="R26" s="93">
        <f t="shared" si="0"/>
        <v>50.7</v>
      </c>
      <c r="S26" s="73">
        <v>2</v>
      </c>
      <c r="T26" s="839"/>
      <c r="U26" s="852"/>
      <c r="V26" s="82" t="s">
        <v>777</v>
      </c>
      <c r="W26" s="73" t="s">
        <v>22</v>
      </c>
      <c r="X26" s="73" t="s">
        <v>11</v>
      </c>
      <c r="Y26" s="83">
        <v>15</v>
      </c>
      <c r="Z26" s="73" t="s">
        <v>776</v>
      </c>
      <c r="AA26" s="73" t="s">
        <v>74</v>
      </c>
      <c r="AB26" s="73" t="s">
        <v>11</v>
      </c>
      <c r="AC26" s="73">
        <v>33</v>
      </c>
      <c r="AD26" s="82" t="s">
        <v>1282</v>
      </c>
      <c r="AE26" s="73" t="s">
        <v>76</v>
      </c>
      <c r="AF26" s="73" t="s">
        <v>11</v>
      </c>
      <c r="AG26" s="83">
        <v>2.7</v>
      </c>
      <c r="AL26" s="82"/>
      <c r="AO26" s="83"/>
      <c r="AP26" s="82"/>
      <c r="AS26" s="83"/>
      <c r="AW26" s="83"/>
      <c r="BA26" s="84"/>
    </row>
    <row r="27" spans="1:53" s="292" customFormat="1">
      <c r="A27" s="338">
        <v>1965.8</v>
      </c>
      <c r="B27" s="836">
        <v>24463</v>
      </c>
      <c r="C27" s="916" t="s">
        <v>774</v>
      </c>
      <c r="D27" s="916"/>
      <c r="E27" s="292">
        <v>10</v>
      </c>
      <c r="F27" s="292">
        <v>4</v>
      </c>
      <c r="G27" s="366">
        <v>0</v>
      </c>
      <c r="H27" s="292">
        <v>0</v>
      </c>
      <c r="I27" s="292">
        <v>0</v>
      </c>
      <c r="J27" s="377">
        <v>17</v>
      </c>
      <c r="K27" s="336">
        <f t="shared" si="1"/>
        <v>0</v>
      </c>
      <c r="L27" s="336">
        <f t="shared" si="2"/>
        <v>0</v>
      </c>
      <c r="M27" s="336">
        <f t="shared" si="3"/>
        <v>0</v>
      </c>
      <c r="N27" s="368">
        <f t="shared" si="4"/>
        <v>0</v>
      </c>
      <c r="O27" s="335">
        <v>0</v>
      </c>
      <c r="P27" s="336">
        <v>0</v>
      </c>
      <c r="Q27" s="336">
        <v>0</v>
      </c>
      <c r="R27" s="337">
        <f t="shared" si="0"/>
        <v>0</v>
      </c>
      <c r="S27" s="292">
        <v>6</v>
      </c>
      <c r="T27" s="838"/>
      <c r="U27" s="836">
        <v>24463</v>
      </c>
      <c r="V27" s="379" t="s">
        <v>800</v>
      </c>
      <c r="Y27" s="300"/>
      <c r="AD27" s="299"/>
      <c r="AG27" s="300"/>
      <c r="AL27" s="299"/>
      <c r="AO27" s="300"/>
      <c r="AP27" s="299"/>
      <c r="AS27" s="300"/>
      <c r="AW27" s="300"/>
      <c r="BA27" s="301"/>
    </row>
    <row r="28" spans="1:53" s="292" customFormat="1">
      <c r="A28" s="338">
        <v>1967</v>
      </c>
      <c r="B28" s="836"/>
      <c r="C28" s="916" t="s">
        <v>774</v>
      </c>
      <c r="D28" s="916"/>
      <c r="E28" s="292">
        <v>92</v>
      </c>
      <c r="G28" s="366">
        <v>0</v>
      </c>
      <c r="H28" s="292">
        <v>0</v>
      </c>
      <c r="I28" s="292">
        <v>0</v>
      </c>
      <c r="J28" s="377">
        <v>17</v>
      </c>
      <c r="K28" s="336">
        <f>G28/J28*100</f>
        <v>0</v>
      </c>
      <c r="L28" s="336">
        <f>H28/J28*100</f>
        <v>0</v>
      </c>
      <c r="M28" s="336">
        <f>I28/J28*100</f>
        <v>0</v>
      </c>
      <c r="N28" s="368">
        <f>SUM(K28:M28)</f>
        <v>0</v>
      </c>
      <c r="O28" s="335">
        <v>0</v>
      </c>
      <c r="P28" s="336">
        <v>0</v>
      </c>
      <c r="Q28" s="336">
        <v>0</v>
      </c>
      <c r="R28" s="337">
        <f t="shared" si="0"/>
        <v>0</v>
      </c>
      <c r="S28" s="292">
        <v>6</v>
      </c>
      <c r="T28" s="838"/>
      <c r="U28" s="836"/>
      <c r="V28" s="379" t="s">
        <v>800</v>
      </c>
      <c r="Y28" s="300"/>
      <c r="AD28" s="299"/>
      <c r="AG28" s="300"/>
      <c r="AL28" s="299"/>
      <c r="AO28" s="300"/>
      <c r="AP28" s="299"/>
      <c r="AS28" s="300"/>
      <c r="AW28" s="300"/>
      <c r="BA28" s="301"/>
    </row>
    <row r="29" spans="1:53" s="73" customFormat="1">
      <c r="A29" s="101">
        <v>1966.7142857142901</v>
      </c>
      <c r="B29" s="852">
        <v>24565</v>
      </c>
      <c r="C29" s="917" t="s">
        <v>778</v>
      </c>
      <c r="D29" s="917"/>
      <c r="E29" s="73">
        <v>18</v>
      </c>
      <c r="F29" s="73">
        <v>2</v>
      </c>
      <c r="G29" s="119">
        <v>16</v>
      </c>
      <c r="J29" s="126">
        <v>16</v>
      </c>
      <c r="K29" s="92">
        <f>G29/J29*100</f>
        <v>100</v>
      </c>
      <c r="L29" s="92">
        <f>H29/J29*100</f>
        <v>0</v>
      </c>
      <c r="M29" s="92">
        <f>I29/J29*100</f>
        <v>0</v>
      </c>
      <c r="N29" s="121">
        <f>SUM(K29:M29)</f>
        <v>100</v>
      </c>
      <c r="O29" s="91">
        <v>33.299999999999997</v>
      </c>
      <c r="P29" s="92"/>
      <c r="Q29" s="92"/>
      <c r="R29" s="93">
        <f>SUM(O29:Q29)</f>
        <v>33.299999999999997</v>
      </c>
      <c r="S29" s="73">
        <v>6</v>
      </c>
      <c r="T29" s="839"/>
      <c r="U29" s="852">
        <v>24565</v>
      </c>
      <c r="V29" s="82" t="s">
        <v>776</v>
      </c>
      <c r="W29" s="73" t="s">
        <v>74</v>
      </c>
      <c r="X29" s="73" t="s">
        <v>11</v>
      </c>
      <c r="Y29" s="83">
        <v>33.299999999999997</v>
      </c>
      <c r="AD29" s="82"/>
      <c r="AG29" s="83"/>
      <c r="AL29" s="82"/>
      <c r="AO29" s="83"/>
      <c r="AP29" s="82"/>
      <c r="AS29" s="83"/>
      <c r="AW29" s="83"/>
      <c r="BA29" s="84"/>
    </row>
    <row r="30" spans="1:53" s="292" customFormat="1">
      <c r="A30" s="338">
        <v>1967</v>
      </c>
      <c r="B30" s="836">
        <v>24583</v>
      </c>
      <c r="C30" s="956" t="s">
        <v>779</v>
      </c>
      <c r="D30" s="956"/>
      <c r="E30" s="292">
        <v>255</v>
      </c>
      <c r="F30" s="292" t="s">
        <v>338</v>
      </c>
      <c r="G30" s="366"/>
      <c r="J30" s="377"/>
      <c r="K30" s="336"/>
      <c r="L30" s="336"/>
      <c r="M30" s="336"/>
      <c r="N30" s="368"/>
      <c r="O30" s="335"/>
      <c r="P30" s="336"/>
      <c r="Q30" s="336"/>
      <c r="R30" s="337"/>
      <c r="T30" s="838"/>
      <c r="U30" s="836"/>
      <c r="V30" s="299"/>
      <c r="Y30" s="300"/>
      <c r="AD30" s="299"/>
      <c r="AG30" s="300"/>
      <c r="AL30" s="299"/>
      <c r="AO30" s="300"/>
      <c r="AP30" s="299"/>
      <c r="AS30" s="300"/>
      <c r="AW30" s="300"/>
      <c r="BA30" s="301"/>
    </row>
    <row r="31" spans="1:53" s="292" customFormat="1">
      <c r="A31" s="338">
        <v>1968</v>
      </c>
      <c r="B31" s="836"/>
      <c r="C31" s="956" t="s">
        <v>779</v>
      </c>
      <c r="D31" s="956"/>
      <c r="E31" s="292">
        <v>0</v>
      </c>
      <c r="G31" s="366"/>
      <c r="J31" s="377"/>
      <c r="K31" s="336"/>
      <c r="L31" s="336"/>
      <c r="M31" s="336"/>
      <c r="N31" s="368"/>
      <c r="O31" s="335"/>
      <c r="P31" s="336"/>
      <c r="Q31" s="336"/>
      <c r="R31" s="337"/>
      <c r="T31" s="838"/>
      <c r="U31" s="836"/>
      <c r="V31" s="299"/>
      <c r="Y31" s="300"/>
      <c r="AD31" s="299"/>
      <c r="AG31" s="300"/>
      <c r="AL31" s="299"/>
      <c r="AO31" s="300"/>
      <c r="AP31" s="299"/>
      <c r="AS31" s="300"/>
      <c r="AW31" s="300"/>
      <c r="BA31" s="301"/>
    </row>
    <row r="32" spans="1:53" s="292" customFormat="1">
      <c r="A32" s="338">
        <v>1967.62857142857</v>
      </c>
      <c r="B32" s="836"/>
      <c r="C32" s="956" t="s">
        <v>779</v>
      </c>
      <c r="D32" s="956"/>
      <c r="E32" s="292">
        <v>366</v>
      </c>
      <c r="G32" s="366"/>
      <c r="J32" s="377"/>
      <c r="K32" s="336"/>
      <c r="L32" s="336"/>
      <c r="M32" s="336"/>
      <c r="N32" s="368"/>
      <c r="O32" s="335"/>
      <c r="P32" s="336"/>
      <c r="Q32" s="336"/>
      <c r="R32" s="337"/>
      <c r="T32" s="838"/>
      <c r="U32" s="836"/>
      <c r="V32" s="299"/>
      <c r="Y32" s="300"/>
      <c r="AD32" s="388"/>
      <c r="AG32" s="300"/>
      <c r="AL32" s="299"/>
      <c r="AO32" s="300"/>
      <c r="AP32" s="299"/>
      <c r="AS32" s="300"/>
      <c r="AW32" s="300"/>
      <c r="BA32" s="301"/>
    </row>
    <row r="33" spans="1:53" s="292" customFormat="1">
      <c r="A33" s="338">
        <v>1969</v>
      </c>
      <c r="B33" s="836"/>
      <c r="C33" s="956" t="s">
        <v>779</v>
      </c>
      <c r="D33" s="956"/>
      <c r="E33" s="292">
        <v>0</v>
      </c>
      <c r="G33" s="366"/>
      <c r="J33" s="377"/>
      <c r="K33" s="336"/>
      <c r="L33" s="336"/>
      <c r="M33" s="336"/>
      <c r="N33" s="368"/>
      <c r="O33" s="335"/>
      <c r="P33" s="336"/>
      <c r="Q33" s="336"/>
      <c r="R33" s="337"/>
      <c r="T33" s="838"/>
      <c r="U33" s="836"/>
      <c r="V33" s="299"/>
      <c r="Y33" s="300"/>
      <c r="AD33" s="388"/>
      <c r="AG33" s="300"/>
      <c r="AL33" s="299"/>
      <c r="AO33" s="300"/>
      <c r="AP33" s="299"/>
      <c r="AS33" s="300"/>
      <c r="AW33" s="300"/>
      <c r="BA33" s="301"/>
    </row>
    <row r="34" spans="1:53" s="292" customFormat="1">
      <c r="A34" s="338">
        <v>1968.5428571428599</v>
      </c>
      <c r="B34" s="836"/>
      <c r="C34" s="956" t="s">
        <v>779</v>
      </c>
      <c r="D34" s="956"/>
      <c r="E34" s="292">
        <v>365</v>
      </c>
      <c r="G34" s="366"/>
      <c r="J34" s="377"/>
      <c r="K34" s="336"/>
      <c r="L34" s="336"/>
      <c r="M34" s="336"/>
      <c r="N34" s="368"/>
      <c r="O34" s="335"/>
      <c r="P34" s="336"/>
      <c r="Q34" s="336"/>
      <c r="R34" s="337"/>
      <c r="T34" s="838"/>
      <c r="U34" s="836"/>
      <c r="V34" s="299"/>
      <c r="Y34" s="300"/>
      <c r="AD34" s="388"/>
      <c r="AG34" s="300"/>
      <c r="AL34" s="299"/>
      <c r="AO34" s="300"/>
      <c r="AP34" s="299"/>
      <c r="AS34" s="300"/>
      <c r="AW34" s="300"/>
      <c r="BA34" s="301"/>
    </row>
    <row r="35" spans="1:53" s="292" customFormat="1">
      <c r="A35" s="338">
        <v>1970</v>
      </c>
      <c r="B35" s="836"/>
      <c r="C35" s="956" t="s">
        <v>779</v>
      </c>
      <c r="D35" s="956"/>
      <c r="E35" s="292">
        <v>0</v>
      </c>
      <c r="G35" s="366"/>
      <c r="J35" s="377"/>
      <c r="K35" s="336"/>
      <c r="L35" s="336"/>
      <c r="M35" s="336"/>
      <c r="N35" s="368"/>
      <c r="O35" s="335"/>
      <c r="P35" s="336"/>
      <c r="Q35" s="336"/>
      <c r="R35" s="337"/>
      <c r="T35" s="838"/>
      <c r="U35" s="836"/>
      <c r="V35" s="299"/>
      <c r="Y35" s="300"/>
      <c r="AD35" s="388"/>
      <c r="AG35" s="300"/>
      <c r="AL35" s="299"/>
      <c r="AO35" s="300"/>
      <c r="AP35" s="299"/>
      <c r="AS35" s="300"/>
      <c r="AW35" s="300"/>
      <c r="BA35" s="301"/>
    </row>
    <row r="36" spans="1:53" s="292" customFormat="1">
      <c r="A36" s="338">
        <v>1970</v>
      </c>
      <c r="B36" s="836"/>
      <c r="C36" s="956" t="s">
        <v>779</v>
      </c>
      <c r="D36" s="956"/>
      <c r="E36" s="292">
        <v>365</v>
      </c>
      <c r="G36" s="366"/>
      <c r="J36" s="377"/>
      <c r="K36" s="336"/>
      <c r="L36" s="336"/>
      <c r="M36" s="336"/>
      <c r="N36" s="368"/>
      <c r="O36" s="335"/>
      <c r="P36" s="336"/>
      <c r="Q36" s="336"/>
      <c r="R36" s="337"/>
      <c r="T36" s="838"/>
      <c r="U36" s="836"/>
      <c r="V36" s="299"/>
      <c r="Y36" s="300"/>
      <c r="AD36" s="388"/>
      <c r="AG36" s="300"/>
      <c r="AL36" s="299"/>
      <c r="AO36" s="300"/>
      <c r="AP36" s="299"/>
      <c r="AS36" s="300"/>
      <c r="AW36" s="300"/>
      <c r="BA36" s="301"/>
    </row>
    <row r="37" spans="1:53" s="292" customFormat="1">
      <c r="A37" s="338">
        <v>1971</v>
      </c>
      <c r="B37" s="836"/>
      <c r="C37" s="956" t="s">
        <v>779</v>
      </c>
      <c r="D37" s="956"/>
      <c r="E37" s="292">
        <v>0</v>
      </c>
      <c r="G37" s="366"/>
      <c r="J37" s="377"/>
      <c r="K37" s="336"/>
      <c r="L37" s="336"/>
      <c r="M37" s="336"/>
      <c r="N37" s="368"/>
      <c r="O37" s="335"/>
      <c r="P37" s="336"/>
      <c r="Q37" s="336"/>
      <c r="R37" s="337"/>
      <c r="T37" s="838"/>
      <c r="U37" s="836"/>
      <c r="V37" s="299"/>
      <c r="Y37" s="300"/>
      <c r="AD37" s="388"/>
      <c r="AG37" s="300"/>
      <c r="AL37" s="299"/>
      <c r="AO37" s="300"/>
      <c r="AP37" s="299"/>
      <c r="AS37" s="300"/>
      <c r="AW37" s="300"/>
      <c r="BA37" s="301"/>
    </row>
    <row r="38" spans="1:53" s="292" customFormat="1">
      <c r="A38" s="338">
        <v>1971</v>
      </c>
      <c r="B38" s="836"/>
      <c r="C38" s="956" t="s">
        <v>779</v>
      </c>
      <c r="D38" s="956"/>
      <c r="E38" s="292">
        <v>365</v>
      </c>
      <c r="G38" s="366"/>
      <c r="J38" s="377"/>
      <c r="K38" s="336"/>
      <c r="L38" s="336"/>
      <c r="M38" s="336"/>
      <c r="N38" s="368"/>
      <c r="O38" s="335"/>
      <c r="P38" s="336"/>
      <c r="Q38" s="336"/>
      <c r="R38" s="337"/>
      <c r="T38" s="838"/>
      <c r="U38" s="836"/>
      <c r="V38" s="299"/>
      <c r="Y38" s="300"/>
      <c r="AD38" s="388"/>
      <c r="AG38" s="300"/>
      <c r="AL38" s="299"/>
      <c r="AO38" s="300"/>
      <c r="AP38" s="299"/>
      <c r="AS38" s="300"/>
      <c r="AW38" s="300"/>
      <c r="BA38" s="301"/>
    </row>
    <row r="39" spans="1:53" s="292" customFormat="1">
      <c r="A39" s="338">
        <v>1972</v>
      </c>
      <c r="B39" s="836"/>
      <c r="C39" s="956" t="s">
        <v>779</v>
      </c>
      <c r="D39" s="956"/>
      <c r="E39" s="292">
        <v>0</v>
      </c>
      <c r="G39" s="366"/>
      <c r="J39" s="377"/>
      <c r="K39" s="336"/>
      <c r="L39" s="336"/>
      <c r="M39" s="336"/>
      <c r="N39" s="368"/>
      <c r="O39" s="335"/>
      <c r="P39" s="336"/>
      <c r="Q39" s="336"/>
      <c r="R39" s="337"/>
      <c r="T39" s="838"/>
      <c r="U39" s="836"/>
      <c r="V39" s="299"/>
      <c r="Y39" s="300"/>
      <c r="AD39" s="388"/>
      <c r="AG39" s="300"/>
      <c r="AL39" s="299"/>
      <c r="AO39" s="300"/>
      <c r="AP39" s="299"/>
      <c r="AS39" s="300"/>
      <c r="AW39" s="300"/>
      <c r="BA39" s="301"/>
    </row>
    <row r="40" spans="1:53" s="292" customFormat="1">
      <c r="A40" s="338">
        <v>1972</v>
      </c>
      <c r="B40" s="836"/>
      <c r="C40" s="956" t="s">
        <v>779</v>
      </c>
      <c r="D40" s="956"/>
      <c r="E40" s="292">
        <v>366</v>
      </c>
      <c r="G40" s="366"/>
      <c r="J40" s="377"/>
      <c r="K40" s="336"/>
      <c r="L40" s="336"/>
      <c r="M40" s="336"/>
      <c r="N40" s="368"/>
      <c r="O40" s="335"/>
      <c r="P40" s="336"/>
      <c r="Q40" s="336"/>
      <c r="R40" s="337"/>
      <c r="T40" s="838"/>
      <c r="U40" s="836"/>
      <c r="V40" s="299"/>
      <c r="Y40" s="300"/>
      <c r="AD40" s="388"/>
      <c r="AG40" s="300"/>
      <c r="AL40" s="299"/>
      <c r="AO40" s="300"/>
      <c r="AP40" s="299"/>
      <c r="AS40" s="300"/>
      <c r="AW40" s="300"/>
      <c r="BA40" s="301"/>
    </row>
    <row r="41" spans="1:53" s="292" customFormat="1">
      <c r="A41" s="338">
        <v>1973</v>
      </c>
      <c r="B41" s="836"/>
      <c r="C41" s="956" t="s">
        <v>779</v>
      </c>
      <c r="D41" s="956"/>
      <c r="E41" s="292">
        <v>0</v>
      </c>
      <c r="G41" s="366"/>
      <c r="J41" s="377"/>
      <c r="K41" s="336"/>
      <c r="L41" s="336"/>
      <c r="M41" s="336"/>
      <c r="N41" s="368"/>
      <c r="O41" s="335"/>
      <c r="P41" s="336"/>
      <c r="Q41" s="336"/>
      <c r="R41" s="337"/>
      <c r="T41" s="838"/>
      <c r="U41" s="836"/>
      <c r="V41" s="299"/>
      <c r="Y41" s="300"/>
      <c r="AD41" s="388"/>
      <c r="AG41" s="300"/>
      <c r="AL41" s="299"/>
      <c r="AO41" s="300"/>
      <c r="AP41" s="299"/>
      <c r="AS41" s="300"/>
      <c r="AW41" s="300"/>
      <c r="BA41" s="301"/>
    </row>
    <row r="42" spans="1:53" s="292" customFormat="1">
      <c r="A42" s="338">
        <v>1973</v>
      </c>
      <c r="B42" s="836"/>
      <c r="C42" s="956" t="s">
        <v>779</v>
      </c>
      <c r="D42" s="956"/>
      <c r="E42" s="292">
        <v>365</v>
      </c>
      <c r="G42" s="366"/>
      <c r="J42" s="377"/>
      <c r="K42" s="336"/>
      <c r="L42" s="336"/>
      <c r="M42" s="336"/>
      <c r="N42" s="368"/>
      <c r="O42" s="335"/>
      <c r="P42" s="336"/>
      <c r="Q42" s="336"/>
      <c r="R42" s="337"/>
      <c r="T42" s="838"/>
      <c r="U42" s="836"/>
      <c r="V42" s="299"/>
      <c r="Y42" s="300"/>
      <c r="AD42" s="388"/>
      <c r="AG42" s="300"/>
      <c r="AL42" s="299"/>
      <c r="AO42" s="300"/>
      <c r="AP42" s="299"/>
      <c r="AS42" s="300"/>
      <c r="AW42" s="300"/>
      <c r="BA42" s="301"/>
    </row>
    <row r="43" spans="1:53" s="292" customFormat="1">
      <c r="A43" s="338">
        <v>1974</v>
      </c>
      <c r="B43" s="836"/>
      <c r="C43" s="956" t="s">
        <v>779</v>
      </c>
      <c r="D43" s="956"/>
      <c r="E43" s="292">
        <v>206</v>
      </c>
      <c r="G43" s="366"/>
      <c r="J43" s="377"/>
      <c r="K43" s="336"/>
      <c r="L43" s="336"/>
      <c r="M43" s="336"/>
      <c r="N43" s="368"/>
      <c r="O43" s="335"/>
      <c r="P43" s="336"/>
      <c r="Q43" s="336"/>
      <c r="R43" s="337"/>
      <c r="T43" s="838"/>
      <c r="U43" s="836"/>
      <c r="V43" s="299"/>
      <c r="Y43" s="300"/>
      <c r="AD43" s="299"/>
      <c r="AG43" s="300"/>
      <c r="AL43" s="299"/>
      <c r="AO43" s="300"/>
      <c r="AP43" s="299"/>
      <c r="AS43" s="300"/>
      <c r="AW43" s="300"/>
      <c r="BA43" s="301"/>
    </row>
    <row r="44" spans="1:53" s="73" customFormat="1">
      <c r="A44" s="101">
        <v>1974</v>
      </c>
      <c r="B44" s="852">
        <v>27236</v>
      </c>
      <c r="C44" s="917" t="s">
        <v>775</v>
      </c>
      <c r="D44" s="917"/>
      <c r="E44" s="73">
        <v>119</v>
      </c>
      <c r="F44" s="73" t="s">
        <v>338</v>
      </c>
      <c r="G44" s="119">
        <v>12</v>
      </c>
      <c r="J44" s="126">
        <v>19</v>
      </c>
      <c r="K44" s="92">
        <f>G44/J44*100</f>
        <v>63.157894736842103</v>
      </c>
      <c r="L44" s="92">
        <f>H44/J44*100</f>
        <v>0</v>
      </c>
      <c r="M44" s="92">
        <f>I44/J44*100</f>
        <v>0</v>
      </c>
      <c r="N44" s="121">
        <f>SUM(K44:M44)</f>
        <v>63.157894736842103</v>
      </c>
      <c r="O44" s="91">
        <v>0</v>
      </c>
      <c r="P44" s="92">
        <v>0</v>
      </c>
      <c r="Q44" s="92">
        <v>0</v>
      </c>
      <c r="R44" s="93">
        <f>SUM(O44:Q44)</f>
        <v>0</v>
      </c>
      <c r="S44" s="73">
        <v>6</v>
      </c>
      <c r="T44" s="839"/>
      <c r="U44" s="852">
        <v>27236</v>
      </c>
      <c r="V44" s="145" t="s">
        <v>800</v>
      </c>
      <c r="Y44" s="83"/>
      <c r="AD44" s="82"/>
      <c r="AG44" s="83"/>
      <c r="AL44" s="82"/>
      <c r="AO44" s="83"/>
      <c r="AP44" s="82"/>
      <c r="AS44" s="83"/>
      <c r="AW44" s="83"/>
      <c r="BA44" s="84"/>
    </row>
    <row r="45" spans="1:53" s="292" customFormat="1">
      <c r="A45" s="338">
        <v>1974</v>
      </c>
      <c r="B45" s="836">
        <v>27355</v>
      </c>
      <c r="C45" s="916" t="s">
        <v>552</v>
      </c>
      <c r="D45" s="916"/>
      <c r="E45" s="292">
        <v>40</v>
      </c>
      <c r="F45" s="292">
        <v>1</v>
      </c>
      <c r="G45" s="366">
        <v>20</v>
      </c>
      <c r="J45" s="377">
        <v>20</v>
      </c>
      <c r="K45" s="336">
        <f t="shared" ref="K45:K62" si="5">G45/J45*100</f>
        <v>100</v>
      </c>
      <c r="L45" s="336">
        <f t="shared" ref="L45:L62" si="6">H45/J45*100</f>
        <v>0</v>
      </c>
      <c r="M45" s="336">
        <f t="shared" ref="M45:M62" si="7">I45/J45*100</f>
        <v>0</v>
      </c>
      <c r="N45" s="368">
        <f t="shared" ref="N45:N62" si="8">SUM(K45:M45)</f>
        <v>100</v>
      </c>
      <c r="O45" s="335">
        <v>73.3</v>
      </c>
      <c r="P45" s="336"/>
      <c r="Q45" s="336"/>
      <c r="R45" s="337">
        <f>SUM(O45:Q45)</f>
        <v>73.3</v>
      </c>
      <c r="S45" s="292">
        <v>1</v>
      </c>
      <c r="T45" s="838">
        <v>27350</v>
      </c>
      <c r="U45" s="836">
        <v>27355</v>
      </c>
      <c r="V45" s="299" t="s">
        <v>190</v>
      </c>
      <c r="W45" s="292" t="s">
        <v>77</v>
      </c>
      <c r="X45" s="292" t="s">
        <v>11</v>
      </c>
      <c r="Y45" s="300">
        <v>73.3</v>
      </c>
      <c r="AD45" s="299"/>
      <c r="AG45" s="300"/>
      <c r="AL45" s="299"/>
      <c r="AO45" s="300"/>
      <c r="AP45" s="299"/>
      <c r="AS45" s="300"/>
      <c r="AW45" s="300"/>
      <c r="BA45" s="301"/>
    </row>
    <row r="46" spans="1:53" s="292" customFormat="1">
      <c r="A46" s="338">
        <v>1975</v>
      </c>
      <c r="B46" s="836"/>
      <c r="C46" s="916" t="s">
        <v>552</v>
      </c>
      <c r="D46" s="916"/>
      <c r="E46" s="292">
        <v>0</v>
      </c>
      <c r="G46" s="366">
        <v>20</v>
      </c>
      <c r="J46" s="377">
        <v>20</v>
      </c>
      <c r="K46" s="336">
        <f t="shared" si="5"/>
        <v>100</v>
      </c>
      <c r="L46" s="336">
        <f t="shared" si="6"/>
        <v>0</v>
      </c>
      <c r="M46" s="336">
        <f t="shared" si="7"/>
        <v>0</v>
      </c>
      <c r="N46" s="368">
        <f t="shared" si="8"/>
        <v>100</v>
      </c>
      <c r="O46" s="335">
        <v>73.3</v>
      </c>
      <c r="P46" s="336"/>
      <c r="Q46" s="336"/>
      <c r="R46" s="337">
        <f t="shared" ref="R46:R109" si="9">SUM(O46:Q46)</f>
        <v>73.3</v>
      </c>
      <c r="S46" s="292">
        <v>1</v>
      </c>
      <c r="T46" s="838"/>
      <c r="U46" s="836"/>
      <c r="V46" s="299" t="s">
        <v>190</v>
      </c>
      <c r="W46" s="292" t="s">
        <v>77</v>
      </c>
      <c r="X46" s="292" t="s">
        <v>11</v>
      </c>
      <c r="Y46" s="300">
        <v>73.3</v>
      </c>
      <c r="AD46" s="299"/>
      <c r="AG46" s="300"/>
      <c r="AL46" s="299"/>
      <c r="AO46" s="300"/>
      <c r="AP46" s="299"/>
      <c r="AS46" s="300"/>
      <c r="AW46" s="300"/>
      <c r="BA46" s="301"/>
    </row>
    <row r="47" spans="1:53" s="292" customFormat="1">
      <c r="A47" s="338">
        <v>1975</v>
      </c>
      <c r="B47" s="836"/>
      <c r="C47" s="916" t="s">
        <v>552</v>
      </c>
      <c r="D47" s="916"/>
      <c r="E47" s="292">
        <v>365</v>
      </c>
      <c r="G47" s="366">
        <v>20</v>
      </c>
      <c r="J47" s="377">
        <v>20</v>
      </c>
      <c r="K47" s="336">
        <f t="shared" si="5"/>
        <v>100</v>
      </c>
      <c r="L47" s="336">
        <f t="shared" si="6"/>
        <v>0</v>
      </c>
      <c r="M47" s="336">
        <f t="shared" si="7"/>
        <v>0</v>
      </c>
      <c r="N47" s="368">
        <f t="shared" si="8"/>
        <v>100</v>
      </c>
      <c r="O47" s="335">
        <v>73.3</v>
      </c>
      <c r="P47" s="336"/>
      <c r="Q47" s="336"/>
      <c r="R47" s="337">
        <f t="shared" si="9"/>
        <v>73.3</v>
      </c>
      <c r="S47" s="292">
        <v>1</v>
      </c>
      <c r="T47" s="838"/>
      <c r="U47" s="836"/>
      <c r="V47" s="299" t="s">
        <v>190</v>
      </c>
      <c r="W47" s="292" t="s">
        <v>77</v>
      </c>
      <c r="X47" s="292" t="s">
        <v>11</v>
      </c>
      <c r="Y47" s="300">
        <v>73.3</v>
      </c>
      <c r="AD47" s="299"/>
      <c r="AG47" s="300"/>
      <c r="AL47" s="299"/>
      <c r="AO47" s="300"/>
      <c r="AP47" s="299"/>
      <c r="AS47" s="300"/>
      <c r="AW47" s="300"/>
      <c r="BA47" s="301"/>
    </row>
    <row r="48" spans="1:53" s="292" customFormat="1">
      <c r="A48" s="338">
        <v>1976</v>
      </c>
      <c r="B48" s="836"/>
      <c r="C48" s="916" t="s">
        <v>552</v>
      </c>
      <c r="D48" s="916"/>
      <c r="E48" s="292">
        <v>0</v>
      </c>
      <c r="G48" s="366">
        <v>20</v>
      </c>
      <c r="J48" s="377">
        <v>20</v>
      </c>
      <c r="K48" s="336">
        <f t="shared" si="5"/>
        <v>100</v>
      </c>
      <c r="L48" s="336">
        <f t="shared" si="6"/>
        <v>0</v>
      </c>
      <c r="M48" s="336">
        <f t="shared" si="7"/>
        <v>0</v>
      </c>
      <c r="N48" s="368">
        <f t="shared" si="8"/>
        <v>100</v>
      </c>
      <c r="O48" s="335">
        <v>73.3</v>
      </c>
      <c r="P48" s="336"/>
      <c r="Q48" s="336"/>
      <c r="R48" s="337">
        <f t="shared" si="9"/>
        <v>73.3</v>
      </c>
      <c r="S48" s="292">
        <v>1</v>
      </c>
      <c r="T48" s="838"/>
      <c r="U48" s="836"/>
      <c r="V48" s="299" t="s">
        <v>190</v>
      </c>
      <c r="W48" s="292" t="s">
        <v>77</v>
      </c>
      <c r="X48" s="292" t="s">
        <v>11</v>
      </c>
      <c r="Y48" s="300">
        <v>73.3</v>
      </c>
      <c r="AD48" s="299"/>
      <c r="AG48" s="300"/>
      <c r="AL48" s="299"/>
      <c r="AO48" s="300"/>
      <c r="AP48" s="299"/>
      <c r="AS48" s="300"/>
      <c r="AW48" s="300"/>
      <c r="BA48" s="301"/>
    </row>
    <row r="49" spans="1:53" s="292" customFormat="1">
      <c r="A49" s="338">
        <v>1976</v>
      </c>
      <c r="B49" s="836"/>
      <c r="C49" s="916" t="s">
        <v>552</v>
      </c>
      <c r="D49" s="916"/>
      <c r="E49" s="292">
        <v>366</v>
      </c>
      <c r="G49" s="366">
        <v>20</v>
      </c>
      <c r="J49" s="377">
        <v>20</v>
      </c>
      <c r="K49" s="336">
        <f t="shared" si="5"/>
        <v>100</v>
      </c>
      <c r="L49" s="336">
        <f t="shared" si="6"/>
        <v>0</v>
      </c>
      <c r="M49" s="336">
        <f t="shared" si="7"/>
        <v>0</v>
      </c>
      <c r="N49" s="368">
        <f t="shared" si="8"/>
        <v>100</v>
      </c>
      <c r="O49" s="335">
        <v>73.3</v>
      </c>
      <c r="P49" s="336"/>
      <c r="Q49" s="336"/>
      <c r="R49" s="337">
        <f t="shared" si="9"/>
        <v>73.3</v>
      </c>
      <c r="S49" s="292">
        <v>1</v>
      </c>
      <c r="T49" s="838"/>
      <c r="U49" s="836"/>
      <c r="V49" s="299" t="s">
        <v>190</v>
      </c>
      <c r="W49" s="292" t="s">
        <v>77</v>
      </c>
      <c r="X49" s="292" t="s">
        <v>11</v>
      </c>
      <c r="Y49" s="300">
        <v>73.3</v>
      </c>
      <c r="AD49" s="299"/>
      <c r="AG49" s="300"/>
      <c r="AL49" s="299"/>
      <c r="AO49" s="300"/>
      <c r="AP49" s="299"/>
      <c r="AS49" s="300"/>
      <c r="AW49" s="300"/>
      <c r="BA49" s="301"/>
    </row>
    <row r="50" spans="1:53" s="292" customFormat="1">
      <c r="A50" s="338">
        <v>1977</v>
      </c>
      <c r="B50" s="836"/>
      <c r="C50" s="916" t="s">
        <v>552</v>
      </c>
      <c r="D50" s="916"/>
      <c r="E50" s="292">
        <v>331</v>
      </c>
      <c r="G50" s="366">
        <v>20</v>
      </c>
      <c r="J50" s="377">
        <v>20</v>
      </c>
      <c r="K50" s="336">
        <f t="shared" si="5"/>
        <v>100</v>
      </c>
      <c r="L50" s="336">
        <f t="shared" si="6"/>
        <v>0</v>
      </c>
      <c r="M50" s="336">
        <f t="shared" si="7"/>
        <v>0</v>
      </c>
      <c r="N50" s="368">
        <f t="shared" si="8"/>
        <v>100</v>
      </c>
      <c r="O50" s="335">
        <v>73.3</v>
      </c>
      <c r="P50" s="336"/>
      <c r="Q50" s="336"/>
      <c r="R50" s="337">
        <f t="shared" si="9"/>
        <v>73.3</v>
      </c>
      <c r="S50" s="292">
        <v>1</v>
      </c>
      <c r="T50" s="838"/>
      <c r="U50" s="836"/>
      <c r="V50" s="299" t="s">
        <v>190</v>
      </c>
      <c r="W50" s="292" t="s">
        <v>77</v>
      </c>
      <c r="X50" s="292" t="s">
        <v>11</v>
      </c>
      <c r="Y50" s="300">
        <v>73.3</v>
      </c>
      <c r="AD50" s="299"/>
      <c r="AG50" s="300"/>
      <c r="AL50" s="299"/>
      <c r="AO50" s="300"/>
      <c r="AP50" s="299"/>
      <c r="AS50" s="300"/>
      <c r="AW50" s="300"/>
      <c r="BA50" s="301"/>
    </row>
    <row r="51" spans="1:53" s="73" customFormat="1">
      <c r="A51" s="101">
        <v>1977</v>
      </c>
      <c r="B51" s="852">
        <v>28457</v>
      </c>
      <c r="C51" s="917" t="s">
        <v>766</v>
      </c>
      <c r="D51" s="917"/>
      <c r="E51" s="73">
        <v>34</v>
      </c>
      <c r="F51" s="73">
        <v>1</v>
      </c>
      <c r="G51" s="119">
        <v>21</v>
      </c>
      <c r="J51" s="126">
        <v>22</v>
      </c>
      <c r="K51" s="92">
        <f t="shared" si="5"/>
        <v>95.454545454545453</v>
      </c>
      <c r="L51" s="92">
        <f t="shared" si="6"/>
        <v>0</v>
      </c>
      <c r="M51" s="92">
        <f t="shared" si="7"/>
        <v>0</v>
      </c>
      <c r="N51" s="121">
        <f t="shared" si="8"/>
        <v>95.454545454545453</v>
      </c>
      <c r="O51" s="91">
        <v>57</v>
      </c>
      <c r="P51" s="92"/>
      <c r="Q51" s="92"/>
      <c r="R51" s="93">
        <f t="shared" si="9"/>
        <v>57</v>
      </c>
      <c r="S51" s="73">
        <v>1</v>
      </c>
      <c r="T51" s="839">
        <v>28449</v>
      </c>
      <c r="U51" s="852">
        <v>28457</v>
      </c>
      <c r="V51" s="82" t="s">
        <v>190</v>
      </c>
      <c r="W51" s="73" t="s">
        <v>77</v>
      </c>
      <c r="X51" s="73" t="s">
        <v>11</v>
      </c>
      <c r="Y51" s="83">
        <v>57</v>
      </c>
      <c r="AD51" s="82"/>
      <c r="AG51" s="83"/>
      <c r="AL51" s="82"/>
      <c r="AO51" s="83"/>
      <c r="AP51" s="82"/>
      <c r="AS51" s="83"/>
      <c r="AW51" s="83"/>
      <c r="BA51" s="84"/>
    </row>
    <row r="52" spans="1:53" s="73" customFormat="1">
      <c r="A52" s="101">
        <v>1978</v>
      </c>
      <c r="B52" s="852"/>
      <c r="C52" s="917" t="s">
        <v>766</v>
      </c>
      <c r="D52" s="917"/>
      <c r="E52" s="73">
        <v>0</v>
      </c>
      <c r="G52" s="119">
        <v>21</v>
      </c>
      <c r="J52" s="126">
        <v>22</v>
      </c>
      <c r="K52" s="92">
        <f t="shared" si="5"/>
        <v>95.454545454545453</v>
      </c>
      <c r="L52" s="92">
        <f t="shared" si="6"/>
        <v>0</v>
      </c>
      <c r="M52" s="92">
        <f t="shared" si="7"/>
        <v>0</v>
      </c>
      <c r="N52" s="121">
        <f t="shared" si="8"/>
        <v>95.454545454545453</v>
      </c>
      <c r="O52" s="91">
        <v>57</v>
      </c>
      <c r="P52" s="92"/>
      <c r="Q52" s="92"/>
      <c r="R52" s="93">
        <f t="shared" si="9"/>
        <v>57</v>
      </c>
      <c r="S52" s="73">
        <v>1</v>
      </c>
      <c r="T52" s="839"/>
      <c r="U52" s="852"/>
      <c r="V52" s="82" t="s">
        <v>190</v>
      </c>
      <c r="W52" s="73" t="s">
        <v>77</v>
      </c>
      <c r="X52" s="73" t="s">
        <v>11</v>
      </c>
      <c r="Y52" s="83">
        <v>57</v>
      </c>
      <c r="AD52" s="82"/>
      <c r="AG52" s="83"/>
      <c r="AL52" s="82"/>
      <c r="AO52" s="83"/>
      <c r="AP52" s="82"/>
      <c r="AS52" s="83"/>
      <c r="AW52" s="83"/>
      <c r="BA52" s="84"/>
    </row>
    <row r="53" spans="1:53" s="73" customFormat="1">
      <c r="A53" s="101">
        <v>1978</v>
      </c>
      <c r="B53" s="852"/>
      <c r="C53" s="917" t="s">
        <v>766</v>
      </c>
      <c r="D53" s="917"/>
      <c r="E53" s="73">
        <v>365</v>
      </c>
      <c r="G53" s="119">
        <v>21</v>
      </c>
      <c r="J53" s="126">
        <v>22</v>
      </c>
      <c r="K53" s="92">
        <f t="shared" si="5"/>
        <v>95.454545454545453</v>
      </c>
      <c r="L53" s="92">
        <f t="shared" si="6"/>
        <v>0</v>
      </c>
      <c r="M53" s="92">
        <f t="shared" si="7"/>
        <v>0</v>
      </c>
      <c r="N53" s="121">
        <f t="shared" si="8"/>
        <v>95.454545454545453</v>
      </c>
      <c r="O53" s="91">
        <v>57</v>
      </c>
      <c r="P53" s="92"/>
      <c r="Q53" s="92"/>
      <c r="R53" s="93">
        <f t="shared" si="9"/>
        <v>57</v>
      </c>
      <c r="S53" s="73">
        <v>1</v>
      </c>
      <c r="T53" s="839"/>
      <c r="U53" s="852"/>
      <c r="V53" s="82" t="s">
        <v>190</v>
      </c>
      <c r="W53" s="73" t="s">
        <v>77</v>
      </c>
      <c r="X53" s="73" t="s">
        <v>11</v>
      </c>
      <c r="Y53" s="83">
        <v>57</v>
      </c>
      <c r="AD53" s="82"/>
      <c r="AG53" s="83"/>
      <c r="AL53" s="82"/>
      <c r="AO53" s="83"/>
      <c r="AP53" s="82"/>
      <c r="AS53" s="83"/>
      <c r="AW53" s="83"/>
      <c r="BA53" s="84"/>
    </row>
    <row r="54" spans="1:53" s="73" customFormat="1">
      <c r="A54" s="101">
        <v>1979</v>
      </c>
      <c r="B54" s="852"/>
      <c r="C54" s="917" t="s">
        <v>766</v>
      </c>
      <c r="D54" s="917"/>
      <c r="E54" s="73">
        <v>0</v>
      </c>
      <c r="G54" s="119">
        <v>21</v>
      </c>
      <c r="J54" s="126">
        <v>22</v>
      </c>
      <c r="K54" s="92">
        <f t="shared" si="5"/>
        <v>95.454545454545453</v>
      </c>
      <c r="L54" s="92">
        <f t="shared" si="6"/>
        <v>0</v>
      </c>
      <c r="M54" s="92">
        <f t="shared" si="7"/>
        <v>0</v>
      </c>
      <c r="N54" s="121">
        <f t="shared" si="8"/>
        <v>95.454545454545453</v>
      </c>
      <c r="O54" s="91">
        <v>57</v>
      </c>
      <c r="P54" s="92"/>
      <c r="Q54" s="92"/>
      <c r="R54" s="93">
        <f t="shared" si="9"/>
        <v>57</v>
      </c>
      <c r="S54" s="73">
        <v>1</v>
      </c>
      <c r="T54" s="839"/>
      <c r="U54" s="852"/>
      <c r="V54" s="82" t="s">
        <v>190</v>
      </c>
      <c r="W54" s="73" t="s">
        <v>77</v>
      </c>
      <c r="X54" s="73" t="s">
        <v>11</v>
      </c>
      <c r="Y54" s="83">
        <v>57</v>
      </c>
      <c r="AD54" s="82"/>
      <c r="AG54" s="83"/>
      <c r="AL54" s="82"/>
      <c r="AO54" s="83"/>
      <c r="AP54" s="82"/>
      <c r="AS54" s="83"/>
      <c r="AW54" s="83"/>
      <c r="BA54" s="84"/>
    </row>
    <row r="55" spans="1:53" s="73" customFormat="1">
      <c r="A55" s="101">
        <v>1979</v>
      </c>
      <c r="B55" s="852"/>
      <c r="C55" s="917" t="s">
        <v>766</v>
      </c>
      <c r="D55" s="917"/>
      <c r="E55" s="73">
        <v>365</v>
      </c>
      <c r="G55" s="119">
        <v>21</v>
      </c>
      <c r="J55" s="126">
        <v>22</v>
      </c>
      <c r="K55" s="92">
        <f t="shared" si="5"/>
        <v>95.454545454545453</v>
      </c>
      <c r="L55" s="92">
        <f t="shared" si="6"/>
        <v>0</v>
      </c>
      <c r="M55" s="92">
        <f t="shared" si="7"/>
        <v>0</v>
      </c>
      <c r="N55" s="121">
        <f t="shared" si="8"/>
        <v>95.454545454545453</v>
      </c>
      <c r="O55" s="91">
        <v>57</v>
      </c>
      <c r="P55" s="92"/>
      <c r="Q55" s="92"/>
      <c r="R55" s="93">
        <f t="shared" si="9"/>
        <v>57</v>
      </c>
      <c r="S55" s="73">
        <v>1</v>
      </c>
      <c r="T55" s="839"/>
      <c r="U55" s="852"/>
      <c r="V55" s="82" t="s">
        <v>190</v>
      </c>
      <c r="W55" s="73" t="s">
        <v>77</v>
      </c>
      <c r="X55" s="73" t="s">
        <v>11</v>
      </c>
      <c r="Y55" s="83">
        <v>57</v>
      </c>
      <c r="AD55" s="82"/>
      <c r="AG55" s="83"/>
      <c r="AL55" s="82"/>
      <c r="AO55" s="83"/>
      <c r="AP55" s="82"/>
      <c r="AS55" s="83"/>
      <c r="AW55" s="83"/>
      <c r="BA55" s="84"/>
    </row>
    <row r="56" spans="1:53" s="73" customFormat="1">
      <c r="A56" s="101">
        <v>1980</v>
      </c>
      <c r="B56" s="852"/>
      <c r="C56" s="917" t="s">
        <v>766</v>
      </c>
      <c r="D56" s="917"/>
      <c r="E56" s="73">
        <v>129</v>
      </c>
      <c r="G56" s="119">
        <v>21</v>
      </c>
      <c r="J56" s="126">
        <v>22</v>
      </c>
      <c r="K56" s="92">
        <f t="shared" si="5"/>
        <v>95.454545454545453</v>
      </c>
      <c r="L56" s="92">
        <f t="shared" si="6"/>
        <v>0</v>
      </c>
      <c r="M56" s="92">
        <f t="shared" si="7"/>
        <v>0</v>
      </c>
      <c r="N56" s="121">
        <f t="shared" si="8"/>
        <v>95.454545454545453</v>
      </c>
      <c r="O56" s="91">
        <v>57</v>
      </c>
      <c r="P56" s="92"/>
      <c r="Q56" s="92"/>
      <c r="R56" s="93">
        <f t="shared" si="9"/>
        <v>57</v>
      </c>
      <c r="S56" s="73">
        <v>1</v>
      </c>
      <c r="T56" s="839"/>
      <c r="U56" s="852"/>
      <c r="V56" s="82" t="s">
        <v>190</v>
      </c>
      <c r="W56" s="73" t="s">
        <v>77</v>
      </c>
      <c r="X56" s="73" t="s">
        <v>11</v>
      </c>
      <c r="Y56" s="83">
        <v>57</v>
      </c>
      <c r="AD56" s="82"/>
      <c r="AG56" s="83"/>
      <c r="AL56" s="82"/>
      <c r="AO56" s="83"/>
      <c r="AP56" s="82"/>
      <c r="AS56" s="83"/>
      <c r="AW56" s="83"/>
      <c r="BA56" s="84"/>
    </row>
    <row r="57" spans="1:53" s="292" customFormat="1">
      <c r="A57" s="338">
        <v>1980</v>
      </c>
      <c r="B57" s="836">
        <v>29350</v>
      </c>
      <c r="C57" s="916" t="s">
        <v>178</v>
      </c>
      <c r="D57" s="916"/>
      <c r="E57" s="292">
        <v>237</v>
      </c>
      <c r="F57" s="292">
        <v>2</v>
      </c>
      <c r="G57" s="366">
        <v>22</v>
      </c>
      <c r="J57" s="377">
        <v>24</v>
      </c>
      <c r="K57" s="336">
        <f t="shared" si="5"/>
        <v>91.666666666666657</v>
      </c>
      <c r="L57" s="336">
        <f t="shared" si="6"/>
        <v>0</v>
      </c>
      <c r="M57" s="336">
        <f t="shared" si="7"/>
        <v>0</v>
      </c>
      <c r="N57" s="368">
        <f t="shared" si="8"/>
        <v>91.666666666666657</v>
      </c>
      <c r="O57" s="335">
        <v>57</v>
      </c>
      <c r="P57" s="336"/>
      <c r="Q57" s="336"/>
      <c r="R57" s="337">
        <f t="shared" si="9"/>
        <v>57</v>
      </c>
      <c r="S57" s="292">
        <v>1</v>
      </c>
      <c r="T57" s="838"/>
      <c r="U57" s="836">
        <v>29350</v>
      </c>
      <c r="V57" s="299" t="s">
        <v>190</v>
      </c>
      <c r="W57" s="292" t="s">
        <v>77</v>
      </c>
      <c r="X57" s="292" t="s">
        <v>11</v>
      </c>
      <c r="Y57" s="300">
        <v>57</v>
      </c>
      <c r="AD57" s="299"/>
      <c r="AG57" s="300"/>
      <c r="AL57" s="299"/>
      <c r="AO57" s="300"/>
      <c r="AP57" s="299"/>
      <c r="AS57" s="300"/>
      <c r="AW57" s="300"/>
      <c r="BA57" s="301"/>
    </row>
    <row r="58" spans="1:53" s="292" customFormat="1">
      <c r="A58" s="338">
        <v>1981</v>
      </c>
      <c r="B58" s="836"/>
      <c r="C58" s="916" t="s">
        <v>178</v>
      </c>
      <c r="D58" s="916"/>
      <c r="E58" s="292">
        <v>293</v>
      </c>
      <c r="G58" s="366">
        <v>22</v>
      </c>
      <c r="J58" s="377">
        <v>24</v>
      </c>
      <c r="K58" s="336">
        <f t="shared" si="5"/>
        <v>91.666666666666657</v>
      </c>
      <c r="L58" s="336">
        <f t="shared" si="6"/>
        <v>0</v>
      </c>
      <c r="M58" s="336">
        <f t="shared" si="7"/>
        <v>0</v>
      </c>
      <c r="N58" s="368">
        <f t="shared" si="8"/>
        <v>91.666666666666657</v>
      </c>
      <c r="O58" s="335">
        <v>57</v>
      </c>
      <c r="P58" s="336"/>
      <c r="Q58" s="336"/>
      <c r="R58" s="337">
        <f t="shared" si="9"/>
        <v>57</v>
      </c>
      <c r="S58" s="292">
        <v>1</v>
      </c>
      <c r="T58" s="838"/>
      <c r="U58" s="836"/>
      <c r="V58" s="299" t="s">
        <v>190</v>
      </c>
      <c r="W58" s="292" t="s">
        <v>77</v>
      </c>
      <c r="X58" s="292" t="s">
        <v>11</v>
      </c>
      <c r="Y58" s="300">
        <v>57</v>
      </c>
      <c r="AD58" s="299"/>
      <c r="AG58" s="300"/>
      <c r="AL58" s="299"/>
      <c r="AO58" s="300"/>
      <c r="AP58" s="299"/>
      <c r="AS58" s="300"/>
      <c r="AW58" s="300"/>
      <c r="BA58" s="301"/>
    </row>
    <row r="59" spans="1:53" s="73" customFormat="1">
      <c r="A59" s="101">
        <v>1981</v>
      </c>
      <c r="B59" s="852">
        <v>29880</v>
      </c>
      <c r="C59" s="917" t="s">
        <v>1363</v>
      </c>
      <c r="D59" s="917"/>
      <c r="E59" s="73">
        <v>72</v>
      </c>
      <c r="F59" s="73">
        <v>1</v>
      </c>
      <c r="G59" s="119"/>
      <c r="I59" s="73">
        <v>21</v>
      </c>
      <c r="J59" s="126">
        <v>21</v>
      </c>
      <c r="K59" s="92">
        <f t="shared" si="5"/>
        <v>0</v>
      </c>
      <c r="L59" s="92">
        <f t="shared" si="6"/>
        <v>0</v>
      </c>
      <c r="M59" s="92">
        <f t="shared" si="7"/>
        <v>100</v>
      </c>
      <c r="N59" s="121">
        <f t="shared" si="8"/>
        <v>100</v>
      </c>
      <c r="O59" s="91"/>
      <c r="P59" s="92"/>
      <c r="Q59" s="92">
        <v>57.3</v>
      </c>
      <c r="R59" s="93">
        <f t="shared" si="9"/>
        <v>57.3</v>
      </c>
      <c r="S59" s="73">
        <v>1</v>
      </c>
      <c r="T59" s="839">
        <v>29877</v>
      </c>
      <c r="U59" s="852">
        <v>29880</v>
      </c>
      <c r="V59" s="82" t="s">
        <v>191</v>
      </c>
      <c r="W59" s="73" t="s">
        <v>20</v>
      </c>
      <c r="X59" s="73" t="s">
        <v>12</v>
      </c>
      <c r="Y59" s="83">
        <v>57.3</v>
      </c>
      <c r="AD59" s="82"/>
      <c r="AG59" s="83"/>
      <c r="AL59" s="82"/>
      <c r="AO59" s="83"/>
      <c r="AP59" s="82"/>
      <c r="AS59" s="83"/>
      <c r="AW59" s="83"/>
      <c r="BA59" s="84"/>
    </row>
    <row r="60" spans="1:53" s="73" customFormat="1">
      <c r="A60" s="101">
        <v>1982</v>
      </c>
      <c r="B60" s="852"/>
      <c r="C60" s="917" t="s">
        <v>1363</v>
      </c>
      <c r="D60" s="917"/>
      <c r="E60" s="73">
        <v>0</v>
      </c>
      <c r="G60" s="119"/>
      <c r="I60" s="73">
        <v>21</v>
      </c>
      <c r="J60" s="126">
        <v>21</v>
      </c>
      <c r="K60" s="92">
        <f t="shared" si="5"/>
        <v>0</v>
      </c>
      <c r="L60" s="92">
        <f t="shared" si="6"/>
        <v>0</v>
      </c>
      <c r="M60" s="92">
        <f t="shared" si="7"/>
        <v>100</v>
      </c>
      <c r="N60" s="121">
        <f t="shared" si="8"/>
        <v>100</v>
      </c>
      <c r="O60" s="91"/>
      <c r="P60" s="92"/>
      <c r="Q60" s="92">
        <v>57.3</v>
      </c>
      <c r="R60" s="93">
        <f t="shared" si="9"/>
        <v>57.3</v>
      </c>
      <c r="S60" s="73">
        <v>1</v>
      </c>
      <c r="T60" s="839"/>
      <c r="U60" s="852"/>
      <c r="V60" s="82" t="s">
        <v>191</v>
      </c>
      <c r="W60" s="73" t="s">
        <v>20</v>
      </c>
      <c r="X60" s="73" t="s">
        <v>12</v>
      </c>
      <c r="Y60" s="83">
        <v>57.3</v>
      </c>
      <c r="AD60" s="82"/>
      <c r="AG60" s="83"/>
      <c r="AL60" s="82"/>
      <c r="AO60" s="83"/>
      <c r="AP60" s="82"/>
      <c r="AS60" s="83"/>
      <c r="AW60" s="83"/>
      <c r="BA60" s="84"/>
    </row>
    <row r="61" spans="1:53" s="73" customFormat="1">
      <c r="A61" s="101">
        <v>1982</v>
      </c>
      <c r="B61" s="852"/>
      <c r="C61" s="917" t="s">
        <v>1363</v>
      </c>
      <c r="D61" s="917"/>
      <c r="E61" s="73">
        <v>365</v>
      </c>
      <c r="G61" s="119"/>
      <c r="I61" s="73">
        <v>21</v>
      </c>
      <c r="J61" s="126">
        <v>21</v>
      </c>
      <c r="K61" s="92">
        <f t="shared" si="5"/>
        <v>0</v>
      </c>
      <c r="L61" s="92">
        <f t="shared" si="6"/>
        <v>0</v>
      </c>
      <c r="M61" s="92">
        <f t="shared" si="7"/>
        <v>100</v>
      </c>
      <c r="N61" s="121">
        <f t="shared" si="8"/>
        <v>100</v>
      </c>
      <c r="O61" s="91"/>
      <c r="P61" s="92"/>
      <c r="Q61" s="92">
        <v>57.3</v>
      </c>
      <c r="R61" s="93">
        <f t="shared" si="9"/>
        <v>57.3</v>
      </c>
      <c r="S61" s="73">
        <v>1</v>
      </c>
      <c r="T61" s="839"/>
      <c r="U61" s="852"/>
      <c r="V61" s="82" t="s">
        <v>191</v>
      </c>
      <c r="W61" s="73" t="s">
        <v>20</v>
      </c>
      <c r="X61" s="73" t="s">
        <v>12</v>
      </c>
      <c r="Y61" s="83">
        <v>57.3</v>
      </c>
      <c r="AD61" s="82"/>
      <c r="AG61" s="83"/>
      <c r="AL61" s="82"/>
      <c r="AO61" s="83"/>
      <c r="AP61" s="82"/>
      <c r="AS61" s="83"/>
      <c r="AW61" s="83"/>
      <c r="BA61" s="84"/>
    </row>
    <row r="62" spans="1:53" s="73" customFormat="1">
      <c r="A62" s="101">
        <v>1983</v>
      </c>
      <c r="B62" s="852"/>
      <c r="C62" s="917" t="s">
        <v>1363</v>
      </c>
      <c r="D62" s="917"/>
      <c r="E62" s="73">
        <v>0</v>
      </c>
      <c r="G62" s="119"/>
      <c r="I62" s="73">
        <v>21</v>
      </c>
      <c r="J62" s="126">
        <v>21</v>
      </c>
      <c r="K62" s="92">
        <f t="shared" si="5"/>
        <v>0</v>
      </c>
      <c r="L62" s="92">
        <f t="shared" si="6"/>
        <v>0</v>
      </c>
      <c r="M62" s="92">
        <f t="shared" si="7"/>
        <v>100</v>
      </c>
      <c r="N62" s="121">
        <f t="shared" si="8"/>
        <v>100</v>
      </c>
      <c r="O62" s="91"/>
      <c r="P62" s="92"/>
      <c r="Q62" s="92">
        <v>57.3</v>
      </c>
      <c r="R62" s="93">
        <f t="shared" si="9"/>
        <v>57.3</v>
      </c>
      <c r="S62" s="73">
        <v>1</v>
      </c>
      <c r="T62" s="839"/>
      <c r="U62" s="852"/>
      <c r="V62" s="82" t="s">
        <v>191</v>
      </c>
      <c r="W62" s="73" t="s">
        <v>20</v>
      </c>
      <c r="X62" s="73" t="s">
        <v>12</v>
      </c>
      <c r="Y62" s="83">
        <v>57.3</v>
      </c>
      <c r="AD62" s="82"/>
      <c r="AG62" s="83"/>
      <c r="AL62" s="82"/>
      <c r="AO62" s="83"/>
      <c r="AP62" s="82"/>
      <c r="AS62" s="83"/>
      <c r="AW62" s="83"/>
      <c r="BA62" s="84"/>
    </row>
    <row r="63" spans="1:53" s="73" customFormat="1">
      <c r="A63" s="101">
        <v>1983</v>
      </c>
      <c r="B63" s="852"/>
      <c r="C63" s="917" t="s">
        <v>1363</v>
      </c>
      <c r="D63" s="917"/>
      <c r="E63" s="73">
        <v>365</v>
      </c>
      <c r="G63" s="119"/>
      <c r="I63" s="73">
        <v>21</v>
      </c>
      <c r="J63" s="126">
        <v>21</v>
      </c>
      <c r="K63" s="92">
        <f>G63/J63*100</f>
        <v>0</v>
      </c>
      <c r="L63" s="92">
        <f>H63/J63*100</f>
        <v>0</v>
      </c>
      <c r="M63" s="92">
        <f>I63/J63*100</f>
        <v>100</v>
      </c>
      <c r="N63" s="121">
        <f t="shared" ref="N63:N126" si="10">SUM(K63:M63)</f>
        <v>100</v>
      </c>
      <c r="O63" s="91"/>
      <c r="P63" s="92"/>
      <c r="Q63" s="92">
        <v>57.3</v>
      </c>
      <c r="R63" s="93">
        <f t="shared" si="9"/>
        <v>57.3</v>
      </c>
      <c r="S63" s="73">
        <v>1</v>
      </c>
      <c r="T63" s="839"/>
      <c r="U63" s="852"/>
      <c r="V63" s="82" t="s">
        <v>191</v>
      </c>
      <c r="W63" s="73" t="s">
        <v>20</v>
      </c>
      <c r="X63" s="73" t="s">
        <v>12</v>
      </c>
      <c r="Y63" s="83">
        <v>57.3</v>
      </c>
      <c r="AD63" s="82"/>
      <c r="AG63" s="83"/>
      <c r="AL63" s="82"/>
      <c r="AO63" s="83"/>
      <c r="AP63" s="82"/>
      <c r="AS63" s="83"/>
      <c r="AW63" s="83"/>
      <c r="BA63" s="84"/>
    </row>
    <row r="64" spans="1:53" s="73" customFormat="1">
      <c r="A64" s="101">
        <v>1984</v>
      </c>
      <c r="B64" s="852"/>
      <c r="C64" s="917" t="s">
        <v>1363</v>
      </c>
      <c r="D64" s="917"/>
      <c r="E64" s="73">
        <v>0</v>
      </c>
      <c r="G64" s="119"/>
      <c r="I64" s="73">
        <v>21</v>
      </c>
      <c r="J64" s="126">
        <v>21</v>
      </c>
      <c r="K64" s="92">
        <f t="shared" ref="K64:K79" si="11">G64/J64*100</f>
        <v>0</v>
      </c>
      <c r="L64" s="92">
        <f t="shared" ref="L64:L79" si="12">H64/J64*100</f>
        <v>0</v>
      </c>
      <c r="M64" s="92">
        <f t="shared" ref="M64:M79" si="13">I64/J64*100</f>
        <v>100</v>
      </c>
      <c r="N64" s="121">
        <f t="shared" si="10"/>
        <v>100</v>
      </c>
      <c r="O64" s="91"/>
      <c r="P64" s="92"/>
      <c r="Q64" s="92">
        <v>57.3</v>
      </c>
      <c r="R64" s="93">
        <f t="shared" si="9"/>
        <v>57.3</v>
      </c>
      <c r="S64" s="73">
        <v>1</v>
      </c>
      <c r="T64" s="839"/>
      <c r="U64" s="852"/>
      <c r="V64" s="82" t="s">
        <v>191</v>
      </c>
      <c r="W64" s="73" t="s">
        <v>20</v>
      </c>
      <c r="X64" s="73" t="s">
        <v>12</v>
      </c>
      <c r="Y64" s="83">
        <v>57.3</v>
      </c>
      <c r="AD64" s="82"/>
      <c r="AG64" s="83"/>
      <c r="AL64" s="82"/>
      <c r="AO64" s="83"/>
      <c r="AP64" s="82"/>
      <c r="AS64" s="83"/>
      <c r="AW64" s="83"/>
      <c r="BA64" s="84"/>
    </row>
    <row r="65" spans="1:53" s="73" customFormat="1">
      <c r="A65" s="101">
        <v>1984</v>
      </c>
      <c r="B65" s="852"/>
      <c r="C65" s="917" t="s">
        <v>1363</v>
      </c>
      <c r="D65" s="917"/>
      <c r="E65" s="73">
        <v>366</v>
      </c>
      <c r="G65" s="119"/>
      <c r="I65" s="73">
        <v>21</v>
      </c>
      <c r="J65" s="126">
        <v>21</v>
      </c>
      <c r="K65" s="92">
        <f t="shared" ref="K65:K70" si="14">G65/J65*100</f>
        <v>0</v>
      </c>
      <c r="L65" s="92">
        <f t="shared" ref="L65:L70" si="15">H65/J65*100</f>
        <v>0</v>
      </c>
      <c r="M65" s="92">
        <f t="shared" ref="M65:M70" si="16">I65/J65*100</f>
        <v>100</v>
      </c>
      <c r="N65" s="121">
        <f t="shared" si="10"/>
        <v>100</v>
      </c>
      <c r="O65" s="91"/>
      <c r="P65" s="92"/>
      <c r="Q65" s="92">
        <v>57.3</v>
      </c>
      <c r="R65" s="93">
        <f t="shared" si="9"/>
        <v>57.3</v>
      </c>
      <c r="S65" s="73">
        <v>1</v>
      </c>
      <c r="T65" s="839"/>
      <c r="U65" s="852"/>
      <c r="V65" s="82" t="s">
        <v>191</v>
      </c>
      <c r="W65" s="73" t="s">
        <v>20</v>
      </c>
      <c r="X65" s="73" t="s">
        <v>12</v>
      </c>
      <c r="Y65" s="83">
        <v>57.3</v>
      </c>
      <c r="AD65" s="82"/>
      <c r="AG65" s="83"/>
      <c r="AL65" s="82"/>
      <c r="AO65" s="83"/>
      <c r="AP65" s="82"/>
      <c r="AS65" s="83"/>
      <c r="AW65" s="83"/>
      <c r="BA65" s="84"/>
    </row>
    <row r="66" spans="1:53" s="73" customFormat="1">
      <c r="A66" s="101">
        <v>1985</v>
      </c>
      <c r="B66" s="852"/>
      <c r="C66" s="917" t="s">
        <v>1363</v>
      </c>
      <c r="D66" s="917"/>
      <c r="E66" s="73">
        <v>155</v>
      </c>
      <c r="G66" s="119"/>
      <c r="I66" s="73">
        <v>21</v>
      </c>
      <c r="J66" s="126">
        <v>21</v>
      </c>
      <c r="K66" s="92">
        <f t="shared" si="14"/>
        <v>0</v>
      </c>
      <c r="L66" s="92">
        <f t="shared" si="15"/>
        <v>0</v>
      </c>
      <c r="M66" s="92">
        <f t="shared" si="16"/>
        <v>100</v>
      </c>
      <c r="N66" s="121">
        <f t="shared" si="10"/>
        <v>100</v>
      </c>
      <c r="O66" s="91"/>
      <c r="P66" s="92"/>
      <c r="Q66" s="92">
        <v>57.3</v>
      </c>
      <c r="R66" s="93">
        <f t="shared" si="9"/>
        <v>57.3</v>
      </c>
      <c r="S66" s="73">
        <v>1</v>
      </c>
      <c r="T66" s="839"/>
      <c r="U66" s="852"/>
      <c r="V66" s="82" t="s">
        <v>191</v>
      </c>
      <c r="W66" s="73" t="s">
        <v>20</v>
      </c>
      <c r="X66" s="73" t="s">
        <v>12</v>
      </c>
      <c r="Y66" s="83">
        <v>57.3</v>
      </c>
      <c r="AD66" s="82"/>
      <c r="AG66" s="83"/>
      <c r="AL66" s="82"/>
      <c r="AO66" s="83"/>
      <c r="AP66" s="82"/>
      <c r="AS66" s="83"/>
      <c r="AW66" s="83"/>
      <c r="BA66" s="84"/>
    </row>
    <row r="67" spans="1:53" s="292" customFormat="1">
      <c r="A67" s="338">
        <v>1985</v>
      </c>
      <c r="B67" s="836">
        <v>31203</v>
      </c>
      <c r="C67" s="916" t="s">
        <v>1364</v>
      </c>
      <c r="D67" s="916"/>
      <c r="E67" s="292">
        <v>51</v>
      </c>
      <c r="F67" s="292">
        <v>1</v>
      </c>
      <c r="G67" s="366"/>
      <c r="I67" s="292">
        <v>15</v>
      </c>
      <c r="J67" s="377">
        <v>15</v>
      </c>
      <c r="K67" s="336">
        <f t="shared" si="14"/>
        <v>0</v>
      </c>
      <c r="L67" s="336">
        <f t="shared" si="15"/>
        <v>0</v>
      </c>
      <c r="M67" s="336">
        <f t="shared" si="16"/>
        <v>100</v>
      </c>
      <c r="N67" s="368">
        <f t="shared" si="10"/>
        <v>100</v>
      </c>
      <c r="O67" s="335"/>
      <c r="P67" s="336"/>
      <c r="Q67" s="336">
        <v>53.7</v>
      </c>
      <c r="R67" s="337">
        <f t="shared" si="9"/>
        <v>53.7</v>
      </c>
      <c r="S67" s="292">
        <v>1</v>
      </c>
      <c r="T67" s="838">
        <v>31200</v>
      </c>
      <c r="U67" s="836">
        <v>31203</v>
      </c>
      <c r="V67" s="299" t="s">
        <v>191</v>
      </c>
      <c r="W67" s="292" t="s">
        <v>20</v>
      </c>
      <c r="X67" s="292" t="s">
        <v>12</v>
      </c>
      <c r="Y67" s="300">
        <v>53.7</v>
      </c>
      <c r="AD67" s="299"/>
      <c r="AG67" s="300"/>
      <c r="AL67" s="299"/>
      <c r="AO67" s="300"/>
      <c r="AP67" s="299"/>
      <c r="AS67" s="300"/>
      <c r="AW67" s="300"/>
      <c r="BA67" s="301"/>
    </row>
    <row r="68" spans="1:53" s="292" customFormat="1">
      <c r="A68" s="338">
        <v>1985</v>
      </c>
      <c r="B68" s="865">
        <v>31254</v>
      </c>
      <c r="C68" s="916" t="s">
        <v>1364</v>
      </c>
      <c r="D68" s="916"/>
      <c r="E68" s="292">
        <v>159</v>
      </c>
      <c r="F68" s="381">
        <v>0</v>
      </c>
      <c r="G68" s="366"/>
      <c r="I68" s="292">
        <v>25</v>
      </c>
      <c r="J68" s="377">
        <v>25</v>
      </c>
      <c r="K68" s="336">
        <f t="shared" si="14"/>
        <v>0</v>
      </c>
      <c r="L68" s="336">
        <f t="shared" si="15"/>
        <v>0</v>
      </c>
      <c r="M68" s="336">
        <f t="shared" si="16"/>
        <v>100</v>
      </c>
      <c r="N68" s="368">
        <f t="shared" si="10"/>
        <v>100</v>
      </c>
      <c r="O68" s="335"/>
      <c r="P68" s="336"/>
      <c r="Q68" s="336">
        <v>53.7</v>
      </c>
      <c r="R68" s="337">
        <f t="shared" si="9"/>
        <v>53.7</v>
      </c>
      <c r="S68" s="292">
        <v>1</v>
      </c>
      <c r="T68" s="838"/>
      <c r="U68" s="836"/>
      <c r="V68" s="299" t="s">
        <v>191</v>
      </c>
      <c r="W68" s="292" t="s">
        <v>20</v>
      </c>
      <c r="X68" s="292" t="s">
        <v>12</v>
      </c>
      <c r="Y68" s="300">
        <v>53.7</v>
      </c>
      <c r="AD68" s="299"/>
      <c r="AG68" s="300"/>
      <c r="AL68" s="299"/>
      <c r="AO68" s="300"/>
      <c r="AP68" s="299"/>
      <c r="AS68" s="300"/>
      <c r="AW68" s="300"/>
      <c r="BA68" s="301"/>
    </row>
    <row r="69" spans="1:53" s="292" customFormat="1">
      <c r="A69" s="338">
        <v>1986</v>
      </c>
      <c r="B69" s="836"/>
      <c r="C69" s="916" t="s">
        <v>1364</v>
      </c>
      <c r="D69" s="916"/>
      <c r="E69" s="292">
        <v>0</v>
      </c>
      <c r="G69" s="366"/>
      <c r="I69" s="292">
        <v>25</v>
      </c>
      <c r="J69" s="377">
        <v>25</v>
      </c>
      <c r="K69" s="336">
        <f t="shared" si="14"/>
        <v>0</v>
      </c>
      <c r="L69" s="336">
        <f t="shared" si="15"/>
        <v>0</v>
      </c>
      <c r="M69" s="336">
        <f t="shared" si="16"/>
        <v>100</v>
      </c>
      <c r="N69" s="368">
        <f t="shared" si="10"/>
        <v>100</v>
      </c>
      <c r="O69" s="335"/>
      <c r="P69" s="336"/>
      <c r="Q69" s="336">
        <v>53.7</v>
      </c>
      <c r="R69" s="337">
        <f t="shared" si="9"/>
        <v>53.7</v>
      </c>
      <c r="S69" s="292">
        <v>1</v>
      </c>
      <c r="T69" s="838"/>
      <c r="U69" s="836"/>
      <c r="V69" s="299" t="s">
        <v>191</v>
      </c>
      <c r="W69" s="292" t="s">
        <v>20</v>
      </c>
      <c r="X69" s="292" t="s">
        <v>12</v>
      </c>
      <c r="Y69" s="300">
        <v>53.7</v>
      </c>
      <c r="AD69" s="299"/>
      <c r="AG69" s="300"/>
      <c r="AL69" s="299"/>
      <c r="AO69" s="300"/>
      <c r="AP69" s="299"/>
      <c r="AS69" s="300"/>
      <c r="AW69" s="300"/>
      <c r="BA69" s="301"/>
    </row>
    <row r="70" spans="1:53" s="292" customFormat="1">
      <c r="A70" s="338">
        <v>1986</v>
      </c>
      <c r="B70" s="836"/>
      <c r="C70" s="916" t="s">
        <v>1364</v>
      </c>
      <c r="D70" s="916"/>
      <c r="E70" s="292">
        <v>365</v>
      </c>
      <c r="G70" s="366"/>
      <c r="I70" s="292">
        <v>25</v>
      </c>
      <c r="J70" s="377">
        <v>25</v>
      </c>
      <c r="K70" s="336">
        <f t="shared" si="14"/>
        <v>0</v>
      </c>
      <c r="L70" s="336">
        <f t="shared" si="15"/>
        <v>0</v>
      </c>
      <c r="M70" s="336">
        <f t="shared" si="16"/>
        <v>100</v>
      </c>
      <c r="N70" s="368">
        <f t="shared" si="10"/>
        <v>100</v>
      </c>
      <c r="O70" s="335"/>
      <c r="P70" s="336"/>
      <c r="Q70" s="336">
        <v>53.7</v>
      </c>
      <c r="R70" s="337">
        <f t="shared" si="9"/>
        <v>53.7</v>
      </c>
      <c r="S70" s="292">
        <v>1</v>
      </c>
      <c r="T70" s="838"/>
      <c r="U70" s="836"/>
      <c r="V70" s="299" t="s">
        <v>191</v>
      </c>
      <c r="W70" s="292" t="s">
        <v>20</v>
      </c>
      <c r="X70" s="292" t="s">
        <v>12</v>
      </c>
      <c r="Y70" s="300">
        <v>53.7</v>
      </c>
      <c r="AD70" s="299"/>
      <c r="AG70" s="300"/>
      <c r="AL70" s="299"/>
      <c r="AO70" s="300"/>
      <c r="AP70" s="299"/>
      <c r="AS70" s="300"/>
      <c r="AW70" s="300"/>
      <c r="BA70" s="301"/>
    </row>
    <row r="71" spans="1:53" s="292" customFormat="1">
      <c r="A71" s="338">
        <v>1987</v>
      </c>
      <c r="B71" s="836"/>
      <c r="C71" s="916" t="s">
        <v>1364</v>
      </c>
      <c r="D71" s="916"/>
      <c r="E71" s="292">
        <v>0</v>
      </c>
      <c r="G71" s="366"/>
      <c r="I71" s="292">
        <v>25</v>
      </c>
      <c r="J71" s="377">
        <v>25</v>
      </c>
      <c r="K71" s="336">
        <f t="shared" si="11"/>
        <v>0</v>
      </c>
      <c r="L71" s="336">
        <f t="shared" si="12"/>
        <v>0</v>
      </c>
      <c r="M71" s="336">
        <f t="shared" si="13"/>
        <v>100</v>
      </c>
      <c r="N71" s="368">
        <f t="shared" si="10"/>
        <v>100</v>
      </c>
      <c r="O71" s="335"/>
      <c r="P71" s="336"/>
      <c r="Q71" s="336">
        <v>53.7</v>
      </c>
      <c r="R71" s="337">
        <f t="shared" si="9"/>
        <v>53.7</v>
      </c>
      <c r="S71" s="292">
        <v>1</v>
      </c>
      <c r="T71" s="838"/>
      <c r="U71" s="836"/>
      <c r="V71" s="299" t="s">
        <v>191</v>
      </c>
      <c r="W71" s="292" t="s">
        <v>20</v>
      </c>
      <c r="X71" s="292" t="s">
        <v>12</v>
      </c>
      <c r="Y71" s="300">
        <v>53.7</v>
      </c>
      <c r="AD71" s="299"/>
      <c r="AG71" s="300"/>
      <c r="AL71" s="299"/>
      <c r="AO71" s="300"/>
      <c r="AP71" s="299"/>
      <c r="AS71" s="300"/>
      <c r="AW71" s="300"/>
      <c r="BA71" s="301"/>
    </row>
    <row r="72" spans="1:53" s="292" customFormat="1">
      <c r="A72" s="338">
        <v>1987</v>
      </c>
      <c r="B72" s="836"/>
      <c r="C72" s="916" t="s">
        <v>1364</v>
      </c>
      <c r="D72" s="916"/>
      <c r="E72" s="292">
        <v>365</v>
      </c>
      <c r="G72" s="366"/>
      <c r="I72" s="292">
        <v>25</v>
      </c>
      <c r="J72" s="377">
        <v>25</v>
      </c>
      <c r="K72" s="336">
        <f t="shared" si="11"/>
        <v>0</v>
      </c>
      <c r="L72" s="336">
        <f t="shared" si="12"/>
        <v>0</v>
      </c>
      <c r="M72" s="336">
        <f t="shared" si="13"/>
        <v>100</v>
      </c>
      <c r="N72" s="368">
        <f t="shared" si="10"/>
        <v>100</v>
      </c>
      <c r="O72" s="335"/>
      <c r="P72" s="336"/>
      <c r="Q72" s="336">
        <v>53.7</v>
      </c>
      <c r="R72" s="337">
        <f t="shared" si="9"/>
        <v>53.7</v>
      </c>
      <c r="S72" s="292">
        <v>1</v>
      </c>
      <c r="T72" s="838"/>
      <c r="U72" s="836"/>
      <c r="V72" s="299" t="s">
        <v>191</v>
      </c>
      <c r="W72" s="292" t="s">
        <v>20</v>
      </c>
      <c r="X72" s="292" t="s">
        <v>12</v>
      </c>
      <c r="Y72" s="300">
        <v>53.7</v>
      </c>
      <c r="AD72" s="299"/>
      <c r="AG72" s="300"/>
      <c r="AL72" s="299"/>
      <c r="AO72" s="300"/>
      <c r="AP72" s="299"/>
      <c r="AS72" s="300"/>
      <c r="AW72" s="300"/>
      <c r="BA72" s="301"/>
    </row>
    <row r="73" spans="1:53" s="292" customFormat="1">
      <c r="A73" s="338">
        <v>1988</v>
      </c>
      <c r="B73" s="836"/>
      <c r="C73" s="916" t="s">
        <v>1364</v>
      </c>
      <c r="D73" s="916"/>
      <c r="E73" s="292">
        <v>0</v>
      </c>
      <c r="G73" s="366"/>
      <c r="I73" s="292">
        <v>25</v>
      </c>
      <c r="J73" s="377">
        <v>25</v>
      </c>
      <c r="K73" s="336">
        <f t="shared" si="11"/>
        <v>0</v>
      </c>
      <c r="L73" s="336">
        <f t="shared" si="12"/>
        <v>0</v>
      </c>
      <c r="M73" s="336">
        <f t="shared" si="13"/>
        <v>100</v>
      </c>
      <c r="N73" s="368">
        <f t="shared" si="10"/>
        <v>100</v>
      </c>
      <c r="O73" s="335"/>
      <c r="P73" s="336"/>
      <c r="Q73" s="336">
        <v>53.7</v>
      </c>
      <c r="R73" s="337">
        <f t="shared" si="9"/>
        <v>53.7</v>
      </c>
      <c r="S73" s="292">
        <v>1</v>
      </c>
      <c r="T73" s="838"/>
      <c r="U73" s="836"/>
      <c r="V73" s="299" t="s">
        <v>191</v>
      </c>
      <c r="W73" s="292" t="s">
        <v>20</v>
      </c>
      <c r="X73" s="292" t="s">
        <v>12</v>
      </c>
      <c r="Y73" s="300">
        <v>53.7</v>
      </c>
      <c r="AD73" s="299"/>
      <c r="AG73" s="300"/>
      <c r="AL73" s="299"/>
      <c r="AO73" s="300"/>
      <c r="AP73" s="299"/>
      <c r="AS73" s="300"/>
      <c r="AW73" s="300"/>
      <c r="BA73" s="301"/>
    </row>
    <row r="74" spans="1:53" s="292" customFormat="1">
      <c r="A74" s="338">
        <v>1988</v>
      </c>
      <c r="B74" s="836"/>
      <c r="C74" s="916" t="s">
        <v>1364</v>
      </c>
      <c r="D74" s="916"/>
      <c r="E74" s="292">
        <v>366</v>
      </c>
      <c r="G74" s="366"/>
      <c r="I74" s="292">
        <v>25</v>
      </c>
      <c r="J74" s="377">
        <v>25</v>
      </c>
      <c r="K74" s="336">
        <f t="shared" si="11"/>
        <v>0</v>
      </c>
      <c r="L74" s="336">
        <f t="shared" si="12"/>
        <v>0</v>
      </c>
      <c r="M74" s="336">
        <f t="shared" si="13"/>
        <v>100</v>
      </c>
      <c r="N74" s="368">
        <f t="shared" si="10"/>
        <v>100</v>
      </c>
      <c r="O74" s="335"/>
      <c r="P74" s="336"/>
      <c r="Q74" s="336">
        <v>53.7</v>
      </c>
      <c r="R74" s="337">
        <f t="shared" si="9"/>
        <v>53.7</v>
      </c>
      <c r="S74" s="292">
        <v>1</v>
      </c>
      <c r="T74" s="838"/>
      <c r="U74" s="836"/>
      <c r="V74" s="299" t="s">
        <v>191</v>
      </c>
      <c r="W74" s="292" t="s">
        <v>20</v>
      </c>
      <c r="X74" s="292" t="s">
        <v>12</v>
      </c>
      <c r="Y74" s="300">
        <v>53.7</v>
      </c>
      <c r="AD74" s="299"/>
      <c r="AG74" s="300"/>
      <c r="AL74" s="299"/>
      <c r="AO74" s="300"/>
      <c r="AP74" s="299"/>
      <c r="AS74" s="300"/>
      <c r="AW74" s="300"/>
      <c r="BA74" s="301"/>
    </row>
    <row r="75" spans="1:53" s="292" customFormat="1">
      <c r="A75" s="338">
        <v>1989</v>
      </c>
      <c r="B75" s="836"/>
      <c r="C75" s="916" t="s">
        <v>1364</v>
      </c>
      <c r="D75" s="916"/>
      <c r="E75" s="292">
        <v>182</v>
      </c>
      <c r="G75" s="366"/>
      <c r="I75" s="292">
        <v>25</v>
      </c>
      <c r="J75" s="377">
        <v>25</v>
      </c>
      <c r="K75" s="336">
        <f t="shared" si="11"/>
        <v>0</v>
      </c>
      <c r="L75" s="336">
        <f t="shared" si="12"/>
        <v>0</v>
      </c>
      <c r="M75" s="336">
        <f t="shared" si="13"/>
        <v>100</v>
      </c>
      <c r="N75" s="368">
        <f t="shared" si="10"/>
        <v>100</v>
      </c>
      <c r="O75" s="335"/>
      <c r="P75" s="336"/>
      <c r="Q75" s="336">
        <v>53.7</v>
      </c>
      <c r="R75" s="337">
        <f t="shared" si="9"/>
        <v>53.7</v>
      </c>
      <c r="S75" s="292">
        <v>1</v>
      </c>
      <c r="T75" s="838"/>
      <c r="U75" s="836"/>
      <c r="V75" s="299" t="s">
        <v>191</v>
      </c>
      <c r="W75" s="292" t="s">
        <v>20</v>
      </c>
      <c r="X75" s="292" t="s">
        <v>12</v>
      </c>
      <c r="Y75" s="300">
        <v>53.7</v>
      </c>
      <c r="AD75" s="299"/>
      <c r="AG75" s="300"/>
      <c r="AL75" s="299"/>
      <c r="AO75" s="300"/>
      <c r="AP75" s="299"/>
      <c r="AS75" s="300"/>
      <c r="AW75" s="300"/>
      <c r="BA75" s="301"/>
    </row>
    <row r="76" spans="1:53" s="73" customFormat="1">
      <c r="A76" s="101">
        <v>1989</v>
      </c>
      <c r="B76" s="852">
        <v>32691</v>
      </c>
      <c r="C76" s="917" t="s">
        <v>179</v>
      </c>
      <c r="D76" s="917"/>
      <c r="E76" s="73">
        <v>102</v>
      </c>
      <c r="F76" s="73">
        <v>1</v>
      </c>
      <c r="G76" s="119">
        <v>21</v>
      </c>
      <c r="I76" s="73">
        <v>2</v>
      </c>
      <c r="J76" s="126">
        <v>23</v>
      </c>
      <c r="K76" s="92">
        <f>G76/J76*100</f>
        <v>91.304347826086953</v>
      </c>
      <c r="L76" s="92">
        <f>H76/J76*100</f>
        <v>0</v>
      </c>
      <c r="M76" s="92">
        <f>I76/J76*100</f>
        <v>8.695652173913043</v>
      </c>
      <c r="N76" s="121">
        <f t="shared" si="10"/>
        <v>100</v>
      </c>
      <c r="O76" s="91">
        <v>48.3</v>
      </c>
      <c r="P76" s="92"/>
      <c r="Q76" s="92">
        <v>9.3000000000000007</v>
      </c>
      <c r="R76" s="93">
        <f t="shared" si="9"/>
        <v>57.599999999999994</v>
      </c>
      <c r="S76" s="73">
        <v>2</v>
      </c>
      <c r="T76" s="839">
        <v>32677</v>
      </c>
      <c r="U76" s="852">
        <v>32691</v>
      </c>
      <c r="V76" s="82" t="s">
        <v>190</v>
      </c>
      <c r="W76" s="73" t="s">
        <v>77</v>
      </c>
      <c r="X76" s="73" t="s">
        <v>11</v>
      </c>
      <c r="Y76" s="83">
        <v>48.3</v>
      </c>
      <c r="Z76" s="73" t="s">
        <v>192</v>
      </c>
      <c r="AA76" s="73" t="s">
        <v>193</v>
      </c>
      <c r="AB76" s="73" t="s">
        <v>12</v>
      </c>
      <c r="AC76" s="73">
        <v>9.3000000000000007</v>
      </c>
      <c r="AD76" s="82"/>
      <c r="AG76" s="83"/>
      <c r="AL76" s="82"/>
      <c r="AO76" s="83"/>
      <c r="AP76" s="82"/>
      <c r="AS76" s="83"/>
      <c r="AW76" s="83"/>
      <c r="BA76" s="84"/>
    </row>
    <row r="77" spans="1:53" s="292" customFormat="1">
      <c r="A77" s="338">
        <v>1989</v>
      </c>
      <c r="B77" s="836">
        <v>32793</v>
      </c>
      <c r="C77" s="916" t="s">
        <v>187</v>
      </c>
      <c r="D77" s="916"/>
      <c r="E77" s="292">
        <v>41</v>
      </c>
      <c r="F77" s="292">
        <v>2</v>
      </c>
      <c r="G77" s="366">
        <v>0</v>
      </c>
      <c r="H77" s="292">
        <v>0</v>
      </c>
      <c r="I77" s="292">
        <v>0</v>
      </c>
      <c r="J77" s="377">
        <v>21</v>
      </c>
      <c r="K77" s="336">
        <f t="shared" si="11"/>
        <v>0</v>
      </c>
      <c r="L77" s="336">
        <f t="shared" si="12"/>
        <v>0</v>
      </c>
      <c r="M77" s="336">
        <f t="shared" si="13"/>
        <v>0</v>
      </c>
      <c r="N77" s="368">
        <f t="shared" si="10"/>
        <v>0</v>
      </c>
      <c r="O77" s="335">
        <v>0</v>
      </c>
      <c r="P77" s="336">
        <v>0</v>
      </c>
      <c r="Q77" s="336">
        <v>0</v>
      </c>
      <c r="R77" s="337">
        <f t="shared" si="9"/>
        <v>0</v>
      </c>
      <c r="S77" s="292">
        <v>6</v>
      </c>
      <c r="T77" s="838"/>
      <c r="U77" s="836">
        <v>32793</v>
      </c>
      <c r="V77" s="379" t="s">
        <v>800</v>
      </c>
      <c r="Y77" s="300"/>
      <c r="AD77" s="299"/>
      <c r="AG77" s="300"/>
      <c r="AL77" s="299"/>
      <c r="AO77" s="300"/>
      <c r="AP77" s="299"/>
      <c r="AS77" s="300"/>
      <c r="AW77" s="300"/>
      <c r="BA77" s="301"/>
    </row>
    <row r="78" spans="1:53" s="128" customFormat="1">
      <c r="A78" s="148">
        <v>1989</v>
      </c>
      <c r="B78" s="859">
        <v>32834</v>
      </c>
      <c r="C78" s="957" t="s">
        <v>188</v>
      </c>
      <c r="D78" s="957"/>
      <c r="E78" s="128">
        <v>40</v>
      </c>
      <c r="F78" s="128">
        <v>1</v>
      </c>
      <c r="G78" s="129">
        <v>6</v>
      </c>
      <c r="I78" s="128">
        <v>7</v>
      </c>
      <c r="J78" s="130">
        <v>21</v>
      </c>
      <c r="K78" s="131">
        <f t="shared" si="11"/>
        <v>28.571428571428569</v>
      </c>
      <c r="L78" s="131">
        <f t="shared" si="12"/>
        <v>0</v>
      </c>
      <c r="M78" s="131">
        <f t="shared" si="13"/>
        <v>33.333333333333329</v>
      </c>
      <c r="N78" s="132">
        <f t="shared" si="10"/>
        <v>61.904761904761898</v>
      </c>
      <c r="O78" s="133">
        <v>49.3</v>
      </c>
      <c r="P78" s="131"/>
      <c r="Q78" s="131">
        <v>50</v>
      </c>
      <c r="R78" s="134">
        <f t="shared" si="9"/>
        <v>99.3</v>
      </c>
      <c r="S78" s="128">
        <v>7</v>
      </c>
      <c r="T78" s="861">
        <v>32817</v>
      </c>
      <c r="U78" s="859">
        <v>32834</v>
      </c>
      <c r="V78" s="149" t="s">
        <v>781</v>
      </c>
      <c r="Y78" s="137"/>
      <c r="Z78" s="136" t="s">
        <v>190</v>
      </c>
      <c r="AA78" s="128" t="s">
        <v>77</v>
      </c>
      <c r="AB78" s="128" t="s">
        <v>11</v>
      </c>
      <c r="AC78" s="137">
        <v>49.3</v>
      </c>
      <c r="AD78" s="128" t="s">
        <v>191</v>
      </c>
      <c r="AE78" s="128" t="s">
        <v>20</v>
      </c>
      <c r="AF78" s="128" t="s">
        <v>12</v>
      </c>
      <c r="AG78" s="137">
        <v>43</v>
      </c>
      <c r="AH78" s="128" t="s">
        <v>192</v>
      </c>
      <c r="AI78" s="128" t="s">
        <v>193</v>
      </c>
      <c r="AJ78" s="128" t="s">
        <v>12</v>
      </c>
      <c r="AK78" s="128">
        <v>7</v>
      </c>
      <c r="AL78" s="136"/>
      <c r="AO78" s="137"/>
      <c r="AP78" s="136"/>
      <c r="AS78" s="137"/>
      <c r="AW78" s="137"/>
      <c r="BA78" s="138"/>
    </row>
    <row r="79" spans="1:53" s="73" customFormat="1">
      <c r="A79" s="73">
        <v>1990</v>
      </c>
      <c r="B79" s="852"/>
      <c r="C79" s="917" t="s">
        <v>188</v>
      </c>
      <c r="D79" s="917"/>
      <c r="E79" s="73">
        <v>43</v>
      </c>
      <c r="G79" s="119">
        <v>6</v>
      </c>
      <c r="I79" s="73">
        <v>7</v>
      </c>
      <c r="J79" s="126">
        <v>21</v>
      </c>
      <c r="K79" s="92">
        <f t="shared" si="11"/>
        <v>28.571428571428569</v>
      </c>
      <c r="L79" s="92">
        <f t="shared" si="12"/>
        <v>0</v>
      </c>
      <c r="M79" s="92">
        <f t="shared" si="13"/>
        <v>33.333333333333329</v>
      </c>
      <c r="N79" s="121">
        <f t="shared" si="10"/>
        <v>61.904761904761898</v>
      </c>
      <c r="O79" s="91">
        <v>49.3</v>
      </c>
      <c r="P79" s="92"/>
      <c r="Q79" s="92">
        <v>50</v>
      </c>
      <c r="R79" s="93">
        <f t="shared" si="9"/>
        <v>99.3</v>
      </c>
      <c r="S79" s="73">
        <v>7</v>
      </c>
      <c r="T79" s="839"/>
      <c r="U79" s="852"/>
      <c r="V79" s="145" t="s">
        <v>781</v>
      </c>
      <c r="Y79" s="83"/>
      <c r="Z79" s="82" t="s">
        <v>190</v>
      </c>
      <c r="AA79" s="73" t="s">
        <v>77</v>
      </c>
      <c r="AB79" s="73" t="s">
        <v>11</v>
      </c>
      <c r="AC79" s="83">
        <v>49.3</v>
      </c>
      <c r="AD79" s="73" t="s">
        <v>191</v>
      </c>
      <c r="AE79" s="73" t="s">
        <v>20</v>
      </c>
      <c r="AF79" s="73" t="s">
        <v>12</v>
      </c>
      <c r="AG79" s="83">
        <v>43</v>
      </c>
      <c r="AH79" s="73" t="s">
        <v>192</v>
      </c>
      <c r="AI79" s="73" t="s">
        <v>193</v>
      </c>
      <c r="AJ79" s="73" t="s">
        <v>12</v>
      </c>
      <c r="AK79" s="73">
        <v>7</v>
      </c>
      <c r="AL79" s="82"/>
      <c r="AO79" s="83"/>
      <c r="AP79" s="82"/>
      <c r="AS79" s="83"/>
      <c r="AW79" s="83"/>
      <c r="BA79" s="84"/>
    </row>
    <row r="80" spans="1:53" s="292" customFormat="1">
      <c r="A80" s="292">
        <v>1990</v>
      </c>
      <c r="B80" s="836">
        <v>32917</v>
      </c>
      <c r="C80" s="916" t="s">
        <v>189</v>
      </c>
      <c r="D80" s="916"/>
      <c r="E80" s="292">
        <v>57</v>
      </c>
      <c r="F80" s="292">
        <v>4</v>
      </c>
      <c r="G80" s="366">
        <v>0</v>
      </c>
      <c r="H80" s="292">
        <v>0</v>
      </c>
      <c r="I80" s="292">
        <v>0</v>
      </c>
      <c r="J80" s="377">
        <v>21</v>
      </c>
      <c r="K80" s="336">
        <f t="shared" ref="K80:K85" si="17">G80/J80*100</f>
        <v>0</v>
      </c>
      <c r="L80" s="336">
        <f t="shared" ref="L80:L85" si="18">H80/J80*100</f>
        <v>0</v>
      </c>
      <c r="M80" s="336">
        <f t="shared" ref="M80:M85" si="19">I80/J80*100</f>
        <v>0</v>
      </c>
      <c r="N80" s="368">
        <f>SUM(K80:M80)</f>
        <v>0</v>
      </c>
      <c r="O80" s="335">
        <v>0</v>
      </c>
      <c r="P80" s="336">
        <v>0</v>
      </c>
      <c r="Q80" s="336">
        <v>0</v>
      </c>
      <c r="R80" s="337">
        <f t="shared" si="9"/>
        <v>0</v>
      </c>
      <c r="S80" s="292">
        <v>6</v>
      </c>
      <c r="T80" s="838"/>
      <c r="U80" s="836">
        <v>32917</v>
      </c>
      <c r="V80" s="379" t="s">
        <v>800</v>
      </c>
      <c r="Y80" s="300"/>
      <c r="AD80" s="299"/>
      <c r="AG80" s="300"/>
      <c r="AL80" s="299"/>
      <c r="AO80" s="300"/>
      <c r="AP80" s="299"/>
      <c r="AS80" s="300"/>
      <c r="AW80" s="300"/>
      <c r="BA80" s="301"/>
    </row>
    <row r="81" spans="1:53" s="73" customFormat="1">
      <c r="A81" s="73">
        <v>1990</v>
      </c>
      <c r="B81" s="852">
        <v>32974</v>
      </c>
      <c r="C81" s="917" t="s">
        <v>180</v>
      </c>
      <c r="D81" s="917"/>
      <c r="E81" s="73">
        <v>265</v>
      </c>
      <c r="F81" s="73">
        <v>1</v>
      </c>
      <c r="G81" s="119">
        <v>25</v>
      </c>
      <c r="J81" s="126">
        <v>25</v>
      </c>
      <c r="K81" s="92">
        <f t="shared" si="17"/>
        <v>100</v>
      </c>
      <c r="L81" s="92">
        <f t="shared" si="18"/>
        <v>0</v>
      </c>
      <c r="M81" s="92">
        <f t="shared" si="19"/>
        <v>0</v>
      </c>
      <c r="N81" s="121">
        <f t="shared" si="10"/>
        <v>100</v>
      </c>
      <c r="O81" s="91">
        <v>50.3</v>
      </c>
      <c r="P81" s="92"/>
      <c r="Q81" s="92"/>
      <c r="R81" s="93">
        <f t="shared" si="9"/>
        <v>50.3</v>
      </c>
      <c r="S81" s="73">
        <v>1</v>
      </c>
      <c r="T81" s="839">
        <v>32971</v>
      </c>
      <c r="U81" s="852">
        <v>32974</v>
      </c>
      <c r="V81" s="82" t="s">
        <v>190</v>
      </c>
      <c r="W81" s="73" t="s">
        <v>77</v>
      </c>
      <c r="X81" s="73" t="s">
        <v>11</v>
      </c>
      <c r="Y81" s="83">
        <v>50.3</v>
      </c>
      <c r="AD81" s="82"/>
      <c r="AG81" s="83"/>
      <c r="AL81" s="82"/>
      <c r="AO81" s="83"/>
      <c r="AP81" s="82"/>
      <c r="AS81" s="83"/>
      <c r="AW81" s="83"/>
      <c r="BA81" s="84"/>
    </row>
    <row r="82" spans="1:53" s="73" customFormat="1">
      <c r="A82" s="73">
        <v>1991</v>
      </c>
      <c r="B82" s="852"/>
      <c r="C82" s="917" t="s">
        <v>180</v>
      </c>
      <c r="D82" s="917"/>
      <c r="E82" s="73">
        <v>0</v>
      </c>
      <c r="G82" s="119">
        <v>25</v>
      </c>
      <c r="J82" s="126">
        <v>25</v>
      </c>
      <c r="K82" s="92">
        <f t="shared" si="17"/>
        <v>100</v>
      </c>
      <c r="L82" s="92">
        <f t="shared" si="18"/>
        <v>0</v>
      </c>
      <c r="M82" s="92">
        <f t="shared" si="19"/>
        <v>0</v>
      </c>
      <c r="N82" s="121">
        <f t="shared" si="10"/>
        <v>100</v>
      </c>
      <c r="O82" s="91">
        <v>50.3</v>
      </c>
      <c r="P82" s="92"/>
      <c r="Q82" s="92"/>
      <c r="R82" s="93">
        <f t="shared" si="9"/>
        <v>50.3</v>
      </c>
      <c r="S82" s="73">
        <v>1</v>
      </c>
      <c r="T82" s="839"/>
      <c r="U82" s="852"/>
      <c r="V82" s="82" t="s">
        <v>190</v>
      </c>
      <c r="W82" s="73" t="s">
        <v>77</v>
      </c>
      <c r="X82" s="73" t="s">
        <v>11</v>
      </c>
      <c r="Y82" s="83">
        <v>50.3</v>
      </c>
      <c r="AD82" s="82"/>
      <c r="AG82" s="83"/>
      <c r="AL82" s="82"/>
      <c r="AO82" s="83"/>
      <c r="AP82" s="82"/>
      <c r="AS82" s="83"/>
      <c r="AW82" s="83"/>
      <c r="BA82" s="84"/>
    </row>
    <row r="83" spans="1:53" s="73" customFormat="1">
      <c r="A83" s="73">
        <v>1991</v>
      </c>
      <c r="B83" s="852"/>
      <c r="C83" s="917" t="s">
        <v>180</v>
      </c>
      <c r="D83" s="917"/>
      <c r="E83" s="73">
        <f>365-E82</f>
        <v>365</v>
      </c>
      <c r="G83" s="119">
        <v>25</v>
      </c>
      <c r="J83" s="126">
        <v>25</v>
      </c>
      <c r="K83" s="92">
        <f t="shared" si="17"/>
        <v>100</v>
      </c>
      <c r="L83" s="92">
        <f t="shared" si="18"/>
        <v>0</v>
      </c>
      <c r="M83" s="92">
        <f t="shared" si="19"/>
        <v>0</v>
      </c>
      <c r="N83" s="121">
        <f t="shared" si="10"/>
        <v>100</v>
      </c>
      <c r="O83" s="91">
        <v>50.3</v>
      </c>
      <c r="P83" s="92"/>
      <c r="Q83" s="92"/>
      <c r="R83" s="93">
        <f t="shared" si="9"/>
        <v>50.3</v>
      </c>
      <c r="S83" s="73">
        <v>1</v>
      </c>
      <c r="T83" s="839"/>
      <c r="U83" s="852"/>
      <c r="V83" s="82" t="s">
        <v>190</v>
      </c>
      <c r="W83" s="73" t="s">
        <v>77</v>
      </c>
      <c r="X83" s="73" t="s">
        <v>11</v>
      </c>
      <c r="Y83" s="83">
        <v>50.3</v>
      </c>
      <c r="AD83" s="82"/>
      <c r="AG83" s="83"/>
      <c r="AL83" s="82"/>
      <c r="AO83" s="83"/>
      <c r="AP83" s="82"/>
      <c r="AS83" s="83"/>
      <c r="AW83" s="83"/>
      <c r="BA83" s="84"/>
    </row>
    <row r="84" spans="1:53" s="73" customFormat="1">
      <c r="A84" s="73">
        <v>1992</v>
      </c>
      <c r="B84" s="852"/>
      <c r="C84" s="917" t="s">
        <v>180</v>
      </c>
      <c r="D84" s="917"/>
      <c r="E84" s="73">
        <v>0</v>
      </c>
      <c r="G84" s="119">
        <v>21</v>
      </c>
      <c r="J84" s="126">
        <v>21</v>
      </c>
      <c r="K84" s="92">
        <f t="shared" si="17"/>
        <v>100</v>
      </c>
      <c r="L84" s="92">
        <f t="shared" si="18"/>
        <v>0</v>
      </c>
      <c r="M84" s="92">
        <f t="shared" si="19"/>
        <v>0</v>
      </c>
      <c r="N84" s="121">
        <f t="shared" si="10"/>
        <v>100</v>
      </c>
      <c r="O84" s="91">
        <v>50.3</v>
      </c>
      <c r="P84" s="92"/>
      <c r="Q84" s="92"/>
      <c r="R84" s="93">
        <f t="shared" si="9"/>
        <v>50.3</v>
      </c>
      <c r="S84" s="73">
        <v>1</v>
      </c>
      <c r="T84" s="839"/>
      <c r="U84" s="852"/>
      <c r="V84" s="82" t="s">
        <v>190</v>
      </c>
      <c r="W84" s="73" t="s">
        <v>77</v>
      </c>
      <c r="X84" s="73" t="s">
        <v>11</v>
      </c>
      <c r="Y84" s="83">
        <v>50.3</v>
      </c>
      <c r="AD84" s="82"/>
      <c r="AG84" s="83"/>
      <c r="AL84" s="82"/>
      <c r="AO84" s="83"/>
      <c r="AP84" s="82"/>
      <c r="AS84" s="83"/>
      <c r="AW84" s="83"/>
      <c r="BA84" s="84"/>
    </row>
    <row r="85" spans="1:53" s="73" customFormat="1">
      <c r="A85" s="73">
        <v>1992</v>
      </c>
      <c r="B85" s="852"/>
      <c r="C85" s="917" t="s">
        <v>180</v>
      </c>
      <c r="D85" s="917"/>
      <c r="E85" s="73">
        <v>366</v>
      </c>
      <c r="G85" s="119">
        <v>21</v>
      </c>
      <c r="J85" s="126">
        <v>21</v>
      </c>
      <c r="K85" s="92">
        <f t="shared" si="17"/>
        <v>100</v>
      </c>
      <c r="L85" s="92">
        <f t="shared" si="18"/>
        <v>0</v>
      </c>
      <c r="M85" s="92">
        <f t="shared" si="19"/>
        <v>0</v>
      </c>
      <c r="N85" s="121">
        <f t="shared" si="10"/>
        <v>100</v>
      </c>
      <c r="O85" s="91">
        <v>50.3</v>
      </c>
      <c r="P85" s="92"/>
      <c r="Q85" s="92"/>
      <c r="R85" s="93">
        <f t="shared" si="9"/>
        <v>50.3</v>
      </c>
      <c r="S85" s="73">
        <v>1</v>
      </c>
      <c r="T85" s="839"/>
      <c r="U85" s="852"/>
      <c r="V85" s="82" t="s">
        <v>190</v>
      </c>
      <c r="W85" s="73" t="s">
        <v>77</v>
      </c>
      <c r="X85" s="73" t="s">
        <v>11</v>
      </c>
      <c r="Y85" s="83">
        <v>50.3</v>
      </c>
      <c r="AD85" s="82"/>
      <c r="AG85" s="83"/>
      <c r="AL85" s="82"/>
      <c r="AO85" s="83"/>
      <c r="AP85" s="82"/>
      <c r="AS85" s="83"/>
      <c r="AW85" s="83"/>
      <c r="BA85" s="84"/>
    </row>
    <row r="86" spans="1:53" s="73" customFormat="1">
      <c r="A86" s="73">
        <v>1993</v>
      </c>
      <c r="B86" s="852"/>
      <c r="C86" s="917" t="s">
        <v>180</v>
      </c>
      <c r="D86" s="917"/>
      <c r="E86" s="73">
        <v>297</v>
      </c>
      <c r="G86" s="119">
        <v>22</v>
      </c>
      <c r="J86" s="126">
        <v>22</v>
      </c>
      <c r="K86" s="92">
        <f t="shared" ref="K86:K110" si="20">G86/J86*100</f>
        <v>100</v>
      </c>
      <c r="L86" s="92">
        <f t="shared" ref="L86:L110" si="21">H86/J86*100</f>
        <v>0</v>
      </c>
      <c r="M86" s="92">
        <f t="shared" ref="M86:M110" si="22">I86/J86*100</f>
        <v>0</v>
      </c>
      <c r="N86" s="121">
        <f t="shared" si="10"/>
        <v>100</v>
      </c>
      <c r="O86" s="91">
        <v>50.3</v>
      </c>
      <c r="P86" s="92"/>
      <c r="Q86" s="92"/>
      <c r="R86" s="93">
        <f t="shared" si="9"/>
        <v>50.3</v>
      </c>
      <c r="S86" s="73">
        <v>1</v>
      </c>
      <c r="T86" s="839"/>
      <c r="U86" s="852"/>
      <c r="V86" s="82" t="s">
        <v>190</v>
      </c>
      <c r="W86" s="73" t="s">
        <v>77</v>
      </c>
      <c r="X86" s="73" t="s">
        <v>11</v>
      </c>
      <c r="Y86" s="83">
        <v>50.3</v>
      </c>
      <c r="AD86" s="82"/>
      <c r="AG86" s="83"/>
      <c r="AL86" s="82"/>
      <c r="AO86" s="83"/>
      <c r="AP86" s="82"/>
      <c r="AS86" s="83"/>
      <c r="AW86" s="83"/>
      <c r="BA86" s="84"/>
    </row>
    <row r="87" spans="1:53" s="292" customFormat="1">
      <c r="A87" s="292">
        <v>1993</v>
      </c>
      <c r="B87" s="836">
        <v>34267</v>
      </c>
      <c r="C87" s="916" t="s">
        <v>1365</v>
      </c>
      <c r="D87" s="916"/>
      <c r="E87" s="292">
        <f>365-E86</f>
        <v>68</v>
      </c>
      <c r="F87" s="292">
        <v>1</v>
      </c>
      <c r="G87" s="366"/>
      <c r="I87" s="292">
        <v>22</v>
      </c>
      <c r="J87" s="377">
        <v>22</v>
      </c>
      <c r="K87" s="336">
        <f t="shared" si="20"/>
        <v>0</v>
      </c>
      <c r="L87" s="336">
        <f t="shared" si="21"/>
        <v>0</v>
      </c>
      <c r="M87" s="336">
        <f t="shared" si="22"/>
        <v>100</v>
      </c>
      <c r="N87" s="368">
        <f t="shared" si="10"/>
        <v>100</v>
      </c>
      <c r="O87" s="335"/>
      <c r="P87" s="336"/>
      <c r="Q87" s="336">
        <v>56.7</v>
      </c>
      <c r="R87" s="337">
        <f t="shared" si="9"/>
        <v>56.7</v>
      </c>
      <c r="S87" s="292">
        <v>1</v>
      </c>
      <c r="T87" s="838">
        <v>34252</v>
      </c>
      <c r="U87" s="836">
        <v>34267</v>
      </c>
      <c r="V87" s="299" t="s">
        <v>191</v>
      </c>
      <c r="W87" s="292" t="s">
        <v>20</v>
      </c>
      <c r="X87" s="292" t="s">
        <v>12</v>
      </c>
      <c r="Y87" s="300">
        <v>56.7</v>
      </c>
      <c r="AD87" s="299"/>
      <c r="AG87" s="300"/>
      <c r="AL87" s="299"/>
      <c r="AO87" s="300"/>
      <c r="AP87" s="299"/>
      <c r="AS87" s="300"/>
      <c r="AW87" s="300"/>
      <c r="BA87" s="301"/>
    </row>
    <row r="88" spans="1:53" s="292" customFormat="1">
      <c r="A88" s="292">
        <v>1994</v>
      </c>
      <c r="B88" s="836"/>
      <c r="C88" s="916" t="s">
        <v>1365</v>
      </c>
      <c r="D88" s="916"/>
      <c r="E88" s="292">
        <v>0</v>
      </c>
      <c r="G88" s="366"/>
      <c r="I88" s="292">
        <v>22</v>
      </c>
      <c r="J88" s="377">
        <v>22</v>
      </c>
      <c r="K88" s="336">
        <f t="shared" si="20"/>
        <v>0</v>
      </c>
      <c r="L88" s="336">
        <f t="shared" si="21"/>
        <v>0</v>
      </c>
      <c r="M88" s="336">
        <f t="shared" si="22"/>
        <v>100</v>
      </c>
      <c r="N88" s="368">
        <f t="shared" si="10"/>
        <v>100</v>
      </c>
      <c r="O88" s="335"/>
      <c r="P88" s="336"/>
      <c r="Q88" s="336">
        <v>56.7</v>
      </c>
      <c r="R88" s="337">
        <f t="shared" si="9"/>
        <v>56.7</v>
      </c>
      <c r="S88" s="292">
        <v>1</v>
      </c>
      <c r="T88" s="838"/>
      <c r="U88" s="836"/>
      <c r="V88" s="299" t="s">
        <v>191</v>
      </c>
      <c r="W88" s="292" t="s">
        <v>20</v>
      </c>
      <c r="X88" s="292" t="s">
        <v>12</v>
      </c>
      <c r="Y88" s="300">
        <v>56.7</v>
      </c>
      <c r="AD88" s="299"/>
      <c r="AG88" s="300"/>
      <c r="AL88" s="299"/>
      <c r="AO88" s="300"/>
      <c r="AP88" s="299"/>
      <c r="AS88" s="300"/>
      <c r="AW88" s="300"/>
      <c r="BA88" s="301"/>
    </row>
    <row r="89" spans="1:53" s="292" customFormat="1">
      <c r="A89" s="292">
        <v>1994</v>
      </c>
      <c r="B89" s="836"/>
      <c r="C89" s="916" t="s">
        <v>1365</v>
      </c>
      <c r="D89" s="916"/>
      <c r="E89" s="292">
        <f>365-E88</f>
        <v>365</v>
      </c>
      <c r="G89" s="366"/>
      <c r="I89" s="292">
        <v>22</v>
      </c>
      <c r="J89" s="377">
        <v>22</v>
      </c>
      <c r="K89" s="336">
        <f t="shared" si="20"/>
        <v>0</v>
      </c>
      <c r="L89" s="336">
        <f t="shared" si="21"/>
        <v>0</v>
      </c>
      <c r="M89" s="336">
        <f t="shared" si="22"/>
        <v>100</v>
      </c>
      <c r="N89" s="368">
        <f t="shared" si="10"/>
        <v>100</v>
      </c>
      <c r="O89" s="335"/>
      <c r="P89" s="336"/>
      <c r="Q89" s="336">
        <v>56.7</v>
      </c>
      <c r="R89" s="337">
        <f t="shared" si="9"/>
        <v>56.7</v>
      </c>
      <c r="S89" s="292">
        <v>1</v>
      </c>
      <c r="T89" s="838"/>
      <c r="U89" s="836"/>
      <c r="V89" s="299" t="s">
        <v>191</v>
      </c>
      <c r="W89" s="292" t="s">
        <v>20</v>
      </c>
      <c r="X89" s="292" t="s">
        <v>12</v>
      </c>
      <c r="Y89" s="300">
        <v>56.7</v>
      </c>
      <c r="AD89" s="299"/>
      <c r="AG89" s="300"/>
      <c r="AL89" s="299"/>
      <c r="AO89" s="300"/>
      <c r="AP89" s="299"/>
      <c r="AS89" s="300"/>
      <c r="AW89" s="300"/>
      <c r="BA89" s="301"/>
    </row>
    <row r="90" spans="1:53" s="292" customFormat="1">
      <c r="A90" s="292">
        <v>1995</v>
      </c>
      <c r="B90" s="836"/>
      <c r="C90" s="916" t="s">
        <v>1365</v>
      </c>
      <c r="D90" s="916"/>
      <c r="E90" s="292">
        <v>0</v>
      </c>
      <c r="G90" s="366"/>
      <c r="I90" s="292">
        <v>23</v>
      </c>
      <c r="J90" s="377">
        <v>23</v>
      </c>
      <c r="K90" s="336">
        <f t="shared" si="20"/>
        <v>0</v>
      </c>
      <c r="L90" s="336">
        <f t="shared" si="21"/>
        <v>0</v>
      </c>
      <c r="M90" s="336">
        <f t="shared" si="22"/>
        <v>100</v>
      </c>
      <c r="N90" s="368">
        <f t="shared" si="10"/>
        <v>100</v>
      </c>
      <c r="O90" s="335"/>
      <c r="P90" s="336"/>
      <c r="Q90" s="336">
        <v>56.7</v>
      </c>
      <c r="R90" s="337">
        <f t="shared" si="9"/>
        <v>56.7</v>
      </c>
      <c r="S90" s="292">
        <v>1</v>
      </c>
      <c r="T90" s="838"/>
      <c r="U90" s="836"/>
      <c r="V90" s="299" t="s">
        <v>191</v>
      </c>
      <c r="W90" s="292" t="s">
        <v>20</v>
      </c>
      <c r="X90" s="292" t="s">
        <v>12</v>
      </c>
      <c r="Y90" s="300">
        <v>56.7</v>
      </c>
      <c r="AD90" s="299"/>
      <c r="AG90" s="300"/>
      <c r="AL90" s="299"/>
      <c r="AO90" s="300"/>
      <c r="AP90" s="299"/>
      <c r="AS90" s="300"/>
      <c r="AW90" s="300"/>
      <c r="BA90" s="301"/>
    </row>
    <row r="91" spans="1:53" s="292" customFormat="1">
      <c r="A91" s="292">
        <v>1995</v>
      </c>
      <c r="B91" s="836"/>
      <c r="C91" s="916" t="s">
        <v>1365</v>
      </c>
      <c r="D91" s="916"/>
      <c r="E91" s="292">
        <f>365-E90</f>
        <v>365</v>
      </c>
      <c r="G91" s="366"/>
      <c r="I91" s="292">
        <v>23</v>
      </c>
      <c r="J91" s="377">
        <v>23</v>
      </c>
      <c r="K91" s="336">
        <f t="shared" si="20"/>
        <v>0</v>
      </c>
      <c r="L91" s="336">
        <f t="shared" si="21"/>
        <v>0</v>
      </c>
      <c r="M91" s="336">
        <f t="shared" si="22"/>
        <v>100</v>
      </c>
      <c r="N91" s="368">
        <f t="shared" si="10"/>
        <v>100</v>
      </c>
      <c r="O91" s="335"/>
      <c r="P91" s="336"/>
      <c r="Q91" s="336">
        <v>56.7</v>
      </c>
      <c r="R91" s="337">
        <f t="shared" si="9"/>
        <v>56.7</v>
      </c>
      <c r="S91" s="292">
        <v>1</v>
      </c>
      <c r="T91" s="838"/>
      <c r="U91" s="836"/>
      <c r="V91" s="299" t="s">
        <v>191</v>
      </c>
      <c r="W91" s="292" t="s">
        <v>20</v>
      </c>
      <c r="X91" s="292" t="s">
        <v>12</v>
      </c>
      <c r="Y91" s="300">
        <v>56.7</v>
      </c>
      <c r="AD91" s="299"/>
      <c r="AG91" s="300"/>
      <c r="AL91" s="299"/>
      <c r="AO91" s="300"/>
      <c r="AP91" s="299"/>
      <c r="AS91" s="300"/>
      <c r="AW91" s="300"/>
      <c r="BA91" s="301"/>
    </row>
    <row r="92" spans="1:53" s="292" customFormat="1">
      <c r="A92" s="292">
        <v>1996</v>
      </c>
      <c r="B92" s="836"/>
      <c r="C92" s="916" t="s">
        <v>1365</v>
      </c>
      <c r="D92" s="916"/>
      <c r="E92" s="292">
        <v>31</v>
      </c>
      <c r="G92" s="366"/>
      <c r="I92" s="292">
        <v>23</v>
      </c>
      <c r="J92" s="377">
        <v>23</v>
      </c>
      <c r="K92" s="336">
        <f t="shared" si="20"/>
        <v>0</v>
      </c>
      <c r="L92" s="336">
        <f t="shared" si="21"/>
        <v>0</v>
      </c>
      <c r="M92" s="336">
        <f t="shared" si="22"/>
        <v>100</v>
      </c>
      <c r="N92" s="368">
        <f t="shared" si="10"/>
        <v>100</v>
      </c>
      <c r="O92" s="335"/>
      <c r="P92" s="336"/>
      <c r="Q92" s="336">
        <v>56.7</v>
      </c>
      <c r="R92" s="337">
        <f t="shared" si="9"/>
        <v>56.7</v>
      </c>
      <c r="S92" s="292">
        <v>1</v>
      </c>
      <c r="T92" s="838"/>
      <c r="U92" s="836"/>
      <c r="V92" s="299" t="s">
        <v>191</v>
      </c>
      <c r="W92" s="292" t="s">
        <v>20</v>
      </c>
      <c r="X92" s="292" t="s">
        <v>12</v>
      </c>
      <c r="Y92" s="300">
        <v>56.7</v>
      </c>
      <c r="AD92" s="299"/>
      <c r="AG92" s="300"/>
      <c r="AL92" s="299"/>
      <c r="AO92" s="300"/>
      <c r="AP92" s="299"/>
      <c r="AS92" s="300"/>
      <c r="AW92" s="300"/>
      <c r="BA92" s="301"/>
    </row>
    <row r="93" spans="1:53" s="73" customFormat="1">
      <c r="A93" s="73">
        <v>1996</v>
      </c>
      <c r="B93" s="852">
        <v>35096</v>
      </c>
      <c r="C93" s="917" t="s">
        <v>181</v>
      </c>
      <c r="D93" s="917"/>
      <c r="E93" s="73">
        <v>255</v>
      </c>
      <c r="F93" s="73">
        <v>3</v>
      </c>
      <c r="G93" s="119"/>
      <c r="I93" s="73">
        <v>20</v>
      </c>
      <c r="J93" s="126">
        <v>20</v>
      </c>
      <c r="K93" s="92">
        <f t="shared" si="20"/>
        <v>0</v>
      </c>
      <c r="L93" s="92">
        <f t="shared" si="21"/>
        <v>0</v>
      </c>
      <c r="M93" s="92">
        <f t="shared" si="22"/>
        <v>100</v>
      </c>
      <c r="N93" s="121">
        <f t="shared" si="10"/>
        <v>100</v>
      </c>
      <c r="O93" s="91"/>
      <c r="P93" s="92"/>
      <c r="Q93" s="92">
        <v>54</v>
      </c>
      <c r="R93" s="93">
        <f t="shared" si="9"/>
        <v>54</v>
      </c>
      <c r="S93" s="73">
        <v>1</v>
      </c>
      <c r="T93" s="839"/>
      <c r="U93" s="852">
        <v>35096</v>
      </c>
      <c r="V93" s="82" t="s">
        <v>191</v>
      </c>
      <c r="W93" s="73" t="s">
        <v>20</v>
      </c>
      <c r="X93" s="73" t="s">
        <v>12</v>
      </c>
      <c r="Y93" s="83">
        <v>56.7</v>
      </c>
      <c r="AD93" s="82"/>
      <c r="AG93" s="83"/>
      <c r="AL93" s="82"/>
      <c r="AO93" s="83"/>
      <c r="AP93" s="82"/>
      <c r="AS93" s="83"/>
      <c r="AW93" s="83"/>
      <c r="BA93" s="84"/>
    </row>
    <row r="94" spans="1:53" s="292" customFormat="1">
      <c r="A94" s="292">
        <v>1996</v>
      </c>
      <c r="B94" s="836">
        <v>35351</v>
      </c>
      <c r="C94" s="916" t="s">
        <v>182</v>
      </c>
      <c r="D94" s="916"/>
      <c r="E94" s="292">
        <v>80</v>
      </c>
      <c r="F94" s="292">
        <v>1</v>
      </c>
      <c r="G94" s="366"/>
      <c r="I94" s="292">
        <v>20</v>
      </c>
      <c r="J94" s="377">
        <v>20</v>
      </c>
      <c r="K94" s="336">
        <f>G94/J94*100</f>
        <v>0</v>
      </c>
      <c r="L94" s="336">
        <f>H94/J94*100</f>
        <v>0</v>
      </c>
      <c r="M94" s="336">
        <f>I94/J94*100</f>
        <v>100</v>
      </c>
      <c r="N94" s="368">
        <f t="shared" si="10"/>
        <v>100</v>
      </c>
      <c r="O94" s="335"/>
      <c r="P94" s="336"/>
      <c r="Q94" s="336">
        <v>54</v>
      </c>
      <c r="R94" s="337">
        <f t="shared" si="9"/>
        <v>54</v>
      </c>
      <c r="S94" s="292">
        <v>1</v>
      </c>
      <c r="T94" s="838">
        <v>35330</v>
      </c>
      <c r="U94" s="836">
        <v>35351</v>
      </c>
      <c r="V94" s="299" t="s">
        <v>191</v>
      </c>
      <c r="W94" s="292" t="s">
        <v>20</v>
      </c>
      <c r="X94" s="292" t="s">
        <v>12</v>
      </c>
      <c r="Y94" s="300">
        <v>54</v>
      </c>
      <c r="AD94" s="299"/>
      <c r="AG94" s="300"/>
      <c r="AL94" s="299"/>
      <c r="AO94" s="300"/>
      <c r="AP94" s="299"/>
      <c r="AS94" s="300"/>
      <c r="AW94" s="300"/>
      <c r="BA94" s="301"/>
    </row>
    <row r="95" spans="1:53" s="292" customFormat="1">
      <c r="A95" s="292">
        <v>1997</v>
      </c>
      <c r="B95" s="836"/>
      <c r="C95" s="916" t="s">
        <v>182</v>
      </c>
      <c r="D95" s="916"/>
      <c r="E95" s="292">
        <v>0</v>
      </c>
      <c r="G95" s="366"/>
      <c r="I95" s="292">
        <v>20</v>
      </c>
      <c r="J95" s="377">
        <v>20</v>
      </c>
      <c r="K95" s="336">
        <f t="shared" si="20"/>
        <v>0</v>
      </c>
      <c r="L95" s="336">
        <f t="shared" si="21"/>
        <v>0</v>
      </c>
      <c r="M95" s="336">
        <f t="shared" si="22"/>
        <v>100</v>
      </c>
      <c r="N95" s="368">
        <f t="shared" si="10"/>
        <v>100</v>
      </c>
      <c r="O95" s="335"/>
      <c r="P95" s="336"/>
      <c r="Q95" s="336">
        <v>54</v>
      </c>
      <c r="R95" s="337">
        <f t="shared" si="9"/>
        <v>54</v>
      </c>
      <c r="S95" s="292">
        <v>1</v>
      </c>
      <c r="T95" s="838"/>
      <c r="U95" s="836"/>
      <c r="V95" s="299" t="s">
        <v>191</v>
      </c>
      <c r="W95" s="292" t="s">
        <v>20</v>
      </c>
      <c r="X95" s="292" t="s">
        <v>12</v>
      </c>
      <c r="Y95" s="300">
        <v>54</v>
      </c>
      <c r="AD95" s="299"/>
      <c r="AG95" s="300"/>
      <c r="AL95" s="299"/>
      <c r="AO95" s="300"/>
      <c r="AP95" s="299"/>
      <c r="AS95" s="300"/>
      <c r="AW95" s="300"/>
      <c r="BA95" s="301"/>
    </row>
    <row r="96" spans="1:53" s="292" customFormat="1">
      <c r="A96" s="292">
        <v>1997</v>
      </c>
      <c r="B96" s="836"/>
      <c r="C96" s="916" t="s">
        <v>182</v>
      </c>
      <c r="D96" s="916"/>
      <c r="E96" s="292">
        <f>365-E95</f>
        <v>365</v>
      </c>
      <c r="G96" s="366"/>
      <c r="I96" s="292">
        <v>20</v>
      </c>
      <c r="J96" s="377">
        <v>20</v>
      </c>
      <c r="K96" s="336">
        <f t="shared" si="20"/>
        <v>0</v>
      </c>
      <c r="L96" s="336">
        <f t="shared" si="21"/>
        <v>0</v>
      </c>
      <c r="M96" s="336">
        <f t="shared" si="22"/>
        <v>100</v>
      </c>
      <c r="N96" s="368">
        <f t="shared" si="10"/>
        <v>100</v>
      </c>
      <c r="O96" s="335"/>
      <c r="P96" s="336"/>
      <c r="Q96" s="336">
        <v>54</v>
      </c>
      <c r="R96" s="337">
        <f t="shared" si="9"/>
        <v>54</v>
      </c>
      <c r="S96" s="292">
        <v>1</v>
      </c>
      <c r="T96" s="838"/>
      <c r="U96" s="836"/>
      <c r="V96" s="299" t="s">
        <v>191</v>
      </c>
      <c r="W96" s="292" t="s">
        <v>20</v>
      </c>
      <c r="X96" s="292" t="s">
        <v>12</v>
      </c>
      <c r="Y96" s="300">
        <v>54</v>
      </c>
      <c r="AD96" s="299"/>
      <c r="AG96" s="300"/>
      <c r="AL96" s="299"/>
      <c r="AO96" s="300"/>
      <c r="AP96" s="299"/>
      <c r="AS96" s="300"/>
      <c r="AW96" s="300"/>
      <c r="BA96" s="301"/>
    </row>
    <row r="97" spans="1:53" s="292" customFormat="1">
      <c r="A97" s="292">
        <v>1998</v>
      </c>
      <c r="B97" s="836"/>
      <c r="C97" s="916" t="s">
        <v>182</v>
      </c>
      <c r="D97" s="916"/>
      <c r="E97" s="292">
        <v>0</v>
      </c>
      <c r="G97" s="366"/>
      <c r="I97" s="292">
        <v>20</v>
      </c>
      <c r="J97" s="377">
        <v>20</v>
      </c>
      <c r="K97" s="336">
        <f t="shared" si="20"/>
        <v>0</v>
      </c>
      <c r="L97" s="336">
        <f t="shared" si="21"/>
        <v>0</v>
      </c>
      <c r="M97" s="336">
        <f t="shared" si="22"/>
        <v>100</v>
      </c>
      <c r="N97" s="368">
        <f t="shared" si="10"/>
        <v>100</v>
      </c>
      <c r="O97" s="335"/>
      <c r="P97" s="336"/>
      <c r="Q97" s="336">
        <v>54</v>
      </c>
      <c r="R97" s="337">
        <f t="shared" si="9"/>
        <v>54</v>
      </c>
      <c r="S97" s="292">
        <v>1</v>
      </c>
      <c r="T97" s="838"/>
      <c r="U97" s="836"/>
      <c r="V97" s="299" t="s">
        <v>191</v>
      </c>
      <c r="W97" s="292" t="s">
        <v>20</v>
      </c>
      <c r="X97" s="292" t="s">
        <v>12</v>
      </c>
      <c r="Y97" s="300">
        <v>54</v>
      </c>
      <c r="AD97" s="299"/>
      <c r="AG97" s="300"/>
      <c r="AL97" s="299"/>
      <c r="AO97" s="300"/>
      <c r="AP97" s="299"/>
      <c r="AS97" s="300"/>
      <c r="AW97" s="300"/>
      <c r="BA97" s="301"/>
    </row>
    <row r="98" spans="1:53" s="292" customFormat="1">
      <c r="A98" s="292">
        <v>1998</v>
      </c>
      <c r="B98" s="836"/>
      <c r="C98" s="916" t="s">
        <v>182</v>
      </c>
      <c r="D98" s="916"/>
      <c r="E98" s="292">
        <f>365-E97</f>
        <v>365</v>
      </c>
      <c r="G98" s="366"/>
      <c r="I98" s="292">
        <v>20</v>
      </c>
      <c r="J98" s="377">
        <v>20</v>
      </c>
      <c r="K98" s="336">
        <f t="shared" si="20"/>
        <v>0</v>
      </c>
      <c r="L98" s="336">
        <f t="shared" si="21"/>
        <v>0</v>
      </c>
      <c r="M98" s="336">
        <f t="shared" si="22"/>
        <v>100</v>
      </c>
      <c r="N98" s="368">
        <f t="shared" si="10"/>
        <v>100</v>
      </c>
      <c r="O98" s="335"/>
      <c r="P98" s="336"/>
      <c r="Q98" s="336">
        <v>54</v>
      </c>
      <c r="R98" s="337">
        <f t="shared" si="9"/>
        <v>54</v>
      </c>
      <c r="S98" s="292">
        <v>1</v>
      </c>
      <c r="T98" s="838"/>
      <c r="U98" s="836"/>
      <c r="V98" s="299" t="s">
        <v>191</v>
      </c>
      <c r="W98" s="292" t="s">
        <v>20</v>
      </c>
      <c r="X98" s="292" t="s">
        <v>12</v>
      </c>
      <c r="Y98" s="300">
        <v>54</v>
      </c>
      <c r="AD98" s="299"/>
      <c r="AG98" s="300"/>
      <c r="AL98" s="299"/>
      <c r="AO98" s="300"/>
      <c r="AP98" s="299"/>
      <c r="AS98" s="300"/>
      <c r="AW98" s="300"/>
      <c r="BA98" s="301"/>
    </row>
    <row r="99" spans="1:53" s="292" customFormat="1">
      <c r="A99" s="292">
        <v>1999</v>
      </c>
      <c r="B99" s="836"/>
      <c r="C99" s="916" t="s">
        <v>182</v>
      </c>
      <c r="D99" s="916"/>
      <c r="E99" s="292">
        <v>0</v>
      </c>
      <c r="G99" s="366"/>
      <c r="I99" s="292">
        <v>21</v>
      </c>
      <c r="J99" s="377">
        <v>21</v>
      </c>
      <c r="K99" s="336">
        <f t="shared" si="20"/>
        <v>0</v>
      </c>
      <c r="L99" s="336">
        <f t="shared" si="21"/>
        <v>0</v>
      </c>
      <c r="M99" s="336">
        <f t="shared" si="22"/>
        <v>100</v>
      </c>
      <c r="N99" s="368">
        <f t="shared" si="10"/>
        <v>100</v>
      </c>
      <c r="O99" s="335"/>
      <c r="P99" s="336"/>
      <c r="Q99" s="336">
        <v>54</v>
      </c>
      <c r="R99" s="337">
        <f t="shared" si="9"/>
        <v>54</v>
      </c>
      <c r="S99" s="292">
        <v>1</v>
      </c>
      <c r="T99" s="838"/>
      <c r="U99" s="836"/>
      <c r="V99" s="299" t="s">
        <v>191</v>
      </c>
      <c r="W99" s="292" t="s">
        <v>20</v>
      </c>
      <c r="X99" s="292" t="s">
        <v>12</v>
      </c>
      <c r="Y99" s="300">
        <v>54</v>
      </c>
      <c r="AD99" s="299"/>
      <c r="AG99" s="300"/>
      <c r="AL99" s="299"/>
      <c r="AO99" s="300"/>
      <c r="AP99" s="299"/>
      <c r="AS99" s="300"/>
      <c r="AW99" s="300"/>
      <c r="BA99" s="301"/>
    </row>
    <row r="100" spans="1:53" s="292" customFormat="1">
      <c r="A100" s="292">
        <v>1999</v>
      </c>
      <c r="B100" s="836"/>
      <c r="C100" s="916" t="s">
        <v>182</v>
      </c>
      <c r="D100" s="916"/>
      <c r="E100" s="292">
        <f>365-E99</f>
        <v>365</v>
      </c>
      <c r="G100" s="366"/>
      <c r="I100" s="292">
        <v>21</v>
      </c>
      <c r="J100" s="377">
        <v>21</v>
      </c>
      <c r="K100" s="336">
        <f t="shared" si="20"/>
        <v>0</v>
      </c>
      <c r="L100" s="336">
        <f t="shared" si="21"/>
        <v>0</v>
      </c>
      <c r="M100" s="336">
        <f t="shared" si="22"/>
        <v>100</v>
      </c>
      <c r="N100" s="368">
        <f t="shared" si="10"/>
        <v>100</v>
      </c>
      <c r="O100" s="335"/>
      <c r="P100" s="336"/>
      <c r="Q100" s="336">
        <v>54</v>
      </c>
      <c r="R100" s="337">
        <f t="shared" si="9"/>
        <v>54</v>
      </c>
      <c r="S100" s="292">
        <v>1</v>
      </c>
      <c r="T100" s="838"/>
      <c r="U100" s="836"/>
      <c r="V100" s="299" t="s">
        <v>191</v>
      </c>
      <c r="W100" s="292" t="s">
        <v>20</v>
      </c>
      <c r="X100" s="292" t="s">
        <v>12</v>
      </c>
      <c r="Y100" s="300">
        <v>54</v>
      </c>
      <c r="AD100" s="299"/>
      <c r="AG100" s="300"/>
      <c r="AL100" s="299"/>
      <c r="AO100" s="300"/>
      <c r="AP100" s="299"/>
      <c r="AS100" s="300"/>
      <c r="AW100" s="300"/>
      <c r="BA100" s="301"/>
    </row>
    <row r="101" spans="1:53" s="292" customFormat="1">
      <c r="A101" s="292">
        <v>2000</v>
      </c>
      <c r="B101" s="836"/>
      <c r="C101" s="916" t="s">
        <v>182</v>
      </c>
      <c r="D101" s="916"/>
      <c r="E101" s="292">
        <v>115</v>
      </c>
      <c r="G101" s="366"/>
      <c r="I101" s="292">
        <v>21</v>
      </c>
      <c r="J101" s="377">
        <v>21</v>
      </c>
      <c r="K101" s="336">
        <f t="shared" si="20"/>
        <v>0</v>
      </c>
      <c r="L101" s="336">
        <f t="shared" si="21"/>
        <v>0</v>
      </c>
      <c r="M101" s="336">
        <f t="shared" si="22"/>
        <v>100</v>
      </c>
      <c r="N101" s="368">
        <f t="shared" si="10"/>
        <v>100</v>
      </c>
      <c r="O101" s="335"/>
      <c r="P101" s="336"/>
      <c r="Q101" s="336">
        <v>54</v>
      </c>
      <c r="R101" s="337">
        <f t="shared" si="9"/>
        <v>54</v>
      </c>
      <c r="S101" s="292">
        <v>1</v>
      </c>
      <c r="T101" s="838"/>
      <c r="U101" s="836"/>
      <c r="V101" s="299" t="s">
        <v>191</v>
      </c>
      <c r="W101" s="292" t="s">
        <v>20</v>
      </c>
      <c r="X101" s="292" t="s">
        <v>12</v>
      </c>
      <c r="Y101" s="300">
        <v>54</v>
      </c>
      <c r="AD101" s="299"/>
      <c r="AG101" s="300"/>
      <c r="AL101" s="299"/>
      <c r="AO101" s="300"/>
      <c r="AP101" s="299"/>
      <c r="AS101" s="300"/>
      <c r="AW101" s="300"/>
      <c r="BA101" s="301"/>
    </row>
    <row r="102" spans="1:53" s="73" customFormat="1">
      <c r="A102" s="73">
        <v>2000</v>
      </c>
      <c r="B102" s="852">
        <v>36641</v>
      </c>
      <c r="C102" s="917" t="s">
        <v>183</v>
      </c>
      <c r="D102" s="917"/>
      <c r="E102" s="73">
        <v>251</v>
      </c>
      <c r="F102" s="73">
        <v>1</v>
      </c>
      <c r="G102" s="119"/>
      <c r="I102" s="73">
        <v>21</v>
      </c>
      <c r="J102" s="126">
        <v>21</v>
      </c>
      <c r="K102" s="92">
        <f t="shared" si="20"/>
        <v>0</v>
      </c>
      <c r="L102" s="92">
        <f t="shared" si="21"/>
        <v>0</v>
      </c>
      <c r="M102" s="92">
        <f t="shared" si="22"/>
        <v>100</v>
      </c>
      <c r="N102" s="121">
        <f t="shared" si="10"/>
        <v>100</v>
      </c>
      <c r="O102" s="91"/>
      <c r="P102" s="92"/>
      <c r="Q102" s="92">
        <v>52.7</v>
      </c>
      <c r="R102" s="93">
        <f t="shared" si="9"/>
        <v>52.7</v>
      </c>
      <c r="S102" s="73">
        <v>1</v>
      </c>
      <c r="T102" s="839">
        <v>36625</v>
      </c>
      <c r="U102" s="852">
        <v>36641</v>
      </c>
      <c r="V102" s="82" t="s">
        <v>191</v>
      </c>
      <c r="W102" s="73" t="s">
        <v>20</v>
      </c>
      <c r="X102" s="73" t="s">
        <v>12</v>
      </c>
      <c r="Y102" s="83">
        <v>52.7</v>
      </c>
      <c r="AD102" s="82"/>
      <c r="AG102" s="83"/>
      <c r="AL102" s="82"/>
      <c r="AO102" s="83"/>
      <c r="AP102" s="82"/>
      <c r="AS102" s="83"/>
      <c r="AW102" s="83"/>
      <c r="BA102" s="84"/>
    </row>
    <row r="103" spans="1:53" s="73" customFormat="1">
      <c r="A103" s="73">
        <v>2001</v>
      </c>
      <c r="B103" s="852"/>
      <c r="C103" s="917" t="s">
        <v>183</v>
      </c>
      <c r="D103" s="917"/>
      <c r="E103" s="73">
        <v>0</v>
      </c>
      <c r="G103" s="119"/>
      <c r="I103" s="73">
        <v>21</v>
      </c>
      <c r="J103" s="126">
        <v>21</v>
      </c>
      <c r="K103" s="92">
        <f t="shared" si="20"/>
        <v>0</v>
      </c>
      <c r="L103" s="92">
        <f t="shared" si="21"/>
        <v>0</v>
      </c>
      <c r="M103" s="92">
        <f t="shared" si="22"/>
        <v>100</v>
      </c>
      <c r="N103" s="121">
        <f t="shared" si="10"/>
        <v>100</v>
      </c>
      <c r="O103" s="91"/>
      <c r="P103" s="92"/>
      <c r="Q103" s="92">
        <v>52.7</v>
      </c>
      <c r="R103" s="93">
        <f t="shared" si="9"/>
        <v>52.7</v>
      </c>
      <c r="S103" s="73">
        <v>1</v>
      </c>
      <c r="T103" s="839"/>
      <c r="U103" s="852"/>
      <c r="V103" s="82" t="s">
        <v>191</v>
      </c>
      <c r="W103" s="73" t="s">
        <v>20</v>
      </c>
      <c r="X103" s="73" t="s">
        <v>12</v>
      </c>
      <c r="Y103" s="83">
        <v>52.7</v>
      </c>
      <c r="AD103" s="82"/>
      <c r="AG103" s="83"/>
      <c r="AL103" s="82"/>
      <c r="AO103" s="83"/>
      <c r="AP103" s="82"/>
      <c r="AS103" s="83"/>
      <c r="AW103" s="83"/>
      <c r="BA103" s="84"/>
    </row>
    <row r="104" spans="1:53" s="73" customFormat="1">
      <c r="A104" s="73">
        <v>2001</v>
      </c>
      <c r="B104" s="852"/>
      <c r="C104" s="917" t="s">
        <v>183</v>
      </c>
      <c r="D104" s="917"/>
      <c r="E104" s="73">
        <f>365-E103</f>
        <v>365</v>
      </c>
      <c r="G104" s="119"/>
      <c r="I104" s="73">
        <v>21</v>
      </c>
      <c r="J104" s="126">
        <v>21</v>
      </c>
      <c r="K104" s="92">
        <f t="shared" si="20"/>
        <v>0</v>
      </c>
      <c r="L104" s="92">
        <f t="shared" si="21"/>
        <v>0</v>
      </c>
      <c r="M104" s="92">
        <f t="shared" si="22"/>
        <v>100</v>
      </c>
      <c r="N104" s="121">
        <f t="shared" si="10"/>
        <v>100</v>
      </c>
      <c r="O104" s="91"/>
      <c r="P104" s="92"/>
      <c r="Q104" s="92">
        <v>52.7</v>
      </c>
      <c r="R104" s="93">
        <f t="shared" si="9"/>
        <v>52.7</v>
      </c>
      <c r="S104" s="73">
        <v>1</v>
      </c>
      <c r="T104" s="839"/>
      <c r="U104" s="852"/>
      <c r="V104" s="82" t="s">
        <v>191</v>
      </c>
      <c r="W104" s="73" t="s">
        <v>20</v>
      </c>
      <c r="X104" s="73" t="s">
        <v>12</v>
      </c>
      <c r="Y104" s="83">
        <v>52.7</v>
      </c>
      <c r="AD104" s="82"/>
      <c r="AG104" s="83"/>
      <c r="AL104" s="82"/>
      <c r="AO104" s="83"/>
      <c r="AP104" s="82"/>
      <c r="AS104" s="83"/>
      <c r="AW104" s="83"/>
      <c r="BA104" s="84"/>
    </row>
    <row r="105" spans="1:53" s="73" customFormat="1">
      <c r="A105" s="73">
        <v>2002</v>
      </c>
      <c r="B105" s="852"/>
      <c r="C105" s="917" t="s">
        <v>183</v>
      </c>
      <c r="D105" s="917"/>
      <c r="E105" s="73">
        <v>0</v>
      </c>
      <c r="G105" s="119"/>
      <c r="I105" s="73">
        <v>21</v>
      </c>
      <c r="J105" s="126">
        <v>21</v>
      </c>
      <c r="K105" s="92">
        <f t="shared" si="20"/>
        <v>0</v>
      </c>
      <c r="L105" s="92">
        <f t="shared" si="21"/>
        <v>0</v>
      </c>
      <c r="M105" s="92">
        <f t="shared" si="22"/>
        <v>100</v>
      </c>
      <c r="N105" s="121">
        <f t="shared" si="10"/>
        <v>100</v>
      </c>
      <c r="O105" s="91"/>
      <c r="P105" s="92"/>
      <c r="Q105" s="92">
        <v>52.7</v>
      </c>
      <c r="R105" s="93">
        <f t="shared" si="9"/>
        <v>52.7</v>
      </c>
      <c r="S105" s="73">
        <v>1</v>
      </c>
      <c r="T105" s="839"/>
      <c r="U105" s="852"/>
      <c r="V105" s="82" t="s">
        <v>191</v>
      </c>
      <c r="W105" s="73" t="s">
        <v>20</v>
      </c>
      <c r="X105" s="73" t="s">
        <v>12</v>
      </c>
      <c r="Y105" s="83">
        <v>52.7</v>
      </c>
      <c r="AD105" s="82"/>
      <c r="AG105" s="83"/>
      <c r="AL105" s="82"/>
      <c r="AO105" s="83"/>
      <c r="AP105" s="82"/>
      <c r="AS105" s="83"/>
      <c r="AW105" s="83"/>
      <c r="BA105" s="84"/>
    </row>
    <row r="106" spans="1:53" s="73" customFormat="1">
      <c r="A106" s="73">
        <v>2002</v>
      </c>
      <c r="B106" s="852"/>
      <c r="C106" s="917" t="s">
        <v>183</v>
      </c>
      <c r="D106" s="917"/>
      <c r="E106" s="73">
        <f>365-E105</f>
        <v>365</v>
      </c>
      <c r="G106" s="119"/>
      <c r="I106" s="73">
        <v>21</v>
      </c>
      <c r="J106" s="126">
        <v>21</v>
      </c>
      <c r="K106" s="92">
        <f t="shared" si="20"/>
        <v>0</v>
      </c>
      <c r="L106" s="92">
        <f t="shared" si="21"/>
        <v>0</v>
      </c>
      <c r="M106" s="92">
        <f t="shared" si="22"/>
        <v>100</v>
      </c>
      <c r="N106" s="121">
        <f t="shared" si="10"/>
        <v>100</v>
      </c>
      <c r="O106" s="91"/>
      <c r="P106" s="92"/>
      <c r="Q106" s="92">
        <v>52.7</v>
      </c>
      <c r="R106" s="93">
        <f t="shared" si="9"/>
        <v>52.7</v>
      </c>
      <c r="S106" s="73">
        <v>1</v>
      </c>
      <c r="T106" s="839"/>
      <c r="U106" s="852"/>
      <c r="V106" s="82" t="s">
        <v>191</v>
      </c>
      <c r="W106" s="73" t="s">
        <v>20</v>
      </c>
      <c r="X106" s="73" t="s">
        <v>12</v>
      </c>
      <c r="Y106" s="83">
        <v>52.7</v>
      </c>
      <c r="AD106" s="82"/>
      <c r="AG106" s="83"/>
      <c r="AL106" s="82"/>
      <c r="AO106" s="83"/>
      <c r="AP106" s="82"/>
      <c r="AS106" s="83"/>
      <c r="AW106" s="83"/>
      <c r="BA106" s="84"/>
    </row>
    <row r="107" spans="1:53" s="73" customFormat="1">
      <c r="A107" s="73">
        <v>2003</v>
      </c>
      <c r="B107" s="852"/>
      <c r="C107" s="917" t="s">
        <v>183</v>
      </c>
      <c r="D107" s="917"/>
      <c r="E107" s="73">
        <v>0</v>
      </c>
      <c r="G107" s="119"/>
      <c r="I107" s="73">
        <v>21</v>
      </c>
      <c r="J107" s="126">
        <v>21</v>
      </c>
      <c r="K107" s="92">
        <f t="shared" si="20"/>
        <v>0</v>
      </c>
      <c r="L107" s="92">
        <f t="shared" si="21"/>
        <v>0</v>
      </c>
      <c r="M107" s="92">
        <f t="shared" si="22"/>
        <v>100</v>
      </c>
      <c r="N107" s="121">
        <f t="shared" si="10"/>
        <v>100</v>
      </c>
      <c r="O107" s="91"/>
      <c r="P107" s="92"/>
      <c r="Q107" s="92">
        <v>52.7</v>
      </c>
      <c r="R107" s="93">
        <f t="shared" si="9"/>
        <v>52.7</v>
      </c>
      <c r="S107" s="73">
        <v>1</v>
      </c>
      <c r="T107" s="839"/>
      <c r="U107" s="852"/>
      <c r="V107" s="82" t="s">
        <v>191</v>
      </c>
      <c r="W107" s="73" t="s">
        <v>20</v>
      </c>
      <c r="X107" s="73" t="s">
        <v>12</v>
      </c>
      <c r="Y107" s="83">
        <v>52.7</v>
      </c>
      <c r="AD107" s="82"/>
      <c r="AG107" s="83"/>
      <c r="AL107" s="82"/>
      <c r="AO107" s="83"/>
      <c r="AP107" s="82"/>
      <c r="AS107" s="83"/>
      <c r="AW107" s="83"/>
      <c r="BA107" s="84"/>
    </row>
    <row r="108" spans="1:53" s="73" customFormat="1">
      <c r="A108" s="73">
        <v>2003</v>
      </c>
      <c r="B108" s="852"/>
      <c r="C108" s="917" t="s">
        <v>183</v>
      </c>
      <c r="D108" s="917"/>
      <c r="E108" s="73">
        <f>365-E107</f>
        <v>365</v>
      </c>
      <c r="G108" s="119"/>
      <c r="I108" s="73">
        <v>21</v>
      </c>
      <c r="J108" s="126">
        <v>21</v>
      </c>
      <c r="K108" s="92">
        <f t="shared" si="20"/>
        <v>0</v>
      </c>
      <c r="L108" s="92">
        <f t="shared" si="21"/>
        <v>0</v>
      </c>
      <c r="M108" s="92">
        <f t="shared" si="22"/>
        <v>100</v>
      </c>
      <c r="N108" s="121">
        <f t="shared" si="10"/>
        <v>100</v>
      </c>
      <c r="O108" s="91"/>
      <c r="P108" s="92"/>
      <c r="Q108" s="92">
        <v>52.7</v>
      </c>
      <c r="R108" s="93">
        <f t="shared" si="9"/>
        <v>52.7</v>
      </c>
      <c r="S108" s="73">
        <v>1</v>
      </c>
      <c r="T108" s="839"/>
      <c r="U108" s="852"/>
      <c r="V108" s="82" t="s">
        <v>191</v>
      </c>
      <c r="W108" s="73" t="s">
        <v>20</v>
      </c>
      <c r="X108" s="73" t="s">
        <v>12</v>
      </c>
      <c r="Y108" s="83">
        <v>52.7</v>
      </c>
      <c r="AD108" s="82"/>
      <c r="AG108" s="83"/>
      <c r="AL108" s="82"/>
      <c r="AO108" s="83"/>
      <c r="AP108" s="82"/>
      <c r="AS108" s="83"/>
      <c r="AW108" s="83"/>
      <c r="BA108" s="84"/>
    </row>
    <row r="109" spans="1:53" s="73" customFormat="1">
      <c r="A109" s="73">
        <v>2004</v>
      </c>
      <c r="B109" s="852"/>
      <c r="C109" s="917" t="s">
        <v>183</v>
      </c>
      <c r="D109" s="917"/>
      <c r="E109" s="73">
        <v>82</v>
      </c>
      <c r="G109" s="119"/>
      <c r="I109" s="73">
        <v>21</v>
      </c>
      <c r="J109" s="126">
        <v>21</v>
      </c>
      <c r="K109" s="92">
        <f t="shared" si="20"/>
        <v>0</v>
      </c>
      <c r="L109" s="92">
        <f t="shared" si="21"/>
        <v>0</v>
      </c>
      <c r="M109" s="92">
        <f t="shared" si="22"/>
        <v>100</v>
      </c>
      <c r="N109" s="121">
        <f t="shared" si="10"/>
        <v>100</v>
      </c>
      <c r="O109" s="91"/>
      <c r="P109" s="92"/>
      <c r="Q109" s="92">
        <v>52.7</v>
      </c>
      <c r="R109" s="93">
        <f t="shared" si="9"/>
        <v>52.7</v>
      </c>
      <c r="S109" s="73">
        <v>1</v>
      </c>
      <c r="T109" s="839"/>
      <c r="U109" s="852"/>
      <c r="V109" s="82" t="s">
        <v>191</v>
      </c>
      <c r="W109" s="73" t="s">
        <v>20</v>
      </c>
      <c r="X109" s="73" t="s">
        <v>12</v>
      </c>
      <c r="Y109" s="83">
        <v>52.7</v>
      </c>
      <c r="AD109" s="82"/>
      <c r="AG109" s="83"/>
      <c r="AL109" s="82"/>
      <c r="AO109" s="83"/>
      <c r="AP109" s="82"/>
      <c r="AS109" s="83"/>
      <c r="AW109" s="83"/>
      <c r="BA109" s="84"/>
    </row>
    <row r="110" spans="1:53" s="292" customFormat="1">
      <c r="A110" s="292">
        <v>2004</v>
      </c>
      <c r="B110" s="836">
        <v>38069</v>
      </c>
      <c r="C110" s="916" t="s">
        <v>176</v>
      </c>
      <c r="D110" s="916"/>
      <c r="E110" s="292">
        <v>284</v>
      </c>
      <c r="F110" s="292">
        <v>1</v>
      </c>
      <c r="G110" s="366">
        <v>20</v>
      </c>
      <c r="J110" s="377">
        <v>20</v>
      </c>
      <c r="K110" s="336">
        <f t="shared" si="20"/>
        <v>100</v>
      </c>
      <c r="L110" s="336">
        <f t="shared" si="21"/>
        <v>0</v>
      </c>
      <c r="M110" s="336">
        <f t="shared" si="22"/>
        <v>0</v>
      </c>
      <c r="N110" s="368">
        <f t="shared" si="10"/>
        <v>100</v>
      </c>
      <c r="O110" s="335">
        <v>55</v>
      </c>
      <c r="P110" s="336"/>
      <c r="Q110" s="336"/>
      <c r="R110" s="337">
        <f t="shared" ref="R110:R131" si="23">SUM(O110:Q110)</f>
        <v>55</v>
      </c>
      <c r="S110" s="292">
        <v>1</v>
      </c>
      <c r="T110" s="838">
        <v>38053</v>
      </c>
      <c r="U110" s="836">
        <v>38069</v>
      </c>
      <c r="V110" s="299" t="s">
        <v>190</v>
      </c>
      <c r="W110" s="292" t="s">
        <v>77</v>
      </c>
      <c r="X110" s="292" t="s">
        <v>11</v>
      </c>
      <c r="Y110" s="300">
        <v>55</v>
      </c>
      <c r="AD110" s="299"/>
      <c r="AG110" s="300"/>
      <c r="AL110" s="299"/>
      <c r="AO110" s="300"/>
      <c r="AP110" s="299"/>
      <c r="AS110" s="300"/>
      <c r="AW110" s="300"/>
      <c r="BA110" s="301"/>
    </row>
    <row r="111" spans="1:53" s="292" customFormat="1">
      <c r="A111" s="292">
        <v>2005</v>
      </c>
      <c r="B111" s="836"/>
      <c r="C111" s="916" t="s">
        <v>176</v>
      </c>
      <c r="D111" s="916"/>
      <c r="E111" s="292">
        <v>0</v>
      </c>
      <c r="G111" s="366">
        <v>20</v>
      </c>
      <c r="J111" s="377">
        <v>20</v>
      </c>
      <c r="K111" s="336">
        <f t="shared" ref="K111:K118" si="24">G111/J111*100</f>
        <v>100</v>
      </c>
      <c r="L111" s="336">
        <f t="shared" ref="L111:L119" si="25">H111/J111*100</f>
        <v>0</v>
      </c>
      <c r="M111" s="336">
        <f t="shared" ref="M111:M119" si="26">I111/J111*100</f>
        <v>0</v>
      </c>
      <c r="N111" s="368">
        <f t="shared" si="10"/>
        <v>100</v>
      </c>
      <c r="O111" s="335">
        <v>55</v>
      </c>
      <c r="P111" s="336"/>
      <c r="Q111" s="336"/>
      <c r="R111" s="337">
        <f t="shared" si="23"/>
        <v>55</v>
      </c>
      <c r="S111" s="292">
        <v>1</v>
      </c>
      <c r="T111" s="838"/>
      <c r="U111" s="836"/>
      <c r="V111" s="299" t="s">
        <v>190</v>
      </c>
      <c r="W111" s="292" t="s">
        <v>77</v>
      </c>
      <c r="X111" s="292" t="s">
        <v>11</v>
      </c>
      <c r="Y111" s="300">
        <v>55</v>
      </c>
      <c r="AD111" s="299"/>
      <c r="AG111" s="300"/>
      <c r="AL111" s="299"/>
      <c r="AO111" s="300"/>
      <c r="AP111" s="299"/>
      <c r="AS111" s="300"/>
      <c r="AW111" s="300"/>
      <c r="BA111" s="301"/>
    </row>
    <row r="112" spans="1:53" s="292" customFormat="1">
      <c r="A112" s="292">
        <v>2005</v>
      </c>
      <c r="B112" s="836"/>
      <c r="C112" s="916" t="s">
        <v>176</v>
      </c>
      <c r="D112" s="916"/>
      <c r="E112" s="292">
        <v>365</v>
      </c>
      <c r="G112" s="366">
        <v>20</v>
      </c>
      <c r="J112" s="377">
        <v>20</v>
      </c>
      <c r="K112" s="336">
        <f t="shared" si="24"/>
        <v>100</v>
      </c>
      <c r="L112" s="336">
        <f t="shared" si="25"/>
        <v>0</v>
      </c>
      <c r="M112" s="336">
        <f t="shared" si="26"/>
        <v>0</v>
      </c>
      <c r="N112" s="368">
        <f t="shared" si="10"/>
        <v>100</v>
      </c>
      <c r="O112" s="335">
        <v>55</v>
      </c>
      <c r="P112" s="336"/>
      <c r="Q112" s="336"/>
      <c r="R112" s="337">
        <f t="shared" si="23"/>
        <v>55</v>
      </c>
      <c r="S112" s="292">
        <v>1</v>
      </c>
      <c r="T112" s="838"/>
      <c r="U112" s="836"/>
      <c r="V112" s="299" t="s">
        <v>190</v>
      </c>
      <c r="W112" s="292" t="s">
        <v>77</v>
      </c>
      <c r="X112" s="292" t="s">
        <v>11</v>
      </c>
      <c r="Y112" s="300">
        <v>55</v>
      </c>
      <c r="AD112" s="299"/>
      <c r="AG112" s="300"/>
      <c r="AL112" s="299"/>
      <c r="AO112" s="300"/>
      <c r="AP112" s="299"/>
      <c r="AS112" s="300"/>
      <c r="AW112" s="300"/>
      <c r="BA112" s="301"/>
    </row>
    <row r="113" spans="1:53" s="292" customFormat="1">
      <c r="A113" s="292">
        <v>2006</v>
      </c>
      <c r="B113" s="836"/>
      <c r="C113" s="916" t="s">
        <v>176</v>
      </c>
      <c r="D113" s="916"/>
      <c r="E113" s="292">
        <v>0</v>
      </c>
      <c r="G113" s="366">
        <v>20</v>
      </c>
      <c r="J113" s="377">
        <v>20</v>
      </c>
      <c r="K113" s="336">
        <f t="shared" si="24"/>
        <v>100</v>
      </c>
      <c r="L113" s="336">
        <f t="shared" si="25"/>
        <v>0</v>
      </c>
      <c r="M113" s="336">
        <f t="shared" si="26"/>
        <v>0</v>
      </c>
      <c r="N113" s="368">
        <f t="shared" si="10"/>
        <v>100</v>
      </c>
      <c r="O113" s="335">
        <v>55</v>
      </c>
      <c r="P113" s="336"/>
      <c r="Q113" s="336"/>
      <c r="R113" s="337">
        <f t="shared" si="23"/>
        <v>55</v>
      </c>
      <c r="S113" s="292">
        <v>1</v>
      </c>
      <c r="T113" s="838"/>
      <c r="U113" s="836"/>
      <c r="V113" s="299" t="s">
        <v>190</v>
      </c>
      <c r="W113" s="292" t="s">
        <v>77</v>
      </c>
      <c r="X113" s="292" t="s">
        <v>11</v>
      </c>
      <c r="Y113" s="300">
        <v>55</v>
      </c>
      <c r="AD113" s="299"/>
      <c r="AG113" s="300"/>
      <c r="AL113" s="299"/>
      <c r="AO113" s="300"/>
      <c r="AP113" s="299"/>
      <c r="AS113" s="300"/>
      <c r="AW113" s="300"/>
      <c r="BA113" s="301"/>
    </row>
    <row r="114" spans="1:53" s="292" customFormat="1">
      <c r="A114" s="292">
        <v>2006</v>
      </c>
      <c r="B114" s="836"/>
      <c r="C114" s="916" t="s">
        <v>176</v>
      </c>
      <c r="D114" s="916"/>
      <c r="E114" s="292">
        <v>365</v>
      </c>
      <c r="G114" s="366">
        <v>20</v>
      </c>
      <c r="J114" s="377">
        <v>20</v>
      </c>
      <c r="K114" s="336">
        <f t="shared" si="24"/>
        <v>100</v>
      </c>
      <c r="L114" s="336">
        <f t="shared" si="25"/>
        <v>0</v>
      </c>
      <c r="M114" s="336">
        <f t="shared" si="26"/>
        <v>0</v>
      </c>
      <c r="N114" s="368">
        <f t="shared" si="10"/>
        <v>100</v>
      </c>
      <c r="O114" s="335">
        <v>55</v>
      </c>
      <c r="P114" s="336"/>
      <c r="Q114" s="336"/>
      <c r="R114" s="337">
        <f t="shared" si="23"/>
        <v>55</v>
      </c>
      <c r="S114" s="292">
        <v>1</v>
      </c>
      <c r="T114" s="838"/>
      <c r="U114" s="836"/>
      <c r="V114" s="299" t="s">
        <v>190</v>
      </c>
      <c r="W114" s="292" t="s">
        <v>77</v>
      </c>
      <c r="X114" s="292" t="s">
        <v>11</v>
      </c>
      <c r="Y114" s="300">
        <v>55</v>
      </c>
      <c r="AD114" s="299"/>
      <c r="AG114" s="300"/>
      <c r="AL114" s="299"/>
      <c r="AO114" s="300"/>
      <c r="AP114" s="299"/>
      <c r="AS114" s="300"/>
      <c r="AW114" s="300"/>
      <c r="BA114" s="301"/>
    </row>
    <row r="115" spans="1:53" s="292" customFormat="1">
      <c r="A115" s="292">
        <v>2007</v>
      </c>
      <c r="B115" s="836"/>
      <c r="C115" s="916" t="s">
        <v>176</v>
      </c>
      <c r="D115" s="916"/>
      <c r="E115" s="292">
        <f>365-E116</f>
        <v>273</v>
      </c>
      <c r="G115" s="366">
        <v>20</v>
      </c>
      <c r="J115" s="377">
        <v>20</v>
      </c>
      <c r="K115" s="336">
        <f t="shared" si="24"/>
        <v>100</v>
      </c>
      <c r="L115" s="336">
        <f t="shared" si="25"/>
        <v>0</v>
      </c>
      <c r="M115" s="336">
        <f t="shared" si="26"/>
        <v>0</v>
      </c>
      <c r="N115" s="368">
        <f t="shared" si="10"/>
        <v>100</v>
      </c>
      <c r="O115" s="335">
        <v>55</v>
      </c>
      <c r="P115" s="336"/>
      <c r="Q115" s="336"/>
      <c r="R115" s="337">
        <f t="shared" si="23"/>
        <v>55</v>
      </c>
      <c r="S115" s="292">
        <v>1</v>
      </c>
      <c r="T115" s="838"/>
      <c r="U115" s="836"/>
      <c r="V115" s="299" t="s">
        <v>190</v>
      </c>
      <c r="W115" s="292" t="s">
        <v>77</v>
      </c>
      <c r="X115" s="292" t="s">
        <v>11</v>
      </c>
      <c r="Y115" s="300">
        <v>55</v>
      </c>
      <c r="AD115" s="299"/>
      <c r="AG115" s="300"/>
      <c r="AL115" s="299"/>
      <c r="AO115" s="300"/>
      <c r="AP115" s="299"/>
      <c r="AS115" s="300"/>
      <c r="AW115" s="300"/>
      <c r="BA115" s="301"/>
    </row>
    <row r="116" spans="1:53" s="195" customFormat="1">
      <c r="A116" s="195">
        <v>2007</v>
      </c>
      <c r="B116" s="852">
        <v>39356</v>
      </c>
      <c r="C116" s="917" t="s">
        <v>177</v>
      </c>
      <c r="D116" s="917"/>
      <c r="E116" s="195">
        <v>92</v>
      </c>
      <c r="F116" s="195">
        <v>1</v>
      </c>
      <c r="G116" s="119">
        <v>18</v>
      </c>
      <c r="J116" s="126">
        <v>18</v>
      </c>
      <c r="K116" s="92">
        <f t="shared" si="24"/>
        <v>100</v>
      </c>
      <c r="L116" s="92">
        <f t="shared" si="25"/>
        <v>0</v>
      </c>
      <c r="M116" s="92">
        <f t="shared" si="26"/>
        <v>0</v>
      </c>
      <c r="N116" s="121">
        <f t="shared" si="10"/>
        <v>100</v>
      </c>
      <c r="O116" s="91">
        <v>50.7</v>
      </c>
      <c r="P116" s="92"/>
      <c r="Q116" s="92"/>
      <c r="R116" s="93">
        <f t="shared" si="23"/>
        <v>50.7</v>
      </c>
      <c r="S116" s="195">
        <v>1</v>
      </c>
      <c r="T116" s="839">
        <v>39341</v>
      </c>
      <c r="U116" s="852">
        <v>39356</v>
      </c>
      <c r="V116" s="82" t="s">
        <v>190</v>
      </c>
      <c r="W116" s="195" t="s">
        <v>77</v>
      </c>
      <c r="X116" s="195" t="s">
        <v>11</v>
      </c>
      <c r="Y116" s="83">
        <v>50.7</v>
      </c>
      <c r="AD116" s="82"/>
      <c r="AG116" s="83"/>
      <c r="AL116" s="82"/>
      <c r="AO116" s="83"/>
      <c r="AP116" s="82"/>
      <c r="AS116" s="83"/>
      <c r="AW116" s="83"/>
      <c r="BA116" s="84"/>
    </row>
    <row r="117" spans="1:53" s="195" customFormat="1">
      <c r="A117" s="195">
        <v>2008</v>
      </c>
      <c r="B117" s="852"/>
      <c r="C117" s="917" t="s">
        <v>177</v>
      </c>
      <c r="D117" s="917"/>
      <c r="E117" s="195">
        <v>297</v>
      </c>
      <c r="G117" s="119">
        <v>18</v>
      </c>
      <c r="J117" s="126">
        <v>18</v>
      </c>
      <c r="K117" s="92">
        <f t="shared" si="24"/>
        <v>100</v>
      </c>
      <c r="L117" s="92">
        <f t="shared" si="25"/>
        <v>0</v>
      </c>
      <c r="M117" s="92">
        <f t="shared" si="26"/>
        <v>0</v>
      </c>
      <c r="N117" s="121">
        <f t="shared" si="10"/>
        <v>100</v>
      </c>
      <c r="O117" s="91">
        <v>50.7</v>
      </c>
      <c r="P117" s="92"/>
      <c r="Q117" s="92"/>
      <c r="R117" s="93">
        <f t="shared" si="23"/>
        <v>50.7</v>
      </c>
      <c r="S117" s="195">
        <v>1</v>
      </c>
      <c r="T117" s="839"/>
      <c r="U117" s="852"/>
      <c r="V117" s="82" t="s">
        <v>190</v>
      </c>
      <c r="W117" s="195" t="s">
        <v>77</v>
      </c>
      <c r="X117" s="195" t="s">
        <v>11</v>
      </c>
      <c r="Y117" s="83">
        <v>50.7</v>
      </c>
      <c r="AD117" s="82"/>
      <c r="AG117" s="83"/>
      <c r="AL117" s="82"/>
      <c r="AO117" s="83"/>
      <c r="AP117" s="82"/>
      <c r="AS117" s="83"/>
      <c r="AW117" s="83"/>
      <c r="BA117" s="84"/>
    </row>
    <row r="118" spans="1:53" s="195" customFormat="1">
      <c r="A118" s="195">
        <v>2008</v>
      </c>
      <c r="B118" s="866">
        <v>39745</v>
      </c>
      <c r="C118" s="917" t="s">
        <v>177</v>
      </c>
      <c r="D118" s="917"/>
      <c r="E118" s="195">
        <v>69</v>
      </c>
      <c r="F118" s="190">
        <v>0</v>
      </c>
      <c r="G118" s="119">
        <v>17</v>
      </c>
      <c r="J118" s="126">
        <v>17</v>
      </c>
      <c r="K118" s="92">
        <f t="shared" si="24"/>
        <v>100</v>
      </c>
      <c r="L118" s="92">
        <f t="shared" si="25"/>
        <v>0</v>
      </c>
      <c r="M118" s="92">
        <f t="shared" si="26"/>
        <v>0</v>
      </c>
      <c r="N118" s="121">
        <f t="shared" si="10"/>
        <v>100</v>
      </c>
      <c r="O118" s="91">
        <v>50.7</v>
      </c>
      <c r="P118" s="92"/>
      <c r="Q118" s="92"/>
      <c r="R118" s="93">
        <f t="shared" si="23"/>
        <v>50.7</v>
      </c>
      <c r="S118" s="195">
        <v>1</v>
      </c>
      <c r="T118" s="839"/>
      <c r="U118" s="852"/>
      <c r="V118" s="82" t="s">
        <v>190</v>
      </c>
      <c r="W118" s="195" t="s">
        <v>77</v>
      </c>
      <c r="X118" s="195" t="s">
        <v>11</v>
      </c>
      <c r="Y118" s="83">
        <v>50.7</v>
      </c>
      <c r="AD118" s="82"/>
      <c r="AG118" s="83"/>
      <c r="AL118" s="82"/>
      <c r="AO118" s="83"/>
      <c r="AP118" s="82"/>
      <c r="AS118" s="83"/>
      <c r="AW118" s="83"/>
      <c r="BA118" s="84"/>
    </row>
    <row r="119" spans="1:53" s="195" customFormat="1">
      <c r="A119" s="195">
        <v>2009</v>
      </c>
      <c r="B119" s="852"/>
      <c r="C119" s="917" t="s">
        <v>177</v>
      </c>
      <c r="D119" s="917"/>
      <c r="E119" s="195">
        <v>291</v>
      </c>
      <c r="G119" s="119">
        <v>17</v>
      </c>
      <c r="J119" s="126">
        <v>17</v>
      </c>
      <c r="K119" s="92">
        <f t="shared" ref="K119:K125" si="27">G119/J119*100</f>
        <v>100</v>
      </c>
      <c r="L119" s="92">
        <f t="shared" si="25"/>
        <v>0</v>
      </c>
      <c r="M119" s="92">
        <f t="shared" si="26"/>
        <v>0</v>
      </c>
      <c r="N119" s="121">
        <f t="shared" si="10"/>
        <v>100</v>
      </c>
      <c r="O119" s="91">
        <v>50.7</v>
      </c>
      <c r="P119" s="92"/>
      <c r="Q119" s="92"/>
      <c r="R119" s="93">
        <f t="shared" si="23"/>
        <v>50.7</v>
      </c>
      <c r="S119" s="195">
        <v>1</v>
      </c>
      <c r="T119" s="839"/>
      <c r="U119" s="852"/>
      <c r="V119" s="82" t="s">
        <v>190</v>
      </c>
      <c r="W119" s="195" t="s">
        <v>77</v>
      </c>
      <c r="X119" s="195" t="s">
        <v>11</v>
      </c>
      <c r="Y119" s="83">
        <v>50.7</v>
      </c>
      <c r="AD119" s="82"/>
      <c r="AG119" s="83"/>
      <c r="AL119" s="82"/>
      <c r="AO119" s="83"/>
      <c r="AP119" s="82"/>
      <c r="AS119" s="83"/>
      <c r="AW119" s="83"/>
      <c r="BA119" s="84"/>
    </row>
    <row r="120" spans="1:53" s="292" customFormat="1">
      <c r="A120" s="292">
        <v>2009</v>
      </c>
      <c r="B120" s="836">
        <v>40105</v>
      </c>
      <c r="C120" s="916" t="s">
        <v>1366</v>
      </c>
      <c r="D120" s="916"/>
      <c r="E120" s="292">
        <v>74</v>
      </c>
      <c r="F120" s="292">
        <v>1</v>
      </c>
      <c r="G120" s="366"/>
      <c r="I120" s="292">
        <v>17</v>
      </c>
      <c r="J120" s="377">
        <v>17</v>
      </c>
      <c r="K120" s="336">
        <f t="shared" si="27"/>
        <v>0</v>
      </c>
      <c r="L120" s="336">
        <f t="shared" ref="L120:L125" si="28">H120/J120*100</f>
        <v>0</v>
      </c>
      <c r="M120" s="336">
        <f t="shared" ref="M120:M125" si="29">I120/J120*100</f>
        <v>100</v>
      </c>
      <c r="N120" s="368">
        <f t="shared" si="10"/>
        <v>100</v>
      </c>
      <c r="O120" s="335"/>
      <c r="P120" s="336"/>
      <c r="Q120" s="336">
        <v>53.3</v>
      </c>
      <c r="R120" s="337">
        <f t="shared" si="23"/>
        <v>53.3</v>
      </c>
      <c r="S120" s="292">
        <v>1</v>
      </c>
      <c r="T120" s="838">
        <v>40090</v>
      </c>
      <c r="U120" s="836">
        <v>40105</v>
      </c>
      <c r="V120" s="299" t="s">
        <v>191</v>
      </c>
      <c r="W120" s="292" t="s">
        <v>20</v>
      </c>
      <c r="X120" s="292" t="s">
        <v>12</v>
      </c>
      <c r="Y120" s="300">
        <v>53.3</v>
      </c>
      <c r="AD120" s="299"/>
      <c r="AG120" s="300"/>
      <c r="AL120" s="299"/>
      <c r="AO120" s="300"/>
      <c r="AP120" s="299"/>
      <c r="AS120" s="300"/>
      <c r="AW120" s="300"/>
      <c r="BA120" s="301"/>
    </row>
    <row r="121" spans="1:53" s="292" customFormat="1">
      <c r="A121" s="292">
        <v>2010</v>
      </c>
      <c r="B121" s="836"/>
      <c r="C121" s="916" t="s">
        <v>1366</v>
      </c>
      <c r="D121" s="916"/>
      <c r="E121" s="292">
        <v>249</v>
      </c>
      <c r="G121" s="366"/>
      <c r="I121" s="292">
        <v>17</v>
      </c>
      <c r="J121" s="377">
        <v>17</v>
      </c>
      <c r="K121" s="336">
        <f t="shared" si="27"/>
        <v>0</v>
      </c>
      <c r="L121" s="336">
        <f t="shared" si="28"/>
        <v>0</v>
      </c>
      <c r="M121" s="336">
        <f t="shared" si="29"/>
        <v>100</v>
      </c>
      <c r="N121" s="368">
        <f t="shared" si="10"/>
        <v>100</v>
      </c>
      <c r="O121" s="335"/>
      <c r="P121" s="336"/>
      <c r="Q121" s="336">
        <v>53.3</v>
      </c>
      <c r="R121" s="337">
        <f t="shared" si="23"/>
        <v>53.3</v>
      </c>
      <c r="S121" s="292">
        <v>1</v>
      </c>
      <c r="T121" s="838"/>
      <c r="U121" s="836"/>
      <c r="V121" s="299" t="s">
        <v>191</v>
      </c>
      <c r="W121" s="292" t="s">
        <v>20</v>
      </c>
      <c r="X121" s="292" t="s">
        <v>12</v>
      </c>
      <c r="Y121" s="300">
        <v>53.3</v>
      </c>
      <c r="AD121" s="299"/>
      <c r="AG121" s="300"/>
      <c r="AL121" s="299"/>
      <c r="AO121" s="300"/>
      <c r="AP121" s="299"/>
      <c r="AS121" s="300"/>
      <c r="AW121" s="300"/>
      <c r="BA121" s="301"/>
    </row>
    <row r="122" spans="1:53" s="292" customFormat="1">
      <c r="A122" s="292">
        <v>2010</v>
      </c>
      <c r="B122" s="872">
        <v>40428</v>
      </c>
      <c r="C122" s="916" t="s">
        <v>1366</v>
      </c>
      <c r="D122" s="916"/>
      <c r="E122" s="292">
        <f>365-E121</f>
        <v>116</v>
      </c>
      <c r="F122" s="389">
        <v>0</v>
      </c>
      <c r="G122" s="366"/>
      <c r="I122" s="292">
        <v>18</v>
      </c>
      <c r="J122" s="377">
        <v>18</v>
      </c>
      <c r="K122" s="336">
        <f t="shared" si="27"/>
        <v>0</v>
      </c>
      <c r="L122" s="336">
        <f t="shared" si="28"/>
        <v>0</v>
      </c>
      <c r="M122" s="336">
        <f t="shared" si="29"/>
        <v>100</v>
      </c>
      <c r="N122" s="368">
        <f t="shared" si="10"/>
        <v>100</v>
      </c>
      <c r="O122" s="335"/>
      <c r="P122" s="336"/>
      <c r="Q122" s="336">
        <v>53.3</v>
      </c>
      <c r="R122" s="337">
        <f t="shared" si="23"/>
        <v>53.3</v>
      </c>
      <c r="S122" s="292">
        <v>1</v>
      </c>
      <c r="T122" s="838"/>
      <c r="U122" s="836"/>
      <c r="V122" s="299" t="s">
        <v>191</v>
      </c>
      <c r="W122" s="292" t="s">
        <v>20</v>
      </c>
      <c r="X122" s="292" t="s">
        <v>12</v>
      </c>
      <c r="Y122" s="300">
        <v>53.3</v>
      </c>
      <c r="AD122" s="299"/>
      <c r="AG122" s="300"/>
      <c r="AL122" s="299"/>
      <c r="AO122" s="300"/>
      <c r="AP122" s="299"/>
      <c r="AS122" s="300"/>
      <c r="AW122" s="300"/>
      <c r="BA122" s="301"/>
    </row>
    <row r="123" spans="1:53" s="292" customFormat="1">
      <c r="A123" s="292">
        <v>2011</v>
      </c>
      <c r="B123" s="836"/>
      <c r="C123" s="916" t="s">
        <v>1366</v>
      </c>
      <c r="D123" s="916"/>
      <c r="E123" s="292">
        <v>319</v>
      </c>
      <c r="G123" s="366"/>
      <c r="I123" s="292">
        <v>18</v>
      </c>
      <c r="J123" s="377">
        <v>18</v>
      </c>
      <c r="K123" s="336">
        <f t="shared" si="27"/>
        <v>0</v>
      </c>
      <c r="L123" s="336">
        <f t="shared" si="28"/>
        <v>0</v>
      </c>
      <c r="M123" s="336">
        <f t="shared" si="29"/>
        <v>100</v>
      </c>
      <c r="N123" s="368">
        <f t="shared" si="10"/>
        <v>100</v>
      </c>
      <c r="O123" s="335"/>
      <c r="P123" s="336"/>
      <c r="Q123" s="336">
        <v>53.3</v>
      </c>
      <c r="R123" s="337">
        <f t="shared" si="23"/>
        <v>53.3</v>
      </c>
      <c r="S123" s="292">
        <v>1</v>
      </c>
      <c r="T123" s="838"/>
      <c r="U123" s="836"/>
      <c r="V123" s="299" t="s">
        <v>191</v>
      </c>
      <c r="W123" s="292" t="s">
        <v>20</v>
      </c>
      <c r="X123" s="292" t="s">
        <v>12</v>
      </c>
      <c r="Y123" s="300">
        <v>53.3</v>
      </c>
      <c r="AD123" s="299"/>
      <c r="AG123" s="300"/>
      <c r="AL123" s="299"/>
      <c r="AO123" s="300"/>
      <c r="AP123" s="299"/>
      <c r="AS123" s="300"/>
      <c r="AW123" s="300"/>
      <c r="BA123" s="301"/>
    </row>
    <row r="124" spans="1:53" s="195" customFormat="1">
      <c r="A124" s="195">
        <v>2011</v>
      </c>
      <c r="B124" s="852">
        <v>40863</v>
      </c>
      <c r="C124" s="917" t="s">
        <v>184</v>
      </c>
      <c r="D124" s="917"/>
      <c r="E124" s="195">
        <v>46</v>
      </c>
      <c r="F124" s="195">
        <v>2</v>
      </c>
      <c r="G124" s="119">
        <v>3</v>
      </c>
      <c r="I124" s="195">
        <v>12</v>
      </c>
      <c r="J124" s="126">
        <v>18</v>
      </c>
      <c r="K124" s="92">
        <f t="shared" si="27"/>
        <v>16.666666666666664</v>
      </c>
      <c r="L124" s="92">
        <f t="shared" si="28"/>
        <v>0</v>
      </c>
      <c r="M124" s="92">
        <f t="shared" si="29"/>
        <v>66.666666666666657</v>
      </c>
      <c r="N124" s="121">
        <f>SUM(K124:M124)</f>
        <v>83.333333333333314</v>
      </c>
      <c r="O124" s="91">
        <v>35.299999999999997</v>
      </c>
      <c r="P124" s="92">
        <v>0</v>
      </c>
      <c r="Q124" s="92">
        <v>53.3</v>
      </c>
      <c r="R124" s="93">
        <f t="shared" si="23"/>
        <v>88.6</v>
      </c>
      <c r="S124" s="195">
        <v>7</v>
      </c>
      <c r="T124" s="839"/>
      <c r="U124" s="852">
        <v>40863</v>
      </c>
      <c r="V124" s="196" t="s">
        <v>781</v>
      </c>
      <c r="Y124" s="83"/>
      <c r="Z124" s="195" t="s">
        <v>191</v>
      </c>
      <c r="AA124" s="195" t="s">
        <v>20</v>
      </c>
      <c r="AB124" s="195" t="s">
        <v>12</v>
      </c>
      <c r="AC124" s="195">
        <v>53.3</v>
      </c>
      <c r="AD124" s="82" t="s">
        <v>190</v>
      </c>
      <c r="AE124" s="195" t="s">
        <v>77</v>
      </c>
      <c r="AF124" s="195" t="s">
        <v>11</v>
      </c>
      <c r="AG124" s="83">
        <v>30.3</v>
      </c>
      <c r="AH124" s="195" t="s">
        <v>551</v>
      </c>
      <c r="AI124" s="195" t="s">
        <v>297</v>
      </c>
      <c r="AJ124" s="195" t="s">
        <v>11</v>
      </c>
      <c r="AK124" s="195">
        <v>5</v>
      </c>
      <c r="AL124" s="82"/>
      <c r="AO124" s="83"/>
      <c r="AP124" s="82"/>
      <c r="AS124" s="83"/>
      <c r="AW124" s="83"/>
      <c r="BA124" s="84"/>
    </row>
    <row r="125" spans="1:53" s="195" customFormat="1">
      <c r="A125" s="195">
        <v>2012</v>
      </c>
      <c r="B125" s="852"/>
      <c r="C125" s="917" t="s">
        <v>184</v>
      </c>
      <c r="D125" s="917"/>
      <c r="E125" s="195">
        <v>136</v>
      </c>
      <c r="G125" s="119">
        <v>3</v>
      </c>
      <c r="I125" s="195">
        <v>12</v>
      </c>
      <c r="J125" s="126">
        <v>18</v>
      </c>
      <c r="K125" s="92">
        <f t="shared" si="27"/>
        <v>16.666666666666664</v>
      </c>
      <c r="L125" s="92">
        <f t="shared" si="28"/>
        <v>0</v>
      </c>
      <c r="M125" s="92">
        <f t="shared" si="29"/>
        <v>66.666666666666657</v>
      </c>
      <c r="N125" s="121">
        <f>SUM(K125:M125)</f>
        <v>83.333333333333314</v>
      </c>
      <c r="O125" s="91">
        <v>35.299999999999997</v>
      </c>
      <c r="P125" s="92">
        <v>0</v>
      </c>
      <c r="Q125" s="92">
        <v>53.3</v>
      </c>
      <c r="R125" s="93">
        <f t="shared" si="23"/>
        <v>88.6</v>
      </c>
      <c r="S125" s="195">
        <v>7</v>
      </c>
      <c r="T125" s="839"/>
      <c r="U125" s="852"/>
      <c r="V125" s="196" t="s">
        <v>781</v>
      </c>
      <c r="Y125" s="83"/>
      <c r="Z125" s="195" t="s">
        <v>191</v>
      </c>
      <c r="AA125" s="195" t="s">
        <v>20</v>
      </c>
      <c r="AB125" s="195" t="s">
        <v>12</v>
      </c>
      <c r="AC125" s="195">
        <v>53.3</v>
      </c>
      <c r="AD125" s="82" t="s">
        <v>190</v>
      </c>
      <c r="AE125" s="195" t="s">
        <v>77</v>
      </c>
      <c r="AF125" s="195" t="s">
        <v>11</v>
      </c>
      <c r="AG125" s="83">
        <v>30.3</v>
      </c>
      <c r="AH125" s="195" t="s">
        <v>551</v>
      </c>
      <c r="AI125" s="195" t="s">
        <v>297</v>
      </c>
      <c r="AJ125" s="195" t="s">
        <v>11</v>
      </c>
      <c r="AK125" s="195">
        <v>5</v>
      </c>
      <c r="AL125" s="82"/>
      <c r="AO125" s="83"/>
      <c r="AP125" s="82"/>
      <c r="AS125" s="83"/>
      <c r="AW125" s="83"/>
      <c r="BA125" s="84"/>
    </row>
    <row r="126" spans="1:53" s="292" customFormat="1">
      <c r="A126" s="292">
        <v>2012</v>
      </c>
      <c r="B126" s="836">
        <v>41045</v>
      </c>
      <c r="C126" s="958" t="s">
        <v>185</v>
      </c>
      <c r="D126" s="958"/>
      <c r="E126" s="292">
        <v>36</v>
      </c>
      <c r="F126" s="292">
        <v>1</v>
      </c>
      <c r="G126" s="366">
        <v>0</v>
      </c>
      <c r="H126" s="292">
        <v>0</v>
      </c>
      <c r="I126" s="292">
        <v>0</v>
      </c>
      <c r="J126" s="377">
        <v>17</v>
      </c>
      <c r="K126" s="336">
        <v>0</v>
      </c>
      <c r="L126" s="336">
        <v>0</v>
      </c>
      <c r="M126" s="336">
        <v>0</v>
      </c>
      <c r="N126" s="368">
        <f t="shared" si="10"/>
        <v>0</v>
      </c>
      <c r="O126" s="335">
        <v>0</v>
      </c>
      <c r="P126" s="336">
        <v>0</v>
      </c>
      <c r="Q126" s="336">
        <v>0</v>
      </c>
      <c r="R126" s="337">
        <f t="shared" si="23"/>
        <v>0</v>
      </c>
      <c r="S126" s="292">
        <v>6</v>
      </c>
      <c r="T126" s="838">
        <v>41035</v>
      </c>
      <c r="U126" s="836">
        <v>41045</v>
      </c>
      <c r="V126" s="379" t="s">
        <v>800</v>
      </c>
      <c r="Y126" s="300"/>
      <c r="AD126" s="299"/>
      <c r="AG126" s="300"/>
      <c r="AL126" s="299"/>
      <c r="AO126" s="300"/>
      <c r="AP126" s="299"/>
      <c r="AS126" s="300"/>
      <c r="AW126" s="300"/>
      <c r="BA126" s="301"/>
    </row>
    <row r="127" spans="1:53" s="73" customFormat="1">
      <c r="A127" s="73">
        <v>2012</v>
      </c>
      <c r="B127" s="852">
        <v>41081</v>
      </c>
      <c r="C127" s="950" t="s">
        <v>186</v>
      </c>
      <c r="D127" s="950"/>
      <c r="E127" s="73">
        <v>194</v>
      </c>
      <c r="F127" s="73">
        <v>1</v>
      </c>
      <c r="G127" s="119">
        <v>13</v>
      </c>
      <c r="I127" s="73">
        <v>5</v>
      </c>
      <c r="J127" s="126">
        <v>18</v>
      </c>
      <c r="K127" s="92">
        <f t="shared" ref="K127:M129" si="30">G127/$J127*100</f>
        <v>72.222222222222214</v>
      </c>
      <c r="L127" s="92">
        <f t="shared" si="30"/>
        <v>0</v>
      </c>
      <c r="M127" s="92">
        <f t="shared" si="30"/>
        <v>27.777777777777779</v>
      </c>
      <c r="N127" s="121">
        <f t="shared" ref="N127:N139" si="31">SUM(K127:M127)</f>
        <v>100</v>
      </c>
      <c r="O127" s="91">
        <v>43</v>
      </c>
      <c r="P127" s="92"/>
      <c r="Q127" s="92">
        <v>16</v>
      </c>
      <c r="R127" s="93">
        <f t="shared" si="23"/>
        <v>59</v>
      </c>
      <c r="S127" s="73">
        <v>3</v>
      </c>
      <c r="T127" s="839">
        <v>41077</v>
      </c>
      <c r="U127" s="852">
        <v>41081</v>
      </c>
      <c r="V127" s="82" t="s">
        <v>190</v>
      </c>
      <c r="W127" s="73" t="s">
        <v>77</v>
      </c>
      <c r="X127" s="73" t="s">
        <v>11</v>
      </c>
      <c r="Y127" s="83">
        <v>43</v>
      </c>
      <c r="Z127" s="82" t="s">
        <v>191</v>
      </c>
      <c r="AA127" s="73" t="s">
        <v>20</v>
      </c>
      <c r="AB127" s="73" t="s">
        <v>12</v>
      </c>
      <c r="AC127" s="83">
        <v>11</v>
      </c>
      <c r="AD127" s="82" t="s">
        <v>194</v>
      </c>
      <c r="AE127" s="73" t="s">
        <v>116</v>
      </c>
      <c r="AF127" s="73" t="s">
        <v>12</v>
      </c>
      <c r="AG127" s="83">
        <v>5</v>
      </c>
      <c r="AL127" s="82"/>
      <c r="AO127" s="83"/>
      <c r="AP127" s="82"/>
      <c r="AS127" s="83"/>
      <c r="AW127" s="83"/>
      <c r="BA127" s="84"/>
    </row>
    <row r="128" spans="1:53" s="267" customFormat="1">
      <c r="A128" s="267">
        <v>2013</v>
      </c>
      <c r="B128" s="852"/>
      <c r="C128" s="950" t="s">
        <v>186</v>
      </c>
      <c r="D128" s="950"/>
      <c r="E128" s="267">
        <v>175</v>
      </c>
      <c r="G128" s="119">
        <v>13</v>
      </c>
      <c r="I128" s="267">
        <v>5</v>
      </c>
      <c r="J128" s="126">
        <v>18</v>
      </c>
      <c r="K128" s="92">
        <f t="shared" si="30"/>
        <v>72.222222222222214</v>
      </c>
      <c r="L128" s="92">
        <f t="shared" si="30"/>
        <v>0</v>
      </c>
      <c r="M128" s="92">
        <f t="shared" si="30"/>
        <v>27.777777777777779</v>
      </c>
      <c r="N128" s="121">
        <f t="shared" si="31"/>
        <v>100</v>
      </c>
      <c r="O128" s="91">
        <v>43</v>
      </c>
      <c r="P128" s="92"/>
      <c r="Q128" s="92">
        <v>16</v>
      </c>
      <c r="R128" s="93">
        <f t="shared" si="23"/>
        <v>59</v>
      </c>
      <c r="S128" s="267">
        <v>3</v>
      </c>
      <c r="T128" s="839"/>
      <c r="U128" s="852"/>
      <c r="V128" s="82" t="s">
        <v>190</v>
      </c>
      <c r="W128" s="267" t="s">
        <v>77</v>
      </c>
      <c r="X128" s="267" t="s">
        <v>11</v>
      </c>
      <c r="Y128" s="83">
        <v>43</v>
      </c>
      <c r="Z128" s="82" t="s">
        <v>191</v>
      </c>
      <c r="AA128" s="267" t="s">
        <v>20</v>
      </c>
      <c r="AB128" s="267" t="s">
        <v>12</v>
      </c>
      <c r="AC128" s="83">
        <v>11</v>
      </c>
      <c r="AD128" s="82" t="s">
        <v>194</v>
      </c>
      <c r="AE128" s="267" t="s">
        <v>116</v>
      </c>
      <c r="AF128" s="267" t="s">
        <v>12</v>
      </c>
      <c r="AG128" s="83">
        <v>5</v>
      </c>
      <c r="AL128" s="82"/>
      <c r="AO128" s="83"/>
      <c r="AP128" s="82"/>
      <c r="AS128" s="83"/>
      <c r="AW128" s="83"/>
      <c r="BA128" s="84"/>
    </row>
    <row r="129" spans="1:53" s="311" customFormat="1">
      <c r="A129" s="311">
        <v>2013</v>
      </c>
      <c r="B129" s="836">
        <v>41450</v>
      </c>
      <c r="C129" s="916" t="s">
        <v>1275</v>
      </c>
      <c r="D129" s="916"/>
      <c r="E129" s="311">
        <f>365-E128</f>
        <v>190</v>
      </c>
      <c r="F129" s="311">
        <v>4</v>
      </c>
      <c r="G129" s="366">
        <v>16</v>
      </c>
      <c r="I129" s="311">
        <v>4</v>
      </c>
      <c r="J129" s="377">
        <v>20</v>
      </c>
      <c r="K129" s="336">
        <f t="shared" si="30"/>
        <v>80</v>
      </c>
      <c r="L129" s="336">
        <f t="shared" si="30"/>
        <v>0</v>
      </c>
      <c r="M129" s="336">
        <f t="shared" ref="M129:M139" si="32">I129/$J129*100</f>
        <v>20</v>
      </c>
      <c r="N129" s="368">
        <f t="shared" si="31"/>
        <v>100</v>
      </c>
      <c r="O129" s="335">
        <v>42</v>
      </c>
      <c r="P129" s="336"/>
      <c r="Q129" s="336">
        <v>9</v>
      </c>
      <c r="R129" s="337">
        <f t="shared" si="23"/>
        <v>51</v>
      </c>
      <c r="S129" s="311">
        <v>2</v>
      </c>
      <c r="T129" s="838"/>
      <c r="U129" s="836">
        <v>41450</v>
      </c>
      <c r="V129" s="299" t="s">
        <v>190</v>
      </c>
      <c r="W129" s="311" t="s">
        <v>77</v>
      </c>
      <c r="X129" s="311" t="s">
        <v>11</v>
      </c>
      <c r="Y129" s="300">
        <v>42</v>
      </c>
      <c r="Z129" s="311" t="s">
        <v>191</v>
      </c>
      <c r="AA129" s="311" t="s">
        <v>20</v>
      </c>
      <c r="AB129" s="311" t="s">
        <v>12</v>
      </c>
      <c r="AC129" s="311">
        <v>9</v>
      </c>
      <c r="AD129" s="299"/>
      <c r="AG129" s="300"/>
      <c r="AL129" s="299"/>
      <c r="AO129" s="300"/>
      <c r="AP129" s="299"/>
      <c r="AS129" s="300"/>
      <c r="AW129" s="300"/>
      <c r="BA129" s="301"/>
    </row>
    <row r="130" spans="1:53" s="453" customFormat="1">
      <c r="A130" s="338">
        <v>2014</v>
      </c>
      <c r="B130" s="865"/>
      <c r="C130" s="916" t="s">
        <v>1275</v>
      </c>
      <c r="D130" s="916"/>
      <c r="E130" s="453">
        <v>160</v>
      </c>
      <c r="F130" s="428"/>
      <c r="G130" s="425">
        <v>16</v>
      </c>
      <c r="I130" s="453">
        <v>4</v>
      </c>
      <c r="J130" s="427">
        <v>20</v>
      </c>
      <c r="K130" s="423">
        <f t="shared" ref="K130:L139" si="33">G130/$J130*100</f>
        <v>80</v>
      </c>
      <c r="L130" s="423">
        <f t="shared" si="33"/>
        <v>0</v>
      </c>
      <c r="M130" s="423">
        <f t="shared" si="32"/>
        <v>20</v>
      </c>
      <c r="N130" s="426">
        <f t="shared" si="31"/>
        <v>100</v>
      </c>
      <c r="O130" s="422">
        <v>42</v>
      </c>
      <c r="P130" s="423"/>
      <c r="Q130" s="423">
        <v>9</v>
      </c>
      <c r="R130" s="424">
        <f t="shared" si="23"/>
        <v>51</v>
      </c>
      <c r="S130" s="453">
        <v>2</v>
      </c>
      <c r="T130" s="838"/>
      <c r="U130" s="836"/>
      <c r="V130" s="417" t="s">
        <v>190</v>
      </c>
      <c r="W130" s="453" t="s">
        <v>77</v>
      </c>
      <c r="X130" s="453" t="s">
        <v>11</v>
      </c>
      <c r="Y130" s="418">
        <v>42</v>
      </c>
      <c r="Z130" s="453" t="s">
        <v>191</v>
      </c>
      <c r="AA130" s="453" t="s">
        <v>20</v>
      </c>
      <c r="AB130" s="453" t="s">
        <v>12</v>
      </c>
      <c r="AC130" s="453">
        <v>9</v>
      </c>
      <c r="AD130" s="417"/>
      <c r="AG130" s="418"/>
      <c r="AL130" s="417"/>
      <c r="AO130" s="418"/>
      <c r="AP130" s="417"/>
      <c r="AS130" s="418"/>
      <c r="AW130" s="418"/>
      <c r="BA130" s="419"/>
    </row>
    <row r="131" spans="1:53" s="453" customFormat="1">
      <c r="A131" s="338">
        <v>2014</v>
      </c>
      <c r="B131" s="865">
        <v>41800</v>
      </c>
      <c r="C131" s="916" t="s">
        <v>1275</v>
      </c>
      <c r="D131" s="916"/>
      <c r="E131" s="453">
        <v>205</v>
      </c>
      <c r="F131" s="428">
        <v>0</v>
      </c>
      <c r="G131" s="425">
        <v>16</v>
      </c>
      <c r="I131" s="453">
        <v>4</v>
      </c>
      <c r="J131" s="427">
        <v>20</v>
      </c>
      <c r="K131" s="423">
        <f t="shared" si="33"/>
        <v>80</v>
      </c>
      <c r="L131" s="423">
        <f t="shared" si="33"/>
        <v>0</v>
      </c>
      <c r="M131" s="423">
        <f t="shared" si="32"/>
        <v>20</v>
      </c>
      <c r="N131" s="426">
        <f t="shared" si="31"/>
        <v>100</v>
      </c>
      <c r="O131" s="422">
        <v>42</v>
      </c>
      <c r="P131" s="423"/>
      <c r="Q131" s="423">
        <v>9</v>
      </c>
      <c r="R131" s="424">
        <f t="shared" si="23"/>
        <v>51</v>
      </c>
      <c r="S131" s="453">
        <v>2</v>
      </c>
      <c r="T131" s="838"/>
      <c r="U131" s="836"/>
      <c r="V131" s="417" t="s">
        <v>190</v>
      </c>
      <c r="W131" s="453" t="s">
        <v>77</v>
      </c>
      <c r="X131" s="453" t="s">
        <v>11</v>
      </c>
      <c r="Y131" s="418">
        <v>42</v>
      </c>
      <c r="Z131" s="453" t="s">
        <v>191</v>
      </c>
      <c r="AA131" s="453" t="s">
        <v>20</v>
      </c>
      <c r="AB131" s="453" t="s">
        <v>12</v>
      </c>
      <c r="AC131" s="453">
        <v>9</v>
      </c>
      <c r="AD131" s="417"/>
      <c r="AG131" s="418"/>
      <c r="AL131" s="417"/>
      <c r="AO131" s="418"/>
      <c r="AP131" s="417"/>
      <c r="AS131" s="418"/>
      <c r="AW131" s="418"/>
      <c r="BA131" s="419"/>
    </row>
    <row r="132" spans="1:53" s="598" customFormat="1">
      <c r="A132" s="338">
        <v>2015</v>
      </c>
      <c r="B132" s="865"/>
      <c r="C132" s="916" t="s">
        <v>1275</v>
      </c>
      <c r="D132" s="916"/>
      <c r="E132" s="598">
        <v>25</v>
      </c>
      <c r="F132" s="428"/>
      <c r="G132" s="539">
        <v>16</v>
      </c>
      <c r="I132" s="598">
        <v>4</v>
      </c>
      <c r="J132" s="541">
        <v>20</v>
      </c>
      <c r="K132" s="537">
        <f t="shared" si="33"/>
        <v>80</v>
      </c>
      <c r="L132" s="537">
        <f t="shared" si="33"/>
        <v>0</v>
      </c>
      <c r="M132" s="537">
        <f t="shared" si="32"/>
        <v>20</v>
      </c>
      <c r="N132" s="540">
        <f t="shared" si="31"/>
        <v>100</v>
      </c>
      <c r="O132" s="536">
        <v>42</v>
      </c>
      <c r="P132" s="537"/>
      <c r="Q132" s="537">
        <v>9</v>
      </c>
      <c r="R132" s="538">
        <f t="shared" ref="R132:R135" si="34">SUM(O132:Q132)</f>
        <v>51</v>
      </c>
      <c r="S132" s="598">
        <v>2</v>
      </c>
      <c r="T132" s="838"/>
      <c r="U132" s="836"/>
      <c r="V132" s="532" t="s">
        <v>190</v>
      </c>
      <c r="W132" s="598" t="s">
        <v>77</v>
      </c>
      <c r="X132" s="598" t="s">
        <v>11</v>
      </c>
      <c r="Y132" s="533">
        <v>42</v>
      </c>
      <c r="Z132" s="598" t="s">
        <v>191</v>
      </c>
      <c r="AA132" s="598" t="s">
        <v>20</v>
      </c>
      <c r="AB132" s="598" t="s">
        <v>12</v>
      </c>
      <c r="AC132" s="598">
        <v>9</v>
      </c>
      <c r="AD132" s="532"/>
      <c r="AG132" s="533"/>
      <c r="AL132" s="532"/>
      <c r="AO132" s="533"/>
      <c r="AP132" s="532"/>
      <c r="AS132" s="533"/>
      <c r="AW132" s="533"/>
      <c r="BA132" s="534"/>
    </row>
    <row r="133" spans="1:53" s="597" customFormat="1">
      <c r="A133" s="597">
        <v>2015</v>
      </c>
      <c r="B133" s="852">
        <v>42030</v>
      </c>
      <c r="C133" s="950" t="s">
        <v>1324</v>
      </c>
      <c r="D133" s="950"/>
      <c r="E133" s="597">
        <v>214</v>
      </c>
      <c r="F133" s="597">
        <v>1</v>
      </c>
      <c r="G133" s="498">
        <v>1</v>
      </c>
      <c r="I133" s="597">
        <v>11</v>
      </c>
      <c r="J133" s="500">
        <v>15</v>
      </c>
      <c r="K133" s="496">
        <f t="shared" si="33"/>
        <v>6.666666666666667</v>
      </c>
      <c r="L133" s="496">
        <f t="shared" si="33"/>
        <v>0</v>
      </c>
      <c r="M133" s="496">
        <f t="shared" si="32"/>
        <v>73.333333333333329</v>
      </c>
      <c r="N133" s="499">
        <f t="shared" si="31"/>
        <v>80</v>
      </c>
      <c r="O133" s="495">
        <v>4.3</v>
      </c>
      <c r="P133" s="496"/>
      <c r="Q133" s="496">
        <v>49.7</v>
      </c>
      <c r="R133" s="497">
        <f t="shared" si="34"/>
        <v>54</v>
      </c>
      <c r="S133" s="597">
        <v>2</v>
      </c>
      <c r="T133" s="839">
        <v>42029</v>
      </c>
      <c r="U133" s="852">
        <v>42030</v>
      </c>
      <c r="V133" s="612" t="s">
        <v>192</v>
      </c>
      <c r="W133" s="597" t="s">
        <v>193</v>
      </c>
      <c r="X133" s="597" t="s">
        <v>12</v>
      </c>
      <c r="Y133" s="493">
        <v>49.7</v>
      </c>
      <c r="Z133" s="492" t="s">
        <v>1327</v>
      </c>
      <c r="AA133" s="597" t="s">
        <v>1328</v>
      </c>
      <c r="AB133" s="597" t="s">
        <v>11</v>
      </c>
      <c r="AC133" s="493">
        <v>4.3</v>
      </c>
      <c r="AD133" s="492"/>
      <c r="AG133" s="493"/>
      <c r="AL133" s="492"/>
      <c r="AO133" s="493"/>
      <c r="AP133" s="492"/>
      <c r="AS133" s="493"/>
      <c r="AW133" s="493"/>
      <c r="BA133" s="494"/>
    </row>
    <row r="134" spans="1:53" s="598" customFormat="1">
      <c r="A134" s="338">
        <v>2015</v>
      </c>
      <c r="B134" s="836">
        <v>42244</v>
      </c>
      <c r="C134" s="916" t="s">
        <v>1325</v>
      </c>
      <c r="D134" s="916"/>
      <c r="E134" s="598">
        <v>26</v>
      </c>
      <c r="F134" s="635">
        <v>1</v>
      </c>
      <c r="G134" s="539">
        <v>0</v>
      </c>
      <c r="H134" s="598">
        <v>0</v>
      </c>
      <c r="I134" s="598">
        <v>0</v>
      </c>
      <c r="J134" s="541">
        <v>13</v>
      </c>
      <c r="K134" s="537">
        <f t="shared" si="33"/>
        <v>0</v>
      </c>
      <c r="L134" s="537">
        <f t="shared" si="33"/>
        <v>0</v>
      </c>
      <c r="M134" s="537">
        <f t="shared" si="32"/>
        <v>0</v>
      </c>
      <c r="N134" s="540">
        <f t="shared" si="31"/>
        <v>0</v>
      </c>
      <c r="O134" s="536">
        <v>0</v>
      </c>
      <c r="P134" s="537">
        <v>0</v>
      </c>
      <c r="Q134" s="537">
        <v>0</v>
      </c>
      <c r="R134" s="538">
        <f t="shared" si="34"/>
        <v>0</v>
      </c>
      <c r="S134" s="598">
        <v>6</v>
      </c>
      <c r="T134" s="838"/>
      <c r="U134" s="836">
        <v>42244</v>
      </c>
      <c r="V134" s="602" t="s">
        <v>800</v>
      </c>
      <c r="Y134" s="533"/>
      <c r="AD134" s="532"/>
      <c r="AG134" s="533"/>
      <c r="AL134" s="532"/>
      <c r="AO134" s="533"/>
      <c r="AP134" s="532"/>
      <c r="AS134" s="533"/>
      <c r="AW134" s="533"/>
      <c r="BA134" s="534"/>
    </row>
    <row r="135" spans="1:53" s="659" customFormat="1">
      <c r="A135" s="659">
        <v>2015</v>
      </c>
      <c r="B135" s="852">
        <v>42270</v>
      </c>
      <c r="C135" s="950" t="s">
        <v>1326</v>
      </c>
      <c r="D135" s="950"/>
      <c r="E135" s="659">
        <v>100</v>
      </c>
      <c r="F135" s="659">
        <v>1</v>
      </c>
      <c r="G135" s="498">
        <v>1</v>
      </c>
      <c r="I135" s="659">
        <v>15</v>
      </c>
      <c r="J135" s="500">
        <v>18</v>
      </c>
      <c r="K135" s="496">
        <f t="shared" si="33"/>
        <v>5.5555555555555554</v>
      </c>
      <c r="L135" s="496">
        <f t="shared" si="33"/>
        <v>0</v>
      </c>
      <c r="M135" s="496">
        <f t="shared" si="32"/>
        <v>83.333333333333343</v>
      </c>
      <c r="N135" s="499">
        <f t="shared" si="31"/>
        <v>88.8888888888889</v>
      </c>
      <c r="O135" s="495">
        <v>3.3</v>
      </c>
      <c r="P135" s="496"/>
      <c r="Q135" s="496">
        <v>48.3</v>
      </c>
      <c r="R135" s="497">
        <f t="shared" si="34"/>
        <v>51.599999999999994</v>
      </c>
      <c r="S135" s="659">
        <v>2</v>
      </c>
      <c r="T135" s="839">
        <v>42267</v>
      </c>
      <c r="U135" s="852">
        <v>42270</v>
      </c>
      <c r="V135" s="492" t="s">
        <v>192</v>
      </c>
      <c r="W135" s="659" t="s">
        <v>193</v>
      </c>
      <c r="X135" s="659" t="s">
        <v>12</v>
      </c>
      <c r="Y135" s="493">
        <v>48.3</v>
      </c>
      <c r="Z135" s="492" t="s">
        <v>1327</v>
      </c>
      <c r="AA135" s="659" t="s">
        <v>1328</v>
      </c>
      <c r="AB135" s="659" t="s">
        <v>11</v>
      </c>
      <c r="AC135" s="493">
        <v>3.3</v>
      </c>
      <c r="AD135" s="492"/>
      <c r="AG135" s="493"/>
      <c r="AL135" s="492"/>
      <c r="AO135" s="493"/>
      <c r="AP135" s="492"/>
      <c r="AS135" s="493"/>
      <c r="AW135" s="493"/>
      <c r="BA135" s="494"/>
    </row>
    <row r="136" spans="1:53" s="659" customFormat="1">
      <c r="A136" s="659">
        <v>2016</v>
      </c>
      <c r="B136" s="852"/>
      <c r="C136" s="950" t="s">
        <v>1326</v>
      </c>
      <c r="D136" s="950"/>
      <c r="E136" s="659">
        <v>308</v>
      </c>
      <c r="G136" s="498">
        <v>1</v>
      </c>
      <c r="I136" s="659">
        <v>15</v>
      </c>
      <c r="J136" s="500">
        <v>18</v>
      </c>
      <c r="K136" s="496">
        <f t="shared" si="33"/>
        <v>5.5555555555555554</v>
      </c>
      <c r="L136" s="496">
        <f t="shared" si="33"/>
        <v>0</v>
      </c>
      <c r="M136" s="496">
        <f t="shared" si="32"/>
        <v>83.333333333333343</v>
      </c>
      <c r="N136" s="499">
        <f t="shared" si="31"/>
        <v>88.8888888888889</v>
      </c>
      <c r="O136" s="495">
        <v>3.3</v>
      </c>
      <c r="P136" s="496"/>
      <c r="Q136" s="496">
        <v>48.3</v>
      </c>
      <c r="R136" s="497">
        <f t="shared" ref="R136:R137" si="35">SUM(O136:Q136)</f>
        <v>51.599999999999994</v>
      </c>
      <c r="S136" s="659">
        <v>2</v>
      </c>
      <c r="T136" s="839"/>
      <c r="U136" s="852"/>
      <c r="V136" s="492" t="s">
        <v>192</v>
      </c>
      <c r="W136" s="659" t="s">
        <v>193</v>
      </c>
      <c r="X136" s="659" t="s">
        <v>12</v>
      </c>
      <c r="Y136" s="493">
        <v>48.3</v>
      </c>
      <c r="Z136" s="492" t="s">
        <v>1327</v>
      </c>
      <c r="AA136" s="659" t="s">
        <v>1328</v>
      </c>
      <c r="AB136" s="659" t="s">
        <v>11</v>
      </c>
      <c r="AC136" s="493">
        <v>3.3</v>
      </c>
      <c r="AD136" s="492"/>
      <c r="AG136" s="493"/>
      <c r="AL136" s="492"/>
      <c r="AO136" s="493"/>
      <c r="AP136" s="492"/>
      <c r="AS136" s="493"/>
      <c r="AW136" s="493"/>
      <c r="BA136" s="494"/>
    </row>
    <row r="137" spans="1:53" s="659" customFormat="1">
      <c r="A137" s="659">
        <v>2016</v>
      </c>
      <c r="B137" s="873">
        <v>42678</v>
      </c>
      <c r="C137" s="950" t="s">
        <v>1326</v>
      </c>
      <c r="D137" s="950"/>
      <c r="E137" s="659">
        <v>58</v>
      </c>
      <c r="F137" s="502">
        <v>0</v>
      </c>
      <c r="G137" s="498">
        <v>2</v>
      </c>
      <c r="I137" s="659">
        <v>18</v>
      </c>
      <c r="J137" s="500">
        <v>23</v>
      </c>
      <c r="K137" s="496">
        <f t="shared" si="33"/>
        <v>8.695652173913043</v>
      </c>
      <c r="L137" s="496">
        <f t="shared" si="33"/>
        <v>0</v>
      </c>
      <c r="M137" s="496">
        <f t="shared" si="32"/>
        <v>78.260869565217391</v>
      </c>
      <c r="N137" s="499">
        <f t="shared" si="31"/>
        <v>86.956521739130437</v>
      </c>
      <c r="O137" s="495">
        <v>3.3</v>
      </c>
      <c r="P137" s="496"/>
      <c r="Q137" s="496">
        <v>48.3</v>
      </c>
      <c r="R137" s="497">
        <f t="shared" si="35"/>
        <v>51.599999999999994</v>
      </c>
      <c r="S137" s="659">
        <v>2</v>
      </c>
      <c r="T137" s="839"/>
      <c r="U137" s="852"/>
      <c r="V137" s="492" t="s">
        <v>192</v>
      </c>
      <c r="W137" s="659" t="s">
        <v>193</v>
      </c>
      <c r="X137" s="659" t="s">
        <v>12</v>
      </c>
      <c r="Y137" s="493">
        <v>48.3</v>
      </c>
      <c r="Z137" s="492" t="s">
        <v>1327</v>
      </c>
      <c r="AA137" s="659" t="s">
        <v>1328</v>
      </c>
      <c r="AB137" s="659" t="s">
        <v>11</v>
      </c>
      <c r="AC137" s="493">
        <v>3.3</v>
      </c>
      <c r="AD137" s="492"/>
      <c r="AG137" s="493"/>
      <c r="AL137" s="492"/>
      <c r="AO137" s="493"/>
      <c r="AP137" s="492"/>
      <c r="AS137" s="493"/>
      <c r="AW137" s="493"/>
      <c r="BA137" s="494"/>
    </row>
    <row r="138" spans="1:53" s="727" customFormat="1">
      <c r="A138" s="727">
        <v>2017</v>
      </c>
      <c r="B138" s="852"/>
      <c r="C138" s="950" t="s">
        <v>1326</v>
      </c>
      <c r="D138" s="950"/>
      <c r="E138" s="727">
        <v>0</v>
      </c>
      <c r="G138" s="498">
        <v>2</v>
      </c>
      <c r="I138" s="727">
        <v>18</v>
      </c>
      <c r="J138" s="500">
        <v>23</v>
      </c>
      <c r="K138" s="496">
        <f t="shared" si="33"/>
        <v>8.695652173913043</v>
      </c>
      <c r="L138" s="496">
        <f t="shared" si="33"/>
        <v>0</v>
      </c>
      <c r="M138" s="496">
        <f t="shared" si="32"/>
        <v>78.260869565217391</v>
      </c>
      <c r="N138" s="499">
        <f t="shared" si="31"/>
        <v>86.956521739130437</v>
      </c>
      <c r="O138" s="495">
        <v>3.3</v>
      </c>
      <c r="P138" s="496"/>
      <c r="Q138" s="496">
        <v>48.3</v>
      </c>
      <c r="R138" s="497">
        <f t="shared" ref="R138:R139" si="36">SUM(O138:Q138)</f>
        <v>51.599999999999994</v>
      </c>
      <c r="S138" s="727">
        <v>2</v>
      </c>
      <c r="T138" s="839"/>
      <c r="U138" s="852"/>
      <c r="V138" s="492" t="s">
        <v>192</v>
      </c>
      <c r="W138" s="727" t="s">
        <v>193</v>
      </c>
      <c r="X138" s="727" t="s">
        <v>12</v>
      </c>
      <c r="Y138" s="493">
        <v>48.3</v>
      </c>
      <c r="Z138" s="492" t="s">
        <v>1327</v>
      </c>
      <c r="AA138" s="727" t="s">
        <v>1328</v>
      </c>
      <c r="AB138" s="727" t="s">
        <v>11</v>
      </c>
      <c r="AC138" s="493">
        <v>3.3</v>
      </c>
      <c r="AD138" s="492"/>
      <c r="AG138" s="493"/>
      <c r="AL138" s="492"/>
      <c r="AO138" s="493"/>
      <c r="AP138" s="492"/>
      <c r="AS138" s="493"/>
      <c r="AW138" s="493"/>
      <c r="BA138" s="494"/>
    </row>
    <row r="139" spans="1:53" s="727" customFormat="1">
      <c r="A139" s="727">
        <v>2017</v>
      </c>
      <c r="B139" s="852"/>
      <c r="C139" s="950" t="s">
        <v>1326</v>
      </c>
      <c r="D139" s="950"/>
      <c r="E139" s="727">
        <v>365</v>
      </c>
      <c r="G139" s="498">
        <v>2</v>
      </c>
      <c r="I139" s="727">
        <v>18</v>
      </c>
      <c r="J139" s="500">
        <v>23</v>
      </c>
      <c r="K139" s="496">
        <f t="shared" si="33"/>
        <v>8.695652173913043</v>
      </c>
      <c r="L139" s="496">
        <f t="shared" si="33"/>
        <v>0</v>
      </c>
      <c r="M139" s="496">
        <f t="shared" si="32"/>
        <v>78.260869565217391</v>
      </c>
      <c r="N139" s="499">
        <f t="shared" si="31"/>
        <v>86.956521739130437</v>
      </c>
      <c r="O139" s="495">
        <v>3.3</v>
      </c>
      <c r="P139" s="496"/>
      <c r="Q139" s="496">
        <v>48.3</v>
      </c>
      <c r="R139" s="497">
        <f t="shared" si="36"/>
        <v>51.599999999999994</v>
      </c>
      <c r="S139" s="727">
        <v>2</v>
      </c>
      <c r="T139" s="839"/>
      <c r="U139" s="852"/>
      <c r="V139" s="492" t="s">
        <v>192</v>
      </c>
      <c r="W139" s="727" t="s">
        <v>193</v>
      </c>
      <c r="X139" s="727" t="s">
        <v>12</v>
      </c>
      <c r="Y139" s="493">
        <v>48.3</v>
      </c>
      <c r="Z139" s="492" t="s">
        <v>1327</v>
      </c>
      <c r="AA139" s="727" t="s">
        <v>1328</v>
      </c>
      <c r="AB139" s="727" t="s">
        <v>11</v>
      </c>
      <c r="AC139" s="493">
        <v>3.3</v>
      </c>
      <c r="AD139" s="492"/>
      <c r="AG139" s="493"/>
      <c r="AL139" s="492"/>
      <c r="AO139" s="493"/>
      <c r="AP139" s="492"/>
      <c r="AS139" s="493"/>
      <c r="AW139" s="493"/>
      <c r="BA139" s="494"/>
    </row>
    <row r="140" spans="1:53" s="760" customFormat="1">
      <c r="A140" s="760">
        <v>2018</v>
      </c>
      <c r="B140" s="852"/>
      <c r="C140" s="950" t="s">
        <v>1326</v>
      </c>
      <c r="D140" s="950"/>
      <c r="E140" s="760">
        <v>239</v>
      </c>
      <c r="G140" s="498">
        <v>2</v>
      </c>
      <c r="I140" s="760">
        <v>18</v>
      </c>
      <c r="J140" s="500">
        <v>23</v>
      </c>
      <c r="K140" s="496">
        <f t="shared" ref="K140:K141" si="37">G140/$J140*100</f>
        <v>8.695652173913043</v>
      </c>
      <c r="L140" s="496">
        <f t="shared" ref="L140:L141" si="38">H140/$J140*100</f>
        <v>0</v>
      </c>
      <c r="M140" s="496">
        <f t="shared" ref="M140:M141" si="39">I140/$J140*100</f>
        <v>78.260869565217391</v>
      </c>
      <c r="N140" s="499">
        <f t="shared" ref="N140:N141" si="40">SUM(K140:M140)</f>
        <v>86.956521739130437</v>
      </c>
      <c r="O140" s="495">
        <v>3.3</v>
      </c>
      <c r="P140" s="496"/>
      <c r="Q140" s="496">
        <v>48.3</v>
      </c>
      <c r="R140" s="497">
        <f t="shared" ref="R140" si="41">SUM(O140:Q140)</f>
        <v>51.599999999999994</v>
      </c>
      <c r="S140" s="760">
        <v>2</v>
      </c>
      <c r="T140" s="839"/>
      <c r="U140" s="852"/>
      <c r="V140" s="492" t="s">
        <v>192</v>
      </c>
      <c r="W140" s="760" t="s">
        <v>193</v>
      </c>
      <c r="X140" s="760" t="s">
        <v>12</v>
      </c>
      <c r="Y140" s="493">
        <v>48.3</v>
      </c>
      <c r="Z140" s="492" t="s">
        <v>1327</v>
      </c>
      <c r="AA140" s="760" t="s">
        <v>1328</v>
      </c>
      <c r="AB140" s="760" t="s">
        <v>11</v>
      </c>
      <c r="AC140" s="493">
        <v>3.3</v>
      </c>
      <c r="AD140" s="492"/>
      <c r="AG140" s="493"/>
      <c r="AL140" s="492"/>
      <c r="AO140" s="493"/>
      <c r="AP140" s="492"/>
      <c r="AS140" s="493"/>
      <c r="AW140" s="493"/>
      <c r="BA140" s="494"/>
    </row>
    <row r="141" spans="1:53" s="760" customFormat="1">
      <c r="A141" s="760">
        <v>2018</v>
      </c>
      <c r="B141" s="873">
        <v>43340</v>
      </c>
      <c r="C141" s="950" t="s">
        <v>1326</v>
      </c>
      <c r="D141" s="950"/>
      <c r="E141" s="760">
        <v>126</v>
      </c>
      <c r="F141" s="502">
        <v>0</v>
      </c>
      <c r="G141" s="498">
        <v>2</v>
      </c>
      <c r="I141" s="760">
        <v>22</v>
      </c>
      <c r="J141" s="500">
        <v>24</v>
      </c>
      <c r="K141" s="496">
        <f t="shared" si="37"/>
        <v>8.3333333333333321</v>
      </c>
      <c r="L141" s="496">
        <f t="shared" si="38"/>
        <v>0</v>
      </c>
      <c r="M141" s="496">
        <f t="shared" si="39"/>
        <v>91.666666666666657</v>
      </c>
      <c r="N141" s="499">
        <f t="shared" si="40"/>
        <v>99.999999999999986</v>
      </c>
      <c r="O141" s="495">
        <v>3.3</v>
      </c>
      <c r="P141" s="496"/>
      <c r="Q141" s="496">
        <v>48.3</v>
      </c>
      <c r="R141" s="497">
        <f t="shared" ref="R141" si="42">SUM(O141:Q141)</f>
        <v>51.599999999999994</v>
      </c>
      <c r="S141" s="760">
        <v>2</v>
      </c>
      <c r="T141" s="839"/>
      <c r="U141" s="852"/>
      <c r="V141" s="492" t="s">
        <v>192</v>
      </c>
      <c r="W141" s="760" t="s">
        <v>193</v>
      </c>
      <c r="X141" s="760" t="s">
        <v>12</v>
      </c>
      <c r="Y141" s="493">
        <v>48.3</v>
      </c>
      <c r="Z141" s="492" t="s">
        <v>1327</v>
      </c>
      <c r="AA141" s="760" t="s">
        <v>1328</v>
      </c>
      <c r="AB141" s="760" t="s">
        <v>11</v>
      </c>
      <c r="AC141" s="493">
        <v>3.3</v>
      </c>
      <c r="AD141" s="492"/>
      <c r="AG141" s="493"/>
      <c r="AL141" s="492"/>
      <c r="AO141" s="493"/>
      <c r="AP141" s="492"/>
      <c r="AS141" s="493"/>
      <c r="AW141" s="493"/>
      <c r="BA141" s="494"/>
    </row>
    <row r="142" spans="1:53" s="787" customFormat="1">
      <c r="A142" s="787">
        <v>2019</v>
      </c>
      <c r="B142" s="852"/>
      <c r="C142" s="950" t="s">
        <v>1326</v>
      </c>
      <c r="D142" s="950"/>
      <c r="E142" s="787">
        <v>13</v>
      </c>
      <c r="F142" s="502"/>
      <c r="G142" s="498">
        <v>2</v>
      </c>
      <c r="I142" s="787">
        <v>22</v>
      </c>
      <c r="J142" s="500">
        <v>24</v>
      </c>
      <c r="K142" s="496">
        <f t="shared" ref="K142:K145" si="43">G142/$J142*100</f>
        <v>8.3333333333333321</v>
      </c>
      <c r="L142" s="496">
        <f t="shared" ref="L142:L145" si="44">H142/$J142*100</f>
        <v>0</v>
      </c>
      <c r="M142" s="496">
        <f t="shared" ref="M142:M145" si="45">I142/$J142*100</f>
        <v>91.666666666666657</v>
      </c>
      <c r="N142" s="499">
        <f t="shared" ref="N142:N145" si="46">SUM(K142:M142)</f>
        <v>99.999999999999986</v>
      </c>
      <c r="O142" s="495">
        <v>3.3</v>
      </c>
      <c r="P142" s="496"/>
      <c r="Q142" s="496">
        <v>48.3</v>
      </c>
      <c r="R142" s="497">
        <f t="shared" ref="R142:R145" si="47">SUM(O142:Q142)</f>
        <v>51.599999999999994</v>
      </c>
      <c r="S142" s="787">
        <v>2</v>
      </c>
      <c r="T142" s="839"/>
      <c r="U142" s="852"/>
      <c r="V142" s="492" t="s">
        <v>192</v>
      </c>
      <c r="W142" s="787" t="s">
        <v>193</v>
      </c>
      <c r="X142" s="787" t="s">
        <v>12</v>
      </c>
      <c r="Y142" s="493">
        <v>48.3</v>
      </c>
      <c r="Z142" s="492" t="s">
        <v>1327</v>
      </c>
      <c r="AA142" s="787" t="s">
        <v>1328</v>
      </c>
      <c r="AB142" s="787" t="s">
        <v>11</v>
      </c>
      <c r="AC142" s="493">
        <v>3.3</v>
      </c>
      <c r="AD142" s="492"/>
      <c r="AG142" s="493"/>
      <c r="AL142" s="492"/>
      <c r="AO142" s="493"/>
      <c r="AP142" s="492"/>
      <c r="AS142" s="493"/>
      <c r="AW142" s="493"/>
      <c r="BA142" s="494"/>
    </row>
    <row r="143" spans="1:53" s="804" customFormat="1">
      <c r="A143" s="804">
        <v>2019</v>
      </c>
      <c r="B143" s="873">
        <v>43479</v>
      </c>
      <c r="C143" s="950" t="s">
        <v>1326</v>
      </c>
      <c r="D143" s="950"/>
      <c r="E143" s="804">
        <v>109</v>
      </c>
      <c r="F143" s="502">
        <v>0</v>
      </c>
      <c r="G143" s="498">
        <v>1</v>
      </c>
      <c r="I143" s="804">
        <v>22</v>
      </c>
      <c r="J143" s="500">
        <v>24</v>
      </c>
      <c r="K143" s="496">
        <f t="shared" si="43"/>
        <v>4.1666666666666661</v>
      </c>
      <c r="L143" s="496">
        <f t="shared" si="44"/>
        <v>0</v>
      </c>
      <c r="M143" s="496">
        <f t="shared" si="45"/>
        <v>91.666666666666657</v>
      </c>
      <c r="N143" s="499">
        <f t="shared" si="46"/>
        <v>95.833333333333329</v>
      </c>
      <c r="O143" s="495">
        <v>3.3</v>
      </c>
      <c r="P143" s="496"/>
      <c r="Q143" s="496">
        <v>48.3</v>
      </c>
      <c r="R143" s="497">
        <f t="shared" si="47"/>
        <v>51.599999999999994</v>
      </c>
      <c r="S143" s="804">
        <v>2</v>
      </c>
      <c r="T143" s="839"/>
      <c r="U143" s="852"/>
      <c r="V143" s="492" t="s">
        <v>192</v>
      </c>
      <c r="W143" s="804" t="s">
        <v>193</v>
      </c>
      <c r="X143" s="804" t="s">
        <v>12</v>
      </c>
      <c r="Y143" s="493">
        <v>48.3</v>
      </c>
      <c r="Z143" s="492" t="s">
        <v>1327</v>
      </c>
      <c r="AA143" s="804" t="s">
        <v>1328</v>
      </c>
      <c r="AB143" s="804" t="s">
        <v>11</v>
      </c>
      <c r="AC143" s="493">
        <v>3.3</v>
      </c>
      <c r="AD143" s="492"/>
      <c r="AG143" s="493"/>
      <c r="AL143" s="492"/>
      <c r="AO143" s="493"/>
      <c r="AP143" s="492"/>
      <c r="AS143" s="493"/>
      <c r="AW143" s="493"/>
      <c r="BA143" s="494"/>
    </row>
    <row r="144" spans="1:53" s="787" customFormat="1">
      <c r="A144" s="787">
        <v>2019</v>
      </c>
      <c r="B144" s="860">
        <v>43588</v>
      </c>
      <c r="C144" s="950" t="s">
        <v>1326</v>
      </c>
      <c r="D144" s="950"/>
      <c r="E144" s="787">
        <v>67</v>
      </c>
      <c r="F144" s="502">
        <v>0</v>
      </c>
      <c r="G144" s="498"/>
      <c r="I144" s="787">
        <v>23</v>
      </c>
      <c r="J144" s="500">
        <v>24</v>
      </c>
      <c r="K144" s="496">
        <f t="shared" si="43"/>
        <v>0</v>
      </c>
      <c r="L144" s="496">
        <f t="shared" si="44"/>
        <v>0</v>
      </c>
      <c r="M144" s="496">
        <f t="shared" si="45"/>
        <v>95.833333333333343</v>
      </c>
      <c r="N144" s="499">
        <f t="shared" si="46"/>
        <v>95.833333333333343</v>
      </c>
      <c r="O144" s="495"/>
      <c r="P144" s="496"/>
      <c r="Q144" s="496">
        <v>48.3</v>
      </c>
      <c r="R144" s="497">
        <f t="shared" si="47"/>
        <v>48.3</v>
      </c>
      <c r="S144" s="787">
        <v>5</v>
      </c>
      <c r="T144" s="839"/>
      <c r="U144" s="852"/>
      <c r="V144" s="492" t="s">
        <v>192</v>
      </c>
      <c r="W144" s="787" t="s">
        <v>193</v>
      </c>
      <c r="X144" s="787" t="s">
        <v>12</v>
      </c>
      <c r="Y144" s="493">
        <v>48.3</v>
      </c>
      <c r="Z144" s="492" t="s">
        <v>194</v>
      </c>
      <c r="AA144" s="787" t="s">
        <v>116</v>
      </c>
      <c r="AB144" s="787" t="s">
        <v>12</v>
      </c>
      <c r="AC144" s="493">
        <v>0</v>
      </c>
      <c r="AD144" s="492"/>
      <c r="AG144" s="493"/>
      <c r="AL144" s="492"/>
      <c r="AO144" s="493"/>
      <c r="AP144" s="492"/>
      <c r="AS144" s="493"/>
      <c r="AW144" s="493"/>
      <c r="BA144" s="494"/>
    </row>
    <row r="145" spans="1:53" s="786" customFormat="1">
      <c r="A145" s="338">
        <v>2019</v>
      </c>
      <c r="B145" s="836">
        <v>43655</v>
      </c>
      <c r="C145" s="916" t="s">
        <v>1454</v>
      </c>
      <c r="D145" s="916"/>
      <c r="E145" s="786">
        <v>176</v>
      </c>
      <c r="F145" s="786">
        <v>1</v>
      </c>
      <c r="G145" s="539">
        <v>17</v>
      </c>
      <c r="J145" s="541">
        <v>20</v>
      </c>
      <c r="K145" s="537">
        <f t="shared" si="43"/>
        <v>85</v>
      </c>
      <c r="L145" s="537">
        <f t="shared" si="44"/>
        <v>0</v>
      </c>
      <c r="M145" s="537">
        <f t="shared" si="45"/>
        <v>0</v>
      </c>
      <c r="N145" s="540">
        <f t="shared" si="46"/>
        <v>85</v>
      </c>
      <c r="O145" s="536">
        <v>53</v>
      </c>
      <c r="P145" s="537"/>
      <c r="Q145" s="537">
        <v>0</v>
      </c>
      <c r="R145" s="538">
        <f t="shared" si="47"/>
        <v>53</v>
      </c>
      <c r="S145" s="786">
        <v>1</v>
      </c>
      <c r="T145" s="838">
        <v>43653</v>
      </c>
      <c r="U145" s="836">
        <v>43655</v>
      </c>
      <c r="V145" s="532" t="s">
        <v>190</v>
      </c>
      <c r="W145" s="786" t="s">
        <v>77</v>
      </c>
      <c r="X145" s="786" t="s">
        <v>11</v>
      </c>
      <c r="Y145" s="533">
        <v>53</v>
      </c>
      <c r="AD145" s="532"/>
      <c r="AG145" s="533"/>
      <c r="AL145" s="532"/>
      <c r="AO145" s="533"/>
      <c r="AP145" s="532"/>
      <c r="AS145" s="533"/>
      <c r="AW145" s="533"/>
      <c r="BA145" s="534"/>
    </row>
    <row r="146" spans="1:53" s="760" customFormat="1">
      <c r="B146" s="669"/>
      <c r="C146" s="765"/>
      <c r="D146" s="765"/>
      <c r="F146" s="502"/>
      <c r="J146" s="767"/>
      <c r="K146" s="496"/>
      <c r="L146" s="496"/>
      <c r="M146" s="496"/>
      <c r="N146" s="499"/>
      <c r="O146" s="496"/>
      <c r="P146" s="496"/>
      <c r="Q146" s="496"/>
      <c r="R146" s="499"/>
      <c r="T146" s="756"/>
      <c r="U146" s="756"/>
    </row>
    <row r="147" spans="1:53">
      <c r="A147" s="727"/>
      <c r="G147" s="2"/>
      <c r="H147" s="2"/>
      <c r="I147" s="2"/>
      <c r="J147" s="2"/>
      <c r="K147" s="2"/>
      <c r="L147" s="2"/>
      <c r="M147" s="2"/>
      <c r="N147" s="2"/>
    </row>
    <row r="148" spans="1:53" s="2" customFormat="1" ht="18" customHeight="1">
      <c r="A148" s="1"/>
      <c r="B148" s="22" t="s">
        <v>1269</v>
      </c>
      <c r="D148" s="785"/>
    </row>
    <row r="149" spans="1:53" s="2" customFormat="1" ht="9" customHeight="1"/>
    <row r="150" spans="1:53" s="317" customFormat="1" ht="9" customHeight="1">
      <c r="A150" s="315"/>
      <c r="B150" s="316" t="s">
        <v>1220</v>
      </c>
      <c r="C150" s="316"/>
      <c r="D150" s="316"/>
      <c r="E150" s="316"/>
      <c r="F150" s="316"/>
      <c r="G150" s="316" t="s">
        <v>1221</v>
      </c>
      <c r="H150" s="316"/>
      <c r="I150" s="316"/>
      <c r="J150" s="316"/>
      <c r="K150" s="316"/>
      <c r="L150" s="316"/>
      <c r="M150" s="316"/>
      <c r="N150" s="316"/>
      <c r="R150" s="895" t="s">
        <v>1222</v>
      </c>
      <c r="S150" s="895"/>
      <c r="T150" s="895"/>
      <c r="U150" s="895"/>
      <c r="V150" s="895"/>
      <c r="W150" s="895"/>
      <c r="X150" s="318"/>
      <c r="Y150" s="318"/>
      <c r="AA150" s="318"/>
      <c r="AB150" s="318"/>
      <c r="AC150" s="318"/>
      <c r="AD150" s="318"/>
    </row>
    <row r="151" spans="1:53" s="322" customFormat="1" ht="9" customHeight="1">
      <c r="A151" s="319"/>
      <c r="B151" s="320" t="s">
        <v>1224</v>
      </c>
      <c r="C151" s="321"/>
      <c r="D151" s="321"/>
      <c r="E151" s="321"/>
      <c r="F151" s="321"/>
      <c r="G151" s="320" t="s">
        <v>1223</v>
      </c>
      <c r="H151" s="321"/>
      <c r="I151" s="321"/>
      <c r="J151" s="321"/>
      <c r="K151" s="321"/>
      <c r="L151" s="321"/>
      <c r="M151" s="321"/>
      <c r="N151" s="321"/>
      <c r="R151" s="323" t="s">
        <v>1225</v>
      </c>
      <c r="S151" s="324"/>
      <c r="T151" s="325"/>
      <c r="U151" s="325"/>
      <c r="V151" s="325"/>
      <c r="W151" s="323" t="s">
        <v>1226</v>
      </c>
      <c r="X151" s="325"/>
      <c r="Y151" s="325"/>
      <c r="AA151" s="325"/>
      <c r="AB151" s="325"/>
      <c r="AC151" s="325"/>
      <c r="AD151" s="325"/>
    </row>
    <row r="152" spans="1:53" s="307" customFormat="1" ht="12" customHeight="1">
      <c r="A152" s="326" t="s">
        <v>3</v>
      </c>
      <c r="B152" s="327" t="s">
        <v>8</v>
      </c>
      <c r="C152" s="327" t="s">
        <v>9</v>
      </c>
      <c r="D152" s="327" t="s">
        <v>10</v>
      </c>
      <c r="E152" s="328" t="s">
        <v>1200</v>
      </c>
      <c r="F152" s="327"/>
      <c r="G152" s="307" t="s">
        <v>3</v>
      </c>
      <c r="H152" s="896" t="s">
        <v>0</v>
      </c>
      <c r="I152" s="896"/>
      <c r="J152" s="896" t="s">
        <v>1</v>
      </c>
      <c r="K152" s="896"/>
      <c r="L152" s="896" t="s">
        <v>2</v>
      </c>
      <c r="M152" s="896"/>
      <c r="N152" s="897" t="s">
        <v>1200</v>
      </c>
      <c r="O152" s="897"/>
      <c r="P152" s="329"/>
      <c r="Q152" s="329"/>
      <c r="R152" s="330" t="s">
        <v>3</v>
      </c>
      <c r="S152" s="331" t="s">
        <v>136</v>
      </c>
      <c r="T152" s="329" t="s">
        <v>134</v>
      </c>
      <c r="U152" s="327" t="s">
        <v>135</v>
      </c>
      <c r="V152" s="329"/>
      <c r="W152" s="332" t="s">
        <v>26</v>
      </c>
    </row>
    <row r="153" spans="1:53" s="243" customFormat="1">
      <c r="A153" s="243">
        <v>1959</v>
      </c>
      <c r="B153" s="244">
        <f>(K6*($E6/365))+(K7*($E7/365))</f>
        <v>100</v>
      </c>
      <c r="C153" s="244">
        <f>(L6*($E6/365))+(L7*($E7/365))</f>
        <v>0</v>
      </c>
      <c r="D153" s="244">
        <f>(M6*($E6/365))+(M7*($E7/365))</f>
        <v>0</v>
      </c>
      <c r="E153" s="231">
        <f>B153+C153+D153</f>
        <v>100</v>
      </c>
      <c r="G153" s="243">
        <v>1959</v>
      </c>
      <c r="H153" s="927">
        <f>(O6/$R6*100*($E6/365))+(O7/$R7*100*($E7/365))</f>
        <v>100</v>
      </c>
      <c r="I153" s="927"/>
      <c r="J153" s="927">
        <f>(P6/$R6*100*($E6/365))+(P7/$R7*100*($E7/365))</f>
        <v>0</v>
      </c>
      <c r="K153" s="927"/>
      <c r="L153" s="927">
        <f>(Q6/$R6*100*($E6/365))+(Q7/$R7*100*($E7/365))</f>
        <v>0</v>
      </c>
      <c r="M153" s="927"/>
      <c r="N153" s="927">
        <f>H153+J153+K153</f>
        <v>100</v>
      </c>
      <c r="O153" s="927"/>
      <c r="R153" s="243">
        <v>1959</v>
      </c>
      <c r="S153" s="244">
        <f>(O6*($E6/365))+(O7*($E7/365))</f>
        <v>57</v>
      </c>
      <c r="T153" s="244">
        <f>(P6*($E6/365))+(P7*($E7/365))</f>
        <v>0</v>
      </c>
      <c r="U153" s="244">
        <f>(Q6*($E6/365))+(Q7*($E7/365))</f>
        <v>0</v>
      </c>
      <c r="W153" s="232">
        <f>S153+T153+U153</f>
        <v>57</v>
      </c>
      <c r="AD153" s="250"/>
    </row>
    <row r="154" spans="1:53">
      <c r="A154" s="1">
        <v>1960</v>
      </c>
      <c r="B154" s="7">
        <f>(K8*($E8/366))+(K9*($E9/366))</f>
        <v>100</v>
      </c>
      <c r="C154" s="7">
        <f>(L8*($E8/366))+(L9*($E9/366))</f>
        <v>0</v>
      </c>
      <c r="D154" s="7">
        <f>(M8*($E8/366))+(M9*($E9/366))</f>
        <v>0</v>
      </c>
      <c r="E154" s="43">
        <f t="shared" ref="E154:E161" si="48">SUM(B154:D154)</f>
        <v>100</v>
      </c>
      <c r="G154" s="1">
        <v>1960</v>
      </c>
      <c r="H154" s="918">
        <f>(O8/$R8*100*($E8/366))+(O9/$R9*100*($E9/366))</f>
        <v>100</v>
      </c>
      <c r="I154" s="918"/>
      <c r="J154" s="918">
        <f>(P8/$R8*100*($E8/366))+(P9/$R9*100*($E9/366))</f>
        <v>0</v>
      </c>
      <c r="K154" s="918"/>
      <c r="L154" s="918">
        <f>(Q8/$R8*100*($E8/366))+(Q9/$R9*100*($E9/366))</f>
        <v>0</v>
      </c>
      <c r="M154" s="918"/>
      <c r="N154" s="954">
        <f>SUM(H154:M154)</f>
        <v>100</v>
      </c>
      <c r="O154" s="954"/>
      <c r="R154" s="1">
        <v>1960</v>
      </c>
      <c r="S154" s="7">
        <f>(O8*($E8/366))+(O9*($E9/366))</f>
        <v>57</v>
      </c>
      <c r="T154" s="7">
        <f>(P8*($E8/366))+(P9*($E9/366))</f>
        <v>0</v>
      </c>
      <c r="U154" s="7">
        <f>(Q8*($E8/366))+(Q9*($E9/366))</f>
        <v>0</v>
      </c>
      <c r="W154" s="5">
        <f>SUM(S154:U154)</f>
        <v>57</v>
      </c>
      <c r="AD154" s="37"/>
    </row>
    <row r="155" spans="1:53">
      <c r="A155" s="1">
        <v>1961</v>
      </c>
      <c r="B155" s="8">
        <f>(K10*($E10/365))+(K11*($E11/365))+(K12*($E12/365))</f>
        <v>87.945205479452056</v>
      </c>
      <c r="C155" s="8">
        <f>(L10*($E10/365))+(L11*($E11/365))+(L12*($E12/365))</f>
        <v>0</v>
      </c>
      <c r="D155" s="8">
        <f>(M10*($E10/365))+(M11*($E11/365))+(M12*($E12/365))</f>
        <v>0</v>
      </c>
      <c r="E155" s="43">
        <f t="shared" si="48"/>
        <v>87.945205479452056</v>
      </c>
      <c r="G155" s="1">
        <v>1961</v>
      </c>
      <c r="H155" s="918">
        <f>(O10/$R10*100*($E10/365))+(O12/$R12*100*($E12/365))</f>
        <v>87.945205479452056</v>
      </c>
      <c r="I155" s="918"/>
      <c r="J155" s="918">
        <f>(P10/$R10*100*($E10/365))+(P12/$R12*100*($E12/365))</f>
        <v>0</v>
      </c>
      <c r="K155" s="918"/>
      <c r="L155" s="918">
        <f>(Q10/$R10*100*($E10/365))+(Q12/$R12*100*($E12/365))</f>
        <v>0</v>
      </c>
      <c r="M155" s="918"/>
      <c r="N155" s="954">
        <f t="shared" ref="N155:N160" si="49">SUM(H155:M155)</f>
        <v>87.945205479452056</v>
      </c>
      <c r="O155" s="954"/>
      <c r="R155" s="1">
        <v>1961</v>
      </c>
      <c r="S155" s="8">
        <f>(O10*($E10/365))+(O11*($E11/365))+(O12*($E12/365))</f>
        <v>50.39890410958904</v>
      </c>
      <c r="T155" s="8">
        <f>(P10*($E10/365))+(P11*($E11/365))+(P12*($E12/365))</f>
        <v>0</v>
      </c>
      <c r="U155" s="8">
        <f>(Q10*($E10/365))+(Q11*($E11/365))+(Q12*($E12/365))</f>
        <v>0</v>
      </c>
      <c r="W155" s="5">
        <f t="shared" ref="W155:W161" si="50">SUM(S155:U155)</f>
        <v>50.39890410958904</v>
      </c>
      <c r="AD155" s="37"/>
    </row>
    <row r="156" spans="1:53">
      <c r="A156" s="1">
        <v>1962</v>
      </c>
      <c r="B156" s="8">
        <f>(K13*($E13/365))+(K14*($E14/365))</f>
        <v>100</v>
      </c>
      <c r="C156" s="8">
        <f>(L13*($E13/365))+(L14*($E14/365))</f>
        <v>0</v>
      </c>
      <c r="D156" s="8">
        <f>(M13*($E13/365))+(M14*($E14/365))</f>
        <v>0</v>
      </c>
      <c r="E156" s="43">
        <f t="shared" si="48"/>
        <v>100</v>
      </c>
      <c r="G156" s="1">
        <v>1962</v>
      </c>
      <c r="H156" s="918">
        <f>(O13/$R13*100*($E13/365))+(O14/$R14*100*($E14/365))</f>
        <v>100</v>
      </c>
      <c r="I156" s="918"/>
      <c r="J156" s="918">
        <f>(P13/$R13*100*($E13/365))+(P14/$R14*100*($E14/365))</f>
        <v>0</v>
      </c>
      <c r="K156" s="918"/>
      <c r="L156" s="918">
        <f>(Q13/$R13*100*($E13/365))+(Q14/$R14*100*($E14/365))</f>
        <v>0</v>
      </c>
      <c r="M156" s="918"/>
      <c r="N156" s="954">
        <f t="shared" si="49"/>
        <v>100</v>
      </c>
      <c r="O156" s="954"/>
      <c r="R156" s="1">
        <v>1962</v>
      </c>
      <c r="S156" s="8">
        <f>(O13*($E13/365))+(O14*($E14/365))</f>
        <v>58.7</v>
      </c>
      <c r="T156" s="8">
        <f>(P13*($E13/365))+(P14*($E14/365))</f>
        <v>0</v>
      </c>
      <c r="U156" s="8">
        <f>(Q13*($E13/365))+(Q14*($E14/365))</f>
        <v>0</v>
      </c>
      <c r="W156" s="5">
        <f t="shared" si="50"/>
        <v>58.7</v>
      </c>
      <c r="AD156" s="37"/>
    </row>
    <row r="157" spans="1:53">
      <c r="A157" s="1">
        <v>1963</v>
      </c>
      <c r="B157" s="8">
        <f>(K15*($E15/365))+(K16*($E16/365))+(K17*($E17/365))+(K18*($E18/365))+(K19*($E19/365))</f>
        <v>60.821917808219176</v>
      </c>
      <c r="C157" s="8">
        <f>(L15*($E15/365))+(L16*($E16/365))+(L17*($E17/365))+(L18*($E18/365))+(L19*($E19/365))</f>
        <v>0</v>
      </c>
      <c r="D157" s="8">
        <f>(M15*($E15/365))+(M16*($E16/365))+(M17*($E17/365))+(M18*($E18/365))+(M19*($E19/365))</f>
        <v>0</v>
      </c>
      <c r="E157" s="43">
        <f t="shared" si="48"/>
        <v>60.821917808219176</v>
      </c>
      <c r="G157" s="1">
        <v>1963</v>
      </c>
      <c r="H157" s="918">
        <f>(O15/$R15*100*($E15/365))+(O18/$R18*100*($E18/365))</f>
        <v>60.821917808219176</v>
      </c>
      <c r="I157" s="918"/>
      <c r="J157" s="918">
        <f>(P15/$R15*100*($E15/365))+(P18/$R18*100*($E18/365))</f>
        <v>0</v>
      </c>
      <c r="K157" s="918"/>
      <c r="L157" s="918">
        <f>(Q15/$R15*100*($E15/365))+(Q18/$R18*100*($E18/365))</f>
        <v>0</v>
      </c>
      <c r="M157" s="918"/>
      <c r="N157" s="954">
        <f t="shared" si="49"/>
        <v>60.821917808219176</v>
      </c>
      <c r="O157" s="954"/>
      <c r="R157" s="1">
        <v>1963</v>
      </c>
      <c r="S157" s="8">
        <f>(O15*($E15/365))+(O16*($E16/365))+(O17*($E17/365))+(O18*($E18/365))+(O19*($E19/365))</f>
        <v>33.858356164383558</v>
      </c>
      <c r="T157" s="8">
        <f>(P15*($E15/365))+(P16*($E16/365))+(P17*($E17/365))+(P18*($E18/365))+(P19*($E19/365))</f>
        <v>0</v>
      </c>
      <c r="U157" s="8">
        <f>(Q15*($E15/365))+(Q16*($E16/365))+(Q17*($E17/365))+(Q18*($E18/365))+(Q19*($E19/365))</f>
        <v>0</v>
      </c>
      <c r="W157" s="5">
        <f t="shared" si="50"/>
        <v>33.858356164383558</v>
      </c>
      <c r="AD157" s="37"/>
    </row>
    <row r="158" spans="1:53">
      <c r="A158" s="1">
        <v>1964</v>
      </c>
      <c r="B158" s="8">
        <f>(K20*($E20/366))+(K21*($E21/366))</f>
        <v>86.612021857923494</v>
      </c>
      <c r="C158" s="8">
        <f>(L20*($E20/366))+(L21*($E21/366))</f>
        <v>0</v>
      </c>
      <c r="D158" s="8">
        <f>(M20*($E20/366))+(M21*($E21/366))</f>
        <v>0</v>
      </c>
      <c r="E158" s="43">
        <f t="shared" si="48"/>
        <v>86.612021857923494</v>
      </c>
      <c r="G158" s="1">
        <v>1964</v>
      </c>
      <c r="H158" s="918">
        <f>(O21/$R21*100*($E21/366))</f>
        <v>86.612021857923494</v>
      </c>
      <c r="I158" s="918"/>
      <c r="J158" s="918">
        <f>(P21/$R21*100*($E21/366))</f>
        <v>0</v>
      </c>
      <c r="K158" s="918"/>
      <c r="L158" s="918">
        <f>(Q21/$R21*100*($E21/366))</f>
        <v>0</v>
      </c>
      <c r="M158" s="918"/>
      <c r="N158" s="954">
        <f t="shared" si="49"/>
        <v>86.612021857923494</v>
      </c>
      <c r="O158" s="954"/>
      <c r="R158" s="1">
        <v>1964</v>
      </c>
      <c r="S158" s="8">
        <f>(O20*($E20/366))+(O21*($E21/366))</f>
        <v>49.368852459016388</v>
      </c>
      <c r="T158" s="8">
        <f>(P20*($E20/366))+(P21*($E21/366))</f>
        <v>0</v>
      </c>
      <c r="U158" s="8">
        <f>(Q20*($E20/366))+(Q21*($E21/366))</f>
        <v>0</v>
      </c>
      <c r="W158" s="5">
        <f t="shared" si="50"/>
        <v>49.368852459016388</v>
      </c>
      <c r="AD158" s="37"/>
    </row>
    <row r="159" spans="1:53">
      <c r="A159" s="1">
        <v>1965</v>
      </c>
      <c r="B159" s="8">
        <f>(K22*($E22/365))+(K23*($E23/365))+(K24*($E24/365))+(K25*($E25/365))</f>
        <v>100</v>
      </c>
      <c r="C159" s="8">
        <f>(L22*($E22/365))+(L23*($E23/365))+(L24*($E24/365))+(L25*($E25/365))</f>
        <v>0</v>
      </c>
      <c r="D159" s="8">
        <f>(M22*($E22/365))+(M23*($E23/365))+(M24*($E24/365))+(M25*($E25/365))</f>
        <v>0</v>
      </c>
      <c r="E159" s="43">
        <f t="shared" si="48"/>
        <v>100</v>
      </c>
      <c r="G159" s="1">
        <v>1965</v>
      </c>
      <c r="H159" s="918">
        <f>(O22/$R22*100*($E22/365))+(O23/$R23*100*($E23/365))</f>
        <v>63.287671232876711</v>
      </c>
      <c r="I159" s="918"/>
      <c r="J159" s="918">
        <f>(P22/$R22*100*($E22/365))+(P23/$R23*100*($E23/365))</f>
        <v>0</v>
      </c>
      <c r="K159" s="918"/>
      <c r="L159" s="918">
        <f>(Q22/$R22*100*($E22/365))+(Q23/$R23*100*($E23/365))</f>
        <v>0</v>
      </c>
      <c r="M159" s="918"/>
      <c r="N159" s="954">
        <f t="shared" si="49"/>
        <v>63.287671232876711</v>
      </c>
      <c r="O159" s="954"/>
      <c r="R159" s="1">
        <v>1965</v>
      </c>
      <c r="S159" s="8">
        <f>(O22*($E22/365))+(O23*($E23/365))+(O24*($E24/365))+(O25*($E25/365))</f>
        <v>51.718356164383565</v>
      </c>
      <c r="T159" s="8">
        <f>(P22*($E22/365))+(P23*($E23/365))+(P24*($E24/365))+(P25*($E25/365))</f>
        <v>0</v>
      </c>
      <c r="U159" s="8">
        <f>(Q22*($E22/365))+(Q23*($E23/365))+(Q24*($E24/365))+(Q25*($E25/365))</f>
        <v>0</v>
      </c>
      <c r="W159" s="5">
        <f t="shared" si="50"/>
        <v>51.718356164383565</v>
      </c>
      <c r="AD159" s="37"/>
    </row>
    <row r="160" spans="1:53">
      <c r="A160" s="1">
        <v>1966</v>
      </c>
      <c r="B160" s="8">
        <f>(K26*($E26/365))+(K27*($E27/365))</f>
        <v>97.260273972602747</v>
      </c>
      <c r="C160" s="8">
        <f>(L26*($E26/365))+(L27*($E27/365))</f>
        <v>0</v>
      </c>
      <c r="D160" s="8">
        <f>(M26*($E26/365))+(M27*($E27/365))</f>
        <v>0</v>
      </c>
      <c r="E160" s="43">
        <f t="shared" si="48"/>
        <v>97.260273972602747</v>
      </c>
      <c r="G160" s="1">
        <v>1966</v>
      </c>
      <c r="H160" s="918">
        <f>(O26/$R26*100*($E26/365))</f>
        <v>97.260273972602747</v>
      </c>
      <c r="I160" s="918"/>
      <c r="J160" s="918">
        <f>(P26/$R26*100*($E26/365))</f>
        <v>0</v>
      </c>
      <c r="K160" s="918"/>
      <c r="L160" s="918">
        <f>(Q26/$R26*100*($E26/365))</f>
        <v>0</v>
      </c>
      <c r="M160" s="918"/>
      <c r="N160" s="954">
        <f t="shared" si="49"/>
        <v>97.260273972602747</v>
      </c>
      <c r="O160" s="954"/>
      <c r="R160" s="1">
        <v>1966</v>
      </c>
      <c r="S160" s="8">
        <f>(O26*($E26/365))+(O27*($E27/365))</f>
        <v>49.31095890410959</v>
      </c>
      <c r="T160" s="8">
        <f>(P26*($E26/365))+(P27*($E27/365))</f>
        <v>0</v>
      </c>
      <c r="U160" s="8">
        <f>(Q26*($E26/365))+(Q27*($E27/365))</f>
        <v>0</v>
      </c>
      <c r="W160" s="5">
        <f t="shared" si="50"/>
        <v>49.31095890410959</v>
      </c>
      <c r="AD160" s="37"/>
    </row>
    <row r="161" spans="1:30">
      <c r="A161" s="1">
        <v>1967</v>
      </c>
      <c r="B161" s="8">
        <f>(K28*($E28/(110))+(K29*($E29/110)))</f>
        <v>16.363636363636363</v>
      </c>
      <c r="C161" s="8">
        <f>(L28*($E28/(110))+(L29*($E29/110)))</f>
        <v>0</v>
      </c>
      <c r="D161" s="8">
        <f>(M28*($E28/(110))+(M29*($E29/110)))</f>
        <v>0</v>
      </c>
      <c r="E161" s="205">
        <f t="shared" si="48"/>
        <v>16.363636363636363</v>
      </c>
      <c r="G161" s="1">
        <v>1967</v>
      </c>
      <c r="H161" s="918">
        <f>(O29/$R29*100*($E29/365))</f>
        <v>4.9315068493150687</v>
      </c>
      <c r="I161" s="918"/>
      <c r="J161" s="918">
        <f>(P29/$R29*100*($E29/365))</f>
        <v>0</v>
      </c>
      <c r="K161" s="918"/>
      <c r="L161" s="918">
        <f>(Q29/$R29*100*($E29/365))</f>
        <v>0</v>
      </c>
      <c r="M161" s="918"/>
      <c r="N161" s="953">
        <f>H161+J161+L161</f>
        <v>4.9315068493150687</v>
      </c>
      <c r="O161" s="953"/>
      <c r="R161" s="1">
        <v>1967</v>
      </c>
      <c r="S161" s="8">
        <f>(O28*($E28/(110))+(O29*($E29/110)))</f>
        <v>5.4490909090909083</v>
      </c>
      <c r="T161" s="8">
        <f>(P28*($E28/(110))+(P29*($E29/110)))</f>
        <v>0</v>
      </c>
      <c r="U161" s="8">
        <f>(Q28*($E28/(110))+(Q29*($E29/110)))</f>
        <v>0</v>
      </c>
      <c r="W161" s="5">
        <f t="shared" si="50"/>
        <v>5.4490909090909083</v>
      </c>
      <c r="AD161" s="37"/>
    </row>
    <row r="162" spans="1:30">
      <c r="A162" s="1">
        <v>1968</v>
      </c>
      <c r="C162" s="6"/>
      <c r="D162" s="6"/>
      <c r="E162" s="6"/>
      <c r="F162" s="2"/>
      <c r="G162" s="1">
        <v>1968</v>
      </c>
      <c r="H162" s="955"/>
      <c r="I162" s="955"/>
      <c r="J162" s="928"/>
      <c r="K162" s="928"/>
      <c r="L162" s="918"/>
      <c r="M162" s="918"/>
      <c r="N162" s="953"/>
      <c r="O162" s="953"/>
      <c r="R162" s="1">
        <v>1968</v>
      </c>
      <c r="AD162" s="37"/>
    </row>
    <row r="163" spans="1:30">
      <c r="A163" s="1">
        <v>1969</v>
      </c>
      <c r="B163" s="6"/>
      <c r="C163" s="6"/>
      <c r="D163" s="6"/>
      <c r="E163" s="6"/>
      <c r="F163" s="2"/>
      <c r="G163" s="1">
        <v>1969</v>
      </c>
      <c r="H163" s="918"/>
      <c r="I163" s="918"/>
      <c r="J163" s="928"/>
      <c r="K163" s="928"/>
      <c r="L163" s="918"/>
      <c r="M163" s="918"/>
      <c r="N163" s="953"/>
      <c r="O163" s="953"/>
      <c r="R163" s="1">
        <v>1969</v>
      </c>
      <c r="AD163" s="37"/>
    </row>
    <row r="164" spans="1:30">
      <c r="A164" s="1">
        <v>1970</v>
      </c>
      <c r="B164" s="6"/>
      <c r="C164" s="6"/>
      <c r="D164" s="6"/>
      <c r="E164" s="6"/>
      <c r="F164" s="2"/>
      <c r="G164" s="1">
        <v>1970</v>
      </c>
      <c r="H164" s="918"/>
      <c r="I164" s="918"/>
      <c r="J164" s="928"/>
      <c r="K164" s="928"/>
      <c r="L164" s="918"/>
      <c r="M164" s="918"/>
      <c r="N164" s="953"/>
      <c r="O164" s="953"/>
      <c r="R164" s="1">
        <v>1970</v>
      </c>
      <c r="AD164" s="37"/>
    </row>
    <row r="165" spans="1:30">
      <c r="A165" s="1">
        <v>1971</v>
      </c>
      <c r="B165" s="6"/>
      <c r="C165" s="6"/>
      <c r="D165" s="6"/>
      <c r="E165" s="6"/>
      <c r="F165" s="2"/>
      <c r="G165" s="1">
        <v>1971</v>
      </c>
      <c r="H165" s="918"/>
      <c r="I165" s="918"/>
      <c r="J165" s="928"/>
      <c r="K165" s="928"/>
      <c r="L165" s="918"/>
      <c r="M165" s="918"/>
      <c r="N165" s="953"/>
      <c r="O165" s="953"/>
      <c r="R165" s="1">
        <v>1971</v>
      </c>
      <c r="AD165" s="37"/>
    </row>
    <row r="166" spans="1:30">
      <c r="A166" s="1">
        <v>1972</v>
      </c>
      <c r="B166" s="6"/>
      <c r="C166" s="6"/>
      <c r="D166" s="6"/>
      <c r="E166" s="6"/>
      <c r="F166" s="2"/>
      <c r="G166" s="1">
        <v>1972</v>
      </c>
      <c r="H166" s="918"/>
      <c r="I166" s="918"/>
      <c r="J166" s="928"/>
      <c r="K166" s="928"/>
      <c r="L166" s="918"/>
      <c r="M166" s="918"/>
      <c r="N166" s="953"/>
      <c r="O166" s="953"/>
      <c r="R166" s="1">
        <v>1972</v>
      </c>
      <c r="AD166" s="37"/>
    </row>
    <row r="167" spans="1:30">
      <c r="A167" s="1">
        <v>1973</v>
      </c>
      <c r="B167" s="6"/>
      <c r="C167" s="6"/>
      <c r="D167" s="6"/>
      <c r="E167" s="6"/>
      <c r="F167" s="2"/>
      <c r="G167" s="1">
        <v>1973</v>
      </c>
      <c r="H167" s="918"/>
      <c r="I167" s="918"/>
      <c r="J167" s="918"/>
      <c r="K167" s="918"/>
      <c r="L167" s="918"/>
      <c r="M167" s="918"/>
      <c r="N167" s="953"/>
      <c r="O167" s="953"/>
      <c r="R167" s="1">
        <v>1973</v>
      </c>
      <c r="AD167" s="37"/>
    </row>
    <row r="168" spans="1:30" s="15" customFormat="1">
      <c r="A168" s="15">
        <v>1974</v>
      </c>
      <c r="B168" s="46">
        <f>(K44*($E44/159))+(K45*($E45/159))</f>
        <v>72.426348891095657</v>
      </c>
      <c r="C168" s="46">
        <f>(L44*($E44/159))+(L45*($E45/159))</f>
        <v>0</v>
      </c>
      <c r="D168" s="46">
        <f>(M44*($E44/159))+(M45*($E45/159))</f>
        <v>0</v>
      </c>
      <c r="E168" s="47">
        <f>SUM(B168:D168)</f>
        <v>72.426348891095657</v>
      </c>
      <c r="G168" s="15">
        <v>1974</v>
      </c>
      <c r="H168" s="951">
        <f>(O45/$R45*100*($E45/159))</f>
        <v>25.157232704402517</v>
      </c>
      <c r="I168" s="951"/>
      <c r="J168" s="951">
        <f>(P45/$R45*100*($E45/159))</f>
        <v>0</v>
      </c>
      <c r="K168" s="951"/>
      <c r="L168" s="951">
        <f>(Q45/$R45*100*($E45/159))</f>
        <v>0</v>
      </c>
      <c r="M168" s="951"/>
      <c r="N168" s="952">
        <f>SUM(H168:M168)</f>
        <v>25.157232704402517</v>
      </c>
      <c r="O168" s="952"/>
      <c r="R168" s="15">
        <v>1974</v>
      </c>
      <c r="S168" s="46">
        <f>(O45*($E45/159))</f>
        <v>18.440251572327043</v>
      </c>
      <c r="T168" s="46">
        <f>(P45*($E45/159))</f>
        <v>0</v>
      </c>
      <c r="U168" s="46">
        <f>(Q45*($E45/159))</f>
        <v>0</v>
      </c>
      <c r="V168" s="46"/>
      <c r="W168" s="46">
        <f>SUM(S168:U168)</f>
        <v>18.440251572327043</v>
      </c>
      <c r="Y168" s="201" t="s">
        <v>1218</v>
      </c>
    </row>
    <row r="169" spans="1:30">
      <c r="A169" s="1">
        <v>1975</v>
      </c>
      <c r="B169" s="7">
        <f>(K46*($E46/365))+(K47*($E47/365))</f>
        <v>100</v>
      </c>
      <c r="C169" s="7">
        <f>(L46*($E46/365))+(L47*($E47/365))</f>
        <v>0</v>
      </c>
      <c r="D169" s="7">
        <f>(M46*($E46/365))+(M47*($E47/365))</f>
        <v>0</v>
      </c>
      <c r="E169" s="42">
        <f>SUM(B169:D169)</f>
        <v>100</v>
      </c>
      <c r="G169" s="1">
        <v>1975</v>
      </c>
      <c r="H169" s="929">
        <f>(O46/$R46*100*($E46/365))+(O47/$R47*100*($E47/365))</f>
        <v>100</v>
      </c>
      <c r="I169" s="929"/>
      <c r="J169" s="929">
        <f>(P46/$R46*100*($E46/365))+(P47/$R47*100*($E47/365))</f>
        <v>0</v>
      </c>
      <c r="K169" s="929"/>
      <c r="L169" s="929">
        <f>(Q46/$R46*100*($E46/365))+(Q47/$R47*100*($E47/365))</f>
        <v>0</v>
      </c>
      <c r="M169" s="929"/>
      <c r="N169" s="887">
        <f>SUM(H169:M169)</f>
        <v>100</v>
      </c>
      <c r="O169" s="887"/>
      <c r="R169" s="1">
        <v>1975</v>
      </c>
      <c r="S169" s="7">
        <f>(O46*($E46/365))+(O47*($E47/365))</f>
        <v>73.3</v>
      </c>
      <c r="T169" s="7">
        <f>(P46*($E46/365))+(P47*($E47/365))</f>
        <v>0</v>
      </c>
      <c r="U169" s="7">
        <f>(Q46*($E46/365))+(Q47*($E47/365))</f>
        <v>0</v>
      </c>
      <c r="V169" s="12"/>
      <c r="W169" s="7">
        <f>SUM(S169:U169)</f>
        <v>73.3</v>
      </c>
    </row>
    <row r="170" spans="1:30">
      <c r="A170" s="1">
        <v>1976</v>
      </c>
      <c r="B170" s="7">
        <f>(K48*($E48/366))+(K49*($E49/366))</f>
        <v>100</v>
      </c>
      <c r="C170" s="7">
        <f>(L48*($E48/366))+(L49*($E49/366))</f>
        <v>0</v>
      </c>
      <c r="D170" s="7">
        <f>(M48*($E48/366))+(M49*($E49/366))</f>
        <v>0</v>
      </c>
      <c r="E170" s="42">
        <f t="shared" ref="E170:E207" si="51">SUM(B170:D170)</f>
        <v>100</v>
      </c>
      <c r="G170" s="1">
        <v>1976</v>
      </c>
      <c r="H170" s="929">
        <f>(O48/$R48*100*($E48/366))+(O49/$R49*100*($E49/366))</f>
        <v>100</v>
      </c>
      <c r="I170" s="929"/>
      <c r="J170" s="929">
        <f>(P48/$R48*100*($E48/366))+(P49/$R49*100*($E49/366))</f>
        <v>0</v>
      </c>
      <c r="K170" s="929"/>
      <c r="L170" s="929">
        <f>(Q48/$R48*100*($E48/366))+(Q49/$R49*100*($E49/366))</f>
        <v>0</v>
      </c>
      <c r="M170" s="929"/>
      <c r="N170" s="887">
        <f t="shared" ref="N170:N206" si="52">SUM(H170:M170)</f>
        <v>100</v>
      </c>
      <c r="O170" s="887"/>
      <c r="R170" s="1">
        <v>1976</v>
      </c>
      <c r="S170" s="7">
        <f>(O48*($E48/366))+(O49*($E49/366))</f>
        <v>73.3</v>
      </c>
      <c r="T170" s="7">
        <f>(P48*($E48/366))+(P49*($E49/366))</f>
        <v>0</v>
      </c>
      <c r="U170" s="7">
        <f>(Q48*($E48/366))+(Q49*($E49/366))</f>
        <v>0</v>
      </c>
      <c r="V170" s="12"/>
      <c r="W170" s="7">
        <f t="shared" ref="W170:W207" si="53">SUM(S170:U170)</f>
        <v>73.3</v>
      </c>
    </row>
    <row r="171" spans="1:30">
      <c r="A171" s="1">
        <v>1977</v>
      </c>
      <c r="B171" s="7">
        <f>(K50*($E50/365))+(K51*($E51/365))</f>
        <v>99.576587795765889</v>
      </c>
      <c r="C171" s="7">
        <f>(L50*($E50/365))+(L51*($E51/365))</f>
        <v>0</v>
      </c>
      <c r="D171" s="7">
        <f>(M50*($E50/365))+(M51*($E51/365))</f>
        <v>0</v>
      </c>
      <c r="E171" s="42">
        <f t="shared" si="51"/>
        <v>99.576587795765889</v>
      </c>
      <c r="G171" s="1">
        <v>1977</v>
      </c>
      <c r="H171" s="929">
        <f>(O50/$R50*100*($E50/365))+(O51/$R51*100*($E51/365))</f>
        <v>100.00000000000001</v>
      </c>
      <c r="I171" s="929"/>
      <c r="J171" s="929">
        <f>(P50/$R50*100*($E50/365))+(P51/$R51*100*($E51/365))</f>
        <v>0</v>
      </c>
      <c r="K171" s="929"/>
      <c r="L171" s="929">
        <f>(Q50/$R50*100*($E50/365))+(Q51/$R51*100*($E51/365))</f>
        <v>0</v>
      </c>
      <c r="M171" s="929"/>
      <c r="N171" s="887">
        <f t="shared" si="52"/>
        <v>100.00000000000001</v>
      </c>
      <c r="O171" s="887"/>
      <c r="R171" s="1">
        <v>1977</v>
      </c>
      <c r="S171" s="7">
        <f>(O50*($E50/365))+(O51*($E51/365))</f>
        <v>71.781643835616435</v>
      </c>
      <c r="T171" s="7">
        <f>(P50*($E50/365))+(P51*($E51/365))</f>
        <v>0</v>
      </c>
      <c r="U171" s="7">
        <f>(Q50*($E50/365))+(Q51*($E51/365))</f>
        <v>0</v>
      </c>
      <c r="V171" s="12"/>
      <c r="W171" s="7">
        <f t="shared" si="53"/>
        <v>71.781643835616435</v>
      </c>
    </row>
    <row r="172" spans="1:30">
      <c r="A172" s="1">
        <v>1978</v>
      </c>
      <c r="B172" s="7">
        <f>(K52*($E52/365))+(K53*($E53/365))</f>
        <v>95.454545454545453</v>
      </c>
      <c r="C172" s="7">
        <f>(L52*($E52/365))+(L53*($E53/365))</f>
        <v>0</v>
      </c>
      <c r="D172" s="7">
        <f>(M52*($E52/365))+(M53*($E53/365))</f>
        <v>0</v>
      </c>
      <c r="E172" s="42">
        <f t="shared" si="51"/>
        <v>95.454545454545453</v>
      </c>
      <c r="G172" s="1">
        <v>1978</v>
      </c>
      <c r="H172" s="929">
        <f>(O52/$R52*100*($E52/365))+(O53/$R53*100*($E53/365))</f>
        <v>100</v>
      </c>
      <c r="I172" s="929"/>
      <c r="J172" s="929">
        <f>(P52/$R52*100*($E52/365))+(P53/$R53*100*($E53/365))</f>
        <v>0</v>
      </c>
      <c r="K172" s="929"/>
      <c r="L172" s="929">
        <f>(Q52/$R52*100*($E52/365))+(Q53/$R53*100*($E53/365))</f>
        <v>0</v>
      </c>
      <c r="M172" s="929"/>
      <c r="N172" s="887">
        <f t="shared" si="52"/>
        <v>100</v>
      </c>
      <c r="O172" s="887"/>
      <c r="R172" s="1">
        <v>1978</v>
      </c>
      <c r="S172" s="7">
        <f>(O52*($E52/365))+(O53*($E53/365))</f>
        <v>57</v>
      </c>
      <c r="T172" s="7">
        <f>(P52*($E52/365))+(P53*($E53/365))</f>
        <v>0</v>
      </c>
      <c r="U172" s="7">
        <f>(Q52*($E52/365))+(Q53*($E53/365))</f>
        <v>0</v>
      </c>
      <c r="V172" s="12"/>
      <c r="W172" s="7">
        <f t="shared" si="53"/>
        <v>57</v>
      </c>
    </row>
    <row r="173" spans="1:30">
      <c r="A173" s="1">
        <v>1979</v>
      </c>
      <c r="B173" s="7">
        <f>(K54*($E54/365))+(K55*($E55/365))</f>
        <v>95.454545454545453</v>
      </c>
      <c r="C173" s="7">
        <f>(L54*($E54/365))+(L55*($E55/365))</f>
        <v>0</v>
      </c>
      <c r="D173" s="7">
        <f>(M54*($E54/365))+(M55*($E55/365))</f>
        <v>0</v>
      </c>
      <c r="E173" s="42">
        <f t="shared" si="51"/>
        <v>95.454545454545453</v>
      </c>
      <c r="G173" s="1">
        <v>1979</v>
      </c>
      <c r="H173" s="929">
        <f>(O54/$R54*100*($E54/365))+(O55/$R55*100*($E55/365))</f>
        <v>100</v>
      </c>
      <c r="I173" s="929"/>
      <c r="J173" s="929">
        <f>(P54/$R54*100*($E54/365))+(P55/$R55*100*($E55/365))</f>
        <v>0</v>
      </c>
      <c r="K173" s="929"/>
      <c r="L173" s="929">
        <f>(Q54/$R54*100*($E54/365))+(Q55/$R55*100*($E55/365))</f>
        <v>0</v>
      </c>
      <c r="M173" s="929"/>
      <c r="N173" s="887">
        <f t="shared" si="52"/>
        <v>100</v>
      </c>
      <c r="O173" s="887"/>
      <c r="R173" s="1">
        <v>1979</v>
      </c>
      <c r="S173" s="7">
        <f>(O54*($E54/365))+(O55*($E55/365))</f>
        <v>57</v>
      </c>
      <c r="T173" s="7">
        <f>(P54*($E54/365))+(P55*($E55/365))</f>
        <v>0</v>
      </c>
      <c r="U173" s="7">
        <f>(Q54*($E54/365))+(Q55*($E55/365))</f>
        <v>0</v>
      </c>
      <c r="V173" s="12"/>
      <c r="W173" s="7">
        <f t="shared" si="53"/>
        <v>57</v>
      </c>
    </row>
    <row r="174" spans="1:30">
      <c r="A174" s="1">
        <v>1980</v>
      </c>
      <c r="B174" s="7">
        <f>(K56*($E56/366))+(K57*($E57/366))</f>
        <v>93.001738698460002</v>
      </c>
      <c r="C174" s="7">
        <f>(L56*($E56/366))+(L57*($E57/366))</f>
        <v>0</v>
      </c>
      <c r="D174" s="7">
        <f>(M56*($E56/366))+(M57*($E57/366))</f>
        <v>0</v>
      </c>
      <c r="E174" s="42">
        <f t="shared" si="51"/>
        <v>93.001738698460002</v>
      </c>
      <c r="G174" s="1">
        <v>1980</v>
      </c>
      <c r="H174" s="929">
        <f>(O56/$R56*100*($E56/366))+(O57/$R57*100*($E57/366))</f>
        <v>100</v>
      </c>
      <c r="I174" s="929"/>
      <c r="J174" s="929">
        <f>(P56/$R56*100*($E56/366))+(P57/$R57*100*($E57/366))</f>
        <v>0</v>
      </c>
      <c r="K174" s="929"/>
      <c r="L174" s="929">
        <f>(Q56/$R56*100*($E56/366))+(Q57/$R57*100*($E57/366))</f>
        <v>0</v>
      </c>
      <c r="M174" s="929"/>
      <c r="N174" s="887">
        <f t="shared" si="52"/>
        <v>100</v>
      </c>
      <c r="O174" s="887"/>
      <c r="R174" s="1">
        <v>1980</v>
      </c>
      <c r="S174" s="7">
        <f>(O56*($E56/366))+(O57*($E57/366))</f>
        <v>57</v>
      </c>
      <c r="T174" s="7">
        <f>(P56*($E56/366))+(P57*($E57/366))</f>
        <v>0</v>
      </c>
      <c r="U174" s="7">
        <f>(Q56*($E56/366))+(Q57*($E57/366))</f>
        <v>0</v>
      </c>
      <c r="V174" s="12"/>
      <c r="W174" s="7">
        <f t="shared" si="53"/>
        <v>57</v>
      </c>
    </row>
    <row r="175" spans="1:30">
      <c r="A175" s="1">
        <v>1981</v>
      </c>
      <c r="B175" s="7">
        <f>(K58*($E58/365))+(K59*($E59/365))</f>
        <v>73.584474885844742</v>
      </c>
      <c r="C175" s="7">
        <f>(L58*($E58/365))+(L59*($E59/365))</f>
        <v>0</v>
      </c>
      <c r="D175" s="7">
        <f>(M58*($E58/365))+(M59*($E59/365))</f>
        <v>19.726027397260275</v>
      </c>
      <c r="E175" s="42">
        <f t="shared" si="51"/>
        <v>93.310502283105023</v>
      </c>
      <c r="G175" s="1">
        <v>1981</v>
      </c>
      <c r="H175" s="929">
        <f>(O58/$R58*100*($E58/365))+(O59/$R59*100*($E59/365))</f>
        <v>80.273972602739732</v>
      </c>
      <c r="I175" s="929"/>
      <c r="J175" s="929">
        <f>(P58/$R58*100*($E58/365))+(P59/$R59*100*($E59/365))</f>
        <v>0</v>
      </c>
      <c r="K175" s="929"/>
      <c r="L175" s="929">
        <f>(Q58/$R58*100*($E58/365))+(Q59/$R59*100*($E59/365))</f>
        <v>19.726027397260275</v>
      </c>
      <c r="M175" s="929"/>
      <c r="N175" s="887">
        <f t="shared" si="52"/>
        <v>100</v>
      </c>
      <c r="O175" s="887"/>
      <c r="R175" s="1">
        <v>1981</v>
      </c>
      <c r="S175" s="7">
        <f>(O58*($E58/365))+(O59*($E59/365))</f>
        <v>45.756164383561647</v>
      </c>
      <c r="T175" s="7">
        <f>(P58*($E58/365))+(P59*($E59/365))</f>
        <v>0</v>
      </c>
      <c r="U175" s="7">
        <f>(Q58*($E58/365))+(Q59*($E59/365))</f>
        <v>11.303013698630137</v>
      </c>
      <c r="V175" s="12"/>
      <c r="W175" s="7">
        <f t="shared" si="53"/>
        <v>57.059178082191785</v>
      </c>
    </row>
    <row r="176" spans="1:30">
      <c r="A176" s="1">
        <v>1982</v>
      </c>
      <c r="B176" s="7">
        <f>(K60*($E60/365))+(K61*($E61/365))</f>
        <v>0</v>
      </c>
      <c r="C176" s="7">
        <f>(L60*($E60/365))+(L61*($E61/365))</f>
        <v>0</v>
      </c>
      <c r="D176" s="7">
        <f>(M60*($E60/365))+(M61*($E61/365))</f>
        <v>100</v>
      </c>
      <c r="E176" s="42">
        <f t="shared" si="51"/>
        <v>100</v>
      </c>
      <c r="G176" s="1">
        <v>1982</v>
      </c>
      <c r="H176" s="929">
        <f>(O60/$R60*100*($E60/365))+(O61/$R61*100*($E61/365))</f>
        <v>0</v>
      </c>
      <c r="I176" s="929"/>
      <c r="J176" s="929">
        <f>(P60/$R60*100*($E60/365))+(P61/$R61*100*($E61/365))</f>
        <v>0</v>
      </c>
      <c r="K176" s="929"/>
      <c r="L176" s="929">
        <f>(Q60/$R60*100*($E60/365))+(Q61/$R61*100*($E61/365))</f>
        <v>100</v>
      </c>
      <c r="M176" s="929"/>
      <c r="N176" s="887">
        <f t="shared" si="52"/>
        <v>100</v>
      </c>
      <c r="O176" s="887"/>
      <c r="R176" s="1">
        <v>1982</v>
      </c>
      <c r="S176" s="7">
        <f>(O60*($E60/365))+(O61*($E61/365))</f>
        <v>0</v>
      </c>
      <c r="T176" s="7">
        <f>(P60*($E60/365))+(P61*($E61/365))</f>
        <v>0</v>
      </c>
      <c r="U176" s="7">
        <f>(Q60*($E60/365))+(Q61*($E61/365))</f>
        <v>57.3</v>
      </c>
      <c r="V176" s="12"/>
      <c r="W176" s="7">
        <f t="shared" si="53"/>
        <v>57.3</v>
      </c>
    </row>
    <row r="177" spans="1:23">
      <c r="A177" s="1">
        <v>1983</v>
      </c>
      <c r="B177" s="7">
        <f>(K62*($E62/365))+(K63*($E63/365))</f>
        <v>0</v>
      </c>
      <c r="C177" s="7">
        <f>(L62*($E62/365))+(L63*($E63/365))</f>
        <v>0</v>
      </c>
      <c r="D177" s="7">
        <f>(M62*($E62/365))+(M63*($E63/365))</f>
        <v>100</v>
      </c>
      <c r="E177" s="42">
        <f t="shared" si="51"/>
        <v>100</v>
      </c>
      <c r="G177" s="1">
        <v>1983</v>
      </c>
      <c r="H177" s="929">
        <f>(O62/$R62*100*($E62/365))+(O63/$R63*100*($E63/365))</f>
        <v>0</v>
      </c>
      <c r="I177" s="929"/>
      <c r="J177" s="929">
        <f>(P62/$R62*100*($E62/365))+(P63/$R63*100*($E63/365))</f>
        <v>0</v>
      </c>
      <c r="K177" s="929"/>
      <c r="L177" s="929">
        <f>(Q62/$R62*100*($E62/365))+(Q63/$R63*100*($E63/365))</f>
        <v>100</v>
      </c>
      <c r="M177" s="929"/>
      <c r="N177" s="887">
        <f t="shared" si="52"/>
        <v>100</v>
      </c>
      <c r="O177" s="887"/>
      <c r="R177" s="1">
        <v>1983</v>
      </c>
      <c r="S177" s="7">
        <f>(O62*($E62/365))+(O63*($E63/365))</f>
        <v>0</v>
      </c>
      <c r="T177" s="7">
        <f>(P62*($E62/365))+(P63*($E63/365))</f>
        <v>0</v>
      </c>
      <c r="U177" s="7">
        <f>(Q62*($E62/365))+(Q63*($E63/365))</f>
        <v>57.3</v>
      </c>
      <c r="V177" s="12"/>
      <c r="W177" s="7">
        <f t="shared" si="53"/>
        <v>57.3</v>
      </c>
    </row>
    <row r="178" spans="1:23">
      <c r="A178" s="1">
        <v>1984</v>
      </c>
      <c r="B178" s="7">
        <f>(K64*($E64/366))+(K65*($E65/366))</f>
        <v>0</v>
      </c>
      <c r="C178" s="7">
        <f>(L64*($E64/366))+(L65*($E65/366))</f>
        <v>0</v>
      </c>
      <c r="D178" s="7">
        <f>(M64*($E64/366))+(M65*($E65/366))</f>
        <v>100</v>
      </c>
      <c r="E178" s="42">
        <f t="shared" si="51"/>
        <v>100</v>
      </c>
      <c r="G178" s="1">
        <v>1984</v>
      </c>
      <c r="H178" s="929">
        <f>(O64/$R64*100*($E64/366))+(O65/$R65*100*($E65/366))</f>
        <v>0</v>
      </c>
      <c r="I178" s="929"/>
      <c r="J178" s="929">
        <f>(P64/$R64*100*($E64/366))+(P65/$R65*100*($E65/366))</f>
        <v>0</v>
      </c>
      <c r="K178" s="929"/>
      <c r="L178" s="929">
        <f>(Q64/$R64*100*($E64/366))+(Q65/$R65*100*($E65/366))</f>
        <v>100</v>
      </c>
      <c r="M178" s="929"/>
      <c r="N178" s="887">
        <f t="shared" si="52"/>
        <v>100</v>
      </c>
      <c r="O178" s="887"/>
      <c r="R178" s="1">
        <v>1984</v>
      </c>
      <c r="S178" s="7">
        <f>(O64*($E64/366))+(O65*($E65/366))</f>
        <v>0</v>
      </c>
      <c r="T178" s="7">
        <f>(P64*($E64/366))+(P65*($E65/366))</f>
        <v>0</v>
      </c>
      <c r="U178" s="7">
        <f>(Q64*($E64/366))+(Q65*($E65/366))</f>
        <v>57.3</v>
      </c>
      <c r="V178" s="12"/>
      <c r="W178" s="7">
        <f t="shared" si="53"/>
        <v>57.3</v>
      </c>
    </row>
    <row r="179" spans="1:23" ht="9" customHeight="1">
      <c r="A179" s="1">
        <v>1985</v>
      </c>
      <c r="B179" s="7">
        <f>(K66*($E66/365))+(K67*($E67/365))+(K68*($E68/365))</f>
        <v>0</v>
      </c>
      <c r="C179" s="7">
        <f>(L66*($E66/365))+(L67*($E67/365))+(L68*($E68/365))</f>
        <v>0</v>
      </c>
      <c r="D179" s="7">
        <f>(M66*($E66/365))+(M67*($E67/365))+(M68*($E68/365))</f>
        <v>100</v>
      </c>
      <c r="E179" s="42">
        <f t="shared" si="51"/>
        <v>100</v>
      </c>
      <c r="G179" s="1">
        <v>1985</v>
      </c>
      <c r="H179" s="929">
        <f>(O66/$R66*100*($E66/365))+(O67/$R67*100*($E67/365))+(O68/$R68*100*($E68/365))</f>
        <v>0</v>
      </c>
      <c r="I179" s="929"/>
      <c r="J179" s="929">
        <f>(P66/$R66*100*($E66/365))+(P67/$R67*100*($E67/365))+(P68/$R68*100*($E68/365))</f>
        <v>0</v>
      </c>
      <c r="K179" s="929"/>
      <c r="L179" s="929">
        <f>(Q66/$R66*100*($E66/365))+(Q67/$R67*100*($E67/365))+(Q68/$R68*100*($E68/365))</f>
        <v>100</v>
      </c>
      <c r="M179" s="929"/>
      <c r="N179" s="887">
        <f t="shared" si="52"/>
        <v>100</v>
      </c>
      <c r="O179" s="887"/>
      <c r="R179" s="1">
        <v>1985</v>
      </c>
      <c r="S179" s="7">
        <f>(O66*($E66/365))+(O67*($E67/365))+(O68*($E68/365))</f>
        <v>0</v>
      </c>
      <c r="T179" s="7">
        <f>(P66*($E66/365))+(P67*($E67/365))+(P68*($E68/365))</f>
        <v>0</v>
      </c>
      <c r="U179" s="7">
        <f>(Q66*($E66/365))+(Q67*($E67/365))+(Q68*($E68/365))</f>
        <v>55.228767123287668</v>
      </c>
      <c r="V179" s="12"/>
      <c r="W179" s="7">
        <f t="shared" si="53"/>
        <v>55.228767123287668</v>
      </c>
    </row>
    <row r="180" spans="1:23" ht="9" customHeight="1">
      <c r="A180" s="1">
        <v>1986</v>
      </c>
      <c r="B180" s="7">
        <f>(K69*($E69/365))+(K70*($E70/365))</f>
        <v>0</v>
      </c>
      <c r="C180" s="7">
        <f>(L69*($E69/365))+(L70*($E70/365))</f>
        <v>0</v>
      </c>
      <c r="D180" s="7">
        <f>(M69*($E69/365))+(M70*($E70/365))</f>
        <v>100</v>
      </c>
      <c r="E180" s="42">
        <f t="shared" si="51"/>
        <v>100</v>
      </c>
      <c r="G180" s="1">
        <v>1986</v>
      </c>
      <c r="H180" s="929">
        <f>(O69/$R69*100*($E69/365))+(O70/$R70*100*($E70/365))</f>
        <v>0</v>
      </c>
      <c r="I180" s="929"/>
      <c r="J180" s="929">
        <f>(P69/$R69*100*($E69/365))+(P70/$R70*100*($E70/365))</f>
        <v>0</v>
      </c>
      <c r="K180" s="929"/>
      <c r="L180" s="929">
        <f>(Q69/$R69*100*($E69/365))+(Q70/$R70*100*($E70/365))</f>
        <v>100</v>
      </c>
      <c r="M180" s="929"/>
      <c r="N180" s="887">
        <f t="shared" si="52"/>
        <v>100</v>
      </c>
      <c r="O180" s="887"/>
      <c r="R180" s="1">
        <v>1986</v>
      </c>
      <c r="S180" s="7">
        <f>(O69*($E69/365))+(O70*($E70/365))</f>
        <v>0</v>
      </c>
      <c r="T180" s="7">
        <f>(P69*($E69/365))+(P70*($E70/365))</f>
        <v>0</v>
      </c>
      <c r="U180" s="7">
        <f>(Q69*($E69/365))+(Q70*($E70/365))</f>
        <v>53.7</v>
      </c>
      <c r="V180" s="12"/>
      <c r="W180" s="7">
        <f t="shared" si="53"/>
        <v>53.7</v>
      </c>
    </row>
    <row r="181" spans="1:23" ht="9" customHeight="1">
      <c r="A181" s="1">
        <v>1987</v>
      </c>
      <c r="B181" s="7">
        <f>(K71*($E71/365))+(K72*($E72/365))</f>
        <v>0</v>
      </c>
      <c r="C181" s="7">
        <f>(L71*($E71/365))+(L72*($E72/365))</f>
        <v>0</v>
      </c>
      <c r="D181" s="7">
        <f>(M71*($E71/365))+(M72*($E72/365))</f>
        <v>100</v>
      </c>
      <c r="E181" s="42">
        <f t="shared" si="51"/>
        <v>100</v>
      </c>
      <c r="G181" s="1">
        <v>1987</v>
      </c>
      <c r="H181" s="929">
        <f>(O71/$R71*100*($E71/365))+(O72/$R72*100*($E72/365))</f>
        <v>0</v>
      </c>
      <c r="I181" s="929"/>
      <c r="J181" s="929">
        <f>(P71/$R71*100*($E71/365))+(P72/$R72*100*($E72/365))</f>
        <v>0</v>
      </c>
      <c r="K181" s="929"/>
      <c r="L181" s="929">
        <f>(Q71/$R71*100*($E71/365))+(Q72/$R72*100*($E72/365))</f>
        <v>100</v>
      </c>
      <c r="M181" s="929"/>
      <c r="N181" s="887">
        <f t="shared" si="52"/>
        <v>100</v>
      </c>
      <c r="O181" s="887"/>
      <c r="R181" s="1">
        <v>1987</v>
      </c>
      <c r="S181" s="7">
        <f>(O71*($E71/365))+(O72*($E72/365))</f>
        <v>0</v>
      </c>
      <c r="T181" s="7">
        <f>(P71*($E71/365))+(P72*($E72/365))</f>
        <v>0</v>
      </c>
      <c r="U181" s="7">
        <f>(Q71*($E71/365))+(Q72*($E72/365))</f>
        <v>53.7</v>
      </c>
      <c r="V181" s="12"/>
      <c r="W181" s="7">
        <f t="shared" si="53"/>
        <v>53.7</v>
      </c>
    </row>
    <row r="182" spans="1:23" ht="9" customHeight="1">
      <c r="A182" s="1">
        <v>1988</v>
      </c>
      <c r="B182" s="7">
        <f>(K73*($E73/366))+(K74*($E74/366))</f>
        <v>0</v>
      </c>
      <c r="C182" s="7">
        <f>(L73*($E73/366))+(L74*($E74/366))</f>
        <v>0</v>
      </c>
      <c r="D182" s="7">
        <f>(M73*($E73/366))+(M74*($E74/366))</f>
        <v>100</v>
      </c>
      <c r="E182" s="42">
        <f t="shared" si="51"/>
        <v>100</v>
      </c>
      <c r="G182" s="1">
        <v>1988</v>
      </c>
      <c r="H182" s="929">
        <f>(O73/$R73*100*($E73/366))+(O74/$R74*100*($E74/366))</f>
        <v>0</v>
      </c>
      <c r="I182" s="929"/>
      <c r="J182" s="929">
        <f>(P73/$R73*100*($E73/366))+(P74/$R74*100*($E74/366))</f>
        <v>0</v>
      </c>
      <c r="K182" s="929"/>
      <c r="L182" s="929">
        <f>(Q73/$R73*100*($E73/366))+(Q74/$R74*100*($E74/366))</f>
        <v>100</v>
      </c>
      <c r="M182" s="929"/>
      <c r="N182" s="887">
        <f t="shared" si="52"/>
        <v>100</v>
      </c>
      <c r="O182" s="887"/>
      <c r="R182" s="1">
        <v>1988</v>
      </c>
      <c r="S182" s="7">
        <f>(O73*($E73/366))+(O74*($E74/366))</f>
        <v>0</v>
      </c>
      <c r="T182" s="7">
        <f>(P73*($E73/366))+(P74*($E74/366))</f>
        <v>0</v>
      </c>
      <c r="U182" s="7">
        <f>(Q73*($E73/366))+(Q74*($E74/366))</f>
        <v>53.7</v>
      </c>
      <c r="W182" s="7">
        <f t="shared" si="53"/>
        <v>53.7</v>
      </c>
    </row>
    <row r="183" spans="1:23" ht="9" customHeight="1">
      <c r="A183" s="1">
        <v>1989</v>
      </c>
      <c r="B183" s="7">
        <f>(K75*($E75/365))+(K76*($E76/365))+(K77*($E77/365))+(K78*($E78/365))</f>
        <v>28.646303071556201</v>
      </c>
      <c r="C183" s="7">
        <f>(L75*($E75/365))+(L76*($E76/365))+(L77*($E77/365))+(L78*($E78/365))</f>
        <v>0</v>
      </c>
      <c r="D183" s="7">
        <f>(M75*($E75/365))+(M76*($E76/365))+(M77*($E77/365))+(M78*($E78/365))</f>
        <v>55.945999602938258</v>
      </c>
      <c r="E183" s="42">
        <f t="shared" si="51"/>
        <v>84.592302674494462</v>
      </c>
      <c r="G183" s="15">
        <v>1989</v>
      </c>
      <c r="H183" s="951">
        <f>(O75/$R75*100*($E75/365))+(O76/$R76*100*($E76/365))+(O78/$R78*100*($E78/365))</f>
        <v>28.874044682641507</v>
      </c>
      <c r="I183" s="951"/>
      <c r="J183" s="951">
        <f>(P75/$R75*100*($E75/365))+(P76/$R76*100*($E76/365))+(P78/$R78*100*($E78/365))</f>
        <v>0</v>
      </c>
      <c r="K183" s="951"/>
      <c r="L183" s="951">
        <f>(Q75/$R75*100*($E75/365))+(Q76/$R76*100*($E76/365))+(Q78/$R78*100*($E78/365))</f>
        <v>59.893078605029736</v>
      </c>
      <c r="M183" s="951"/>
      <c r="N183" s="952">
        <f t="shared" si="52"/>
        <v>88.767123287671239</v>
      </c>
      <c r="O183" s="952"/>
      <c r="R183" s="1">
        <v>1989</v>
      </c>
      <c r="S183" s="7">
        <f>(O75*($E75/365))+(O76*($E76/365))+(O77*($E77/365))+(O78*($E78/365))</f>
        <v>18.90027397260274</v>
      </c>
      <c r="T183" s="7">
        <f>(P75*($E75/365))+(P76*($E76/365))+(P77*($E77/365))+(P78*($E78/365))</f>
        <v>0</v>
      </c>
      <c r="U183" s="7">
        <f>(Q75*($E75/365))+(Q76*($E76/365))+(Q77*($E77/365))+(Q78*($E78/365))</f>
        <v>34.854794520547948</v>
      </c>
      <c r="W183" s="7">
        <f t="shared" si="53"/>
        <v>53.755068493150688</v>
      </c>
    </row>
    <row r="184" spans="1:23" ht="9" customHeight="1">
      <c r="A184" s="1">
        <v>1990</v>
      </c>
      <c r="B184" s="7">
        <f>(K79*($E79/365))+(K80*($E80/365))+(K81*($E81/365))</f>
        <v>75.968688845401175</v>
      </c>
      <c r="C184" s="7">
        <f>(L79*($E79/365))+(L80*($E80/365))+(L81*($E81/365))</f>
        <v>0</v>
      </c>
      <c r="D184" s="7">
        <f>(M79*($E79/365))+(M80*($E80/365))+(M81*($E81/365))</f>
        <v>3.926940639269406</v>
      </c>
      <c r="E184" s="42">
        <f t="shared" si="51"/>
        <v>79.895629484670579</v>
      </c>
      <c r="G184" s="15">
        <v>1990</v>
      </c>
      <c r="H184" s="951">
        <f>(O79/$R79*100*($E79/365))+(O81/$R81*100*($E81/365))</f>
        <v>78.451627143428652</v>
      </c>
      <c r="I184" s="951"/>
      <c r="J184" s="951">
        <f>(P79/$R79*100*($E79/365))+(P81/$R81*100*($E81/365))</f>
        <v>0</v>
      </c>
      <c r="K184" s="951"/>
      <c r="L184" s="951">
        <f>(Q79/$R79*100*($E79/365))+(Q81/$R81*100*($E81/365))</f>
        <v>5.9319345004069577</v>
      </c>
      <c r="M184" s="951"/>
      <c r="N184" s="952">
        <f t="shared" si="52"/>
        <v>84.383561643835606</v>
      </c>
      <c r="O184" s="952"/>
      <c r="R184" s="1">
        <v>1990</v>
      </c>
      <c r="S184" s="7">
        <f>(O79*($E79/365))+(O80*($E80/365))+(O81*($E81/365))</f>
        <v>42.327123287671228</v>
      </c>
      <c r="T184" s="7">
        <f>(P79*($E79/365))+(P80*($E80/365))+(P81*($E81/365))</f>
        <v>0</v>
      </c>
      <c r="U184" s="7">
        <f>(Q79*($E79/365))+(Q80*($E80/365))+(Q81*($E81/365))</f>
        <v>5.89041095890411</v>
      </c>
      <c r="W184" s="7">
        <f t="shared" si="53"/>
        <v>48.21753424657534</v>
      </c>
    </row>
    <row r="185" spans="1:23" ht="9" customHeight="1">
      <c r="A185" s="1">
        <v>1991</v>
      </c>
      <c r="B185" s="7">
        <f>(K82*($E82/365))+(K83*($E83/365))</f>
        <v>100</v>
      </c>
      <c r="C185" s="7">
        <f>(L82*($E82/365))+(L83*($E83/365))</f>
        <v>0</v>
      </c>
      <c r="D185" s="7">
        <f>(M82*($E82/365))+(M83*($E83/365))</f>
        <v>0</v>
      </c>
      <c r="E185" s="42">
        <f t="shared" si="51"/>
        <v>100</v>
      </c>
      <c r="G185" s="1">
        <v>1991</v>
      </c>
      <c r="H185" s="929">
        <f>(O82/$R82*100*($E82/365))+(O83/$R83*100*($E83/365))</f>
        <v>100</v>
      </c>
      <c r="I185" s="929"/>
      <c r="J185" s="929">
        <f>(P82/$R82*100*($E82/365))+(P83/$R83*100*($E83/365))</f>
        <v>0</v>
      </c>
      <c r="K185" s="929"/>
      <c r="L185" s="929">
        <f>(Q82/$R82*100*($E82/365))+(Q83/$R83*100*($E83/365))</f>
        <v>0</v>
      </c>
      <c r="M185" s="929"/>
      <c r="N185" s="887">
        <f t="shared" si="52"/>
        <v>100</v>
      </c>
      <c r="O185" s="887"/>
      <c r="R185" s="1">
        <v>1991</v>
      </c>
      <c r="S185" s="7">
        <f>(O82*($E82/365))+(O83*($E83/365))</f>
        <v>50.3</v>
      </c>
      <c r="T185" s="7">
        <f>(P82*($E82/365))+(P83*($E83/365))</f>
        <v>0</v>
      </c>
      <c r="U185" s="7">
        <f>(Q82*($E82/365))+(Q83*($E83/365))</f>
        <v>0</v>
      </c>
      <c r="W185" s="7">
        <f t="shared" si="53"/>
        <v>50.3</v>
      </c>
    </row>
    <row r="186" spans="1:23" ht="9" customHeight="1">
      <c r="A186" s="1">
        <v>1992</v>
      </c>
      <c r="B186" s="7">
        <f>(K84*($E84/366))+(K85*($E85/366))</f>
        <v>100</v>
      </c>
      <c r="C186" s="7">
        <f>(L84*($E84/366))+(L85*($E85/366))</f>
        <v>0</v>
      </c>
      <c r="D186" s="7">
        <f>(M84*($E84/366))+(M85*($E85/366))</f>
        <v>0</v>
      </c>
      <c r="E186" s="42">
        <f t="shared" si="51"/>
        <v>100</v>
      </c>
      <c r="G186" s="1">
        <v>1992</v>
      </c>
      <c r="H186" s="929">
        <f>(O84/$R84*100*($E84/366))+(O85/$R85*100*($E85/366))</f>
        <v>100</v>
      </c>
      <c r="I186" s="929"/>
      <c r="J186" s="929">
        <f>(P84/$R84*100*($E84/366))+(P85/$R85*100*($E85/366))</f>
        <v>0</v>
      </c>
      <c r="K186" s="929"/>
      <c r="L186" s="929">
        <f>(Q84/$R84*100*($E84/366))+(Q85/$R85*100*($E85/366))</f>
        <v>0</v>
      </c>
      <c r="M186" s="929"/>
      <c r="N186" s="887">
        <f t="shared" si="52"/>
        <v>100</v>
      </c>
      <c r="O186" s="887"/>
      <c r="R186" s="1">
        <v>1992</v>
      </c>
      <c r="S186" s="7">
        <f>(O84*($E84/366))+(O85*($E85/366))</f>
        <v>50.3</v>
      </c>
      <c r="T186" s="7">
        <f>(P84*($E84/366))+(P85*($E85/366))</f>
        <v>0</v>
      </c>
      <c r="U186" s="7">
        <f>(Q84*($E84/366))+(Q85*($E85/366))</f>
        <v>0</v>
      </c>
      <c r="W186" s="7">
        <f t="shared" si="53"/>
        <v>50.3</v>
      </c>
    </row>
    <row r="187" spans="1:23" ht="9" customHeight="1">
      <c r="A187" s="1">
        <v>1993</v>
      </c>
      <c r="B187" s="7">
        <f>(K86*($E86/365))+(K87*($E87/365))</f>
        <v>81.369863013698634</v>
      </c>
      <c r="C187" s="7">
        <f>(L86*($E86/365))+(L87*($E87/365))</f>
        <v>0</v>
      </c>
      <c r="D187" s="7">
        <f>(M86*($E86/365))+(M87*($E87/365))</f>
        <v>18.63013698630137</v>
      </c>
      <c r="E187" s="42">
        <f t="shared" si="51"/>
        <v>100</v>
      </c>
      <c r="G187" s="1">
        <v>1993</v>
      </c>
      <c r="H187" s="929">
        <f>(O86/$R86*100*($E86/365))+(O87/$R87*100*($E87/365))</f>
        <v>81.369863013698634</v>
      </c>
      <c r="I187" s="929"/>
      <c r="J187" s="929">
        <f>(P86/$R86*100*($E86/365))+(P87/$R87*100*($E87/365))</f>
        <v>0</v>
      </c>
      <c r="K187" s="929"/>
      <c r="L187" s="929">
        <f>(Q86/$R86*100*($E86/365))+(Q87/$R87*100*($E87/365))</f>
        <v>18.63013698630137</v>
      </c>
      <c r="M187" s="929"/>
      <c r="N187" s="887">
        <f t="shared" si="52"/>
        <v>100</v>
      </c>
      <c r="O187" s="887"/>
      <c r="R187" s="1">
        <v>1993</v>
      </c>
      <c r="S187" s="7">
        <f>(O86*($E86/365))+(O87*($E87/365))</f>
        <v>40.929041095890405</v>
      </c>
      <c r="T187" s="7">
        <f>(P86*($E86/365))+(P87*($E87/365))</f>
        <v>0</v>
      </c>
      <c r="U187" s="7">
        <f>(Q86*($E86/365))+(Q87*($E87/365))</f>
        <v>10.563287671232878</v>
      </c>
      <c r="W187" s="7">
        <f t="shared" si="53"/>
        <v>51.492328767123283</v>
      </c>
    </row>
    <row r="188" spans="1:23" ht="9" customHeight="1">
      <c r="A188" s="1">
        <v>1994</v>
      </c>
      <c r="B188" s="7">
        <f>(K88*($E88/365))+(K89*($E89/365))</f>
        <v>0</v>
      </c>
      <c r="C188" s="7">
        <f>(L88*($E88/365))+(L89*($E89/365))</f>
        <v>0</v>
      </c>
      <c r="D188" s="7">
        <f>(M88*($E88/365))+(M89*($E89/365))</f>
        <v>100</v>
      </c>
      <c r="E188" s="42">
        <f t="shared" si="51"/>
        <v>100</v>
      </c>
      <c r="G188" s="1">
        <v>1994</v>
      </c>
      <c r="H188" s="929">
        <f>(O88/$R88*100*($E88/365))+(O89/$R89*100*($E89/365))</f>
        <v>0</v>
      </c>
      <c r="I188" s="929"/>
      <c r="J188" s="929">
        <f>(P88/$R88*100*($E88/365))+(P89/$R89*100*($E89/365))</f>
        <v>0</v>
      </c>
      <c r="K188" s="929"/>
      <c r="L188" s="929">
        <f>(Q88/$R88*100*($E88/365))+(Q89/$R89*100*($E89/365))</f>
        <v>100</v>
      </c>
      <c r="M188" s="929"/>
      <c r="N188" s="887">
        <f t="shared" si="52"/>
        <v>100</v>
      </c>
      <c r="O188" s="887"/>
      <c r="R188" s="1">
        <v>1994</v>
      </c>
      <c r="S188" s="7">
        <f>(O88*($E88/365))+(O89*($E89/365))</f>
        <v>0</v>
      </c>
      <c r="T188" s="7">
        <f>(P88*($E88/365))+(P89*($E89/365))</f>
        <v>0</v>
      </c>
      <c r="U188" s="7">
        <f>(Q88*($E88/365))+(Q89*($E89/365))</f>
        <v>56.7</v>
      </c>
      <c r="W188" s="7">
        <f t="shared" si="53"/>
        <v>56.7</v>
      </c>
    </row>
    <row r="189" spans="1:23" ht="9" customHeight="1">
      <c r="A189" s="1">
        <v>1995</v>
      </c>
      <c r="B189" s="7">
        <f>(K90*($E90/365))+(K91*($E91/365))</f>
        <v>0</v>
      </c>
      <c r="C189" s="7">
        <f>(L90*($E90/365))+(L91*($E91/365))</f>
        <v>0</v>
      </c>
      <c r="D189" s="7">
        <f>(M90*($E90/365))+(M91*($E91/365))</f>
        <v>100</v>
      </c>
      <c r="E189" s="42">
        <f t="shared" si="51"/>
        <v>100</v>
      </c>
      <c r="G189" s="1">
        <v>1995</v>
      </c>
      <c r="H189" s="929">
        <f>(O90/$R90*100*($E90/365))+(O91/$R91*100*($E91/365))</f>
        <v>0</v>
      </c>
      <c r="I189" s="929"/>
      <c r="J189" s="929">
        <f>(P90/$R90*100*($E90/365))+(P91/$R91*100*($E91/365))</f>
        <v>0</v>
      </c>
      <c r="K189" s="929"/>
      <c r="L189" s="929">
        <f>(Q90/$R90*100*($E90/365))+(Q91/$R91*100*($E91/365))</f>
        <v>100</v>
      </c>
      <c r="M189" s="929"/>
      <c r="N189" s="887">
        <f t="shared" si="52"/>
        <v>100</v>
      </c>
      <c r="O189" s="887"/>
      <c r="R189" s="1">
        <v>1995</v>
      </c>
      <c r="S189" s="7">
        <f>(O90*($E90/365))+(O91*($E91/365))</f>
        <v>0</v>
      </c>
      <c r="T189" s="7">
        <f>(P90*($E90/365))+(P91*($E91/365))</f>
        <v>0</v>
      </c>
      <c r="U189" s="7">
        <f>(Q90*($E90/365))+(Q91*($E91/365))</f>
        <v>56.7</v>
      </c>
      <c r="W189" s="7">
        <f t="shared" si="53"/>
        <v>56.7</v>
      </c>
    </row>
    <row r="190" spans="1:23" ht="9" customHeight="1">
      <c r="A190" s="1">
        <v>1996</v>
      </c>
      <c r="B190" s="7">
        <f>(K92*($E92/366))+(K93*($E93/366))+(K94*($E94/366))</f>
        <v>0</v>
      </c>
      <c r="C190" s="7">
        <f>(L92*($E92/366))+(L93*($E93/366))+(L94*($E94/366))</f>
        <v>0</v>
      </c>
      <c r="D190" s="7">
        <f>(M92*($E92/366))+(M93*($E93/366))+(M94*($E94/366))</f>
        <v>100</v>
      </c>
      <c r="E190" s="42">
        <f t="shared" si="51"/>
        <v>100</v>
      </c>
      <c r="G190" s="1">
        <v>1996</v>
      </c>
      <c r="H190" s="929">
        <f>(O92/$R92*100*($E92/366))+(O93/$R93*100*($E93/366))+(O94/$R94*100*($E94/366))</f>
        <v>0</v>
      </c>
      <c r="I190" s="929"/>
      <c r="J190" s="929">
        <f>(P92/$R92*100*($E92/366))+(P93/$R93*100*($E93/366))+(P94/$R94*100*($E94/366))</f>
        <v>0</v>
      </c>
      <c r="K190" s="929"/>
      <c r="L190" s="929">
        <f>(Q92/$R92*100*($E92/366))+(Q93/$R93*100*($E93/366))+(Q94/$R94*100*($E94/366))</f>
        <v>100</v>
      </c>
      <c r="M190" s="929"/>
      <c r="N190" s="887">
        <f t="shared" si="52"/>
        <v>100</v>
      </c>
      <c r="O190" s="887"/>
      <c r="R190" s="1">
        <v>1996</v>
      </c>
      <c r="S190" s="7">
        <f>(O92*($E92/366))+(O93*($E93/366))+(O94*($E94/366))</f>
        <v>0</v>
      </c>
      <c r="T190" s="7">
        <f>(P92*($E92/366))+(P93*($E93/366))+(P94*($E94/366))</f>
        <v>0</v>
      </c>
      <c r="U190" s="7">
        <f>(Q92*($E92/366))+(Q93*($E93/366))+(Q94*($E94/366))</f>
        <v>54.228688524590169</v>
      </c>
      <c r="W190" s="7">
        <f t="shared" si="53"/>
        <v>54.228688524590169</v>
      </c>
    </row>
    <row r="191" spans="1:23" ht="9" customHeight="1">
      <c r="A191" s="1">
        <v>1997</v>
      </c>
      <c r="B191" s="7">
        <f>(K95*($E95/365))+(K96*($E96/365))</f>
        <v>0</v>
      </c>
      <c r="C191" s="7">
        <f>(L95*($E95/365))+(L96*($E96/365))</f>
        <v>0</v>
      </c>
      <c r="D191" s="7">
        <f>(M95*($E95/365))+(M96*($E96/365))</f>
        <v>100</v>
      </c>
      <c r="E191" s="42">
        <f t="shared" si="51"/>
        <v>100</v>
      </c>
      <c r="G191" s="1">
        <v>1997</v>
      </c>
      <c r="H191" s="929">
        <f>(O95/$R95*100*($E95/365))+(O96/$R96*100*($E96/365))</f>
        <v>0</v>
      </c>
      <c r="I191" s="929"/>
      <c r="J191" s="929">
        <f>(P95/$R95*100*($E95/365))+(P96/$R96*100*($E96/365))</f>
        <v>0</v>
      </c>
      <c r="K191" s="929"/>
      <c r="L191" s="929">
        <f>(Q95/$R95*100*($E95/365))+(Q96/$R96*100*($E96/365))</f>
        <v>100</v>
      </c>
      <c r="M191" s="929"/>
      <c r="N191" s="887">
        <f t="shared" si="52"/>
        <v>100</v>
      </c>
      <c r="O191" s="887"/>
      <c r="R191" s="1">
        <v>1997</v>
      </c>
      <c r="S191" s="7">
        <f>(O95*($E95/365))+(O96*($E96/365))</f>
        <v>0</v>
      </c>
      <c r="T191" s="7">
        <f>(P95*($E95/365))+(P96*($E96/365))</f>
        <v>0</v>
      </c>
      <c r="U191" s="7">
        <f>(Q95*($E95/365))+(Q96*($E96/365))</f>
        <v>54</v>
      </c>
      <c r="W191" s="7">
        <f t="shared" si="53"/>
        <v>54</v>
      </c>
    </row>
    <row r="192" spans="1:23" ht="9" customHeight="1">
      <c r="A192" s="1">
        <v>1998</v>
      </c>
      <c r="B192" s="7">
        <f>(K97*($E97/365))+(K98*($E98/365))</f>
        <v>0</v>
      </c>
      <c r="C192" s="7">
        <f>(L97*($E97/365))+(L98*($E98/365))</f>
        <v>0</v>
      </c>
      <c r="D192" s="7">
        <f>(M97*($E97/365))+(M98*($E98/365))</f>
        <v>100</v>
      </c>
      <c r="E192" s="42">
        <f t="shared" si="51"/>
        <v>100</v>
      </c>
      <c r="G192" s="1">
        <v>1998</v>
      </c>
      <c r="H192" s="929">
        <f>(O97/$R97*100*($E97/365))+(O98/$R98*100*($E98/365))</f>
        <v>0</v>
      </c>
      <c r="I192" s="929"/>
      <c r="J192" s="929">
        <f>(P97/$R97*100*($E97/365))+(P98/$R98*100*($E98/365))</f>
        <v>0</v>
      </c>
      <c r="K192" s="929"/>
      <c r="L192" s="929">
        <f>(Q97/$R97*100*($E97/365))+(Q98/$R98*100*($E98/365))</f>
        <v>100</v>
      </c>
      <c r="M192" s="929"/>
      <c r="N192" s="887">
        <f t="shared" si="52"/>
        <v>100</v>
      </c>
      <c r="O192" s="887"/>
      <c r="R192" s="1">
        <v>1998</v>
      </c>
      <c r="S192" s="7">
        <f>(O97*($E97/365))+(O98*($E98/365))</f>
        <v>0</v>
      </c>
      <c r="T192" s="7">
        <f>(P97*($E97/365))+(P98*($E98/365))</f>
        <v>0</v>
      </c>
      <c r="U192" s="7">
        <f>(Q97*($E97/365))+(Q98*($E98/365))</f>
        <v>54</v>
      </c>
      <c r="W192" s="7">
        <f t="shared" si="53"/>
        <v>54</v>
      </c>
    </row>
    <row r="193" spans="1:24" ht="9" customHeight="1">
      <c r="A193" s="1">
        <v>1999</v>
      </c>
      <c r="B193" s="7">
        <f>(K99*($E99/365))+(K100*($E100/365))</f>
        <v>0</v>
      </c>
      <c r="C193" s="7">
        <f>(L99*($E99/365))+(L100*($E100/365))</f>
        <v>0</v>
      </c>
      <c r="D193" s="7">
        <f>(M99*($E99/365))+(M100*($E100/365))</f>
        <v>100</v>
      </c>
      <c r="E193" s="42">
        <f t="shared" si="51"/>
        <v>100</v>
      </c>
      <c r="G193" s="1">
        <v>1999</v>
      </c>
      <c r="H193" s="929">
        <f>(O99/$R99*100*($E99/365))+(O100/$R100*100*($E100/365))</f>
        <v>0</v>
      </c>
      <c r="I193" s="929"/>
      <c r="J193" s="929">
        <f>(P99/$R99*100*($E99/365))+(P100/$R100*100*($E100/365))</f>
        <v>0</v>
      </c>
      <c r="K193" s="929"/>
      <c r="L193" s="929">
        <f>(Q99/$R99*100*($E99/365))+(Q100/$R100*100*($E100/365))</f>
        <v>100</v>
      </c>
      <c r="M193" s="929"/>
      <c r="N193" s="887">
        <f t="shared" si="52"/>
        <v>100</v>
      </c>
      <c r="O193" s="887"/>
      <c r="R193" s="1">
        <v>1999</v>
      </c>
      <c r="S193" s="7">
        <f>(O99*($E99/365))+(O100*($E100/365))</f>
        <v>0</v>
      </c>
      <c r="T193" s="7">
        <f>(P99*($E99/365))+(P100*($E100/365))</f>
        <v>0</v>
      </c>
      <c r="U193" s="7">
        <f>(Q99*($E99/365))+(Q100*($E100/365))</f>
        <v>54</v>
      </c>
      <c r="W193" s="7">
        <f t="shared" si="53"/>
        <v>54</v>
      </c>
    </row>
    <row r="194" spans="1:24" ht="9" customHeight="1">
      <c r="A194" s="1">
        <v>2000</v>
      </c>
      <c r="B194" s="7">
        <f>(K101*($E101/366))+(K102*($E102/366))</f>
        <v>0</v>
      </c>
      <c r="C194" s="7">
        <f>(L101*($E101/366))+(L102*($E102/366))</f>
        <v>0</v>
      </c>
      <c r="D194" s="7">
        <f>(M101*($E101/366))+(M102*($E102/366))</f>
        <v>100</v>
      </c>
      <c r="E194" s="42">
        <f t="shared" si="51"/>
        <v>100</v>
      </c>
      <c r="G194" s="1">
        <v>2000</v>
      </c>
      <c r="H194" s="929">
        <f>(O101/$R101*100*($E101/366))+(O102/$R102*100*($E102/366))</f>
        <v>0</v>
      </c>
      <c r="I194" s="929"/>
      <c r="J194" s="929">
        <f>(P101/$R101*100*($E101/366))+(P102/$R102*100*($E102/366))</f>
        <v>0</v>
      </c>
      <c r="K194" s="929"/>
      <c r="L194" s="929">
        <f>(Q101/$R101*100*($E101/366))+(Q102/$R102*100*($E102/366))</f>
        <v>100</v>
      </c>
      <c r="M194" s="929"/>
      <c r="N194" s="887">
        <f t="shared" si="52"/>
        <v>100</v>
      </c>
      <c r="O194" s="887"/>
      <c r="R194" s="1">
        <v>2000</v>
      </c>
      <c r="S194" s="7">
        <f>(O101*($E101/366))+(O102*($E102/366))</f>
        <v>0</v>
      </c>
      <c r="T194" s="7">
        <f>(P101*($E101/366))+(P102*($E102/366))</f>
        <v>0</v>
      </c>
      <c r="U194" s="7">
        <f>(Q101*($E101/366))+(Q102*($E102/366))</f>
        <v>53.108469945355196</v>
      </c>
      <c r="W194" s="7">
        <f t="shared" si="53"/>
        <v>53.108469945355196</v>
      </c>
    </row>
    <row r="195" spans="1:24" ht="9" customHeight="1">
      <c r="A195" s="1">
        <v>2001</v>
      </c>
      <c r="B195" s="7">
        <f>(K103*($E103/365))+(K104*($E104/365))</f>
        <v>0</v>
      </c>
      <c r="C195" s="7">
        <f>(L103*($E103/365))+(L104*($E104/365))</f>
        <v>0</v>
      </c>
      <c r="D195" s="7">
        <f>(M103*($E103/365))+(M104*($E104/365))</f>
        <v>100</v>
      </c>
      <c r="E195" s="42">
        <f t="shared" si="51"/>
        <v>100</v>
      </c>
      <c r="G195" s="1">
        <v>2001</v>
      </c>
      <c r="H195" s="929">
        <f>(O103/$R103*100*($E103/365))+(O104/$R104*100*($E104/365))</f>
        <v>0</v>
      </c>
      <c r="I195" s="929"/>
      <c r="J195" s="929">
        <f>(P103/$R103*100*($E103/365))+(P104/$R104*100*($E104/365))</f>
        <v>0</v>
      </c>
      <c r="K195" s="929"/>
      <c r="L195" s="929">
        <f>(Q103/$R103*100*($E103/365))+(Q104/$R104*100*($E104/365))</f>
        <v>100</v>
      </c>
      <c r="M195" s="929"/>
      <c r="N195" s="887">
        <f t="shared" si="52"/>
        <v>100</v>
      </c>
      <c r="O195" s="887"/>
      <c r="R195" s="1">
        <v>2001</v>
      </c>
      <c r="S195" s="7">
        <f>(O103*($E103/365))+(O104*($E104/365))</f>
        <v>0</v>
      </c>
      <c r="T195" s="7">
        <f>(P103*($E103/365))+(P104*($E104/365))</f>
        <v>0</v>
      </c>
      <c r="U195" s="7">
        <f>(Q103*($E103/365))+(Q104*($E104/365))</f>
        <v>52.7</v>
      </c>
      <c r="W195" s="7">
        <f t="shared" si="53"/>
        <v>52.7</v>
      </c>
    </row>
    <row r="196" spans="1:24" ht="9" customHeight="1">
      <c r="A196" s="1">
        <v>2002</v>
      </c>
      <c r="B196" s="7">
        <f>(K105*($E105/365))+(K106*($E106/365))</f>
        <v>0</v>
      </c>
      <c r="C196" s="7">
        <f>(L105*($E105/365))+(L106*($E106/365))</f>
        <v>0</v>
      </c>
      <c r="D196" s="7">
        <f>(M105*($E105/365))+(M106*($E106/365))</f>
        <v>100</v>
      </c>
      <c r="E196" s="42">
        <f t="shared" si="51"/>
        <v>100</v>
      </c>
      <c r="G196" s="1">
        <v>2002</v>
      </c>
      <c r="H196" s="929">
        <f>(O105/$R105*100*($E105/365))+(O106/$R106*100*($E106/365))</f>
        <v>0</v>
      </c>
      <c r="I196" s="929"/>
      <c r="J196" s="929">
        <f>(P105/$R105*100*($E105/365))+(P106/$R106*100*($E106/365))</f>
        <v>0</v>
      </c>
      <c r="K196" s="929"/>
      <c r="L196" s="929">
        <f>(Q105/$R105*100*($E105/365))+(Q106/$R106*100*($E106/365))</f>
        <v>100</v>
      </c>
      <c r="M196" s="929"/>
      <c r="N196" s="887">
        <f t="shared" si="52"/>
        <v>100</v>
      </c>
      <c r="O196" s="887"/>
      <c r="R196" s="1">
        <v>2002</v>
      </c>
      <c r="S196" s="7">
        <f>(O105*($E105/365))+(O106*($E106/365))</f>
        <v>0</v>
      </c>
      <c r="T196" s="7">
        <f>(P105*($E105/365))+(P106*($E106/365))</f>
        <v>0</v>
      </c>
      <c r="U196" s="7">
        <f>(Q105*($E105/365))+(Q106*($E106/365))</f>
        <v>52.7</v>
      </c>
      <c r="W196" s="7">
        <f t="shared" si="53"/>
        <v>52.7</v>
      </c>
    </row>
    <row r="197" spans="1:24" ht="9" customHeight="1">
      <c r="A197" s="1">
        <v>2003</v>
      </c>
      <c r="B197" s="7">
        <f>(K107*($E107/365))+(K108*($E108/365))</f>
        <v>0</v>
      </c>
      <c r="C197" s="7">
        <f>(L107*($E107/365))+(L108*($E108/365))</f>
        <v>0</v>
      </c>
      <c r="D197" s="7">
        <f>(M107*($E107/365))+(M108*($E108/365))</f>
        <v>100</v>
      </c>
      <c r="E197" s="42">
        <f t="shared" si="51"/>
        <v>100</v>
      </c>
      <c r="G197" s="1">
        <v>2003</v>
      </c>
      <c r="H197" s="929">
        <f>(O107/$R107*100*($E107/365))+(O108/$R108*100*($E108/365))</f>
        <v>0</v>
      </c>
      <c r="I197" s="929"/>
      <c r="J197" s="929">
        <f>(P107/$R107*100*($E107/365))+(P108/$R108*100*($E108/365))</f>
        <v>0</v>
      </c>
      <c r="K197" s="929"/>
      <c r="L197" s="929">
        <f>(Q107/$R107*100*($E107/365))+(Q108/$R108*100*($E108/365))</f>
        <v>100</v>
      </c>
      <c r="M197" s="929"/>
      <c r="N197" s="887">
        <f t="shared" si="52"/>
        <v>100</v>
      </c>
      <c r="O197" s="887"/>
      <c r="R197" s="1">
        <v>2003</v>
      </c>
      <c r="S197" s="7">
        <f>(O107*($E107/365))+(O108*($E108/365))</f>
        <v>0</v>
      </c>
      <c r="T197" s="7">
        <f>(P107*($E107/365))+(P108*($E108/365))</f>
        <v>0</v>
      </c>
      <c r="U197" s="7">
        <f>(Q107*($E107/365))+(Q108*($E108/365))</f>
        <v>52.7</v>
      </c>
      <c r="W197" s="7">
        <f t="shared" si="53"/>
        <v>52.7</v>
      </c>
    </row>
    <row r="198" spans="1:24" ht="9" customHeight="1">
      <c r="A198" s="1">
        <v>2004</v>
      </c>
      <c r="B198" s="7">
        <f>(K109*($E109/366))+(K110*($E110/366))</f>
        <v>77.595628415300538</v>
      </c>
      <c r="C198" s="7">
        <f>(L109*($E109/366))+(L110*($E110/366))</f>
        <v>0</v>
      </c>
      <c r="D198" s="7">
        <f>(M109*($E109/366))+(M110*($E110/366))</f>
        <v>22.404371584699454</v>
      </c>
      <c r="E198" s="42">
        <f t="shared" si="51"/>
        <v>100</v>
      </c>
      <c r="G198" s="1">
        <v>2004</v>
      </c>
      <c r="H198" s="929">
        <f>(O109/$R109*100*($E109/366))+(O110/$R110*100*($E110/366))</f>
        <v>77.595628415300538</v>
      </c>
      <c r="I198" s="929"/>
      <c r="J198" s="929">
        <f>(P109/$R109*100*($E109/366))+(P110/$R110*100*($E110/366))</f>
        <v>0</v>
      </c>
      <c r="K198" s="929"/>
      <c r="L198" s="929">
        <f>(Q109/$R109*100*($E109/366))+(Q110/$R110*100*($E110/366))</f>
        <v>22.404371584699454</v>
      </c>
      <c r="M198" s="929"/>
      <c r="N198" s="887">
        <f t="shared" si="52"/>
        <v>100</v>
      </c>
      <c r="O198" s="887"/>
      <c r="R198" s="1">
        <v>2004</v>
      </c>
      <c r="S198" s="7">
        <f>(O109*($E109/366))+(O110*($E110/366))</f>
        <v>42.677595628415297</v>
      </c>
      <c r="T198" s="7">
        <f>(P109*($E109/366))+(P110*($E110/366))</f>
        <v>0</v>
      </c>
      <c r="U198" s="7">
        <f>(Q109*($E109/366))+(Q110*($E110/366))</f>
        <v>11.807103825136613</v>
      </c>
      <c r="W198" s="7">
        <f t="shared" si="53"/>
        <v>54.484699453551912</v>
      </c>
    </row>
    <row r="199" spans="1:24" ht="9" customHeight="1">
      <c r="A199" s="1">
        <v>2005</v>
      </c>
      <c r="B199" s="7">
        <f>(K111*($E111/365))+(K112*($E112/365))</f>
        <v>100</v>
      </c>
      <c r="C199" s="7">
        <f>(L111*($E111/365))+(L112*($E112/365))</f>
        <v>0</v>
      </c>
      <c r="D199" s="7">
        <f>(M111*($E111/365))+(M112*($E112/365))</f>
        <v>0</v>
      </c>
      <c r="E199" s="42">
        <f t="shared" si="51"/>
        <v>100</v>
      </c>
      <c r="G199" s="1">
        <v>2005</v>
      </c>
      <c r="H199" s="929">
        <f>(O111/$R111*100*($E111/365))+(O112/$R112*100*($E112/365))</f>
        <v>100</v>
      </c>
      <c r="I199" s="929"/>
      <c r="J199" s="929">
        <f>(P111/$R111*100*($E111/365))+(P112/$R112*100*($E112/365))</f>
        <v>0</v>
      </c>
      <c r="K199" s="929"/>
      <c r="L199" s="929">
        <f>(Q111/$R111*100*($E111/365))+(Q112/$R112*100*($E112/365))</f>
        <v>0</v>
      </c>
      <c r="M199" s="929"/>
      <c r="N199" s="887">
        <f t="shared" si="52"/>
        <v>100</v>
      </c>
      <c r="O199" s="887"/>
      <c r="R199" s="1">
        <v>2005</v>
      </c>
      <c r="S199" s="7">
        <f>(O111*($E111/365))+(O112*($E112/365))</f>
        <v>55</v>
      </c>
      <c r="T199" s="7">
        <f>(P111*($E111/365))+(P112*($E112/365))</f>
        <v>0</v>
      </c>
      <c r="U199" s="7">
        <f>(Q111*($E111/365))+(Q112*($E112/365))</f>
        <v>0</v>
      </c>
      <c r="W199" s="7">
        <f t="shared" si="53"/>
        <v>55</v>
      </c>
    </row>
    <row r="200" spans="1:24" ht="9" customHeight="1">
      <c r="A200" s="1">
        <v>2006</v>
      </c>
      <c r="B200" s="7">
        <f>(K113*($E113/365))+(K114*($E114/365))</f>
        <v>100</v>
      </c>
      <c r="C200" s="7">
        <f>(L113*($E113/365))+(L114*($E114/365))</f>
        <v>0</v>
      </c>
      <c r="D200" s="7">
        <f>(M113*($E113/365))+(M114*($E114/365))</f>
        <v>0</v>
      </c>
      <c r="E200" s="42">
        <f t="shared" si="51"/>
        <v>100</v>
      </c>
      <c r="G200" s="1">
        <v>2006</v>
      </c>
      <c r="H200" s="929">
        <f>(O113/$R113*100*($E113/365))+(O114/$R114*100*($E114/365))</f>
        <v>100</v>
      </c>
      <c r="I200" s="929"/>
      <c r="J200" s="929">
        <f>(P113/$R113*100*($E113/365))+(P114/$R114*100*($E114/365))</f>
        <v>0</v>
      </c>
      <c r="K200" s="929"/>
      <c r="L200" s="929">
        <f>(Q113/$R113*100*($E113/365))+(Q114/$R114*100*($E114/365))</f>
        <v>0</v>
      </c>
      <c r="M200" s="929"/>
      <c r="N200" s="887">
        <f t="shared" si="52"/>
        <v>100</v>
      </c>
      <c r="O200" s="887"/>
      <c r="R200" s="1">
        <v>2006</v>
      </c>
      <c r="S200" s="7">
        <f>(O113*($E113/365))+(O114*($E114/365))</f>
        <v>55</v>
      </c>
      <c r="T200" s="7">
        <f>(P113*($E113/365))+(P114*($E114/365))</f>
        <v>0</v>
      </c>
      <c r="U200" s="7">
        <f>(Q113*($E113/365))+(Q114*($E114/365))</f>
        <v>0</v>
      </c>
      <c r="W200" s="7">
        <f t="shared" si="53"/>
        <v>55</v>
      </c>
    </row>
    <row r="201" spans="1:24" ht="9" customHeight="1">
      <c r="A201" s="1">
        <v>2007</v>
      </c>
      <c r="B201" s="7">
        <f>(K115*($E115/365))+(K116*($E116/365))</f>
        <v>100</v>
      </c>
      <c r="C201" s="7">
        <f>(L115*($E115/365))+(L116*($E116/365))</f>
        <v>0</v>
      </c>
      <c r="D201" s="7">
        <f>(M115*($E115/365))+(M116*($E116/365))</f>
        <v>0</v>
      </c>
      <c r="E201" s="42">
        <f t="shared" si="51"/>
        <v>100</v>
      </c>
      <c r="G201" s="1">
        <v>2007</v>
      </c>
      <c r="H201" s="929">
        <f>(O115/$R115*100*($E115/365))+(O116/$R116*100*($E116/365))</f>
        <v>100</v>
      </c>
      <c r="I201" s="929"/>
      <c r="J201" s="929">
        <f>(P115/$R115*100*($E115/365))+(P116/$R116*100*($E116/365))</f>
        <v>0</v>
      </c>
      <c r="K201" s="929"/>
      <c r="L201" s="929">
        <f>(Q115/$R115*100*($E115/365))+(Q116/$R116*100*($E116/365))</f>
        <v>0</v>
      </c>
      <c r="M201" s="929"/>
      <c r="N201" s="887">
        <f t="shared" si="52"/>
        <v>100</v>
      </c>
      <c r="O201" s="887"/>
      <c r="R201" s="1">
        <v>2007</v>
      </c>
      <c r="S201" s="7">
        <f>(O115*($E115/365))+(O116*($E116/365))</f>
        <v>53.91616438356165</v>
      </c>
      <c r="T201" s="7">
        <f>(P115*($E115/365))+(P116*($E116/365))</f>
        <v>0</v>
      </c>
      <c r="U201" s="7">
        <f>(Q115*($E115/365))+(Q116*($E116/365))</f>
        <v>0</v>
      </c>
      <c r="W201" s="7">
        <f t="shared" si="53"/>
        <v>53.91616438356165</v>
      </c>
    </row>
    <row r="202" spans="1:24" ht="9" customHeight="1">
      <c r="A202" s="1">
        <v>2008</v>
      </c>
      <c r="B202" s="7">
        <f>(K117*($E117/366))+(K118*($E118/366))</f>
        <v>100</v>
      </c>
      <c r="C202" s="7">
        <f>(L117*($E117/366))+(L118*($E118/366))</f>
        <v>0</v>
      </c>
      <c r="D202" s="7">
        <f>(M117*($E117/366))+(M118*($E118/366))</f>
        <v>0</v>
      </c>
      <c r="E202" s="42">
        <f t="shared" si="51"/>
        <v>100</v>
      </c>
      <c r="G202" s="1">
        <v>2008</v>
      </c>
      <c r="H202" s="929">
        <f>(O117/$R117*100*($E117/366))+(O118/$R118*100*($E118/366))</f>
        <v>100</v>
      </c>
      <c r="I202" s="929"/>
      <c r="J202" s="929">
        <f>(P117/$R117*100*($E117/366))+(P118/$R118*100*($E118/366))</f>
        <v>0</v>
      </c>
      <c r="K202" s="929"/>
      <c r="L202" s="929">
        <f>(Q117/$R117*100*($E117/366))+(Q118/$R118*100*($E118/366))</f>
        <v>0</v>
      </c>
      <c r="M202" s="929"/>
      <c r="N202" s="887">
        <f t="shared" si="52"/>
        <v>100</v>
      </c>
      <c r="O202" s="887"/>
      <c r="R202" s="1">
        <v>2008</v>
      </c>
      <c r="S202" s="7">
        <f>(O117*($E117/366))+(O118*($E118/366))</f>
        <v>50.7</v>
      </c>
      <c r="T202" s="7">
        <f>(P117*($E117/366))+(P118*($E118/366))</f>
        <v>0</v>
      </c>
      <c r="U202" s="7">
        <f>(Q117*($E117/366))+(Q118*($E118/366))</f>
        <v>0</v>
      </c>
      <c r="W202" s="7">
        <f t="shared" si="53"/>
        <v>50.7</v>
      </c>
    </row>
    <row r="203" spans="1:24" ht="9" customHeight="1">
      <c r="A203" s="1">
        <v>2009</v>
      </c>
      <c r="B203" s="7">
        <f>(K119*($E119/365))+(K120*($E120/365))</f>
        <v>79.726027397260268</v>
      </c>
      <c r="C203" s="7">
        <f>(L119*($E119/365))+(L120*($E120/365))</f>
        <v>0</v>
      </c>
      <c r="D203" s="7">
        <f>(M119*($E119/365))+(M120*($E120/365))</f>
        <v>20.273972602739725</v>
      </c>
      <c r="E203" s="42">
        <f t="shared" si="51"/>
        <v>100</v>
      </c>
      <c r="G203" s="1">
        <v>2009</v>
      </c>
      <c r="H203" s="929">
        <f>(O119/$R119*100*($E119/365))+(O120/$R120*100*($E120/365))</f>
        <v>79.726027397260268</v>
      </c>
      <c r="I203" s="929"/>
      <c r="J203" s="929">
        <f>(P119/$R119*100*($E119/365))+(P120/$R120*100*($E120/365))</f>
        <v>0</v>
      </c>
      <c r="K203" s="929"/>
      <c r="L203" s="929">
        <f>(Q119/$R119*100*($E119/365))+(Q120/$R120*100*($E120/365))</f>
        <v>20.273972602739725</v>
      </c>
      <c r="M203" s="929"/>
      <c r="N203" s="887">
        <f t="shared" si="52"/>
        <v>100</v>
      </c>
      <c r="O203" s="887"/>
      <c r="R203" s="1">
        <v>2009</v>
      </c>
      <c r="S203" s="7">
        <f>(O119*($E119/365))+(O120*($E120/365))</f>
        <v>40.42109589041096</v>
      </c>
      <c r="T203" s="7">
        <f>(P119*($E119/365))+(P120*($E120/365))</f>
        <v>0</v>
      </c>
      <c r="U203" s="7">
        <f>(Q119*($E119/365))+(Q120*($E120/365))</f>
        <v>10.806027397260273</v>
      </c>
      <c r="W203" s="7">
        <f t="shared" si="53"/>
        <v>51.227123287671233</v>
      </c>
    </row>
    <row r="204" spans="1:24" ht="9" customHeight="1">
      <c r="A204" s="1">
        <v>2010</v>
      </c>
      <c r="B204" s="7">
        <f>(K121*($E121/365))+(K122*($E122/365))</f>
        <v>0</v>
      </c>
      <c r="C204" s="7">
        <f>(L121*($E121/365))+(L122*($E122/365))</f>
        <v>0</v>
      </c>
      <c r="D204" s="7">
        <f>(M121*($E121/365))+(M122*($E122/365))</f>
        <v>100</v>
      </c>
      <c r="E204" s="42">
        <f t="shared" si="51"/>
        <v>100</v>
      </c>
      <c r="G204" s="1">
        <v>2010</v>
      </c>
      <c r="H204" s="929">
        <f>(O121/$R121*100*($E121/365))+(O122/$R122*100*($E122/365))</f>
        <v>0</v>
      </c>
      <c r="I204" s="929"/>
      <c r="J204" s="929">
        <f>(P121/$R121*100*($E121/365))+(P122/$R122*100*($E122/365))</f>
        <v>0</v>
      </c>
      <c r="K204" s="929"/>
      <c r="L204" s="929">
        <f>(Q121/$R121*100*($E121/365))+(Q122/$R122*100*($E122/365))</f>
        <v>100</v>
      </c>
      <c r="M204" s="929"/>
      <c r="N204" s="887">
        <f t="shared" si="52"/>
        <v>100</v>
      </c>
      <c r="O204" s="887"/>
      <c r="R204" s="1">
        <v>2010</v>
      </c>
      <c r="S204" s="7">
        <f>(O121*($E121/365))+(O122*($E122/365))</f>
        <v>0</v>
      </c>
      <c r="T204" s="7">
        <f>(P121*($E121/365))+(P122*($E122/365))</f>
        <v>0</v>
      </c>
      <c r="U204" s="7">
        <f>(Q121*($E121/365))+(Q122*($E122/365))</f>
        <v>53.3</v>
      </c>
      <c r="W204" s="7">
        <f t="shared" si="53"/>
        <v>53.3</v>
      </c>
    </row>
    <row r="205" spans="1:24" ht="9" customHeight="1">
      <c r="A205" s="1">
        <v>2011</v>
      </c>
      <c r="B205" s="7">
        <f>(K123*($E123/365))+(K124*($E124/365))</f>
        <v>2.1004566210045659</v>
      </c>
      <c r="C205" s="7">
        <f>(L123*($E123/365))+(L124*($E124/365))</f>
        <v>0</v>
      </c>
      <c r="D205" s="7">
        <f>(M123*($E123/365))+(M124*($E124/365))</f>
        <v>95.799086757990864</v>
      </c>
      <c r="E205" s="42">
        <f t="shared" si="51"/>
        <v>97.899543378995432</v>
      </c>
      <c r="G205" s="1">
        <v>2011</v>
      </c>
      <c r="H205" s="929">
        <f>(O123/$R123*100*($E123/365))+(O124/$R124*100*($E124/365))</f>
        <v>5.0211818547264926</v>
      </c>
      <c r="I205" s="929"/>
      <c r="J205" s="929">
        <f>(P123/$R123*100*($E123/365))+(P124/$R124*100*($E124/365))</f>
        <v>0</v>
      </c>
      <c r="K205" s="929"/>
      <c r="L205" s="929">
        <f>(Q123/$R123*100*($E123/365))+(Q124/$R124*100*($E124/365))</f>
        <v>94.978818145273507</v>
      </c>
      <c r="M205" s="929"/>
      <c r="N205" s="887">
        <f t="shared" si="52"/>
        <v>100</v>
      </c>
      <c r="O205" s="887"/>
      <c r="R205" s="1">
        <v>2011</v>
      </c>
      <c r="S205" s="7">
        <f>(O123*($E123/365))+(O124*($E124/365))</f>
        <v>4.4487671232876709</v>
      </c>
      <c r="T205" s="7">
        <f>(P123*($E123/365))+(P124*($E124/365))</f>
        <v>0</v>
      </c>
      <c r="U205" s="7">
        <f>(Q123*($E123/365))+(Q124*($E124/365))</f>
        <v>53.3</v>
      </c>
      <c r="W205" s="7">
        <f t="shared" si="53"/>
        <v>57.748767123287671</v>
      </c>
    </row>
    <row r="206" spans="1:24" ht="9" customHeight="1">
      <c r="A206" s="1">
        <v>2012</v>
      </c>
      <c r="B206" s="7">
        <f>(K125*($E125/366))+(K126*($E126/366))+(K127*($E127/366))</f>
        <v>44.474802671523982</v>
      </c>
      <c r="C206" s="7">
        <f>(L125*($E125/366))+(L126*($E126/366))+(L127*($E127/366))</f>
        <v>0</v>
      </c>
      <c r="D206" s="7">
        <f>(M125*($E125/366))+(M126*($E126/366))+(M127*($E127/366))</f>
        <v>39.496053430479662</v>
      </c>
      <c r="E206" s="42">
        <f t="shared" si="51"/>
        <v>83.970856102003637</v>
      </c>
      <c r="G206" s="15">
        <v>2012</v>
      </c>
      <c r="H206" s="951">
        <f>(O125/$R125*100*($E125/366))+(O127/$R127*100*($E127/366))</f>
        <v>53.435773794702193</v>
      </c>
      <c r="I206" s="951"/>
      <c r="J206" s="951">
        <f>(P125/$R125*100*($E125/366))+(P127/$R127*100*($E127/366))</f>
        <v>0</v>
      </c>
      <c r="K206" s="951"/>
      <c r="L206" s="951">
        <f>(Q125/$R125*100*($E125/366))+(Q127/$R127*100*($E127/366))</f>
        <v>36.728160631527317</v>
      </c>
      <c r="M206" s="951"/>
      <c r="N206" s="952">
        <f t="shared" si="52"/>
        <v>90.163934426229503</v>
      </c>
      <c r="O206" s="952"/>
      <c r="R206" s="1">
        <v>2012</v>
      </c>
      <c r="S206" s="7">
        <f>(O125*($E125/366))+(O126*($E126/366))+(O127*($E127/366))</f>
        <v>35.909289617486337</v>
      </c>
      <c r="T206" s="7">
        <f>(P125*($E125/366))+(P126*($E126/366))+(P127*($E127/366))</f>
        <v>0</v>
      </c>
      <c r="U206" s="7">
        <f>(Q125*($E125/366))+(Q126*($E126/366))+(Q127*($E127/366))</f>
        <v>28.28633879781421</v>
      </c>
      <c r="W206" s="7">
        <f t="shared" si="53"/>
        <v>64.195628415300547</v>
      </c>
    </row>
    <row r="207" spans="1:24">
      <c r="A207" s="1">
        <v>2013</v>
      </c>
      <c r="B207" s="7">
        <f>(K128*($E128/365))+(K129*($E129/365))</f>
        <v>76.270928462709264</v>
      </c>
      <c r="C207" s="7">
        <f>(L128*($E128/365))+(L129*($E129/365))</f>
        <v>0</v>
      </c>
      <c r="D207" s="7">
        <f>(M128*($E128/365))+(M129*($E129/365))</f>
        <v>23.729071537290714</v>
      </c>
      <c r="E207" s="266">
        <f t="shared" si="51"/>
        <v>99.999999999999972</v>
      </c>
      <c r="G207" s="1">
        <v>2013</v>
      </c>
      <c r="H207" s="951">
        <f>(O128/$R128*100*($E128/365))+(O129/$R129*100*($E129/365))</f>
        <v>77.811770168945202</v>
      </c>
      <c r="I207" s="951"/>
      <c r="J207" s="951">
        <f>(P128/$R128*100*($E128/365))+(P129/$R129*100*($E129/365))</f>
        <v>0</v>
      </c>
      <c r="K207" s="951"/>
      <c r="L207" s="951">
        <f>(Q128/$R128*100*($E128/365))+(Q129/$R129*100*($E129/365))</f>
        <v>22.188229831054777</v>
      </c>
      <c r="M207" s="951"/>
      <c r="N207" s="952">
        <f>SUM(H207:M207)</f>
        <v>99.999999999999972</v>
      </c>
      <c r="O207" s="952"/>
      <c r="R207" s="1">
        <v>2013</v>
      </c>
      <c r="S207" s="7">
        <f>(O128*($E128/365))+(O129*($E129/365))</f>
        <v>42.479452054794521</v>
      </c>
      <c r="T207" s="7">
        <f>(P128*($E128/365))+(P129*($E129/365))</f>
        <v>0</v>
      </c>
      <c r="U207" s="7">
        <f>(Q128*($E128/365))+(Q129*($E129/365))</f>
        <v>12.356164383561644</v>
      </c>
      <c r="W207" s="7">
        <f t="shared" si="53"/>
        <v>54.835616438356169</v>
      </c>
      <c r="X207" s="7"/>
    </row>
    <row r="208" spans="1:24">
      <c r="A208" s="1">
        <v>2014</v>
      </c>
      <c r="B208" s="7">
        <f>(K130*($E130/365))+(K131*($E131/365))</f>
        <v>80</v>
      </c>
      <c r="C208" s="7">
        <f>(L130*($E130/365))+(L131*($E131/365))</f>
        <v>0</v>
      </c>
      <c r="D208" s="7">
        <f>(M130*($E130/365))+(M131*($E131/365))</f>
        <v>20</v>
      </c>
      <c r="E208" s="450">
        <f>SUM(B208:D208)</f>
        <v>100</v>
      </c>
      <c r="G208" s="1">
        <v>2014</v>
      </c>
      <c r="H208" s="951">
        <f>(O130/$R130*100*($E130/365))+(O131/$R131*100*($E131/365))</f>
        <v>82.35294117647058</v>
      </c>
      <c r="I208" s="951"/>
      <c r="J208" s="951">
        <f>(P130/$R130*100*($E130/365))+(P131/$R131*100*($E131/365))</f>
        <v>0</v>
      </c>
      <c r="K208" s="951"/>
      <c r="L208" s="951">
        <f>(Q130/$R130*100*($E130/365))+(Q131/$R131*100*($E131/365))</f>
        <v>17.647058823529413</v>
      </c>
      <c r="M208" s="951"/>
      <c r="N208" s="952">
        <f>SUM(H208:M208)</f>
        <v>100</v>
      </c>
      <c r="O208" s="952"/>
      <c r="R208" s="1">
        <v>2014</v>
      </c>
      <c r="S208" s="7">
        <f>(O130*($E130/365))+(O131*($E131/365))</f>
        <v>42</v>
      </c>
      <c r="T208" s="7">
        <f>(P130*($E130/365))+(P131*($E131/365))</f>
        <v>0</v>
      </c>
      <c r="U208" s="7">
        <f>(Q130*($E130/365))+(Q131*($E131/365))</f>
        <v>9</v>
      </c>
      <c r="W208" s="7">
        <f>SUM(S208:U208)</f>
        <v>51</v>
      </c>
      <c r="X208" s="7"/>
    </row>
    <row r="209" spans="1:24" s="603" customFormat="1">
      <c r="A209" s="603">
        <v>2015</v>
      </c>
      <c r="B209" s="599">
        <f>(K132*($E132/365))+(K133*($E133/365))+(K134*($E134/365))+(K135*($E135/365))</f>
        <v>10.91019786910198</v>
      </c>
      <c r="C209" s="599">
        <f>(L132*($E132/365))+(L133*($E133/365))+(L134*($E134/365))+(L135*($E135/365))</f>
        <v>0</v>
      </c>
      <c r="D209" s="599">
        <f>(M132*($E132/365))+(M133*($E133/365))+(M134*($E134/365))+(M135*($E135/365))</f>
        <v>67.196347031963469</v>
      </c>
      <c r="E209" s="594">
        <f>SUM(B209:D209)</f>
        <v>78.106544901065448</v>
      </c>
      <c r="G209" s="603">
        <v>2015</v>
      </c>
      <c r="H209" s="951">
        <f>(O132/$R132*100*($E132/365))+(O133/$R133*100*($E133/365))+(O135/$R135*100*($E135/365))</f>
        <v>12.06145886905964</v>
      </c>
      <c r="I209" s="951"/>
      <c r="J209" s="951">
        <f>(P132/$R132*100*($E132/365))+(P133/$R133*100*($E133/365))+(P135/$R135*100*($E135/365))</f>
        <v>0</v>
      </c>
      <c r="K209" s="951"/>
      <c r="L209" s="951">
        <f>(Q132/$R132*100*($E132/365))+(Q133/$R133*100*($E133/365))+(Q135/$R135*100*($E135/365))</f>
        <v>80.815253459707492</v>
      </c>
      <c r="M209" s="951"/>
      <c r="N209" s="952">
        <f>SUM(H209:M209)</f>
        <v>92.876712328767127</v>
      </c>
      <c r="O209" s="952"/>
      <c r="R209" s="603">
        <v>2015</v>
      </c>
      <c r="S209" s="599">
        <f>(O132*($E132/365))+(O133*($E133/365))+(O135*($E135/365))</f>
        <v>6.3019178082191782</v>
      </c>
      <c r="T209" s="599">
        <f>(P132*($E132/365))+(P133*($E133/365))+(P135*($E135/365))</f>
        <v>0</v>
      </c>
      <c r="U209" s="599">
        <f>(Q132*($E132/365))+(Q133*($E133/365))+(Q135*($E135/365))</f>
        <v>42.988493150684931</v>
      </c>
      <c r="W209" s="599">
        <f>SUM(S209:U209)</f>
        <v>49.290410958904111</v>
      </c>
      <c r="X209" s="599"/>
    </row>
    <row r="210" spans="1:24" s="663" customFormat="1">
      <c r="A210" s="663">
        <v>2016</v>
      </c>
      <c r="B210" s="661">
        <f>(K136*($E136/366))+(K137*($E137/366))</f>
        <v>6.0531664950766872</v>
      </c>
      <c r="C210" s="661">
        <f>(L136*($E136/366))+(L137*($E137/366))</f>
        <v>0</v>
      </c>
      <c r="D210" s="661">
        <f>(M136*($E136/366))+(M137*($E137/366))</f>
        <v>82.529500277183814</v>
      </c>
      <c r="E210" s="656">
        <f>SUM(B210:D210)</f>
        <v>88.582666772260495</v>
      </c>
      <c r="G210" s="663">
        <v>2016</v>
      </c>
      <c r="H210" s="951">
        <f>(O136/$R136*100*($E136/366))+(O137/$R137*100*($E137/366))</f>
        <v>6.395348837209303</v>
      </c>
      <c r="I210" s="951"/>
      <c r="J210" s="951">
        <f>(P136/$R136*100*($E136/366))+(P137/$R137*100*($E137/366))</f>
        <v>0</v>
      </c>
      <c r="K210" s="951"/>
      <c r="L210" s="951">
        <f>(Q136/$R136*100*($E136/366))+(Q137/$R137*100*($E137/366))</f>
        <v>93.604651162790717</v>
      </c>
      <c r="M210" s="951"/>
      <c r="N210" s="952">
        <f>SUM(H210:M210)</f>
        <v>100.00000000000001</v>
      </c>
      <c r="O210" s="952"/>
      <c r="R210" s="663">
        <v>2016</v>
      </c>
      <c r="S210" s="661">
        <f>(O136*($E136/366))+(O137*($E137/366))</f>
        <v>3.3000000000000003</v>
      </c>
      <c r="T210" s="661">
        <f>(P136*($E136/366))+(P137*($E137/366))</f>
        <v>0</v>
      </c>
      <c r="U210" s="661">
        <f>(Q136*($E136/366))+(Q137*($E137/366))</f>
        <v>48.3</v>
      </c>
      <c r="W210" s="661">
        <f>SUM(S210:U210)</f>
        <v>51.599999999999994</v>
      </c>
      <c r="X210" s="661"/>
    </row>
    <row r="211" spans="1:24">
      <c r="A211" s="749">
        <v>2017</v>
      </c>
      <c r="B211" s="746">
        <f>(K138*($E138/365))+(K139*($E139/365))</f>
        <v>8.695652173913043</v>
      </c>
      <c r="C211" s="746">
        <f t="shared" ref="C211:D211" si="54">(L138*($E138/365))+(L139*($E139/365))</f>
        <v>0</v>
      </c>
      <c r="D211" s="746">
        <f t="shared" si="54"/>
        <v>78.260869565217391</v>
      </c>
      <c r="E211" s="743">
        <f>SUM(B211:D211)</f>
        <v>86.956521739130437</v>
      </c>
      <c r="F211" s="749"/>
      <c r="G211" s="749">
        <v>2017</v>
      </c>
      <c r="H211" s="951">
        <f>(O138/$R138*100*($E138/365))+(O139/$R139*100*($E139/365))</f>
        <v>6.395348837209303</v>
      </c>
      <c r="I211" s="951"/>
      <c r="J211" s="951">
        <f>(P138/$R138*100*($E138/365))+(P139/$R139*100*($E139/365))</f>
        <v>0</v>
      </c>
      <c r="K211" s="951"/>
      <c r="L211" s="951">
        <f>(Q138/$R138*100*($E138/365))+(Q139/$R139*100*($E139/365))</f>
        <v>93.604651162790702</v>
      </c>
      <c r="M211" s="951"/>
      <c r="N211" s="952">
        <f>SUM(H211:M211)</f>
        <v>100</v>
      </c>
      <c r="O211" s="952"/>
      <c r="P211" s="749"/>
      <c r="Q211" s="749"/>
      <c r="R211" s="749">
        <v>2017</v>
      </c>
      <c r="S211" s="746">
        <f>(O138*($E138/365))+(O139*($E139/365))</f>
        <v>3.3</v>
      </c>
      <c r="T211" s="746">
        <f>(P138*($E138/365))+(P139*($E139/365))</f>
        <v>0</v>
      </c>
      <c r="U211" s="746">
        <f>(Q138*($E138/365))+(Q139*($E139/365))</f>
        <v>48.3</v>
      </c>
      <c r="V211" s="749"/>
      <c r="W211" s="746">
        <f>SUM(S211:U211)</f>
        <v>51.599999999999994</v>
      </c>
    </row>
    <row r="212" spans="1:24">
      <c r="A212" s="766">
        <v>2018</v>
      </c>
      <c r="B212" s="762">
        <f>(K140*($E140/365))+(K141*($E141/365))</f>
        <v>8.5705777248362125</v>
      </c>
      <c r="C212" s="762">
        <f>(L140*($E140/365))+(L141*($E141/365))</f>
        <v>0</v>
      </c>
      <c r="D212" s="762">
        <f>(M140*($E140/365))+(M141*($E141/365))</f>
        <v>82.888624181060152</v>
      </c>
      <c r="E212" s="754">
        <f t="shared" ref="E212" si="55">SUM(B212:D212)</f>
        <v>91.459201905896364</v>
      </c>
      <c r="F212" s="766"/>
      <c r="G212" s="766">
        <v>2018</v>
      </c>
      <c r="H212" s="951">
        <f>(O140/$R140*100*($E140/365))+(O141/$R141*100*($E141/365))</f>
        <v>6.395348837209303</v>
      </c>
      <c r="I212" s="951"/>
      <c r="J212" s="951">
        <f>(P140/$R140*100*($E140/365))+(P141/$R141*100*($E141/365))</f>
        <v>0</v>
      </c>
      <c r="K212" s="951"/>
      <c r="L212" s="951">
        <f>(Q140/$R140*100*($E140/365))+(Q141/$R141*100*($E141/365))</f>
        <v>93.604651162790702</v>
      </c>
      <c r="M212" s="951"/>
      <c r="N212" s="952">
        <f t="shared" ref="N212" si="56">SUM(H212:M212)</f>
        <v>100</v>
      </c>
      <c r="O212" s="952"/>
      <c r="P212" s="766"/>
      <c r="Q212" s="766"/>
      <c r="R212" s="766">
        <v>2018</v>
      </c>
      <c r="S212" s="762">
        <f>(O140*($E140/365))+(O141*($E141/365))</f>
        <v>3.3</v>
      </c>
      <c r="T212" s="762">
        <f>(P140*($E140/365))+(P141*($E141/365))</f>
        <v>0</v>
      </c>
      <c r="U212" s="762">
        <f>(Q140*($E140/365))+(Q141*($E141/365))</f>
        <v>48.3</v>
      </c>
      <c r="V212" s="766"/>
      <c r="W212" s="762">
        <f t="shared" ref="W212" si="57">SUM(S212:U212)</f>
        <v>51.599999999999994</v>
      </c>
    </row>
    <row r="213" spans="1:24">
      <c r="A213" s="794">
        <v>2019</v>
      </c>
      <c r="B213" s="791">
        <f>(K142*($E142/365))+(K144*($E144/365))+(K143*(E143/365))+(K145*(E145/365))</f>
        <v>42.527397260273972</v>
      </c>
      <c r="C213" s="807">
        <f>(L142*($E142/365))+(L144*($E144/365))+(L143*(E143/365))+(L145*(E145/365))</f>
        <v>0</v>
      </c>
      <c r="D213" s="807">
        <f>(M142*($E142/365))+(M144*($E144/365))+(M143*(E143/365))+(M145*(E145/365))</f>
        <v>48.230593607305934</v>
      </c>
      <c r="E213" s="784">
        <f t="shared" ref="E213" si="58">SUM(B213:D213)</f>
        <v>90.757990867579906</v>
      </c>
      <c r="F213" s="794"/>
      <c r="G213" s="794">
        <v>2019</v>
      </c>
      <c r="H213" s="951">
        <f>(O142/$R142*100*($E142/365))+(O144/$R144*100*($E144/365))+(O143/R143*100*(E143/365))+(O145/R145*100*(E145/365))</f>
        <v>50.356801529149415</v>
      </c>
      <c r="I213" s="951"/>
      <c r="J213" s="951">
        <f>(P142/$R142*100*($E142/365))+(P144/$R144*100*($E144/365))+(P143/R143*100*(E143/365))+(P145/R145*100*(E145/365))</f>
        <v>0</v>
      </c>
      <c r="K213" s="951"/>
      <c r="L213" s="951">
        <f>(Q142/$R142*100*($E142/365))+(Q144/$R144*100*($E144/365))+(Q143/R143*100*(E143/365))+(Q145/R145*100*(E145/365))</f>
        <v>49.643198470850592</v>
      </c>
      <c r="M213" s="951"/>
      <c r="N213" s="952">
        <f t="shared" ref="N213" si="59">SUM(H213:M213)</f>
        <v>100</v>
      </c>
      <c r="O213" s="952"/>
      <c r="P213" s="794"/>
      <c r="Q213" s="794"/>
      <c r="R213" s="794">
        <v>2019</v>
      </c>
      <c r="S213" s="791">
        <f>(O142*($E142/365))+(O143*(E143/365))+(O144*($E144/365))+(O145*(E145/365))</f>
        <v>26.659178082191779</v>
      </c>
      <c r="T213" s="807">
        <f>(P142*($E142/365))+(P143*(E143/365))+(P144*($E144/365))+(P145*(E145/365))</f>
        <v>0</v>
      </c>
      <c r="U213" s="807">
        <f>(Q142*($E142/365))+(Q143*(E143/365))+(Q144*($E144/365))+(Q145*(E145/365))</f>
        <v>25.010136986301369</v>
      </c>
      <c r="V213" s="794"/>
      <c r="W213" s="791">
        <f>SUM(S213:U213)</f>
        <v>51.669315068493148</v>
      </c>
    </row>
  </sheetData>
  <mergeCells count="410">
    <mergeCell ref="H212:I212"/>
    <mergeCell ref="J212:K212"/>
    <mergeCell ref="L212:M212"/>
    <mergeCell ref="N212:O212"/>
    <mergeCell ref="N169:O169"/>
    <mergeCell ref="N170:O170"/>
    <mergeCell ref="H153:I153"/>
    <mergeCell ref="J153:K153"/>
    <mergeCell ref="C125:D125"/>
    <mergeCell ref="C126:D126"/>
    <mergeCell ref="C127:D127"/>
    <mergeCell ref="C136:D136"/>
    <mergeCell ref="H211:I211"/>
    <mergeCell ref="J211:K211"/>
    <mergeCell ref="L211:M211"/>
    <mergeCell ref="N211:O211"/>
    <mergeCell ref="C138:D138"/>
    <mergeCell ref="C139:D139"/>
    <mergeCell ref="C140:D140"/>
    <mergeCell ref="C141:D141"/>
    <mergeCell ref="N210:O210"/>
    <mergeCell ref="H210:I210"/>
    <mergeCell ref="J210:K210"/>
    <mergeCell ref="L210:M210"/>
    <mergeCell ref="J172:K172"/>
    <mergeCell ref="J173:K173"/>
    <mergeCell ref="N175:O175"/>
    <mergeCell ref="N176:O176"/>
    <mergeCell ref="J174:K174"/>
    <mergeCell ref="L197:M197"/>
    <mergeCell ref="N187:O187"/>
    <mergeCell ref="N188:O188"/>
    <mergeCell ref="N189:O189"/>
    <mergeCell ref="N190:O190"/>
    <mergeCell ref="L175:M175"/>
    <mergeCell ref="L176:M176"/>
    <mergeCell ref="N172:O172"/>
    <mergeCell ref="J190:K190"/>
    <mergeCell ref="L184:M184"/>
    <mergeCell ref="L185:M185"/>
    <mergeCell ref="L187:M187"/>
    <mergeCell ref="L188:M188"/>
    <mergeCell ref="L189:M189"/>
    <mergeCell ref="L190:M190"/>
    <mergeCell ref="L194:M194"/>
    <mergeCell ref="L195:M195"/>
    <mergeCell ref="L196:M196"/>
    <mergeCell ref="L191:M191"/>
    <mergeCell ref="C137:D137"/>
    <mergeCell ref="L206:M206"/>
    <mergeCell ref="L198:M198"/>
    <mergeCell ref="L199:M199"/>
    <mergeCell ref="L200:M200"/>
    <mergeCell ref="L201:M201"/>
    <mergeCell ref="L202:M202"/>
    <mergeCell ref="L203:M203"/>
    <mergeCell ref="L204:M204"/>
    <mergeCell ref="L205:M205"/>
    <mergeCell ref="L177:M177"/>
    <mergeCell ref="L178:M178"/>
    <mergeCell ref="L179:M179"/>
    <mergeCell ref="L180:M180"/>
    <mergeCell ref="L181:M181"/>
    <mergeCell ref="L182:M182"/>
    <mergeCell ref="L169:M169"/>
    <mergeCell ref="L170:M170"/>
    <mergeCell ref="L171:M171"/>
    <mergeCell ref="L172:M172"/>
    <mergeCell ref="L173:M173"/>
    <mergeCell ref="J169:K169"/>
    <mergeCell ref="J170:K170"/>
    <mergeCell ref="J171:K171"/>
    <mergeCell ref="C105:D105"/>
    <mergeCell ref="C106:D106"/>
    <mergeCell ref="C107:D107"/>
    <mergeCell ref="C108:D108"/>
    <mergeCell ref="C114:D114"/>
    <mergeCell ref="C115:D115"/>
    <mergeCell ref="C116:D116"/>
    <mergeCell ref="C117:D117"/>
    <mergeCell ref="C118:D118"/>
    <mergeCell ref="C109:D109"/>
    <mergeCell ref="C110:D110"/>
    <mergeCell ref="C122:D122"/>
    <mergeCell ref="C111:D111"/>
    <mergeCell ref="C112:D112"/>
    <mergeCell ref="C113:D113"/>
    <mergeCell ref="C131:D131"/>
    <mergeCell ref="C132:D132"/>
    <mergeCell ref="C133:D133"/>
    <mergeCell ref="C134:D134"/>
    <mergeCell ref="C135:D135"/>
    <mergeCell ref="C123:D123"/>
    <mergeCell ref="C124:D124"/>
    <mergeCell ref="C128:D128"/>
    <mergeCell ref="C129:D129"/>
    <mergeCell ref="C130:D130"/>
    <mergeCell ref="C119:D119"/>
    <mergeCell ref="C120:D120"/>
    <mergeCell ref="C121:D121"/>
    <mergeCell ref="C96:D96"/>
    <mergeCell ref="C97:D97"/>
    <mergeCell ref="C98:D98"/>
    <mergeCell ref="C99:D99"/>
    <mergeCell ref="C100:D100"/>
    <mergeCell ref="C101:D101"/>
    <mergeCell ref="C102:D102"/>
    <mergeCell ref="C103:D103"/>
    <mergeCell ref="C104:D104"/>
    <mergeCell ref="C87:D87"/>
    <mergeCell ref="C88:D88"/>
    <mergeCell ref="C89:D89"/>
    <mergeCell ref="C90:D90"/>
    <mergeCell ref="C91:D91"/>
    <mergeCell ref="C92:D92"/>
    <mergeCell ref="C93:D93"/>
    <mergeCell ref="C94:D94"/>
    <mergeCell ref="C95:D95"/>
    <mergeCell ref="C78:D78"/>
    <mergeCell ref="C79:D79"/>
    <mergeCell ref="C81:D81"/>
    <mergeCell ref="C82:D82"/>
    <mergeCell ref="C83:D83"/>
    <mergeCell ref="C84:D84"/>
    <mergeCell ref="C80:D80"/>
    <mergeCell ref="C85:D85"/>
    <mergeCell ref="C86:D86"/>
    <mergeCell ref="C68:D68"/>
    <mergeCell ref="C69:D69"/>
    <mergeCell ref="C67:D67"/>
    <mergeCell ref="C70:D70"/>
    <mergeCell ref="C71:D71"/>
    <mergeCell ref="C72:D72"/>
    <mergeCell ref="C73:D73"/>
    <mergeCell ref="C74:D74"/>
    <mergeCell ref="C77:D77"/>
    <mergeCell ref="C76:D76"/>
    <mergeCell ref="C75:D75"/>
    <mergeCell ref="C58:D58"/>
    <mergeCell ref="C59:D59"/>
    <mergeCell ref="C60:D60"/>
    <mergeCell ref="C61:D61"/>
    <mergeCell ref="C62:D62"/>
    <mergeCell ref="C63:D63"/>
    <mergeCell ref="C64:D64"/>
    <mergeCell ref="C65:D65"/>
    <mergeCell ref="C66:D66"/>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33:D33"/>
    <mergeCell ref="C34:D34"/>
    <mergeCell ref="C35:D35"/>
    <mergeCell ref="C21:D21"/>
    <mergeCell ref="C24:D24"/>
    <mergeCell ref="C25:D25"/>
    <mergeCell ref="C26:D26"/>
    <mergeCell ref="C27:D27"/>
    <mergeCell ref="C28:D28"/>
    <mergeCell ref="C22:D22"/>
    <mergeCell ref="C23:D23"/>
    <mergeCell ref="AD4:AG4"/>
    <mergeCell ref="AH4:AK4"/>
    <mergeCell ref="AL4:AO4"/>
    <mergeCell ref="U4:U5"/>
    <mergeCell ref="V4:Y4"/>
    <mergeCell ref="AP4:AS4"/>
    <mergeCell ref="K4:N4"/>
    <mergeCell ref="O4:R4"/>
    <mergeCell ref="S4:S5"/>
    <mergeCell ref="T4:T5"/>
    <mergeCell ref="G3:M3"/>
    <mergeCell ref="O3:Q3"/>
    <mergeCell ref="A4:A5"/>
    <mergeCell ref="B4:B5"/>
    <mergeCell ref="C4:D5"/>
    <mergeCell ref="E4:E5"/>
    <mergeCell ref="F4:F5"/>
    <mergeCell ref="G4:J4"/>
    <mergeCell ref="Z4:AC4"/>
    <mergeCell ref="R150:W150"/>
    <mergeCell ref="H152:I152"/>
    <mergeCell ref="J152:K152"/>
    <mergeCell ref="L152:M152"/>
    <mergeCell ref="N152:O152"/>
    <mergeCell ref="N171:O171"/>
    <mergeCell ref="H168:I168"/>
    <mergeCell ref="H169:I169"/>
    <mergeCell ref="H170:I170"/>
    <mergeCell ref="H171:I171"/>
    <mergeCell ref="L153:M153"/>
    <mergeCell ref="N153:O153"/>
    <mergeCell ref="J166:K166"/>
    <mergeCell ref="J167:K167"/>
    <mergeCell ref="H166:I166"/>
    <mergeCell ref="H167:I167"/>
    <mergeCell ref="H160:I160"/>
    <mergeCell ref="H161:I161"/>
    <mergeCell ref="H163:I163"/>
    <mergeCell ref="H164:I164"/>
    <mergeCell ref="J163:K163"/>
    <mergeCell ref="J164:K164"/>
    <mergeCell ref="H162:I162"/>
    <mergeCell ref="J159:K159"/>
    <mergeCell ref="C44:D44"/>
    <mergeCell ref="N181:O181"/>
    <mergeCell ref="N179:O179"/>
    <mergeCell ref="N180:O180"/>
    <mergeCell ref="N177:O177"/>
    <mergeCell ref="N178:O178"/>
    <mergeCell ref="C45:D45"/>
    <mergeCell ref="C46:D46"/>
    <mergeCell ref="C47:D47"/>
    <mergeCell ref="C48:D48"/>
    <mergeCell ref="C49:D49"/>
    <mergeCell ref="C50:D50"/>
    <mergeCell ref="C51:D51"/>
    <mergeCell ref="C52:D52"/>
    <mergeCell ref="C53:D53"/>
    <mergeCell ref="C54:D54"/>
    <mergeCell ref="C55:D55"/>
    <mergeCell ref="C56:D56"/>
    <mergeCell ref="C57:D57"/>
    <mergeCell ref="N173:O173"/>
    <mergeCell ref="N174:O174"/>
    <mergeCell ref="L168:M168"/>
    <mergeCell ref="J168:K168"/>
    <mergeCell ref="L174:M174"/>
    <mergeCell ref="H199:I199"/>
    <mergeCell ref="J181:K181"/>
    <mergeCell ref="J182:K182"/>
    <mergeCell ref="H191:I191"/>
    <mergeCell ref="H192:I192"/>
    <mergeCell ref="H193:I193"/>
    <mergeCell ref="H194:I194"/>
    <mergeCell ref="H195:I195"/>
    <mergeCell ref="J195:K195"/>
    <mergeCell ref="J199:K199"/>
    <mergeCell ref="H197:I197"/>
    <mergeCell ref="H186:I186"/>
    <mergeCell ref="J175:K175"/>
    <mergeCell ref="J176:K176"/>
    <mergeCell ref="J177:K177"/>
    <mergeCell ref="J178:K178"/>
    <mergeCell ref="J179:K179"/>
    <mergeCell ref="J180:K180"/>
    <mergeCell ref="J197:K197"/>
    <mergeCell ref="J198:K198"/>
    <mergeCell ref="J191:K191"/>
    <mergeCell ref="J192:K192"/>
    <mergeCell ref="J193:K193"/>
    <mergeCell ref="J194:K194"/>
    <mergeCell ref="J196:K196"/>
    <mergeCell ref="J189:K189"/>
    <mergeCell ref="J186:K186"/>
    <mergeCell ref="L186:M186"/>
    <mergeCell ref="J183:K183"/>
    <mergeCell ref="J184:K184"/>
    <mergeCell ref="N205:O205"/>
    <mergeCell ref="H206:I206"/>
    <mergeCell ref="H202:I202"/>
    <mergeCell ref="H203:I203"/>
    <mergeCell ref="H204:I204"/>
    <mergeCell ref="H205:I205"/>
    <mergeCell ref="H200:I200"/>
    <mergeCell ref="H201:I201"/>
    <mergeCell ref="J205:K205"/>
    <mergeCell ref="J206:K206"/>
    <mergeCell ref="J202:K202"/>
    <mergeCell ref="J203:K203"/>
    <mergeCell ref="J204:K204"/>
    <mergeCell ref="J200:K200"/>
    <mergeCell ref="J201:K201"/>
    <mergeCell ref="L192:M192"/>
    <mergeCell ref="L193:M193"/>
    <mergeCell ref="L183:M183"/>
    <mergeCell ref="J185:K185"/>
    <mergeCell ref="H198:I198"/>
    <mergeCell ref="H196:I196"/>
    <mergeCell ref="H172:I172"/>
    <mergeCell ref="H173:I173"/>
    <mergeCell ref="H174:I174"/>
    <mergeCell ref="N191:O191"/>
    <mergeCell ref="N192:O192"/>
    <mergeCell ref="N193:O193"/>
    <mergeCell ref="H175:I175"/>
    <mergeCell ref="H176:I176"/>
    <mergeCell ref="H177:I177"/>
    <mergeCell ref="H178:I178"/>
    <mergeCell ref="H179:I179"/>
    <mergeCell ref="H180:I180"/>
    <mergeCell ref="H181:I181"/>
    <mergeCell ref="H182:I182"/>
    <mergeCell ref="H183:I183"/>
    <mergeCell ref="H184:I184"/>
    <mergeCell ref="H185:I185"/>
    <mergeCell ref="H187:I187"/>
    <mergeCell ref="H188:I188"/>
    <mergeCell ref="H189:I189"/>
    <mergeCell ref="H190:I190"/>
    <mergeCell ref="J187:K187"/>
    <mergeCell ref="J188:K188"/>
    <mergeCell ref="N182:O182"/>
    <mergeCell ref="N201:O201"/>
    <mergeCell ref="N202:O202"/>
    <mergeCell ref="N194:O194"/>
    <mergeCell ref="N195:O195"/>
    <mergeCell ref="N196:O196"/>
    <mergeCell ref="N203:O203"/>
    <mergeCell ref="N204:O204"/>
    <mergeCell ref="N168:O168"/>
    <mergeCell ref="N164:O164"/>
    <mergeCell ref="N199:O199"/>
    <mergeCell ref="N183:O183"/>
    <mergeCell ref="N184:O184"/>
    <mergeCell ref="N185:O185"/>
    <mergeCell ref="N186:O186"/>
    <mergeCell ref="AX4:BA4"/>
    <mergeCell ref="C7:D7"/>
    <mergeCell ref="C6:D6"/>
    <mergeCell ref="C29:D29"/>
    <mergeCell ref="N162:O162"/>
    <mergeCell ref="J162:K162"/>
    <mergeCell ref="J154:K154"/>
    <mergeCell ref="J155:K155"/>
    <mergeCell ref="J156:K156"/>
    <mergeCell ref="L154:M154"/>
    <mergeCell ref="L159:M159"/>
    <mergeCell ref="N154:O154"/>
    <mergeCell ref="N155:O155"/>
    <mergeCell ref="N156:O156"/>
    <mergeCell ref="N157:O157"/>
    <mergeCell ref="N158:O158"/>
    <mergeCell ref="N159:O159"/>
    <mergeCell ref="N160:O160"/>
    <mergeCell ref="J157:K157"/>
    <mergeCell ref="J158:K158"/>
    <mergeCell ref="H154:I154"/>
    <mergeCell ref="H155:I155"/>
    <mergeCell ref="H156:I156"/>
    <mergeCell ref="AT4:AW4"/>
    <mergeCell ref="L155:M155"/>
    <mergeCell ref="L156:M156"/>
    <mergeCell ref="L157:M157"/>
    <mergeCell ref="L158:M158"/>
    <mergeCell ref="N207:O207"/>
    <mergeCell ref="H207:I207"/>
    <mergeCell ref="J207:K207"/>
    <mergeCell ref="L207:M207"/>
    <mergeCell ref="L165:M165"/>
    <mergeCell ref="N167:O167"/>
    <mergeCell ref="L166:M166"/>
    <mergeCell ref="L167:M167"/>
    <mergeCell ref="J165:K165"/>
    <mergeCell ref="H165:I165"/>
    <mergeCell ref="N165:O165"/>
    <mergeCell ref="N166:O166"/>
    <mergeCell ref="N163:O163"/>
    <mergeCell ref="L163:M163"/>
    <mergeCell ref="L164:M164"/>
    <mergeCell ref="L160:M160"/>
    <mergeCell ref="J160:K160"/>
    <mergeCell ref="J161:K161"/>
    <mergeCell ref="N161:O161"/>
    <mergeCell ref="N200:O200"/>
    <mergeCell ref="C143:D143"/>
    <mergeCell ref="C142:D142"/>
    <mergeCell ref="C144:D144"/>
    <mergeCell ref="C145:D145"/>
    <mergeCell ref="J213:K213"/>
    <mergeCell ref="L213:M213"/>
    <mergeCell ref="H213:I213"/>
    <mergeCell ref="N213:O213"/>
    <mergeCell ref="H209:I209"/>
    <mergeCell ref="J209:K209"/>
    <mergeCell ref="L209:M209"/>
    <mergeCell ref="N209:O209"/>
    <mergeCell ref="H208:I208"/>
    <mergeCell ref="J208:K208"/>
    <mergeCell ref="L208:M208"/>
    <mergeCell ref="N208:O208"/>
    <mergeCell ref="L161:M161"/>
    <mergeCell ref="L162:M162"/>
    <mergeCell ref="H157:I157"/>
    <mergeCell ref="H158:I158"/>
    <mergeCell ref="H159:I159"/>
    <mergeCell ref="N206:O206"/>
    <mergeCell ref="N197:O197"/>
    <mergeCell ref="N198:O198"/>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A105"/>
  <sheetViews>
    <sheetView zoomScale="158" zoomScaleNormal="120" workbookViewId="0">
      <pane xSplit="1" ySplit="5" topLeftCell="B40" activePane="bottomRight" state="frozen"/>
      <selection pane="topRight" activeCell="B1" sqref="B1"/>
      <selection pane="bottomLeft" activeCell="A6" sqref="A6"/>
      <selection pane="bottomRight" activeCell="Z71" sqref="Z71"/>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141</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73" customFormat="1">
      <c r="A6" s="452">
        <v>1990</v>
      </c>
      <c r="B6" s="852"/>
      <c r="C6" s="935" t="s">
        <v>1268</v>
      </c>
      <c r="D6" s="935"/>
      <c r="E6" s="452">
        <v>142</v>
      </c>
      <c r="F6" s="452"/>
      <c r="G6" s="411"/>
      <c r="H6" s="452"/>
      <c r="I6" s="452"/>
      <c r="J6" s="413"/>
      <c r="K6" s="409"/>
      <c r="L6" s="409"/>
      <c r="M6" s="409"/>
      <c r="N6" s="412"/>
      <c r="O6" s="408"/>
      <c r="P6" s="409"/>
      <c r="Q6" s="409"/>
      <c r="R6" s="410"/>
      <c r="S6" s="452"/>
      <c r="T6" s="839"/>
      <c r="U6" s="852"/>
      <c r="V6" s="82"/>
      <c r="Y6" s="83"/>
      <c r="AD6" s="82"/>
      <c r="AG6" s="83"/>
      <c r="AL6" s="82"/>
      <c r="AO6" s="83"/>
      <c r="AP6" s="82"/>
      <c r="AS6" s="83"/>
      <c r="AW6" s="83"/>
      <c r="BA6" s="84"/>
    </row>
    <row r="7" spans="1:53" s="292" customFormat="1">
      <c r="A7" s="453">
        <v>1990</v>
      </c>
      <c r="B7" s="836">
        <v>33016</v>
      </c>
      <c r="C7" s="916" t="s">
        <v>1104</v>
      </c>
      <c r="D7" s="916"/>
      <c r="E7" s="453">
        <v>212</v>
      </c>
      <c r="F7" s="453" t="s">
        <v>338</v>
      </c>
      <c r="G7" s="425">
        <v>9</v>
      </c>
      <c r="H7" s="453">
        <v>1</v>
      </c>
      <c r="I7" s="453">
        <v>4</v>
      </c>
      <c r="J7" s="427">
        <v>17</v>
      </c>
      <c r="K7" s="423">
        <f>G7/J7*100</f>
        <v>52.941176470588239</v>
      </c>
      <c r="L7" s="423">
        <f>H7/J7*100</f>
        <v>5.8823529411764701</v>
      </c>
      <c r="M7" s="423">
        <f>I7/J7*100</f>
        <v>23.52941176470588</v>
      </c>
      <c r="N7" s="426">
        <f>SUM(K7:M7)</f>
        <v>82.352941176470594</v>
      </c>
      <c r="O7" s="422">
        <v>42.5</v>
      </c>
      <c r="P7" s="423">
        <v>5.4</v>
      </c>
      <c r="Q7" s="423">
        <v>11.4</v>
      </c>
      <c r="R7" s="424">
        <f>SUM(O7:Q7)</f>
        <v>59.3</v>
      </c>
      <c r="S7" s="453">
        <v>3</v>
      </c>
      <c r="T7" s="838">
        <v>32971</v>
      </c>
      <c r="U7" s="836">
        <v>33016</v>
      </c>
      <c r="V7" s="299" t="s">
        <v>1112</v>
      </c>
      <c r="W7" s="292" t="s">
        <v>74</v>
      </c>
      <c r="X7" s="292" t="s">
        <v>11</v>
      </c>
      <c r="Y7" s="300">
        <v>42.5</v>
      </c>
      <c r="Z7" s="292" t="s">
        <v>1113</v>
      </c>
      <c r="AA7" s="292" t="s">
        <v>872</v>
      </c>
      <c r="AB7" s="292" t="s">
        <v>12</v>
      </c>
      <c r="AC7" s="292">
        <v>11.4</v>
      </c>
      <c r="AD7" s="299" t="s">
        <v>1114</v>
      </c>
      <c r="AE7" s="292" t="s">
        <v>17</v>
      </c>
      <c r="AF7" s="292" t="s">
        <v>18</v>
      </c>
      <c r="AG7" s="300">
        <v>5.4</v>
      </c>
      <c r="AL7" s="299"/>
      <c r="AO7" s="300"/>
      <c r="AP7" s="299"/>
      <c r="AS7" s="300"/>
      <c r="AW7" s="300"/>
      <c r="BA7" s="301"/>
    </row>
    <row r="8" spans="1:53" s="292" customFormat="1">
      <c r="A8" s="453">
        <v>1990</v>
      </c>
      <c r="B8" s="865">
        <v>33228</v>
      </c>
      <c r="C8" s="916" t="s">
        <v>1104</v>
      </c>
      <c r="D8" s="916"/>
      <c r="E8" s="453">
        <v>11</v>
      </c>
      <c r="F8" s="428">
        <v>0</v>
      </c>
      <c r="G8" s="425">
        <v>11</v>
      </c>
      <c r="H8" s="453">
        <v>1</v>
      </c>
      <c r="I8" s="453">
        <v>4</v>
      </c>
      <c r="J8" s="427">
        <v>19</v>
      </c>
      <c r="K8" s="423">
        <f t="shared" ref="K8:K49" si="0">G8/J8*100</f>
        <v>57.894736842105267</v>
      </c>
      <c r="L8" s="423">
        <f t="shared" ref="L8:L49" si="1">H8/J8*100</f>
        <v>5.2631578947368416</v>
      </c>
      <c r="M8" s="423">
        <f t="shared" ref="M8:M49" si="2">I8/J8*100</f>
        <v>21.052631578947366</v>
      </c>
      <c r="N8" s="426">
        <f t="shared" ref="N8:N56" si="3">SUM(K8:M8)</f>
        <v>84.21052631578948</v>
      </c>
      <c r="O8" s="422">
        <v>42.5</v>
      </c>
      <c r="P8" s="423">
        <v>5.4</v>
      </c>
      <c r="Q8" s="423">
        <v>11.4</v>
      </c>
      <c r="R8" s="424">
        <f t="shared" ref="R8:R35" si="4">SUM(O8:Q8)</f>
        <v>59.3</v>
      </c>
      <c r="S8" s="453">
        <v>3</v>
      </c>
      <c r="T8" s="838"/>
      <c r="U8" s="836"/>
      <c r="V8" s="299" t="s">
        <v>1112</v>
      </c>
      <c r="W8" s="292" t="s">
        <v>74</v>
      </c>
      <c r="X8" s="292" t="s">
        <v>11</v>
      </c>
      <c r="Y8" s="300">
        <v>42.5</v>
      </c>
      <c r="Z8" s="292" t="s">
        <v>1113</v>
      </c>
      <c r="AA8" s="292" t="s">
        <v>872</v>
      </c>
      <c r="AB8" s="292" t="s">
        <v>12</v>
      </c>
      <c r="AC8" s="292">
        <v>11.4</v>
      </c>
      <c r="AD8" s="299" t="s">
        <v>1114</v>
      </c>
      <c r="AE8" s="292" t="s">
        <v>17</v>
      </c>
      <c r="AF8" s="292" t="s">
        <v>18</v>
      </c>
      <c r="AG8" s="300">
        <v>5.4</v>
      </c>
      <c r="AL8" s="299"/>
      <c r="AO8" s="300"/>
      <c r="AP8" s="299"/>
      <c r="AS8" s="300"/>
      <c r="AW8" s="300"/>
      <c r="BA8" s="301"/>
    </row>
    <row r="9" spans="1:53" s="292" customFormat="1">
      <c r="A9" s="453">
        <v>1991</v>
      </c>
      <c r="B9" s="836"/>
      <c r="C9" s="916" t="s">
        <v>1104</v>
      </c>
      <c r="D9" s="916"/>
      <c r="E9" s="453">
        <v>0</v>
      </c>
      <c r="F9" s="453"/>
      <c r="G9" s="425">
        <v>11</v>
      </c>
      <c r="H9" s="453">
        <v>1</v>
      </c>
      <c r="I9" s="453">
        <v>4</v>
      </c>
      <c r="J9" s="427">
        <v>19</v>
      </c>
      <c r="K9" s="423">
        <f t="shared" si="0"/>
        <v>57.894736842105267</v>
      </c>
      <c r="L9" s="423">
        <f t="shared" si="1"/>
        <v>5.2631578947368416</v>
      </c>
      <c r="M9" s="423">
        <f t="shared" si="2"/>
        <v>21.052631578947366</v>
      </c>
      <c r="N9" s="426">
        <f t="shared" si="3"/>
        <v>84.21052631578948</v>
      </c>
      <c r="O9" s="422">
        <v>42.5</v>
      </c>
      <c r="P9" s="423">
        <v>5.4</v>
      </c>
      <c r="Q9" s="423">
        <v>11.4</v>
      </c>
      <c r="R9" s="424">
        <f t="shared" si="4"/>
        <v>59.3</v>
      </c>
      <c r="S9" s="453">
        <v>3</v>
      </c>
      <c r="T9" s="838"/>
      <c r="U9" s="836"/>
      <c r="V9" s="299" t="s">
        <v>1112</v>
      </c>
      <c r="W9" s="292" t="s">
        <v>74</v>
      </c>
      <c r="X9" s="292" t="s">
        <v>11</v>
      </c>
      <c r="Y9" s="300">
        <v>42.5</v>
      </c>
      <c r="Z9" s="292" t="s">
        <v>1113</v>
      </c>
      <c r="AA9" s="292" t="s">
        <v>872</v>
      </c>
      <c r="AB9" s="292" t="s">
        <v>12</v>
      </c>
      <c r="AC9" s="292">
        <v>11.4</v>
      </c>
      <c r="AD9" s="299" t="s">
        <v>1114</v>
      </c>
      <c r="AE9" s="292" t="s">
        <v>17</v>
      </c>
      <c r="AF9" s="292" t="s">
        <v>18</v>
      </c>
      <c r="AG9" s="300">
        <v>5.4</v>
      </c>
      <c r="AL9" s="299"/>
      <c r="AO9" s="300"/>
      <c r="AP9" s="299"/>
      <c r="AS9" s="300"/>
      <c r="AW9" s="300"/>
      <c r="BA9" s="301"/>
    </row>
    <row r="10" spans="1:53" s="292" customFormat="1">
      <c r="A10" s="453">
        <v>1991</v>
      </c>
      <c r="B10" s="836"/>
      <c r="C10" s="916" t="s">
        <v>1104</v>
      </c>
      <c r="D10" s="916"/>
      <c r="E10" s="453">
        <v>365</v>
      </c>
      <c r="F10" s="453"/>
      <c r="G10" s="425">
        <v>11</v>
      </c>
      <c r="H10" s="453">
        <v>1</v>
      </c>
      <c r="I10" s="453">
        <v>4</v>
      </c>
      <c r="J10" s="427">
        <v>19</v>
      </c>
      <c r="K10" s="423">
        <f t="shared" si="0"/>
        <v>57.894736842105267</v>
      </c>
      <c r="L10" s="423">
        <f t="shared" si="1"/>
        <v>5.2631578947368416</v>
      </c>
      <c r="M10" s="423">
        <f t="shared" si="2"/>
        <v>21.052631578947366</v>
      </c>
      <c r="N10" s="426">
        <f t="shared" si="3"/>
        <v>84.21052631578948</v>
      </c>
      <c r="O10" s="422">
        <v>42.5</v>
      </c>
      <c r="P10" s="423">
        <v>5.4</v>
      </c>
      <c r="Q10" s="423">
        <v>11.4</v>
      </c>
      <c r="R10" s="424">
        <f t="shared" si="4"/>
        <v>59.3</v>
      </c>
      <c r="S10" s="453">
        <v>3</v>
      </c>
      <c r="T10" s="838"/>
      <c r="U10" s="836"/>
      <c r="V10" s="299" t="s">
        <v>1112</v>
      </c>
      <c r="W10" s="292" t="s">
        <v>74</v>
      </c>
      <c r="X10" s="292" t="s">
        <v>11</v>
      </c>
      <c r="Y10" s="300">
        <v>42.5</v>
      </c>
      <c r="Z10" s="292" t="s">
        <v>1113</v>
      </c>
      <c r="AA10" s="292" t="s">
        <v>872</v>
      </c>
      <c r="AB10" s="292" t="s">
        <v>12</v>
      </c>
      <c r="AC10" s="292">
        <v>11.4</v>
      </c>
      <c r="AD10" s="299" t="s">
        <v>1114</v>
      </c>
      <c r="AE10" s="292" t="s">
        <v>17</v>
      </c>
      <c r="AF10" s="292" t="s">
        <v>18</v>
      </c>
      <c r="AG10" s="300">
        <v>5.4</v>
      </c>
      <c r="AL10" s="299"/>
      <c r="AO10" s="300"/>
      <c r="AP10" s="299"/>
      <c r="AS10" s="300"/>
      <c r="AW10" s="300"/>
      <c r="BA10" s="301"/>
    </row>
    <row r="11" spans="1:53" s="292" customFormat="1">
      <c r="A11" s="453">
        <v>1992</v>
      </c>
      <c r="B11" s="836"/>
      <c r="C11" s="916" t="s">
        <v>1104</v>
      </c>
      <c r="D11" s="916"/>
      <c r="E11" s="453">
        <v>51</v>
      </c>
      <c r="F11" s="453"/>
      <c r="G11" s="425">
        <v>11</v>
      </c>
      <c r="H11" s="453">
        <v>1</v>
      </c>
      <c r="I11" s="453">
        <v>4</v>
      </c>
      <c r="J11" s="427">
        <v>19</v>
      </c>
      <c r="K11" s="423">
        <f t="shared" si="0"/>
        <v>57.894736842105267</v>
      </c>
      <c r="L11" s="423">
        <f t="shared" si="1"/>
        <v>5.2631578947368416</v>
      </c>
      <c r="M11" s="423">
        <f t="shared" si="2"/>
        <v>21.052631578947366</v>
      </c>
      <c r="N11" s="426">
        <f t="shared" si="3"/>
        <v>84.21052631578948</v>
      </c>
      <c r="O11" s="422">
        <v>42.5</v>
      </c>
      <c r="P11" s="423">
        <v>5.4</v>
      </c>
      <c r="Q11" s="423">
        <v>11.4</v>
      </c>
      <c r="R11" s="424">
        <f t="shared" si="4"/>
        <v>59.3</v>
      </c>
      <c r="S11" s="453">
        <v>3</v>
      </c>
      <c r="T11" s="838"/>
      <c r="U11" s="836"/>
      <c r="V11" s="299" t="s">
        <v>1112</v>
      </c>
      <c r="W11" s="292" t="s">
        <v>74</v>
      </c>
      <c r="X11" s="292" t="s">
        <v>11</v>
      </c>
      <c r="Y11" s="300">
        <v>42.5</v>
      </c>
      <c r="Z11" s="292" t="s">
        <v>1113</v>
      </c>
      <c r="AA11" s="292" t="s">
        <v>872</v>
      </c>
      <c r="AB11" s="292" t="s">
        <v>12</v>
      </c>
      <c r="AC11" s="292">
        <v>11.4</v>
      </c>
      <c r="AD11" s="299" t="s">
        <v>1114</v>
      </c>
      <c r="AE11" s="292" t="s">
        <v>17</v>
      </c>
      <c r="AF11" s="292" t="s">
        <v>18</v>
      </c>
      <c r="AG11" s="300">
        <v>5.4</v>
      </c>
      <c r="AL11" s="299"/>
      <c r="AO11" s="300"/>
      <c r="AP11" s="299"/>
      <c r="AS11" s="300"/>
      <c r="AW11" s="300"/>
      <c r="BA11" s="301"/>
    </row>
    <row r="12" spans="1:53" s="292" customFormat="1">
      <c r="A12" s="453">
        <v>1992</v>
      </c>
      <c r="B12" s="865">
        <v>33655</v>
      </c>
      <c r="C12" s="916" t="s">
        <v>1104</v>
      </c>
      <c r="D12" s="916"/>
      <c r="E12" s="453">
        <v>315</v>
      </c>
      <c r="F12" s="428">
        <v>0</v>
      </c>
      <c r="G12" s="425">
        <v>11</v>
      </c>
      <c r="H12" s="453">
        <v>1</v>
      </c>
      <c r="I12" s="453">
        <v>4</v>
      </c>
      <c r="J12" s="427">
        <v>19</v>
      </c>
      <c r="K12" s="423">
        <f t="shared" si="0"/>
        <v>57.894736842105267</v>
      </c>
      <c r="L12" s="423">
        <f t="shared" si="1"/>
        <v>5.2631578947368416</v>
      </c>
      <c r="M12" s="423">
        <f t="shared" si="2"/>
        <v>21.052631578947366</v>
      </c>
      <c r="N12" s="426">
        <f t="shared" si="3"/>
        <v>84.21052631578948</v>
      </c>
      <c r="O12" s="422">
        <v>42.5</v>
      </c>
      <c r="P12" s="423">
        <v>5.4</v>
      </c>
      <c r="Q12" s="423">
        <v>11.4</v>
      </c>
      <c r="R12" s="424">
        <f t="shared" si="4"/>
        <v>59.3</v>
      </c>
      <c r="S12" s="453">
        <v>3</v>
      </c>
      <c r="T12" s="838"/>
      <c r="U12" s="836"/>
      <c r="V12" s="299" t="s">
        <v>1112</v>
      </c>
      <c r="W12" s="292" t="s">
        <v>74</v>
      </c>
      <c r="X12" s="292" t="s">
        <v>11</v>
      </c>
      <c r="Y12" s="300">
        <v>42.5</v>
      </c>
      <c r="Z12" s="292" t="s">
        <v>1113</v>
      </c>
      <c r="AA12" s="292" t="s">
        <v>872</v>
      </c>
      <c r="AB12" s="292" t="s">
        <v>12</v>
      </c>
      <c r="AC12" s="292">
        <v>11.4</v>
      </c>
      <c r="AD12" s="299" t="s">
        <v>1114</v>
      </c>
      <c r="AE12" s="292" t="s">
        <v>17</v>
      </c>
      <c r="AF12" s="292" t="s">
        <v>18</v>
      </c>
      <c r="AG12" s="300">
        <v>5.4</v>
      </c>
      <c r="AL12" s="299"/>
      <c r="AO12" s="300"/>
      <c r="AP12" s="299"/>
      <c r="AS12" s="300"/>
      <c r="AW12" s="300"/>
      <c r="BA12" s="301"/>
    </row>
    <row r="13" spans="1:53" s="292" customFormat="1">
      <c r="A13" s="453">
        <v>1993</v>
      </c>
      <c r="B13" s="836"/>
      <c r="C13" s="916" t="s">
        <v>1104</v>
      </c>
      <c r="D13" s="916"/>
      <c r="E13" s="453">
        <v>354</v>
      </c>
      <c r="F13" s="453"/>
      <c r="G13" s="425">
        <v>11</v>
      </c>
      <c r="H13" s="453">
        <v>1</v>
      </c>
      <c r="I13" s="453">
        <v>4</v>
      </c>
      <c r="J13" s="427">
        <v>19</v>
      </c>
      <c r="K13" s="423">
        <f t="shared" si="0"/>
        <v>57.894736842105267</v>
      </c>
      <c r="L13" s="423">
        <f t="shared" si="1"/>
        <v>5.2631578947368416</v>
      </c>
      <c r="M13" s="423">
        <f t="shared" si="2"/>
        <v>21.052631578947366</v>
      </c>
      <c r="N13" s="426">
        <f t="shared" si="3"/>
        <v>84.21052631578948</v>
      </c>
      <c r="O13" s="422">
        <v>42.5</v>
      </c>
      <c r="P13" s="423">
        <v>5.4</v>
      </c>
      <c r="Q13" s="423">
        <v>11.4</v>
      </c>
      <c r="R13" s="424">
        <f t="shared" si="4"/>
        <v>59.3</v>
      </c>
      <c r="S13" s="453">
        <v>3</v>
      </c>
      <c r="T13" s="838"/>
      <c r="U13" s="836"/>
      <c r="V13" s="299" t="s">
        <v>1112</v>
      </c>
      <c r="W13" s="292" t="s">
        <v>74</v>
      </c>
      <c r="X13" s="292" t="s">
        <v>11</v>
      </c>
      <c r="Y13" s="300">
        <v>42.5</v>
      </c>
      <c r="Z13" s="292" t="s">
        <v>1113</v>
      </c>
      <c r="AA13" s="292" t="s">
        <v>872</v>
      </c>
      <c r="AB13" s="292" t="s">
        <v>12</v>
      </c>
      <c r="AC13" s="292">
        <v>11.4</v>
      </c>
      <c r="AD13" s="299" t="s">
        <v>1114</v>
      </c>
      <c r="AE13" s="292" t="s">
        <v>17</v>
      </c>
      <c r="AF13" s="292" t="s">
        <v>18</v>
      </c>
      <c r="AG13" s="300">
        <v>5.4</v>
      </c>
      <c r="AL13" s="299"/>
      <c r="AO13" s="300"/>
      <c r="AP13" s="299"/>
      <c r="AS13" s="300"/>
      <c r="AW13" s="300"/>
      <c r="BA13" s="301"/>
    </row>
    <row r="14" spans="1:53" s="208" customFormat="1">
      <c r="A14" s="452">
        <v>1993</v>
      </c>
      <c r="B14" s="852">
        <v>34324</v>
      </c>
      <c r="C14" s="917" t="s">
        <v>1105</v>
      </c>
      <c r="D14" s="917"/>
      <c r="E14" s="452">
        <v>11</v>
      </c>
      <c r="F14" s="452">
        <v>3</v>
      </c>
      <c r="G14" s="411">
        <v>10</v>
      </c>
      <c r="H14" s="452">
        <v>3</v>
      </c>
      <c r="I14" s="452">
        <v>3</v>
      </c>
      <c r="J14" s="413">
        <v>16</v>
      </c>
      <c r="K14" s="409">
        <f t="shared" si="0"/>
        <v>62.5</v>
      </c>
      <c r="L14" s="409">
        <f t="shared" si="1"/>
        <v>18.75</v>
      </c>
      <c r="M14" s="409">
        <f t="shared" si="2"/>
        <v>18.75</v>
      </c>
      <c r="N14" s="412">
        <f t="shared" si="3"/>
        <v>100</v>
      </c>
      <c r="O14" s="408">
        <v>42.5</v>
      </c>
      <c r="P14" s="409">
        <v>5.4</v>
      </c>
      <c r="Q14" s="409">
        <v>11.4</v>
      </c>
      <c r="R14" s="410">
        <f t="shared" si="4"/>
        <v>59.3</v>
      </c>
      <c r="S14" s="452">
        <v>3</v>
      </c>
      <c r="T14" s="839"/>
      <c r="U14" s="852">
        <v>34324</v>
      </c>
      <c r="V14" s="82" t="s">
        <v>1112</v>
      </c>
      <c r="W14" s="208" t="s">
        <v>74</v>
      </c>
      <c r="X14" s="208" t="s">
        <v>11</v>
      </c>
      <c r="Y14" s="83">
        <v>42.5</v>
      </c>
      <c r="Z14" s="208" t="s">
        <v>1113</v>
      </c>
      <c r="AA14" s="208" t="s">
        <v>872</v>
      </c>
      <c r="AB14" s="208" t="s">
        <v>12</v>
      </c>
      <c r="AC14" s="208">
        <v>11.4</v>
      </c>
      <c r="AD14" s="82" t="s">
        <v>1114</v>
      </c>
      <c r="AE14" s="208" t="s">
        <v>17</v>
      </c>
      <c r="AF14" s="208" t="s">
        <v>18</v>
      </c>
      <c r="AG14" s="83">
        <v>5.4</v>
      </c>
      <c r="AL14" s="82"/>
      <c r="AO14" s="83"/>
      <c r="AP14" s="82"/>
      <c r="AS14" s="83"/>
      <c r="AW14" s="83"/>
      <c r="BA14" s="84"/>
    </row>
    <row r="15" spans="1:53" s="208" customFormat="1">
      <c r="A15" s="452">
        <v>1994</v>
      </c>
      <c r="B15" s="852"/>
      <c r="C15" s="917" t="s">
        <v>1105</v>
      </c>
      <c r="D15" s="917"/>
      <c r="E15" s="452">
        <v>195</v>
      </c>
      <c r="F15" s="452"/>
      <c r="G15" s="411">
        <v>10</v>
      </c>
      <c r="H15" s="452">
        <v>3</v>
      </c>
      <c r="I15" s="452">
        <v>3</v>
      </c>
      <c r="J15" s="413">
        <v>16</v>
      </c>
      <c r="K15" s="409">
        <f t="shared" si="0"/>
        <v>62.5</v>
      </c>
      <c r="L15" s="409">
        <f t="shared" si="1"/>
        <v>18.75</v>
      </c>
      <c r="M15" s="409">
        <f t="shared" si="2"/>
        <v>18.75</v>
      </c>
      <c r="N15" s="412">
        <f t="shared" si="3"/>
        <v>100</v>
      </c>
      <c r="O15" s="408">
        <v>42.5</v>
      </c>
      <c r="P15" s="409">
        <v>5.4</v>
      </c>
      <c r="Q15" s="409">
        <v>11.4</v>
      </c>
      <c r="R15" s="410">
        <f t="shared" si="4"/>
        <v>59.3</v>
      </c>
      <c r="S15" s="452">
        <v>3</v>
      </c>
      <c r="T15" s="839"/>
      <c r="U15" s="852"/>
      <c r="V15" s="82" t="s">
        <v>1112</v>
      </c>
      <c r="W15" s="208" t="s">
        <v>74</v>
      </c>
      <c r="X15" s="208" t="s">
        <v>11</v>
      </c>
      <c r="Y15" s="83">
        <v>42.5</v>
      </c>
      <c r="Z15" s="208" t="s">
        <v>1113</v>
      </c>
      <c r="AA15" s="208" t="s">
        <v>872</v>
      </c>
      <c r="AB15" s="208" t="s">
        <v>12</v>
      </c>
      <c r="AC15" s="208">
        <v>11.4</v>
      </c>
      <c r="AD15" s="82" t="s">
        <v>1114</v>
      </c>
      <c r="AE15" s="208" t="s">
        <v>17</v>
      </c>
      <c r="AF15" s="208" t="s">
        <v>18</v>
      </c>
      <c r="AG15" s="83">
        <v>5.4</v>
      </c>
      <c r="AL15" s="82"/>
      <c r="AO15" s="83"/>
      <c r="AP15" s="82"/>
      <c r="AS15" s="83"/>
      <c r="AW15" s="83"/>
      <c r="BA15" s="84"/>
    </row>
    <row r="16" spans="1:53" s="292" customFormat="1">
      <c r="A16" s="453">
        <v>1994</v>
      </c>
      <c r="B16" s="836">
        <v>34530</v>
      </c>
      <c r="C16" s="916" t="s">
        <v>1106</v>
      </c>
      <c r="D16" s="916"/>
      <c r="E16" s="453">
        <v>170</v>
      </c>
      <c r="F16" s="453">
        <v>1</v>
      </c>
      <c r="G16" s="425">
        <v>3</v>
      </c>
      <c r="H16" s="453"/>
      <c r="I16" s="453">
        <v>11</v>
      </c>
      <c r="J16" s="427">
        <v>14</v>
      </c>
      <c r="K16" s="423">
        <f t="shared" si="0"/>
        <v>21.428571428571427</v>
      </c>
      <c r="L16" s="423">
        <f t="shared" si="1"/>
        <v>0</v>
      </c>
      <c r="M16" s="423">
        <f t="shared" si="2"/>
        <v>78.571428571428569</v>
      </c>
      <c r="N16" s="426">
        <f t="shared" si="3"/>
        <v>100</v>
      </c>
      <c r="O16" s="422">
        <v>17.899999999999999</v>
      </c>
      <c r="P16" s="423"/>
      <c r="Q16" s="423">
        <v>54.1</v>
      </c>
      <c r="R16" s="424">
        <f t="shared" si="4"/>
        <v>72</v>
      </c>
      <c r="S16" s="453">
        <v>3</v>
      </c>
      <c r="T16" s="838">
        <v>34482</v>
      </c>
      <c r="U16" s="836">
        <v>34530</v>
      </c>
      <c r="V16" s="299" t="s">
        <v>1115</v>
      </c>
      <c r="W16" s="292" t="s">
        <v>20</v>
      </c>
      <c r="X16" s="292" t="s">
        <v>12</v>
      </c>
      <c r="Y16" s="300">
        <v>54.1</v>
      </c>
      <c r="Z16" s="292" t="s">
        <v>1119</v>
      </c>
      <c r="AA16" s="292" t="s">
        <v>22</v>
      </c>
      <c r="AB16" s="292" t="s">
        <v>11</v>
      </c>
      <c r="AC16" s="292">
        <v>17.899999999999999</v>
      </c>
      <c r="AD16" s="299"/>
      <c r="AG16" s="300"/>
      <c r="AL16" s="299"/>
      <c r="AO16" s="300"/>
      <c r="AP16" s="299"/>
      <c r="AS16" s="300"/>
      <c r="AW16" s="300"/>
      <c r="BA16" s="301"/>
    </row>
    <row r="17" spans="1:53" s="292" customFormat="1">
      <c r="A17" s="453">
        <v>1995</v>
      </c>
      <c r="B17" s="836"/>
      <c r="C17" s="916" t="s">
        <v>1106</v>
      </c>
      <c r="D17" s="916"/>
      <c r="E17" s="453">
        <v>59</v>
      </c>
      <c r="F17" s="453"/>
      <c r="G17" s="425">
        <v>3</v>
      </c>
      <c r="H17" s="453"/>
      <c r="I17" s="453">
        <v>11</v>
      </c>
      <c r="J17" s="427">
        <v>14</v>
      </c>
      <c r="K17" s="423">
        <f t="shared" si="0"/>
        <v>21.428571428571427</v>
      </c>
      <c r="L17" s="423">
        <f t="shared" si="1"/>
        <v>0</v>
      </c>
      <c r="M17" s="423">
        <f t="shared" si="2"/>
        <v>78.571428571428569</v>
      </c>
      <c r="N17" s="426">
        <f t="shared" si="3"/>
        <v>100</v>
      </c>
      <c r="O17" s="422">
        <v>17.899999999999999</v>
      </c>
      <c r="P17" s="423"/>
      <c r="Q17" s="423">
        <v>54.1</v>
      </c>
      <c r="R17" s="424">
        <f t="shared" si="4"/>
        <v>72</v>
      </c>
      <c r="S17" s="453">
        <v>3</v>
      </c>
      <c r="T17" s="838"/>
      <c r="U17" s="836"/>
      <c r="V17" s="299" t="s">
        <v>1115</v>
      </c>
      <c r="W17" s="292" t="s">
        <v>20</v>
      </c>
      <c r="X17" s="292" t="s">
        <v>12</v>
      </c>
      <c r="Y17" s="300">
        <v>54.1</v>
      </c>
      <c r="Z17" s="292" t="s">
        <v>1119</v>
      </c>
      <c r="AA17" s="292" t="s">
        <v>22</v>
      </c>
      <c r="AB17" s="292" t="s">
        <v>11</v>
      </c>
      <c r="AC17" s="292">
        <v>17.899999999999999</v>
      </c>
      <c r="AD17" s="299"/>
      <c r="AG17" s="300"/>
      <c r="AL17" s="299"/>
      <c r="AO17" s="300"/>
      <c r="AP17" s="299"/>
      <c r="AS17" s="300"/>
      <c r="AW17" s="300"/>
      <c r="BA17" s="301"/>
    </row>
    <row r="18" spans="1:53" s="292" customFormat="1">
      <c r="A18" s="453">
        <v>1995</v>
      </c>
      <c r="B18" s="865">
        <v>34759</v>
      </c>
      <c r="C18" s="916" t="s">
        <v>1106</v>
      </c>
      <c r="D18" s="916"/>
      <c r="E18" s="453">
        <v>306</v>
      </c>
      <c r="F18" s="428">
        <v>0</v>
      </c>
      <c r="G18" s="425">
        <v>3</v>
      </c>
      <c r="H18" s="453"/>
      <c r="I18" s="453">
        <v>12</v>
      </c>
      <c r="J18" s="427">
        <v>15</v>
      </c>
      <c r="K18" s="423">
        <f t="shared" si="0"/>
        <v>20</v>
      </c>
      <c r="L18" s="423">
        <f t="shared" si="1"/>
        <v>0</v>
      </c>
      <c r="M18" s="423">
        <f t="shared" si="2"/>
        <v>80</v>
      </c>
      <c r="N18" s="426">
        <f t="shared" si="3"/>
        <v>100</v>
      </c>
      <c r="O18" s="422">
        <v>17.899999999999999</v>
      </c>
      <c r="P18" s="423"/>
      <c r="Q18" s="423">
        <v>54.1</v>
      </c>
      <c r="R18" s="424">
        <f t="shared" si="4"/>
        <v>72</v>
      </c>
      <c r="S18" s="453">
        <v>3</v>
      </c>
      <c r="T18" s="838"/>
      <c r="U18" s="836"/>
      <c r="V18" s="299" t="s">
        <v>1115</v>
      </c>
      <c r="W18" s="292" t="s">
        <v>20</v>
      </c>
      <c r="X18" s="292" t="s">
        <v>12</v>
      </c>
      <c r="Y18" s="300">
        <v>54.1</v>
      </c>
      <c r="Z18" s="292" t="s">
        <v>1119</v>
      </c>
      <c r="AA18" s="292" t="s">
        <v>22</v>
      </c>
      <c r="AB18" s="292" t="s">
        <v>11</v>
      </c>
      <c r="AC18" s="292">
        <v>17.899999999999999</v>
      </c>
      <c r="AD18" s="299"/>
      <c r="AG18" s="300"/>
      <c r="AL18" s="299"/>
      <c r="AO18" s="300"/>
      <c r="AP18" s="299"/>
      <c r="AS18" s="300"/>
      <c r="AW18" s="300"/>
      <c r="BA18" s="301"/>
    </row>
    <row r="19" spans="1:53" s="292" customFormat="1">
      <c r="A19" s="453">
        <v>1996</v>
      </c>
      <c r="B19" s="836"/>
      <c r="C19" s="916" t="s">
        <v>1106</v>
      </c>
      <c r="D19" s="916"/>
      <c r="E19" s="453">
        <v>0</v>
      </c>
      <c r="F19" s="453"/>
      <c r="G19" s="425">
        <v>3</v>
      </c>
      <c r="H19" s="453"/>
      <c r="I19" s="453">
        <v>12</v>
      </c>
      <c r="J19" s="427">
        <v>15</v>
      </c>
      <c r="K19" s="423">
        <f t="shared" si="0"/>
        <v>20</v>
      </c>
      <c r="L19" s="423">
        <f t="shared" si="1"/>
        <v>0</v>
      </c>
      <c r="M19" s="423">
        <f t="shared" si="2"/>
        <v>80</v>
      </c>
      <c r="N19" s="426">
        <f t="shared" si="3"/>
        <v>100</v>
      </c>
      <c r="O19" s="422">
        <v>17.899999999999999</v>
      </c>
      <c r="P19" s="423"/>
      <c r="Q19" s="423">
        <v>54.1</v>
      </c>
      <c r="R19" s="424">
        <f t="shared" si="4"/>
        <v>72</v>
      </c>
      <c r="S19" s="453">
        <v>3</v>
      </c>
      <c r="T19" s="838"/>
      <c r="U19" s="836"/>
      <c r="V19" s="299" t="s">
        <v>1115</v>
      </c>
      <c r="W19" s="292" t="s">
        <v>20</v>
      </c>
      <c r="X19" s="292" t="s">
        <v>12</v>
      </c>
      <c r="Y19" s="300">
        <v>54.1</v>
      </c>
      <c r="Z19" s="292" t="s">
        <v>1119</v>
      </c>
      <c r="AA19" s="292" t="s">
        <v>22</v>
      </c>
      <c r="AB19" s="292" t="s">
        <v>11</v>
      </c>
      <c r="AC19" s="292">
        <v>17.899999999999999</v>
      </c>
      <c r="AD19" s="299"/>
      <c r="AG19" s="300"/>
      <c r="AL19" s="299"/>
      <c r="AO19" s="300"/>
      <c r="AP19" s="299"/>
      <c r="AS19" s="300"/>
      <c r="AW19" s="300"/>
      <c r="BA19" s="301"/>
    </row>
    <row r="20" spans="1:53" s="292" customFormat="1">
      <c r="A20" s="453">
        <v>1996</v>
      </c>
      <c r="B20" s="836"/>
      <c r="C20" s="916" t="s">
        <v>1106</v>
      </c>
      <c r="D20" s="916"/>
      <c r="E20" s="453">
        <v>366</v>
      </c>
      <c r="F20" s="453"/>
      <c r="G20" s="425">
        <v>3</v>
      </c>
      <c r="H20" s="453"/>
      <c r="I20" s="453">
        <v>12</v>
      </c>
      <c r="J20" s="427">
        <v>15</v>
      </c>
      <c r="K20" s="423">
        <f t="shared" si="0"/>
        <v>20</v>
      </c>
      <c r="L20" s="423">
        <f t="shared" si="1"/>
        <v>0</v>
      </c>
      <c r="M20" s="423">
        <f t="shared" si="2"/>
        <v>80</v>
      </c>
      <c r="N20" s="426">
        <f t="shared" si="3"/>
        <v>100</v>
      </c>
      <c r="O20" s="422">
        <v>17.899999999999999</v>
      </c>
      <c r="P20" s="423"/>
      <c r="Q20" s="423">
        <v>54.1</v>
      </c>
      <c r="R20" s="424">
        <f t="shared" si="4"/>
        <v>72</v>
      </c>
      <c r="S20" s="453">
        <v>3</v>
      </c>
      <c r="T20" s="838"/>
      <c r="U20" s="836"/>
      <c r="V20" s="299" t="s">
        <v>1115</v>
      </c>
      <c r="W20" s="292" t="s">
        <v>20</v>
      </c>
      <c r="X20" s="292" t="s">
        <v>12</v>
      </c>
      <c r="Y20" s="300">
        <v>54.1</v>
      </c>
      <c r="Z20" s="292" t="s">
        <v>1119</v>
      </c>
      <c r="AA20" s="292" t="s">
        <v>22</v>
      </c>
      <c r="AB20" s="292" t="s">
        <v>11</v>
      </c>
      <c r="AC20" s="292">
        <v>17.899999999999999</v>
      </c>
      <c r="AD20" s="299"/>
      <c r="AG20" s="300"/>
      <c r="AL20" s="299"/>
      <c r="AO20" s="300"/>
      <c r="AP20" s="299"/>
      <c r="AS20" s="300"/>
      <c r="AW20" s="300"/>
      <c r="BA20" s="301"/>
    </row>
    <row r="21" spans="1:53" s="292" customFormat="1">
      <c r="A21" s="453">
        <v>1997</v>
      </c>
      <c r="B21" s="836"/>
      <c r="C21" s="916" t="s">
        <v>1106</v>
      </c>
      <c r="D21" s="916"/>
      <c r="E21" s="453">
        <v>0</v>
      </c>
      <c r="F21" s="453"/>
      <c r="G21" s="425">
        <v>3</v>
      </c>
      <c r="H21" s="453"/>
      <c r="I21" s="453">
        <v>12</v>
      </c>
      <c r="J21" s="427">
        <v>15</v>
      </c>
      <c r="K21" s="423">
        <f t="shared" si="0"/>
        <v>20</v>
      </c>
      <c r="L21" s="423">
        <f t="shared" si="1"/>
        <v>0</v>
      </c>
      <c r="M21" s="423">
        <f t="shared" si="2"/>
        <v>80</v>
      </c>
      <c r="N21" s="426">
        <f t="shared" si="3"/>
        <v>100</v>
      </c>
      <c r="O21" s="422">
        <v>17.899999999999999</v>
      </c>
      <c r="P21" s="423"/>
      <c r="Q21" s="423">
        <v>54.1</v>
      </c>
      <c r="R21" s="424">
        <f t="shared" si="4"/>
        <v>72</v>
      </c>
      <c r="S21" s="453">
        <v>3</v>
      </c>
      <c r="T21" s="838"/>
      <c r="U21" s="836"/>
      <c r="V21" s="299" t="s">
        <v>1115</v>
      </c>
      <c r="W21" s="292" t="s">
        <v>20</v>
      </c>
      <c r="X21" s="292" t="s">
        <v>12</v>
      </c>
      <c r="Y21" s="300">
        <v>54.1</v>
      </c>
      <c r="Z21" s="292" t="s">
        <v>1119</v>
      </c>
      <c r="AA21" s="292" t="s">
        <v>22</v>
      </c>
      <c r="AB21" s="292" t="s">
        <v>11</v>
      </c>
      <c r="AC21" s="292">
        <v>17.899999999999999</v>
      </c>
      <c r="AD21" s="299"/>
      <c r="AG21" s="300"/>
      <c r="AL21" s="299"/>
      <c r="AO21" s="300"/>
      <c r="AP21" s="299"/>
      <c r="AS21" s="300"/>
      <c r="AW21" s="300"/>
      <c r="BA21" s="301"/>
    </row>
    <row r="22" spans="1:53" s="292" customFormat="1">
      <c r="A22" s="453">
        <v>1997</v>
      </c>
      <c r="B22" s="836"/>
      <c r="C22" s="916" t="s">
        <v>1106</v>
      </c>
      <c r="D22" s="916"/>
      <c r="E22" s="453">
        <v>365</v>
      </c>
      <c r="F22" s="453"/>
      <c r="G22" s="425">
        <v>3</v>
      </c>
      <c r="H22" s="453"/>
      <c r="I22" s="453">
        <v>12</v>
      </c>
      <c r="J22" s="427">
        <v>15</v>
      </c>
      <c r="K22" s="423">
        <f t="shared" si="0"/>
        <v>20</v>
      </c>
      <c r="L22" s="423">
        <f t="shared" si="1"/>
        <v>0</v>
      </c>
      <c r="M22" s="423">
        <f t="shared" si="2"/>
        <v>80</v>
      </c>
      <c r="N22" s="426">
        <f t="shared" si="3"/>
        <v>100</v>
      </c>
      <c r="O22" s="422">
        <v>17.899999999999999</v>
      </c>
      <c r="P22" s="423"/>
      <c r="Q22" s="423">
        <v>54.1</v>
      </c>
      <c r="R22" s="424">
        <f t="shared" si="4"/>
        <v>72</v>
      </c>
      <c r="S22" s="453">
        <v>3</v>
      </c>
      <c r="T22" s="838"/>
      <c r="U22" s="836"/>
      <c r="V22" s="299" t="s">
        <v>1115</v>
      </c>
      <c r="W22" s="292" t="s">
        <v>20</v>
      </c>
      <c r="X22" s="292" t="s">
        <v>12</v>
      </c>
      <c r="Y22" s="300">
        <v>54.1</v>
      </c>
      <c r="Z22" s="292" t="s">
        <v>1119</v>
      </c>
      <c r="AA22" s="292" t="s">
        <v>22</v>
      </c>
      <c r="AB22" s="292" t="s">
        <v>11</v>
      </c>
      <c r="AC22" s="292">
        <v>17.899999999999999</v>
      </c>
      <c r="AD22" s="299"/>
      <c r="AG22" s="300"/>
      <c r="AL22" s="299"/>
      <c r="AO22" s="300"/>
      <c r="AP22" s="299"/>
      <c r="AS22" s="300"/>
      <c r="AW22" s="300"/>
      <c r="BA22" s="301"/>
    </row>
    <row r="23" spans="1:53" s="292" customFormat="1">
      <c r="A23" s="453">
        <v>1998</v>
      </c>
      <c r="B23" s="865">
        <v>35796</v>
      </c>
      <c r="C23" s="916" t="s">
        <v>1106</v>
      </c>
      <c r="D23" s="916"/>
      <c r="E23" s="453">
        <v>186</v>
      </c>
      <c r="F23" s="428">
        <v>0</v>
      </c>
      <c r="G23" s="425">
        <v>3</v>
      </c>
      <c r="H23" s="453"/>
      <c r="I23" s="453">
        <v>11</v>
      </c>
      <c r="J23" s="427">
        <v>14</v>
      </c>
      <c r="K23" s="423">
        <f t="shared" si="0"/>
        <v>21.428571428571427</v>
      </c>
      <c r="L23" s="423">
        <f t="shared" si="1"/>
        <v>0</v>
      </c>
      <c r="M23" s="423">
        <f t="shared" si="2"/>
        <v>78.571428571428569</v>
      </c>
      <c r="N23" s="426">
        <f t="shared" si="3"/>
        <v>100</v>
      </c>
      <c r="O23" s="422">
        <v>17.899999999999999</v>
      </c>
      <c r="P23" s="423"/>
      <c r="Q23" s="423">
        <v>54.1</v>
      </c>
      <c r="R23" s="424">
        <f t="shared" si="4"/>
        <v>72</v>
      </c>
      <c r="S23" s="453">
        <v>3</v>
      </c>
      <c r="T23" s="838"/>
      <c r="U23" s="836"/>
      <c r="V23" s="299" t="s">
        <v>1115</v>
      </c>
      <c r="W23" s="292" t="s">
        <v>20</v>
      </c>
      <c r="X23" s="292" t="s">
        <v>12</v>
      </c>
      <c r="Y23" s="300">
        <v>54.1</v>
      </c>
      <c r="Z23" s="292" t="s">
        <v>1119</v>
      </c>
      <c r="AA23" s="292" t="s">
        <v>22</v>
      </c>
      <c r="AB23" s="292" t="s">
        <v>11</v>
      </c>
      <c r="AC23" s="292">
        <v>17.899999999999999</v>
      </c>
      <c r="AD23" s="299"/>
      <c r="AG23" s="300"/>
      <c r="AL23" s="299"/>
      <c r="AO23" s="300"/>
      <c r="AP23" s="299"/>
      <c r="AS23" s="300"/>
      <c r="AW23" s="300"/>
      <c r="BA23" s="301"/>
    </row>
    <row r="24" spans="1:53" s="208" customFormat="1">
      <c r="A24" s="452">
        <v>1998</v>
      </c>
      <c r="B24" s="852">
        <v>35982</v>
      </c>
      <c r="C24" s="917" t="s">
        <v>1116</v>
      </c>
      <c r="D24" s="917"/>
      <c r="E24" s="452">
        <v>179</v>
      </c>
      <c r="F24" s="452">
        <v>1</v>
      </c>
      <c r="G24" s="411">
        <v>13</v>
      </c>
      <c r="H24" s="452"/>
      <c r="I24" s="452">
        <v>4</v>
      </c>
      <c r="J24" s="413">
        <v>17</v>
      </c>
      <c r="K24" s="409">
        <f t="shared" si="0"/>
        <v>76.470588235294116</v>
      </c>
      <c r="L24" s="409">
        <f t="shared" si="1"/>
        <v>0</v>
      </c>
      <c r="M24" s="409">
        <f t="shared" si="2"/>
        <v>23.52941176470588</v>
      </c>
      <c r="N24" s="412">
        <f t="shared" si="3"/>
        <v>100</v>
      </c>
      <c r="O24" s="408">
        <v>42.7</v>
      </c>
      <c r="P24" s="409"/>
      <c r="Q24" s="409">
        <v>12.4</v>
      </c>
      <c r="R24" s="410">
        <f t="shared" si="4"/>
        <v>55.1</v>
      </c>
      <c r="S24" s="452">
        <v>3</v>
      </c>
      <c r="T24" s="839">
        <v>35939</v>
      </c>
      <c r="U24" s="852">
        <v>35982</v>
      </c>
      <c r="V24" s="82" t="s">
        <v>1118</v>
      </c>
      <c r="W24" s="208" t="s">
        <v>79</v>
      </c>
      <c r="X24" s="208" t="s">
        <v>11</v>
      </c>
      <c r="Y24" s="83">
        <v>38.299999999999997</v>
      </c>
      <c r="Z24" s="208" t="s">
        <v>1113</v>
      </c>
      <c r="AA24" s="208" t="s">
        <v>872</v>
      </c>
      <c r="AB24" s="208" t="s">
        <v>12</v>
      </c>
      <c r="AC24" s="208">
        <v>12.4</v>
      </c>
      <c r="AD24" s="82" t="s">
        <v>1112</v>
      </c>
      <c r="AE24" s="208" t="s">
        <v>74</v>
      </c>
      <c r="AF24" s="208" t="s">
        <v>11</v>
      </c>
      <c r="AG24" s="83">
        <v>4.4000000000000004</v>
      </c>
      <c r="AL24" s="82"/>
      <c r="AO24" s="83"/>
      <c r="AP24" s="82"/>
      <c r="AS24" s="83"/>
      <c r="AW24" s="83"/>
      <c r="BA24" s="84"/>
    </row>
    <row r="25" spans="1:53" s="208" customFormat="1">
      <c r="A25" s="452">
        <v>1999</v>
      </c>
      <c r="B25" s="860">
        <v>36161</v>
      </c>
      <c r="C25" s="917" t="s">
        <v>1116</v>
      </c>
      <c r="D25" s="917"/>
      <c r="E25" s="452">
        <v>0</v>
      </c>
      <c r="F25" s="414">
        <v>0</v>
      </c>
      <c r="G25" s="411">
        <v>14</v>
      </c>
      <c r="H25" s="452"/>
      <c r="I25" s="452">
        <v>4</v>
      </c>
      <c r="J25" s="413">
        <v>18</v>
      </c>
      <c r="K25" s="409">
        <f t="shared" si="0"/>
        <v>77.777777777777786</v>
      </c>
      <c r="L25" s="409">
        <f t="shared" si="1"/>
        <v>0</v>
      </c>
      <c r="M25" s="409">
        <f t="shared" si="2"/>
        <v>22.222222222222221</v>
      </c>
      <c r="N25" s="412">
        <f t="shared" si="3"/>
        <v>100</v>
      </c>
      <c r="O25" s="408">
        <v>42.7</v>
      </c>
      <c r="P25" s="409"/>
      <c r="Q25" s="409">
        <v>12.4</v>
      </c>
      <c r="R25" s="410">
        <f t="shared" si="4"/>
        <v>55.1</v>
      </c>
      <c r="S25" s="452">
        <v>3</v>
      </c>
      <c r="T25" s="839"/>
      <c r="U25" s="852"/>
      <c r="V25" s="82" t="s">
        <v>1118</v>
      </c>
      <c r="W25" s="208" t="s">
        <v>79</v>
      </c>
      <c r="X25" s="208" t="s">
        <v>11</v>
      </c>
      <c r="Y25" s="83">
        <v>38.299999999999997</v>
      </c>
      <c r="Z25" s="208" t="s">
        <v>1113</v>
      </c>
      <c r="AA25" s="208" t="s">
        <v>872</v>
      </c>
      <c r="AB25" s="208" t="s">
        <v>12</v>
      </c>
      <c r="AC25" s="208">
        <v>12.4</v>
      </c>
      <c r="AD25" s="82" t="s">
        <v>1112</v>
      </c>
      <c r="AE25" s="208" t="s">
        <v>74</v>
      </c>
      <c r="AF25" s="208" t="s">
        <v>11</v>
      </c>
      <c r="AG25" s="83">
        <v>4.4000000000000004</v>
      </c>
      <c r="AL25" s="82"/>
      <c r="AO25" s="83"/>
      <c r="AP25" s="82"/>
      <c r="AS25" s="83"/>
      <c r="AW25" s="83"/>
      <c r="BA25" s="84"/>
    </row>
    <row r="26" spans="1:53" s="208" customFormat="1">
      <c r="A26" s="452">
        <v>1999</v>
      </c>
      <c r="B26" s="852"/>
      <c r="C26" s="917" t="s">
        <v>1116</v>
      </c>
      <c r="D26" s="917"/>
      <c r="E26" s="452">
        <v>365</v>
      </c>
      <c r="F26" s="452"/>
      <c r="G26" s="411">
        <v>14</v>
      </c>
      <c r="H26" s="452"/>
      <c r="I26" s="452">
        <v>4</v>
      </c>
      <c r="J26" s="413">
        <v>18</v>
      </c>
      <c r="K26" s="409">
        <f t="shared" si="0"/>
        <v>77.777777777777786</v>
      </c>
      <c r="L26" s="409">
        <f t="shared" si="1"/>
        <v>0</v>
      </c>
      <c r="M26" s="409">
        <f t="shared" si="2"/>
        <v>22.222222222222221</v>
      </c>
      <c r="N26" s="412">
        <f t="shared" si="3"/>
        <v>100</v>
      </c>
      <c r="O26" s="408">
        <v>42.7</v>
      </c>
      <c r="P26" s="409"/>
      <c r="Q26" s="409">
        <v>12.4</v>
      </c>
      <c r="R26" s="410">
        <f t="shared" si="4"/>
        <v>55.1</v>
      </c>
      <c r="S26" s="452">
        <v>3</v>
      </c>
      <c r="T26" s="839"/>
      <c r="U26" s="852"/>
      <c r="V26" s="82" t="s">
        <v>1118</v>
      </c>
      <c r="W26" s="208" t="s">
        <v>79</v>
      </c>
      <c r="X26" s="208" t="s">
        <v>11</v>
      </c>
      <c r="Y26" s="83">
        <v>38.299999999999997</v>
      </c>
      <c r="Z26" s="208" t="s">
        <v>1113</v>
      </c>
      <c r="AA26" s="208" t="s">
        <v>872</v>
      </c>
      <c r="AB26" s="208" t="s">
        <v>12</v>
      </c>
      <c r="AC26" s="208">
        <v>12.4</v>
      </c>
      <c r="AD26" s="82" t="s">
        <v>1112</v>
      </c>
      <c r="AE26" s="208" t="s">
        <v>74</v>
      </c>
      <c r="AF26" s="208" t="s">
        <v>11</v>
      </c>
      <c r="AG26" s="83">
        <v>4.4000000000000004</v>
      </c>
      <c r="AL26" s="82"/>
      <c r="AO26" s="83"/>
      <c r="AP26" s="82"/>
      <c r="AS26" s="83"/>
      <c r="AW26" s="83"/>
      <c r="BA26" s="84"/>
    </row>
    <row r="27" spans="1:53" s="208" customFormat="1">
      <c r="A27" s="452">
        <v>2000</v>
      </c>
      <c r="B27" s="852"/>
      <c r="C27" s="917" t="s">
        <v>1116</v>
      </c>
      <c r="D27" s="917"/>
      <c r="E27" s="452">
        <v>0</v>
      </c>
      <c r="F27" s="452"/>
      <c r="G27" s="411">
        <v>14</v>
      </c>
      <c r="H27" s="452"/>
      <c r="I27" s="452">
        <v>4</v>
      </c>
      <c r="J27" s="413">
        <v>18</v>
      </c>
      <c r="K27" s="409">
        <f t="shared" si="0"/>
        <v>77.777777777777786</v>
      </c>
      <c r="L27" s="409">
        <f t="shared" si="1"/>
        <v>0</v>
      </c>
      <c r="M27" s="409">
        <f t="shared" si="2"/>
        <v>22.222222222222221</v>
      </c>
      <c r="N27" s="412">
        <f t="shared" si="3"/>
        <v>100</v>
      </c>
      <c r="O27" s="408">
        <v>42.7</v>
      </c>
      <c r="P27" s="409"/>
      <c r="Q27" s="409">
        <v>12.4</v>
      </c>
      <c r="R27" s="410">
        <f t="shared" si="4"/>
        <v>55.1</v>
      </c>
      <c r="S27" s="452">
        <v>3</v>
      </c>
      <c r="T27" s="839"/>
      <c r="U27" s="852"/>
      <c r="V27" s="82" t="s">
        <v>1118</v>
      </c>
      <c r="W27" s="208" t="s">
        <v>79</v>
      </c>
      <c r="X27" s="208" t="s">
        <v>11</v>
      </c>
      <c r="Y27" s="83">
        <v>38.299999999999997</v>
      </c>
      <c r="Z27" s="208" t="s">
        <v>1113</v>
      </c>
      <c r="AA27" s="208" t="s">
        <v>872</v>
      </c>
      <c r="AB27" s="208" t="s">
        <v>12</v>
      </c>
      <c r="AC27" s="208">
        <v>12.4</v>
      </c>
      <c r="AD27" s="82" t="s">
        <v>1112</v>
      </c>
      <c r="AE27" s="208" t="s">
        <v>74</v>
      </c>
      <c r="AF27" s="208" t="s">
        <v>11</v>
      </c>
      <c r="AG27" s="83">
        <v>4.4000000000000004</v>
      </c>
      <c r="AL27" s="82"/>
      <c r="AO27" s="83"/>
      <c r="AP27" s="82"/>
      <c r="AS27" s="83"/>
      <c r="AW27" s="83"/>
      <c r="BA27" s="84"/>
    </row>
    <row r="28" spans="1:53" s="208" customFormat="1">
      <c r="A28" s="452">
        <v>2000</v>
      </c>
      <c r="B28" s="852"/>
      <c r="C28" s="917" t="s">
        <v>1116</v>
      </c>
      <c r="D28" s="917"/>
      <c r="E28" s="452">
        <v>366</v>
      </c>
      <c r="F28" s="452"/>
      <c r="G28" s="411">
        <v>14</v>
      </c>
      <c r="H28" s="452"/>
      <c r="I28" s="452">
        <v>4</v>
      </c>
      <c r="J28" s="413">
        <v>18</v>
      </c>
      <c r="K28" s="409">
        <f t="shared" si="0"/>
        <v>77.777777777777786</v>
      </c>
      <c r="L28" s="409">
        <f t="shared" si="1"/>
        <v>0</v>
      </c>
      <c r="M28" s="409">
        <f t="shared" si="2"/>
        <v>22.222222222222221</v>
      </c>
      <c r="N28" s="412">
        <f t="shared" si="3"/>
        <v>100</v>
      </c>
      <c r="O28" s="408">
        <v>42.7</v>
      </c>
      <c r="P28" s="409"/>
      <c r="Q28" s="409">
        <v>12.4</v>
      </c>
      <c r="R28" s="410">
        <f t="shared" si="4"/>
        <v>55.1</v>
      </c>
      <c r="S28" s="452">
        <v>3</v>
      </c>
      <c r="T28" s="839"/>
      <c r="U28" s="852"/>
      <c r="V28" s="82" t="s">
        <v>1118</v>
      </c>
      <c r="W28" s="208" t="s">
        <v>79</v>
      </c>
      <c r="X28" s="208" t="s">
        <v>11</v>
      </c>
      <c r="Y28" s="83">
        <v>38.299999999999997</v>
      </c>
      <c r="Z28" s="208" t="s">
        <v>1113</v>
      </c>
      <c r="AA28" s="208" t="s">
        <v>872</v>
      </c>
      <c r="AB28" s="208" t="s">
        <v>12</v>
      </c>
      <c r="AC28" s="208">
        <v>12.4</v>
      </c>
      <c r="AD28" s="82" t="s">
        <v>1112</v>
      </c>
      <c r="AE28" s="208" t="s">
        <v>74</v>
      </c>
      <c r="AF28" s="208" t="s">
        <v>11</v>
      </c>
      <c r="AG28" s="83">
        <v>4.4000000000000004</v>
      </c>
      <c r="AL28" s="82"/>
      <c r="AO28" s="83"/>
      <c r="AP28" s="82"/>
      <c r="AS28" s="83"/>
      <c r="AW28" s="83"/>
      <c r="BA28" s="84"/>
    </row>
    <row r="29" spans="1:53" s="208" customFormat="1">
      <c r="A29" s="452">
        <v>2001</v>
      </c>
      <c r="B29" s="860">
        <v>36892</v>
      </c>
      <c r="C29" s="917" t="s">
        <v>1116</v>
      </c>
      <c r="D29" s="917"/>
      <c r="E29" s="452">
        <v>0</v>
      </c>
      <c r="F29" s="414">
        <v>0</v>
      </c>
      <c r="G29" s="411">
        <v>14</v>
      </c>
      <c r="H29" s="452"/>
      <c r="I29" s="452">
        <v>4</v>
      </c>
      <c r="J29" s="413">
        <v>18</v>
      </c>
      <c r="K29" s="409">
        <f t="shared" si="0"/>
        <v>77.777777777777786</v>
      </c>
      <c r="L29" s="409">
        <f t="shared" si="1"/>
        <v>0</v>
      </c>
      <c r="M29" s="409">
        <f t="shared" si="2"/>
        <v>22.222222222222221</v>
      </c>
      <c r="N29" s="412">
        <f t="shared" si="3"/>
        <v>100</v>
      </c>
      <c r="O29" s="408">
        <v>42.7</v>
      </c>
      <c r="P29" s="409"/>
      <c r="Q29" s="409">
        <v>12.4</v>
      </c>
      <c r="R29" s="410">
        <f t="shared" si="4"/>
        <v>55.1</v>
      </c>
      <c r="S29" s="452">
        <v>3</v>
      </c>
      <c r="T29" s="839"/>
      <c r="U29" s="852"/>
      <c r="V29" s="82" t="s">
        <v>1118</v>
      </c>
      <c r="W29" s="208" t="s">
        <v>79</v>
      </c>
      <c r="X29" s="208" t="s">
        <v>11</v>
      </c>
      <c r="Y29" s="83">
        <v>38.299999999999997</v>
      </c>
      <c r="Z29" s="208" t="s">
        <v>1113</v>
      </c>
      <c r="AA29" s="208" t="s">
        <v>872</v>
      </c>
      <c r="AB29" s="208" t="s">
        <v>12</v>
      </c>
      <c r="AC29" s="208">
        <v>12.4</v>
      </c>
      <c r="AD29" s="82" t="s">
        <v>1112</v>
      </c>
      <c r="AE29" s="208" t="s">
        <v>74</v>
      </c>
      <c r="AF29" s="208" t="s">
        <v>11</v>
      </c>
      <c r="AG29" s="83">
        <v>4.4000000000000004</v>
      </c>
      <c r="AL29" s="82"/>
      <c r="AO29" s="83"/>
      <c r="AP29" s="82"/>
      <c r="AS29" s="83"/>
      <c r="AW29" s="83"/>
      <c r="BA29" s="84"/>
    </row>
    <row r="30" spans="1:53" s="208" customFormat="1">
      <c r="A30" s="452">
        <v>2001</v>
      </c>
      <c r="B30" s="852"/>
      <c r="C30" s="917" t="s">
        <v>1116</v>
      </c>
      <c r="D30" s="917"/>
      <c r="E30" s="452">
        <v>365</v>
      </c>
      <c r="F30" s="452"/>
      <c r="G30" s="411">
        <v>14</v>
      </c>
      <c r="H30" s="452"/>
      <c r="I30" s="452">
        <v>4</v>
      </c>
      <c r="J30" s="413">
        <v>18</v>
      </c>
      <c r="K30" s="409">
        <f t="shared" si="0"/>
        <v>77.777777777777786</v>
      </c>
      <c r="L30" s="409">
        <f t="shared" si="1"/>
        <v>0</v>
      </c>
      <c r="M30" s="409">
        <f t="shared" si="2"/>
        <v>22.222222222222221</v>
      </c>
      <c r="N30" s="412">
        <f t="shared" si="3"/>
        <v>100</v>
      </c>
      <c r="O30" s="408">
        <v>42.7</v>
      </c>
      <c r="P30" s="409"/>
      <c r="Q30" s="409">
        <v>12.4</v>
      </c>
      <c r="R30" s="410">
        <f t="shared" si="4"/>
        <v>55.1</v>
      </c>
      <c r="S30" s="452">
        <v>3</v>
      </c>
      <c r="T30" s="839"/>
      <c r="U30" s="852"/>
      <c r="V30" s="82" t="s">
        <v>1118</v>
      </c>
      <c r="W30" s="208" t="s">
        <v>79</v>
      </c>
      <c r="X30" s="208" t="s">
        <v>11</v>
      </c>
      <c r="Y30" s="83">
        <v>38.299999999999997</v>
      </c>
      <c r="Z30" s="208" t="s">
        <v>1113</v>
      </c>
      <c r="AA30" s="208" t="s">
        <v>872</v>
      </c>
      <c r="AB30" s="208" t="s">
        <v>12</v>
      </c>
      <c r="AC30" s="208">
        <v>12.4</v>
      </c>
      <c r="AD30" s="82" t="s">
        <v>1112</v>
      </c>
      <c r="AE30" s="208" t="s">
        <v>74</v>
      </c>
      <c r="AF30" s="208" t="s">
        <v>11</v>
      </c>
      <c r="AG30" s="83">
        <v>4.4000000000000004</v>
      </c>
      <c r="AL30" s="82"/>
      <c r="AO30" s="83"/>
      <c r="AP30" s="82"/>
      <c r="AS30" s="83"/>
      <c r="AW30" s="83"/>
      <c r="BA30" s="84"/>
    </row>
    <row r="31" spans="1:53" s="208" customFormat="1">
      <c r="A31" s="452">
        <v>2002</v>
      </c>
      <c r="B31" s="852"/>
      <c r="C31" s="917" t="s">
        <v>1116</v>
      </c>
      <c r="D31" s="917"/>
      <c r="E31" s="452">
        <v>146</v>
      </c>
      <c r="F31" s="452"/>
      <c r="G31" s="411">
        <v>14</v>
      </c>
      <c r="H31" s="452"/>
      <c r="I31" s="452">
        <v>4</v>
      </c>
      <c r="J31" s="413">
        <v>18</v>
      </c>
      <c r="K31" s="409">
        <f t="shared" si="0"/>
        <v>77.777777777777786</v>
      </c>
      <c r="L31" s="409">
        <f t="shared" si="1"/>
        <v>0</v>
      </c>
      <c r="M31" s="409">
        <f t="shared" si="2"/>
        <v>22.222222222222221</v>
      </c>
      <c r="N31" s="412">
        <f t="shared" si="3"/>
        <v>100</v>
      </c>
      <c r="O31" s="408">
        <v>42.7</v>
      </c>
      <c r="P31" s="409"/>
      <c r="Q31" s="409">
        <v>12.4</v>
      </c>
      <c r="R31" s="410">
        <f t="shared" si="4"/>
        <v>55.1</v>
      </c>
      <c r="S31" s="452">
        <v>3</v>
      </c>
      <c r="T31" s="839"/>
      <c r="U31" s="852"/>
      <c r="V31" s="82" t="s">
        <v>1118</v>
      </c>
      <c r="W31" s="208" t="s">
        <v>79</v>
      </c>
      <c r="X31" s="208" t="s">
        <v>11</v>
      </c>
      <c r="Y31" s="83">
        <v>38.299999999999997</v>
      </c>
      <c r="Z31" s="208" t="s">
        <v>1113</v>
      </c>
      <c r="AA31" s="208" t="s">
        <v>872</v>
      </c>
      <c r="AB31" s="208" t="s">
        <v>12</v>
      </c>
      <c r="AC31" s="208">
        <v>12.4</v>
      </c>
      <c r="AD31" s="82" t="s">
        <v>1112</v>
      </c>
      <c r="AE31" s="208" t="s">
        <v>74</v>
      </c>
      <c r="AF31" s="208" t="s">
        <v>11</v>
      </c>
      <c r="AG31" s="83">
        <v>4.4000000000000004</v>
      </c>
      <c r="AL31" s="82"/>
      <c r="AO31" s="83"/>
      <c r="AP31" s="82"/>
      <c r="AS31" s="83"/>
      <c r="AW31" s="83"/>
      <c r="BA31" s="84"/>
    </row>
    <row r="32" spans="1:53" s="292" customFormat="1">
      <c r="A32" s="453">
        <v>2002</v>
      </c>
      <c r="B32" s="836">
        <v>37403</v>
      </c>
      <c r="C32" s="916" t="s">
        <v>1107</v>
      </c>
      <c r="D32" s="916"/>
      <c r="E32" s="453">
        <v>219</v>
      </c>
      <c r="F32" s="453">
        <v>1</v>
      </c>
      <c r="G32" s="425">
        <v>4</v>
      </c>
      <c r="H32" s="453"/>
      <c r="I32" s="453">
        <v>11</v>
      </c>
      <c r="J32" s="427">
        <v>15</v>
      </c>
      <c r="K32" s="423">
        <f t="shared" si="0"/>
        <v>26.666666666666668</v>
      </c>
      <c r="L32" s="423">
        <f t="shared" si="1"/>
        <v>0</v>
      </c>
      <c r="M32" s="423">
        <f t="shared" si="2"/>
        <v>73.333333333333329</v>
      </c>
      <c r="N32" s="426">
        <f t="shared" si="3"/>
        <v>100</v>
      </c>
      <c r="O32" s="422">
        <v>5.2</v>
      </c>
      <c r="P32" s="423"/>
      <c r="Q32" s="423">
        <v>46.1</v>
      </c>
      <c r="R32" s="424">
        <f t="shared" si="4"/>
        <v>51.300000000000004</v>
      </c>
      <c r="S32" s="453">
        <v>2</v>
      </c>
      <c r="T32" s="838">
        <v>37367</v>
      </c>
      <c r="U32" s="836">
        <v>37403</v>
      </c>
      <c r="V32" s="299" t="s">
        <v>1115</v>
      </c>
      <c r="W32" s="292" t="s">
        <v>20</v>
      </c>
      <c r="X32" s="292" t="s">
        <v>12</v>
      </c>
      <c r="Y32" s="300">
        <v>46.1</v>
      </c>
      <c r="Z32" s="292" t="s">
        <v>1119</v>
      </c>
      <c r="AA32" s="292" t="s">
        <v>22</v>
      </c>
      <c r="AB32" s="292" t="s">
        <v>11</v>
      </c>
      <c r="AC32" s="292">
        <v>5.2</v>
      </c>
      <c r="AD32" s="299"/>
      <c r="AG32" s="300"/>
      <c r="AL32" s="299"/>
      <c r="AO32" s="300"/>
      <c r="AP32" s="299"/>
      <c r="AS32" s="300"/>
      <c r="AW32" s="300"/>
      <c r="BA32" s="301"/>
    </row>
    <row r="33" spans="1:53" s="292" customFormat="1">
      <c r="A33" s="453">
        <v>2003</v>
      </c>
      <c r="B33" s="836"/>
      <c r="C33" s="916" t="s">
        <v>1107</v>
      </c>
      <c r="D33" s="916"/>
      <c r="E33" s="453">
        <v>134</v>
      </c>
      <c r="F33" s="453"/>
      <c r="G33" s="425">
        <v>4</v>
      </c>
      <c r="H33" s="453"/>
      <c r="I33" s="453">
        <v>11</v>
      </c>
      <c r="J33" s="427">
        <v>15</v>
      </c>
      <c r="K33" s="423">
        <f t="shared" si="0"/>
        <v>26.666666666666668</v>
      </c>
      <c r="L33" s="423">
        <f t="shared" si="1"/>
        <v>0</v>
      </c>
      <c r="M33" s="423">
        <f t="shared" si="2"/>
        <v>73.333333333333329</v>
      </c>
      <c r="N33" s="426">
        <f t="shared" si="3"/>
        <v>100</v>
      </c>
      <c r="O33" s="422">
        <v>5.2</v>
      </c>
      <c r="P33" s="423"/>
      <c r="Q33" s="423">
        <v>46.1</v>
      </c>
      <c r="R33" s="424">
        <f t="shared" si="4"/>
        <v>51.300000000000004</v>
      </c>
      <c r="S33" s="453">
        <v>2</v>
      </c>
      <c r="T33" s="838"/>
      <c r="U33" s="836"/>
      <c r="V33" s="299" t="s">
        <v>1115</v>
      </c>
      <c r="W33" s="292" t="s">
        <v>20</v>
      </c>
      <c r="X33" s="292" t="s">
        <v>12</v>
      </c>
      <c r="Y33" s="300">
        <v>46.1</v>
      </c>
      <c r="Z33" s="292" t="s">
        <v>1119</v>
      </c>
      <c r="AA33" s="292" t="s">
        <v>22</v>
      </c>
      <c r="AB33" s="292" t="s">
        <v>11</v>
      </c>
      <c r="AC33" s="292">
        <v>5.2</v>
      </c>
      <c r="AD33" s="299"/>
      <c r="AG33" s="300"/>
      <c r="AL33" s="299"/>
      <c r="AO33" s="300"/>
      <c r="AP33" s="299"/>
      <c r="AS33" s="300"/>
      <c r="AW33" s="300"/>
      <c r="BA33" s="301"/>
    </row>
    <row r="34" spans="1:53" s="292" customFormat="1">
      <c r="A34" s="453">
        <v>2003</v>
      </c>
      <c r="B34" s="865">
        <v>37756</v>
      </c>
      <c r="C34" s="916" t="s">
        <v>1107</v>
      </c>
      <c r="D34" s="916"/>
      <c r="E34" s="453">
        <v>231</v>
      </c>
      <c r="F34" s="428">
        <v>0</v>
      </c>
      <c r="G34" s="425">
        <v>4</v>
      </c>
      <c r="H34" s="453"/>
      <c r="I34" s="453">
        <v>13</v>
      </c>
      <c r="J34" s="427">
        <v>17</v>
      </c>
      <c r="K34" s="423">
        <f t="shared" si="0"/>
        <v>23.52941176470588</v>
      </c>
      <c r="L34" s="423">
        <f t="shared" si="1"/>
        <v>0</v>
      </c>
      <c r="M34" s="423">
        <f t="shared" si="2"/>
        <v>76.470588235294116</v>
      </c>
      <c r="N34" s="426">
        <f t="shared" si="3"/>
        <v>100</v>
      </c>
      <c r="O34" s="422">
        <v>5.2</v>
      </c>
      <c r="P34" s="423"/>
      <c r="Q34" s="423">
        <v>46.1</v>
      </c>
      <c r="R34" s="424">
        <f t="shared" si="4"/>
        <v>51.300000000000004</v>
      </c>
      <c r="S34" s="453">
        <v>2</v>
      </c>
      <c r="T34" s="838"/>
      <c r="U34" s="836"/>
      <c r="V34" s="299" t="s">
        <v>1115</v>
      </c>
      <c r="W34" s="292" t="s">
        <v>20</v>
      </c>
      <c r="X34" s="292" t="s">
        <v>12</v>
      </c>
      <c r="Y34" s="300">
        <v>46.1</v>
      </c>
      <c r="Z34" s="292" t="s">
        <v>1119</v>
      </c>
      <c r="AA34" s="292" t="s">
        <v>22</v>
      </c>
      <c r="AB34" s="292" t="s">
        <v>11</v>
      </c>
      <c r="AC34" s="292">
        <v>5.2</v>
      </c>
      <c r="AD34" s="299"/>
      <c r="AG34" s="300"/>
      <c r="AL34" s="299"/>
      <c r="AO34" s="300"/>
      <c r="AP34" s="299"/>
      <c r="AS34" s="300"/>
      <c r="AW34" s="300"/>
      <c r="BA34" s="301"/>
    </row>
    <row r="35" spans="1:53" s="292" customFormat="1">
      <c r="A35" s="453">
        <v>2004</v>
      </c>
      <c r="B35" s="836"/>
      <c r="C35" s="916" t="s">
        <v>1107</v>
      </c>
      <c r="D35" s="916"/>
      <c r="E35" s="453">
        <v>272</v>
      </c>
      <c r="F35" s="453"/>
      <c r="G35" s="425">
        <v>4</v>
      </c>
      <c r="H35" s="453"/>
      <c r="I35" s="453">
        <v>13</v>
      </c>
      <c r="J35" s="427">
        <v>17</v>
      </c>
      <c r="K35" s="423">
        <f t="shared" si="0"/>
        <v>23.52941176470588</v>
      </c>
      <c r="L35" s="423">
        <f t="shared" si="1"/>
        <v>0</v>
      </c>
      <c r="M35" s="423">
        <f t="shared" si="2"/>
        <v>76.470588235294116</v>
      </c>
      <c r="N35" s="426">
        <f t="shared" si="3"/>
        <v>100</v>
      </c>
      <c r="O35" s="422">
        <v>5.2</v>
      </c>
      <c r="P35" s="423"/>
      <c r="Q35" s="423">
        <v>46.1</v>
      </c>
      <c r="R35" s="424">
        <f t="shared" si="4"/>
        <v>51.300000000000004</v>
      </c>
      <c r="S35" s="453">
        <v>2</v>
      </c>
      <c r="T35" s="838"/>
      <c r="U35" s="836"/>
      <c r="V35" s="299" t="s">
        <v>1115</v>
      </c>
      <c r="W35" s="292" t="s">
        <v>20</v>
      </c>
      <c r="X35" s="292" t="s">
        <v>12</v>
      </c>
      <c r="Y35" s="300">
        <v>46.1</v>
      </c>
      <c r="Z35" s="292" t="s">
        <v>1119</v>
      </c>
      <c r="AA35" s="292" t="s">
        <v>22</v>
      </c>
      <c r="AB35" s="292" t="s">
        <v>11</v>
      </c>
      <c r="AC35" s="292">
        <v>5.2</v>
      </c>
      <c r="AD35" s="299"/>
      <c r="AG35" s="300"/>
      <c r="AL35" s="299"/>
      <c r="AO35" s="300"/>
      <c r="AP35" s="299"/>
      <c r="AS35" s="300"/>
      <c r="AW35" s="300"/>
      <c r="BA35" s="301"/>
    </row>
    <row r="36" spans="1:53" s="208" customFormat="1">
      <c r="A36" s="452">
        <v>2004</v>
      </c>
      <c r="B36" s="830">
        <v>38259</v>
      </c>
      <c r="C36" s="917" t="s">
        <v>1108</v>
      </c>
      <c r="D36" s="917"/>
      <c r="E36" s="452">
        <v>94</v>
      </c>
      <c r="F36" s="452">
        <v>2</v>
      </c>
      <c r="G36" s="459">
        <v>4</v>
      </c>
      <c r="H36" s="286"/>
      <c r="I36" s="286">
        <v>14</v>
      </c>
      <c r="J36" s="460">
        <v>18</v>
      </c>
      <c r="K36" s="409">
        <f t="shared" si="0"/>
        <v>22.222222222222221</v>
      </c>
      <c r="L36" s="409">
        <f t="shared" si="1"/>
        <v>0</v>
      </c>
      <c r="M36" s="409">
        <f t="shared" si="2"/>
        <v>77.777777777777786</v>
      </c>
      <c r="N36" s="412">
        <f t="shared" si="3"/>
        <v>100</v>
      </c>
      <c r="O36" s="408">
        <v>5.2</v>
      </c>
      <c r="P36" s="409"/>
      <c r="Q36" s="409">
        <v>46.1</v>
      </c>
      <c r="R36" s="410">
        <f>SUM(O36:Q36)</f>
        <v>51.300000000000004</v>
      </c>
      <c r="S36" s="452">
        <v>2</v>
      </c>
      <c r="T36" s="839"/>
      <c r="U36" s="852">
        <v>38259</v>
      </c>
      <c r="V36" s="82" t="s">
        <v>1115</v>
      </c>
      <c r="W36" s="208" t="s">
        <v>20</v>
      </c>
      <c r="X36" s="208" t="s">
        <v>12</v>
      </c>
      <c r="Y36" s="83">
        <v>46.1</v>
      </c>
      <c r="Z36" s="208" t="s">
        <v>1119</v>
      </c>
      <c r="AA36" s="208" t="s">
        <v>22</v>
      </c>
      <c r="AB36" s="208" t="s">
        <v>11</v>
      </c>
      <c r="AC36" s="208">
        <v>5.2</v>
      </c>
      <c r="AD36" s="82"/>
      <c r="AG36" s="83"/>
      <c r="AL36" s="82"/>
      <c r="AO36" s="83"/>
      <c r="AP36" s="82"/>
      <c r="AS36" s="83"/>
      <c r="AW36" s="83"/>
      <c r="BA36" s="84"/>
    </row>
    <row r="37" spans="1:53" s="208" customFormat="1">
      <c r="A37" s="452">
        <v>2005</v>
      </c>
      <c r="B37" s="830"/>
      <c r="C37" s="917" t="s">
        <v>1108</v>
      </c>
      <c r="D37" s="917"/>
      <c r="E37" s="452">
        <v>0</v>
      </c>
      <c r="F37" s="452"/>
      <c r="G37" s="459">
        <v>4</v>
      </c>
      <c r="H37" s="286"/>
      <c r="I37" s="286">
        <v>14</v>
      </c>
      <c r="J37" s="460">
        <v>18</v>
      </c>
      <c r="K37" s="409">
        <f t="shared" si="0"/>
        <v>22.222222222222221</v>
      </c>
      <c r="L37" s="409">
        <f t="shared" si="1"/>
        <v>0</v>
      </c>
      <c r="M37" s="409">
        <f t="shared" si="2"/>
        <v>77.777777777777786</v>
      </c>
      <c r="N37" s="412">
        <f t="shared" si="3"/>
        <v>100</v>
      </c>
      <c r="O37" s="408">
        <v>5.2</v>
      </c>
      <c r="P37" s="409"/>
      <c r="Q37" s="409">
        <v>46.1</v>
      </c>
      <c r="R37" s="410">
        <f t="shared" ref="R37:R56" si="5">SUM(O37:Q37)</f>
        <v>51.300000000000004</v>
      </c>
      <c r="S37" s="452">
        <v>2</v>
      </c>
      <c r="T37" s="839"/>
      <c r="U37" s="852"/>
      <c r="V37" s="82" t="s">
        <v>1115</v>
      </c>
      <c r="W37" s="208" t="s">
        <v>20</v>
      </c>
      <c r="X37" s="208" t="s">
        <v>12</v>
      </c>
      <c r="Y37" s="83">
        <v>46.1</v>
      </c>
      <c r="Z37" s="208" t="s">
        <v>1119</v>
      </c>
      <c r="AA37" s="208" t="s">
        <v>22</v>
      </c>
      <c r="AB37" s="208" t="s">
        <v>11</v>
      </c>
      <c r="AC37" s="208">
        <v>5.2</v>
      </c>
      <c r="AD37" s="82"/>
      <c r="AG37" s="83"/>
      <c r="AL37" s="82"/>
      <c r="AO37" s="83"/>
      <c r="AP37" s="82"/>
      <c r="AS37" s="83"/>
      <c r="AW37" s="83"/>
      <c r="BA37" s="84"/>
    </row>
    <row r="38" spans="1:53" s="208" customFormat="1">
      <c r="A38" s="452">
        <v>2005</v>
      </c>
      <c r="B38" s="830"/>
      <c r="C38" s="917" t="s">
        <v>1108</v>
      </c>
      <c r="D38" s="917"/>
      <c r="E38" s="452">
        <v>365</v>
      </c>
      <c r="F38" s="452"/>
      <c r="G38" s="459">
        <v>4</v>
      </c>
      <c r="H38" s="286"/>
      <c r="I38" s="286">
        <v>14</v>
      </c>
      <c r="J38" s="460">
        <v>18</v>
      </c>
      <c r="K38" s="409">
        <f t="shared" si="0"/>
        <v>22.222222222222221</v>
      </c>
      <c r="L38" s="409">
        <f t="shared" si="1"/>
        <v>0</v>
      </c>
      <c r="M38" s="409">
        <f t="shared" si="2"/>
        <v>77.777777777777786</v>
      </c>
      <c r="N38" s="412">
        <f t="shared" si="3"/>
        <v>100</v>
      </c>
      <c r="O38" s="408">
        <v>5.2</v>
      </c>
      <c r="P38" s="409"/>
      <c r="Q38" s="409">
        <v>46.1</v>
      </c>
      <c r="R38" s="410">
        <f t="shared" si="5"/>
        <v>51.300000000000004</v>
      </c>
      <c r="S38" s="452">
        <v>2</v>
      </c>
      <c r="T38" s="839"/>
      <c r="U38" s="852"/>
      <c r="V38" s="82" t="s">
        <v>1115</v>
      </c>
      <c r="W38" s="208" t="s">
        <v>20</v>
      </c>
      <c r="X38" s="208" t="s">
        <v>12</v>
      </c>
      <c r="Y38" s="83">
        <v>46.1</v>
      </c>
      <c r="Z38" s="208" t="s">
        <v>1119</v>
      </c>
      <c r="AA38" s="208" t="s">
        <v>22</v>
      </c>
      <c r="AB38" s="208" t="s">
        <v>11</v>
      </c>
      <c r="AC38" s="208">
        <v>5.2</v>
      </c>
      <c r="AD38" s="82"/>
      <c r="AG38" s="83"/>
      <c r="AL38" s="82"/>
      <c r="AO38" s="83"/>
      <c r="AP38" s="82"/>
      <c r="AS38" s="83"/>
      <c r="AW38" s="83"/>
      <c r="BA38" s="84"/>
    </row>
    <row r="39" spans="1:53" s="208" customFormat="1">
      <c r="A39" s="452">
        <v>2006</v>
      </c>
      <c r="B39" s="830"/>
      <c r="C39" s="917" t="s">
        <v>1108</v>
      </c>
      <c r="D39" s="917"/>
      <c r="E39" s="452">
        <v>159</v>
      </c>
      <c r="F39" s="452"/>
      <c r="G39" s="459">
        <v>4</v>
      </c>
      <c r="H39" s="286"/>
      <c r="I39" s="286">
        <v>14</v>
      </c>
      <c r="J39" s="460">
        <v>18</v>
      </c>
      <c r="K39" s="409">
        <f t="shared" si="0"/>
        <v>22.222222222222221</v>
      </c>
      <c r="L39" s="409">
        <f t="shared" si="1"/>
        <v>0</v>
      </c>
      <c r="M39" s="409">
        <f t="shared" si="2"/>
        <v>77.777777777777786</v>
      </c>
      <c r="N39" s="412">
        <f t="shared" si="3"/>
        <v>100</v>
      </c>
      <c r="O39" s="408">
        <v>5.2</v>
      </c>
      <c r="P39" s="409"/>
      <c r="Q39" s="409">
        <v>46.1</v>
      </c>
      <c r="R39" s="410">
        <f t="shared" si="5"/>
        <v>51.300000000000004</v>
      </c>
      <c r="S39" s="452">
        <v>2</v>
      </c>
      <c r="T39" s="839"/>
      <c r="U39" s="852"/>
      <c r="V39" s="82" t="s">
        <v>1115</v>
      </c>
      <c r="W39" s="208" t="s">
        <v>20</v>
      </c>
      <c r="X39" s="208" t="s">
        <v>12</v>
      </c>
      <c r="Y39" s="83">
        <v>46.1</v>
      </c>
      <c r="Z39" s="208" t="s">
        <v>1119</v>
      </c>
      <c r="AA39" s="208" t="s">
        <v>22</v>
      </c>
      <c r="AB39" s="208" t="s">
        <v>11</v>
      </c>
      <c r="AC39" s="208">
        <v>5.2</v>
      </c>
      <c r="AD39" s="82"/>
      <c r="AG39" s="83"/>
      <c r="AL39" s="82"/>
      <c r="AO39" s="83"/>
      <c r="AP39" s="82"/>
      <c r="AS39" s="83"/>
      <c r="AW39" s="83"/>
      <c r="BA39" s="84"/>
    </row>
    <row r="40" spans="1:53" s="292" customFormat="1">
      <c r="A40" s="453">
        <v>2006</v>
      </c>
      <c r="B40" s="863">
        <v>38877</v>
      </c>
      <c r="C40" s="916" t="s">
        <v>1109</v>
      </c>
      <c r="D40" s="916"/>
      <c r="E40" s="453">
        <v>206</v>
      </c>
      <c r="F40" s="453">
        <v>1</v>
      </c>
      <c r="G40" s="461">
        <v>3</v>
      </c>
      <c r="H40" s="462"/>
      <c r="I40" s="462">
        <v>10</v>
      </c>
      <c r="J40" s="463">
        <v>13</v>
      </c>
      <c r="K40" s="423">
        <f t="shared" si="0"/>
        <v>23.076923076923077</v>
      </c>
      <c r="L40" s="423">
        <f t="shared" si="1"/>
        <v>0</v>
      </c>
      <c r="M40" s="423">
        <f t="shared" si="2"/>
        <v>76.923076923076934</v>
      </c>
      <c r="N40" s="426">
        <f t="shared" si="3"/>
        <v>100.00000000000001</v>
      </c>
      <c r="O40" s="422">
        <v>5.3</v>
      </c>
      <c r="P40" s="423"/>
      <c r="Q40" s="423">
        <v>49.2</v>
      </c>
      <c r="R40" s="424">
        <f t="shared" si="5"/>
        <v>54.5</v>
      </c>
      <c r="S40" s="453">
        <v>2</v>
      </c>
      <c r="T40" s="838">
        <v>38830</v>
      </c>
      <c r="U40" s="836">
        <v>38877</v>
      </c>
      <c r="V40" s="299" t="s">
        <v>1115</v>
      </c>
      <c r="W40" s="292" t="s">
        <v>20</v>
      </c>
      <c r="X40" s="292" t="s">
        <v>12</v>
      </c>
      <c r="Y40" s="300">
        <v>49.2</v>
      </c>
      <c r="Z40" s="292" t="s">
        <v>1119</v>
      </c>
      <c r="AA40" s="292" t="s">
        <v>22</v>
      </c>
      <c r="AB40" s="292" t="s">
        <v>11</v>
      </c>
      <c r="AC40" s="292">
        <v>5.2</v>
      </c>
      <c r="AD40" s="299"/>
      <c r="AG40" s="300"/>
      <c r="AL40" s="299"/>
      <c r="AO40" s="300"/>
      <c r="AP40" s="299"/>
      <c r="AS40" s="300"/>
      <c r="AW40" s="300"/>
      <c r="BA40" s="301"/>
    </row>
    <row r="41" spans="1:53" s="292" customFormat="1">
      <c r="A41" s="453">
        <v>2007</v>
      </c>
      <c r="B41" s="863"/>
      <c r="C41" s="916" t="s">
        <v>1109</v>
      </c>
      <c r="D41" s="916"/>
      <c r="E41" s="453">
        <v>181</v>
      </c>
      <c r="F41" s="453"/>
      <c r="G41" s="461">
        <v>3</v>
      </c>
      <c r="H41" s="462"/>
      <c r="I41" s="462">
        <v>10</v>
      </c>
      <c r="J41" s="463">
        <v>13</v>
      </c>
      <c r="K41" s="423">
        <f t="shared" si="0"/>
        <v>23.076923076923077</v>
      </c>
      <c r="L41" s="423">
        <f t="shared" si="1"/>
        <v>0</v>
      </c>
      <c r="M41" s="423">
        <f t="shared" si="2"/>
        <v>76.923076923076934</v>
      </c>
      <c r="N41" s="426">
        <f t="shared" si="3"/>
        <v>100.00000000000001</v>
      </c>
      <c r="O41" s="422">
        <v>5.3</v>
      </c>
      <c r="P41" s="423"/>
      <c r="Q41" s="423">
        <v>49.2</v>
      </c>
      <c r="R41" s="424">
        <f t="shared" si="5"/>
        <v>54.5</v>
      </c>
      <c r="S41" s="453">
        <v>2</v>
      </c>
      <c r="T41" s="838"/>
      <c r="U41" s="836"/>
      <c r="V41" s="299" t="s">
        <v>1115</v>
      </c>
      <c r="W41" s="292" t="s">
        <v>20</v>
      </c>
      <c r="X41" s="292" t="s">
        <v>12</v>
      </c>
      <c r="Y41" s="300">
        <v>49.2</v>
      </c>
      <c r="Z41" s="292" t="s">
        <v>1119</v>
      </c>
      <c r="AA41" s="292" t="s">
        <v>22</v>
      </c>
      <c r="AB41" s="292" t="s">
        <v>11</v>
      </c>
      <c r="AC41" s="292">
        <v>5.2</v>
      </c>
      <c r="AD41" s="299"/>
      <c r="AG41" s="300"/>
      <c r="AL41" s="299"/>
      <c r="AO41" s="300"/>
      <c r="AP41" s="299"/>
      <c r="AS41" s="300"/>
      <c r="AW41" s="300"/>
      <c r="BA41" s="301"/>
    </row>
    <row r="42" spans="1:53" s="292" customFormat="1">
      <c r="A42" s="453">
        <v>2007</v>
      </c>
      <c r="B42" s="862">
        <v>39264</v>
      </c>
      <c r="C42" s="916" t="s">
        <v>1109</v>
      </c>
      <c r="D42" s="916"/>
      <c r="E42" s="453">
        <v>184</v>
      </c>
      <c r="F42" s="428">
        <v>0</v>
      </c>
      <c r="G42" s="461">
        <v>3</v>
      </c>
      <c r="H42" s="462"/>
      <c r="I42" s="462">
        <v>12</v>
      </c>
      <c r="J42" s="463">
        <v>15</v>
      </c>
      <c r="K42" s="423">
        <f t="shared" si="0"/>
        <v>20</v>
      </c>
      <c r="L42" s="423">
        <f>H42/J42*100</f>
        <v>0</v>
      </c>
      <c r="M42" s="423">
        <f t="shared" si="2"/>
        <v>80</v>
      </c>
      <c r="N42" s="426">
        <f t="shared" si="3"/>
        <v>100</v>
      </c>
      <c r="O42" s="422">
        <v>5.3</v>
      </c>
      <c r="P42" s="423"/>
      <c r="Q42" s="423">
        <v>49.2</v>
      </c>
      <c r="R42" s="424">
        <f t="shared" si="5"/>
        <v>54.5</v>
      </c>
      <c r="S42" s="453">
        <v>2</v>
      </c>
      <c r="T42" s="838"/>
      <c r="U42" s="836"/>
      <c r="V42" s="299" t="s">
        <v>1115</v>
      </c>
      <c r="W42" s="292" t="s">
        <v>20</v>
      </c>
      <c r="X42" s="292" t="s">
        <v>12</v>
      </c>
      <c r="Y42" s="300">
        <v>49.2</v>
      </c>
      <c r="Z42" s="292" t="s">
        <v>1119</v>
      </c>
      <c r="AA42" s="292" t="s">
        <v>22</v>
      </c>
      <c r="AB42" s="292" t="s">
        <v>11</v>
      </c>
      <c r="AC42" s="292">
        <v>5.2</v>
      </c>
      <c r="AD42" s="299"/>
      <c r="AG42" s="300"/>
      <c r="AL42" s="299"/>
      <c r="AO42" s="300"/>
      <c r="AP42" s="299"/>
      <c r="AS42" s="300"/>
      <c r="AW42" s="300"/>
      <c r="BA42" s="301"/>
    </row>
    <row r="43" spans="1:53" s="292" customFormat="1">
      <c r="A43" s="453">
        <v>2008</v>
      </c>
      <c r="B43" s="863"/>
      <c r="C43" s="916" t="s">
        <v>1109</v>
      </c>
      <c r="D43" s="916"/>
      <c r="E43" s="453">
        <v>48</v>
      </c>
      <c r="F43" s="453"/>
      <c r="G43" s="461">
        <v>3</v>
      </c>
      <c r="H43" s="462"/>
      <c r="I43" s="462">
        <v>12</v>
      </c>
      <c r="J43" s="463">
        <v>15</v>
      </c>
      <c r="K43" s="423">
        <f>G43/J43*100</f>
        <v>20</v>
      </c>
      <c r="L43" s="423">
        <f>H43/J43*100</f>
        <v>0</v>
      </c>
      <c r="M43" s="423">
        <f>I43/J43*100</f>
        <v>80</v>
      </c>
      <c r="N43" s="426">
        <f t="shared" si="3"/>
        <v>100</v>
      </c>
      <c r="O43" s="422">
        <v>5.3</v>
      </c>
      <c r="P43" s="423"/>
      <c r="Q43" s="423">
        <v>49.2</v>
      </c>
      <c r="R43" s="424">
        <f t="shared" si="5"/>
        <v>54.5</v>
      </c>
      <c r="S43" s="453">
        <v>2</v>
      </c>
      <c r="T43" s="838"/>
      <c r="U43" s="836"/>
      <c r="V43" s="299" t="s">
        <v>1115</v>
      </c>
      <c r="W43" s="292" t="s">
        <v>20</v>
      </c>
      <c r="X43" s="292" t="s">
        <v>12</v>
      </c>
      <c r="Y43" s="300">
        <v>49.2</v>
      </c>
      <c r="Z43" s="292" t="s">
        <v>1119</v>
      </c>
      <c r="AA43" s="292" t="s">
        <v>22</v>
      </c>
      <c r="AB43" s="292" t="s">
        <v>11</v>
      </c>
      <c r="AC43" s="292">
        <v>5.2</v>
      </c>
      <c r="AD43" s="299"/>
      <c r="AG43" s="300"/>
      <c r="AL43" s="299"/>
      <c r="AO43" s="300"/>
      <c r="AP43" s="299"/>
      <c r="AS43" s="300"/>
      <c r="AW43" s="300"/>
      <c r="BA43" s="301"/>
    </row>
    <row r="44" spans="1:53" s="292" customFormat="1">
      <c r="A44" s="453">
        <v>2008</v>
      </c>
      <c r="B44" s="862">
        <v>39496</v>
      </c>
      <c r="C44" s="916" t="s">
        <v>1109</v>
      </c>
      <c r="D44" s="916"/>
      <c r="E44" s="453">
        <v>74</v>
      </c>
      <c r="F44" s="428">
        <v>0</v>
      </c>
      <c r="G44" s="461">
        <v>3</v>
      </c>
      <c r="H44" s="462"/>
      <c r="I44" s="462">
        <v>11</v>
      </c>
      <c r="J44" s="463">
        <v>14</v>
      </c>
      <c r="K44" s="423">
        <f t="shared" si="0"/>
        <v>21.428571428571427</v>
      </c>
      <c r="L44" s="423">
        <f t="shared" si="1"/>
        <v>0</v>
      </c>
      <c r="M44" s="423">
        <f t="shared" si="2"/>
        <v>78.571428571428569</v>
      </c>
      <c r="N44" s="426">
        <f t="shared" si="3"/>
        <v>100</v>
      </c>
      <c r="O44" s="422">
        <v>5.3</v>
      </c>
      <c r="P44" s="423"/>
      <c r="Q44" s="423">
        <v>49.2</v>
      </c>
      <c r="R44" s="424">
        <f t="shared" si="5"/>
        <v>54.5</v>
      </c>
      <c r="S44" s="453">
        <v>2</v>
      </c>
      <c r="T44" s="838"/>
      <c r="U44" s="836"/>
      <c r="V44" s="299" t="s">
        <v>1115</v>
      </c>
      <c r="W44" s="292" t="s">
        <v>20</v>
      </c>
      <c r="X44" s="292" t="s">
        <v>12</v>
      </c>
      <c r="Y44" s="300">
        <v>49.2</v>
      </c>
      <c r="Z44" s="292" t="s">
        <v>1119</v>
      </c>
      <c r="AA44" s="292" t="s">
        <v>22</v>
      </c>
      <c r="AB44" s="292" t="s">
        <v>11</v>
      </c>
      <c r="AC44" s="292">
        <v>5.2</v>
      </c>
      <c r="AD44" s="299"/>
      <c r="AG44" s="300"/>
      <c r="AL44" s="299"/>
      <c r="AO44" s="300"/>
      <c r="AP44" s="299"/>
      <c r="AS44" s="300"/>
      <c r="AW44" s="300"/>
      <c r="BA44" s="301"/>
    </row>
    <row r="45" spans="1:53" s="208" customFormat="1">
      <c r="A45" s="452">
        <v>2008</v>
      </c>
      <c r="B45" s="830">
        <v>39570</v>
      </c>
      <c r="C45" s="917" t="s">
        <v>1110</v>
      </c>
      <c r="D45" s="917"/>
      <c r="E45" s="452">
        <v>244</v>
      </c>
      <c r="F45" s="452">
        <v>4</v>
      </c>
      <c r="G45" s="459"/>
      <c r="H45" s="286"/>
      <c r="I45" s="286">
        <v>16</v>
      </c>
      <c r="J45" s="460">
        <v>16</v>
      </c>
      <c r="K45" s="409">
        <f t="shared" si="0"/>
        <v>0</v>
      </c>
      <c r="L45" s="409">
        <f t="shared" si="1"/>
        <v>0</v>
      </c>
      <c r="M45" s="409">
        <f t="shared" si="2"/>
        <v>100</v>
      </c>
      <c r="N45" s="412">
        <f t="shared" si="3"/>
        <v>100</v>
      </c>
      <c r="O45" s="408"/>
      <c r="P45" s="409"/>
      <c r="Q45" s="409">
        <v>49.2</v>
      </c>
      <c r="R45" s="410">
        <f t="shared" si="5"/>
        <v>49.2</v>
      </c>
      <c r="S45" s="452">
        <v>4</v>
      </c>
      <c r="T45" s="839"/>
      <c r="U45" s="852">
        <v>39570</v>
      </c>
      <c r="V45" s="82" t="s">
        <v>1115</v>
      </c>
      <c r="W45" s="208" t="s">
        <v>20</v>
      </c>
      <c r="X45" s="208" t="s">
        <v>12</v>
      </c>
      <c r="Y45" s="83">
        <v>49.2</v>
      </c>
      <c r="AD45" s="82"/>
      <c r="AG45" s="83"/>
      <c r="AL45" s="82"/>
      <c r="AO45" s="83"/>
      <c r="AP45" s="82"/>
      <c r="AS45" s="83"/>
      <c r="AW45" s="83"/>
      <c r="BA45" s="84"/>
    </row>
    <row r="46" spans="1:53" s="208" customFormat="1">
      <c r="A46" s="452">
        <v>2009</v>
      </c>
      <c r="B46" s="830"/>
      <c r="C46" s="917" t="s">
        <v>1110</v>
      </c>
      <c r="D46" s="917"/>
      <c r="E46" s="452">
        <v>103</v>
      </c>
      <c r="F46" s="452"/>
      <c r="G46" s="459"/>
      <c r="H46" s="286"/>
      <c r="I46" s="286">
        <v>16</v>
      </c>
      <c r="J46" s="460">
        <v>16</v>
      </c>
      <c r="K46" s="409">
        <f t="shared" si="0"/>
        <v>0</v>
      </c>
      <c r="L46" s="409">
        <f t="shared" si="1"/>
        <v>0</v>
      </c>
      <c r="M46" s="409">
        <f t="shared" si="2"/>
        <v>100</v>
      </c>
      <c r="N46" s="412">
        <f t="shared" si="3"/>
        <v>100</v>
      </c>
      <c r="O46" s="408"/>
      <c r="P46" s="409"/>
      <c r="Q46" s="409">
        <v>49.2</v>
      </c>
      <c r="R46" s="410">
        <f t="shared" si="5"/>
        <v>49.2</v>
      </c>
      <c r="S46" s="452">
        <v>4</v>
      </c>
      <c r="T46" s="839"/>
      <c r="U46" s="852"/>
      <c r="V46" s="82" t="s">
        <v>1115</v>
      </c>
      <c r="W46" s="208" t="s">
        <v>20</v>
      </c>
      <c r="X46" s="208" t="s">
        <v>12</v>
      </c>
      <c r="Y46" s="83">
        <v>49.2</v>
      </c>
      <c r="AD46" s="82"/>
      <c r="AG46" s="83"/>
      <c r="AL46" s="82"/>
      <c r="AO46" s="83"/>
      <c r="AP46" s="82"/>
      <c r="AS46" s="83"/>
      <c r="AW46" s="83"/>
      <c r="BA46" s="84"/>
    </row>
    <row r="47" spans="1:53" s="292" customFormat="1">
      <c r="A47" s="453">
        <v>2009</v>
      </c>
      <c r="B47" s="863">
        <v>39917</v>
      </c>
      <c r="C47" s="916" t="s">
        <v>1111</v>
      </c>
      <c r="D47" s="916"/>
      <c r="E47" s="453">
        <v>262</v>
      </c>
      <c r="F47" s="453">
        <v>2</v>
      </c>
      <c r="G47" s="461"/>
      <c r="H47" s="462"/>
      <c r="I47" s="462">
        <v>16</v>
      </c>
      <c r="J47" s="463">
        <v>16</v>
      </c>
      <c r="K47" s="423">
        <f t="shared" si="0"/>
        <v>0</v>
      </c>
      <c r="L47" s="423">
        <f t="shared" si="1"/>
        <v>0</v>
      </c>
      <c r="M47" s="423">
        <f t="shared" si="2"/>
        <v>100</v>
      </c>
      <c r="N47" s="426">
        <f t="shared" si="3"/>
        <v>100</v>
      </c>
      <c r="O47" s="422"/>
      <c r="P47" s="423"/>
      <c r="Q47" s="423">
        <v>49.2</v>
      </c>
      <c r="R47" s="424">
        <f t="shared" si="5"/>
        <v>49.2</v>
      </c>
      <c r="S47" s="453">
        <v>4</v>
      </c>
      <c r="T47" s="838"/>
      <c r="U47" s="836">
        <v>39917</v>
      </c>
      <c r="V47" s="299" t="s">
        <v>1115</v>
      </c>
      <c r="W47" s="292" t="s">
        <v>20</v>
      </c>
      <c r="X47" s="292" t="s">
        <v>12</v>
      </c>
      <c r="Y47" s="300">
        <v>49.2</v>
      </c>
      <c r="AD47" s="299"/>
      <c r="AG47" s="300"/>
      <c r="AL47" s="299"/>
      <c r="AO47" s="300"/>
      <c r="AP47" s="299"/>
      <c r="AS47" s="300"/>
      <c r="AW47" s="300"/>
      <c r="BA47" s="301"/>
    </row>
    <row r="48" spans="1:53" s="292" customFormat="1">
      <c r="A48" s="453">
        <v>2010</v>
      </c>
      <c r="B48" s="863"/>
      <c r="C48" s="916" t="s">
        <v>1111</v>
      </c>
      <c r="D48" s="916"/>
      <c r="E48" s="453">
        <v>148</v>
      </c>
      <c r="F48" s="453"/>
      <c r="G48" s="461"/>
      <c r="H48" s="462"/>
      <c r="I48" s="462">
        <v>16</v>
      </c>
      <c r="J48" s="463">
        <v>16</v>
      </c>
      <c r="K48" s="423">
        <f t="shared" si="0"/>
        <v>0</v>
      </c>
      <c r="L48" s="423">
        <f t="shared" si="1"/>
        <v>0</v>
      </c>
      <c r="M48" s="423">
        <f t="shared" si="2"/>
        <v>100</v>
      </c>
      <c r="N48" s="426">
        <f t="shared" si="3"/>
        <v>100</v>
      </c>
      <c r="O48" s="422"/>
      <c r="P48" s="423"/>
      <c r="Q48" s="423">
        <v>49.2</v>
      </c>
      <c r="R48" s="424">
        <f t="shared" si="5"/>
        <v>49.2</v>
      </c>
      <c r="S48" s="453">
        <v>4</v>
      </c>
      <c r="T48" s="838"/>
      <c r="U48" s="836"/>
      <c r="V48" s="299" t="s">
        <v>1115</v>
      </c>
      <c r="W48" s="292" t="s">
        <v>20</v>
      </c>
      <c r="X48" s="292" t="s">
        <v>12</v>
      </c>
      <c r="Y48" s="300">
        <v>49.2</v>
      </c>
      <c r="AD48" s="299"/>
      <c r="AG48" s="300"/>
      <c r="AL48" s="299"/>
      <c r="AO48" s="300"/>
      <c r="AP48" s="299"/>
      <c r="AS48" s="300"/>
      <c r="AW48" s="300"/>
      <c r="BA48" s="301"/>
    </row>
    <row r="49" spans="1:53" s="208" customFormat="1">
      <c r="A49" s="452">
        <v>2010</v>
      </c>
      <c r="B49" s="830">
        <v>40327</v>
      </c>
      <c r="C49" s="917" t="s">
        <v>1117</v>
      </c>
      <c r="D49" s="917"/>
      <c r="E49" s="452">
        <v>217</v>
      </c>
      <c r="F49" s="452">
        <v>1</v>
      </c>
      <c r="G49" s="459">
        <v>7</v>
      </c>
      <c r="H49" s="286"/>
      <c r="I49" s="286"/>
      <c r="J49" s="460">
        <v>10</v>
      </c>
      <c r="K49" s="409">
        <f t="shared" si="0"/>
        <v>70</v>
      </c>
      <c r="L49" s="409">
        <f t="shared" si="1"/>
        <v>0</v>
      </c>
      <c r="M49" s="409">
        <f t="shared" si="2"/>
        <v>0</v>
      </c>
      <c r="N49" s="412">
        <f t="shared" si="3"/>
        <v>70</v>
      </c>
      <c r="O49" s="408">
        <v>68.099999999999994</v>
      </c>
      <c r="P49" s="409"/>
      <c r="Q49" s="409"/>
      <c r="R49" s="410">
        <f t="shared" si="5"/>
        <v>68.099999999999994</v>
      </c>
      <c r="S49" s="452">
        <v>1</v>
      </c>
      <c r="T49" s="839">
        <v>40293</v>
      </c>
      <c r="U49" s="852">
        <v>40327</v>
      </c>
      <c r="V49" s="82" t="s">
        <v>1118</v>
      </c>
      <c r="W49" s="208" t="s">
        <v>79</v>
      </c>
      <c r="X49" s="208" t="s">
        <v>11</v>
      </c>
      <c r="Y49" s="83">
        <v>68.099999999999994</v>
      </c>
      <c r="AD49" s="82"/>
      <c r="AG49" s="83"/>
      <c r="AL49" s="82"/>
      <c r="AO49" s="83"/>
      <c r="AP49" s="82"/>
      <c r="AS49" s="83"/>
      <c r="AW49" s="83"/>
      <c r="BA49" s="84"/>
    </row>
    <row r="50" spans="1:53" s="208" customFormat="1">
      <c r="A50" s="452">
        <v>2011</v>
      </c>
      <c r="B50" s="830"/>
      <c r="C50" s="917" t="s">
        <v>1117</v>
      </c>
      <c r="D50" s="917"/>
      <c r="E50" s="452">
        <v>356</v>
      </c>
      <c r="F50" s="452"/>
      <c r="G50" s="459">
        <v>7</v>
      </c>
      <c r="H50" s="286"/>
      <c r="I50" s="286"/>
      <c r="J50" s="460">
        <v>10</v>
      </c>
      <c r="K50" s="409">
        <f t="shared" ref="K50:K56" si="6">G50/J50*100</f>
        <v>70</v>
      </c>
      <c r="L50" s="409">
        <f t="shared" ref="L50:L56" si="7">H50/J50*100</f>
        <v>0</v>
      </c>
      <c r="M50" s="409">
        <f t="shared" ref="M50:M56" si="8">I50/J50*100</f>
        <v>0</v>
      </c>
      <c r="N50" s="412">
        <f t="shared" si="3"/>
        <v>70</v>
      </c>
      <c r="O50" s="408">
        <v>68.099999999999994</v>
      </c>
      <c r="P50" s="409"/>
      <c r="Q50" s="409"/>
      <c r="R50" s="410">
        <f t="shared" si="5"/>
        <v>68.099999999999994</v>
      </c>
      <c r="S50" s="452">
        <v>1</v>
      </c>
      <c r="T50" s="839"/>
      <c r="U50" s="852"/>
      <c r="V50" s="82" t="s">
        <v>1118</v>
      </c>
      <c r="W50" s="208" t="s">
        <v>79</v>
      </c>
      <c r="X50" s="208" t="s">
        <v>11</v>
      </c>
      <c r="Y50" s="83">
        <v>68.099999999999994</v>
      </c>
      <c r="AD50" s="82"/>
      <c r="AG50" s="83"/>
      <c r="AL50" s="82"/>
      <c r="AO50" s="83"/>
      <c r="AP50" s="82"/>
      <c r="AS50" s="83"/>
      <c r="AW50" s="83"/>
      <c r="BA50" s="84"/>
    </row>
    <row r="51" spans="1:53" s="281" customFormat="1">
      <c r="A51" s="452">
        <v>2011</v>
      </c>
      <c r="B51" s="864">
        <v>40900</v>
      </c>
      <c r="C51" s="917" t="s">
        <v>1117</v>
      </c>
      <c r="D51" s="917"/>
      <c r="E51" s="452">
        <f>365-E50</f>
        <v>9</v>
      </c>
      <c r="F51" s="414">
        <v>0</v>
      </c>
      <c r="G51" s="459">
        <v>7</v>
      </c>
      <c r="H51" s="286"/>
      <c r="I51" s="286"/>
      <c r="J51" s="460">
        <v>11</v>
      </c>
      <c r="K51" s="409">
        <f t="shared" si="6"/>
        <v>63.636363636363633</v>
      </c>
      <c r="L51" s="409">
        <f t="shared" si="7"/>
        <v>0</v>
      </c>
      <c r="M51" s="409">
        <f t="shared" si="8"/>
        <v>0</v>
      </c>
      <c r="N51" s="412">
        <f t="shared" si="3"/>
        <v>63.636363636363633</v>
      </c>
      <c r="O51" s="408">
        <v>68.099999999999994</v>
      </c>
      <c r="P51" s="409"/>
      <c r="Q51" s="409"/>
      <c r="R51" s="410">
        <f t="shared" si="5"/>
        <v>68.099999999999994</v>
      </c>
      <c r="S51" s="452">
        <v>1</v>
      </c>
      <c r="T51" s="839"/>
      <c r="U51" s="852"/>
      <c r="V51" s="82" t="s">
        <v>1118</v>
      </c>
      <c r="W51" s="281" t="s">
        <v>79</v>
      </c>
      <c r="X51" s="281" t="s">
        <v>11</v>
      </c>
      <c r="Y51" s="83">
        <v>68.099999999999994</v>
      </c>
      <c r="AD51" s="82"/>
      <c r="AG51" s="83"/>
      <c r="AL51" s="82"/>
      <c r="AO51" s="83"/>
      <c r="AP51" s="82"/>
      <c r="AS51" s="83"/>
      <c r="AW51" s="83"/>
      <c r="BA51" s="84"/>
    </row>
    <row r="52" spans="1:53" s="281" customFormat="1">
      <c r="A52" s="452">
        <v>2012</v>
      </c>
      <c r="B52" s="864"/>
      <c r="C52" s="917" t="s">
        <v>1117</v>
      </c>
      <c r="D52" s="917"/>
      <c r="E52" s="452">
        <v>134</v>
      </c>
      <c r="F52" s="414"/>
      <c r="G52" s="459">
        <v>7</v>
      </c>
      <c r="H52" s="286"/>
      <c r="I52" s="286"/>
      <c r="J52" s="460">
        <v>11</v>
      </c>
      <c r="K52" s="409">
        <f>G52/J52*100</f>
        <v>63.636363636363633</v>
      </c>
      <c r="L52" s="409">
        <f t="shared" si="7"/>
        <v>0</v>
      </c>
      <c r="M52" s="409">
        <f t="shared" si="8"/>
        <v>0</v>
      </c>
      <c r="N52" s="412">
        <f t="shared" si="3"/>
        <v>63.636363636363633</v>
      </c>
      <c r="O52" s="408">
        <v>68.099999999999994</v>
      </c>
      <c r="P52" s="409"/>
      <c r="Q52" s="409"/>
      <c r="R52" s="410">
        <f t="shared" si="5"/>
        <v>68.099999999999994</v>
      </c>
      <c r="S52" s="452">
        <v>1</v>
      </c>
      <c r="T52" s="839"/>
      <c r="U52" s="852"/>
      <c r="V52" s="82" t="s">
        <v>1118</v>
      </c>
      <c r="W52" s="281" t="s">
        <v>79</v>
      </c>
      <c r="X52" s="281" t="s">
        <v>11</v>
      </c>
      <c r="Y52" s="83">
        <v>68.099999999999994</v>
      </c>
      <c r="AD52" s="82"/>
      <c r="AG52" s="83"/>
      <c r="AL52" s="82"/>
      <c r="AO52" s="83"/>
      <c r="AP52" s="82"/>
      <c r="AS52" s="83"/>
      <c r="AW52" s="83"/>
      <c r="BA52" s="84"/>
    </row>
    <row r="53" spans="1:53" s="208" customFormat="1">
      <c r="A53" s="452">
        <v>2012</v>
      </c>
      <c r="B53" s="864">
        <v>41043</v>
      </c>
      <c r="C53" s="917" t="s">
        <v>1117</v>
      </c>
      <c r="D53" s="917"/>
      <c r="E53" s="452">
        <v>19</v>
      </c>
      <c r="F53" s="414">
        <v>0</v>
      </c>
      <c r="G53" s="459">
        <v>8</v>
      </c>
      <c r="H53" s="286"/>
      <c r="I53" s="286"/>
      <c r="J53" s="460">
        <v>11</v>
      </c>
      <c r="K53" s="409">
        <f t="shared" si="6"/>
        <v>72.727272727272734</v>
      </c>
      <c r="L53" s="409">
        <f t="shared" si="7"/>
        <v>0</v>
      </c>
      <c r="M53" s="409">
        <f t="shared" si="8"/>
        <v>0</v>
      </c>
      <c r="N53" s="412">
        <f t="shared" si="3"/>
        <v>72.727272727272734</v>
      </c>
      <c r="O53" s="408">
        <v>68.099999999999994</v>
      </c>
      <c r="P53" s="409"/>
      <c r="Q53" s="409"/>
      <c r="R53" s="410">
        <f t="shared" si="5"/>
        <v>68.099999999999994</v>
      </c>
      <c r="S53" s="452">
        <v>1</v>
      </c>
      <c r="T53" s="839"/>
      <c r="U53" s="852"/>
      <c r="V53" s="82" t="s">
        <v>1118</v>
      </c>
      <c r="W53" s="208" t="s">
        <v>79</v>
      </c>
      <c r="X53" s="208" t="s">
        <v>11</v>
      </c>
      <c r="Y53" s="83">
        <v>68.099999999999994</v>
      </c>
      <c r="AD53" s="82"/>
      <c r="AG53" s="83"/>
      <c r="AL53" s="82"/>
      <c r="AO53" s="83"/>
      <c r="AP53" s="82"/>
      <c r="AS53" s="83"/>
      <c r="AW53" s="83"/>
      <c r="BA53" s="84"/>
    </row>
    <row r="54" spans="1:53" s="281" customFormat="1">
      <c r="A54" s="452">
        <v>2012</v>
      </c>
      <c r="B54" s="864">
        <v>41062</v>
      </c>
      <c r="C54" s="917" t="s">
        <v>1117</v>
      </c>
      <c r="D54" s="917"/>
      <c r="E54" s="452">
        <f>366-E53-E52</f>
        <v>213</v>
      </c>
      <c r="F54" s="414">
        <v>0</v>
      </c>
      <c r="G54" s="459">
        <v>9</v>
      </c>
      <c r="H54" s="286"/>
      <c r="I54" s="286"/>
      <c r="J54" s="460">
        <v>11</v>
      </c>
      <c r="K54" s="409">
        <f t="shared" si="6"/>
        <v>81.818181818181827</v>
      </c>
      <c r="L54" s="409">
        <f t="shared" si="7"/>
        <v>0</v>
      </c>
      <c r="M54" s="409">
        <f t="shared" si="8"/>
        <v>0</v>
      </c>
      <c r="N54" s="412">
        <f t="shared" si="3"/>
        <v>81.818181818181827</v>
      </c>
      <c r="O54" s="408">
        <v>68.099999999999994</v>
      </c>
      <c r="P54" s="409"/>
      <c r="Q54" s="409"/>
      <c r="R54" s="410">
        <f t="shared" si="5"/>
        <v>68.099999999999994</v>
      </c>
      <c r="S54" s="452">
        <v>1</v>
      </c>
      <c r="T54" s="839"/>
      <c r="U54" s="852"/>
      <c r="V54" s="82" t="s">
        <v>1118</v>
      </c>
      <c r="W54" s="281" t="s">
        <v>80</v>
      </c>
      <c r="X54" s="281" t="s">
        <v>11</v>
      </c>
      <c r="Y54" s="83">
        <v>68.099999999999994</v>
      </c>
      <c r="AD54" s="82"/>
      <c r="AG54" s="83"/>
      <c r="AL54" s="82"/>
      <c r="AO54" s="83"/>
      <c r="AP54" s="82"/>
      <c r="AS54" s="83"/>
      <c r="AW54" s="83"/>
      <c r="BA54" s="84"/>
    </row>
    <row r="55" spans="1:53" s="208" customFormat="1">
      <c r="A55" s="452">
        <v>2013</v>
      </c>
      <c r="B55" s="864"/>
      <c r="C55" s="917" t="s">
        <v>1117</v>
      </c>
      <c r="D55" s="917"/>
      <c r="E55" s="452">
        <v>61</v>
      </c>
      <c r="F55" s="414"/>
      <c r="G55" s="459">
        <v>9</v>
      </c>
      <c r="H55" s="286"/>
      <c r="I55" s="286"/>
      <c r="J55" s="460">
        <v>11</v>
      </c>
      <c r="K55" s="409">
        <f t="shared" si="6"/>
        <v>81.818181818181827</v>
      </c>
      <c r="L55" s="409">
        <f t="shared" si="7"/>
        <v>0</v>
      </c>
      <c r="M55" s="409">
        <f t="shared" si="8"/>
        <v>0</v>
      </c>
      <c r="N55" s="412">
        <f t="shared" si="3"/>
        <v>81.818181818181827</v>
      </c>
      <c r="O55" s="408">
        <v>68.099999999999994</v>
      </c>
      <c r="P55" s="409"/>
      <c r="Q55" s="409"/>
      <c r="R55" s="410">
        <f t="shared" si="5"/>
        <v>68.099999999999994</v>
      </c>
      <c r="S55" s="452">
        <v>1</v>
      </c>
      <c r="T55" s="839"/>
      <c r="U55" s="852"/>
      <c r="V55" s="82" t="s">
        <v>1118</v>
      </c>
      <c r="W55" s="277" t="s">
        <v>79</v>
      </c>
      <c r="X55" s="277" t="s">
        <v>11</v>
      </c>
      <c r="Y55" s="83">
        <v>68.099999999999994</v>
      </c>
      <c r="AD55" s="82"/>
      <c r="AG55" s="83"/>
      <c r="AL55" s="82"/>
      <c r="AO55" s="83"/>
      <c r="AP55" s="82"/>
      <c r="AS55" s="83"/>
      <c r="AW55" s="83"/>
      <c r="BA55" s="84"/>
    </row>
    <row r="56" spans="1:53" s="277" customFormat="1">
      <c r="A56" s="452">
        <v>2013</v>
      </c>
      <c r="B56" s="864">
        <v>41336</v>
      </c>
      <c r="C56" s="917" t="s">
        <v>1117</v>
      </c>
      <c r="D56" s="917"/>
      <c r="E56" s="452">
        <f>365-E55</f>
        <v>304</v>
      </c>
      <c r="F56" s="414">
        <v>0</v>
      </c>
      <c r="G56" s="459">
        <v>8</v>
      </c>
      <c r="H56" s="286"/>
      <c r="I56" s="286"/>
      <c r="J56" s="460">
        <v>10</v>
      </c>
      <c r="K56" s="409">
        <f t="shared" si="6"/>
        <v>80</v>
      </c>
      <c r="L56" s="409">
        <f t="shared" si="7"/>
        <v>0</v>
      </c>
      <c r="M56" s="409">
        <f t="shared" si="8"/>
        <v>0</v>
      </c>
      <c r="N56" s="412">
        <f t="shared" si="3"/>
        <v>80</v>
      </c>
      <c r="O56" s="408">
        <v>68.099999999999994</v>
      </c>
      <c r="P56" s="409"/>
      <c r="Q56" s="409"/>
      <c r="R56" s="410">
        <f t="shared" si="5"/>
        <v>68.099999999999994</v>
      </c>
      <c r="S56" s="452">
        <v>1</v>
      </c>
      <c r="T56" s="839"/>
      <c r="U56" s="852"/>
      <c r="V56" s="82" t="s">
        <v>1118</v>
      </c>
      <c r="W56" s="277" t="s">
        <v>79</v>
      </c>
      <c r="X56" s="277" t="s">
        <v>11</v>
      </c>
      <c r="Y56" s="83">
        <v>68.099999999999994</v>
      </c>
      <c r="AD56" s="82"/>
      <c r="AG56" s="83"/>
      <c r="AL56" s="82"/>
      <c r="AO56" s="83"/>
      <c r="AP56" s="82"/>
      <c r="AS56" s="83"/>
      <c r="AW56" s="83"/>
      <c r="BA56" s="84"/>
    </row>
    <row r="57" spans="1:53" s="452" customFormat="1">
      <c r="A57" s="452">
        <v>2014</v>
      </c>
      <c r="B57" s="864"/>
      <c r="C57" s="917" t="s">
        <v>1117</v>
      </c>
      <c r="D57" s="917"/>
      <c r="E57" s="452">
        <v>123</v>
      </c>
      <c r="F57" s="414"/>
      <c r="G57" s="459">
        <v>8</v>
      </c>
      <c r="H57" s="286"/>
      <c r="I57" s="286"/>
      <c r="J57" s="460">
        <v>10</v>
      </c>
      <c r="K57" s="409">
        <f t="shared" ref="K57:K67" si="9">G57/J57*100</f>
        <v>80</v>
      </c>
      <c r="L57" s="409">
        <f t="shared" ref="L57:L67" si="10">H57/J57*100</f>
        <v>0</v>
      </c>
      <c r="M57" s="409">
        <f t="shared" ref="M57:M67" si="11">I57/J57*100</f>
        <v>0</v>
      </c>
      <c r="N57" s="412">
        <f t="shared" ref="N57:N67" si="12">SUM(K57:M57)</f>
        <v>80</v>
      </c>
      <c r="O57" s="408">
        <v>68.099999999999994</v>
      </c>
      <c r="P57" s="409"/>
      <c r="Q57" s="409"/>
      <c r="R57" s="410">
        <f t="shared" ref="R57:R62" si="13">SUM(O57:Q57)</f>
        <v>68.099999999999994</v>
      </c>
      <c r="S57" s="452">
        <v>1</v>
      </c>
      <c r="T57" s="839"/>
      <c r="U57" s="852"/>
      <c r="V57" s="405" t="s">
        <v>1118</v>
      </c>
      <c r="W57" s="452" t="s">
        <v>79</v>
      </c>
      <c r="X57" s="452" t="s">
        <v>11</v>
      </c>
      <c r="Y57" s="406">
        <v>68.099999999999994</v>
      </c>
      <c r="AD57" s="405"/>
      <c r="AG57" s="406"/>
      <c r="AL57" s="405"/>
      <c r="AO57" s="406"/>
      <c r="AP57" s="405"/>
      <c r="AS57" s="406"/>
      <c r="AW57" s="406"/>
      <c r="BA57" s="407"/>
    </row>
    <row r="58" spans="1:53" s="453" customFormat="1">
      <c r="A58" s="453">
        <v>2014</v>
      </c>
      <c r="B58" s="863">
        <v>41763</v>
      </c>
      <c r="C58" s="916" t="s">
        <v>1293</v>
      </c>
      <c r="D58" s="916"/>
      <c r="E58" s="453">
        <v>242</v>
      </c>
      <c r="F58" s="453">
        <v>1</v>
      </c>
      <c r="G58" s="461">
        <v>7</v>
      </c>
      <c r="H58" s="462"/>
      <c r="I58" s="462"/>
      <c r="J58" s="463">
        <v>11</v>
      </c>
      <c r="K58" s="423">
        <f t="shared" si="9"/>
        <v>63.636363636363633</v>
      </c>
      <c r="L58" s="423">
        <f t="shared" si="10"/>
        <v>0</v>
      </c>
      <c r="M58" s="423">
        <f t="shared" si="11"/>
        <v>0</v>
      </c>
      <c r="N58" s="426">
        <f t="shared" si="12"/>
        <v>63.636363636363633</v>
      </c>
      <c r="O58" s="422">
        <v>66.8</v>
      </c>
      <c r="P58" s="423"/>
      <c r="Q58" s="423"/>
      <c r="R58" s="424">
        <f t="shared" si="13"/>
        <v>66.8</v>
      </c>
      <c r="S58" s="453">
        <v>1</v>
      </c>
      <c r="T58" s="838">
        <v>41735</v>
      </c>
      <c r="U58" s="836">
        <v>41763</v>
      </c>
      <c r="V58" s="417" t="s">
        <v>1118</v>
      </c>
      <c r="W58" s="453" t="s">
        <v>79</v>
      </c>
      <c r="X58" s="453" t="s">
        <v>11</v>
      </c>
      <c r="Y58" s="418">
        <v>66.8</v>
      </c>
      <c r="AD58" s="417"/>
      <c r="AG58" s="418"/>
      <c r="AL58" s="417"/>
      <c r="AO58" s="418"/>
      <c r="AP58" s="417"/>
      <c r="AS58" s="418"/>
      <c r="AW58" s="418"/>
      <c r="BA58" s="419"/>
    </row>
    <row r="59" spans="1:53" s="598" customFormat="1">
      <c r="A59" s="598">
        <v>2015</v>
      </c>
      <c r="B59" s="863"/>
      <c r="C59" s="916" t="s">
        <v>1293</v>
      </c>
      <c r="D59" s="916"/>
      <c r="E59" s="598">
        <v>0</v>
      </c>
      <c r="G59" s="461">
        <v>8</v>
      </c>
      <c r="H59" s="462"/>
      <c r="I59" s="462"/>
      <c r="J59" s="463">
        <v>11</v>
      </c>
      <c r="K59" s="537">
        <f t="shared" si="9"/>
        <v>72.727272727272734</v>
      </c>
      <c r="L59" s="537">
        <f t="shared" si="10"/>
        <v>0</v>
      </c>
      <c r="M59" s="537">
        <f t="shared" si="11"/>
        <v>0</v>
      </c>
      <c r="N59" s="540">
        <f t="shared" si="12"/>
        <v>72.727272727272734</v>
      </c>
      <c r="O59" s="536">
        <v>66.8</v>
      </c>
      <c r="P59" s="537"/>
      <c r="Q59" s="537"/>
      <c r="R59" s="538">
        <f t="shared" si="13"/>
        <v>66.8</v>
      </c>
      <c r="S59" s="598">
        <v>1</v>
      </c>
      <c r="T59" s="838"/>
      <c r="U59" s="836"/>
      <c r="V59" s="532" t="s">
        <v>1118</v>
      </c>
      <c r="W59" s="598" t="s">
        <v>1328</v>
      </c>
      <c r="X59" s="598" t="s">
        <v>11</v>
      </c>
      <c r="Y59" s="533">
        <v>66.8</v>
      </c>
      <c r="AD59" s="532"/>
      <c r="AG59" s="533"/>
      <c r="AL59" s="532"/>
      <c r="AO59" s="533"/>
      <c r="AP59" s="532"/>
      <c r="AS59" s="533"/>
      <c r="AW59" s="533"/>
      <c r="BA59" s="534"/>
    </row>
    <row r="60" spans="1:53" s="598" customFormat="1">
      <c r="A60" s="598">
        <v>2015</v>
      </c>
      <c r="B60" s="863"/>
      <c r="C60" s="916" t="s">
        <v>1293</v>
      </c>
      <c r="D60" s="916"/>
      <c r="E60" s="598">
        <v>365</v>
      </c>
      <c r="G60" s="461">
        <v>8</v>
      </c>
      <c r="H60" s="462"/>
      <c r="I60" s="462"/>
      <c r="J60" s="463">
        <v>11</v>
      </c>
      <c r="K60" s="537">
        <f t="shared" si="9"/>
        <v>72.727272727272734</v>
      </c>
      <c r="L60" s="537">
        <f t="shared" si="10"/>
        <v>0</v>
      </c>
      <c r="M60" s="537">
        <f t="shared" si="11"/>
        <v>0</v>
      </c>
      <c r="N60" s="540">
        <f t="shared" si="12"/>
        <v>72.727272727272734</v>
      </c>
      <c r="O60" s="536">
        <v>66.8</v>
      </c>
      <c r="P60" s="537"/>
      <c r="Q60" s="537"/>
      <c r="R60" s="538">
        <f t="shared" si="13"/>
        <v>66.8</v>
      </c>
      <c r="S60" s="598">
        <v>1</v>
      </c>
      <c r="T60" s="838"/>
      <c r="U60" s="836"/>
      <c r="V60" s="532" t="s">
        <v>1118</v>
      </c>
      <c r="W60" s="598" t="s">
        <v>1328</v>
      </c>
      <c r="X60" s="598" t="s">
        <v>11</v>
      </c>
      <c r="Y60" s="533">
        <v>66.8</v>
      </c>
      <c r="AD60" s="532"/>
      <c r="AG60" s="533"/>
      <c r="AL60" s="532"/>
      <c r="AO60" s="533"/>
      <c r="AP60" s="532"/>
      <c r="AS60" s="533"/>
      <c r="AW60" s="533"/>
      <c r="BA60" s="534"/>
    </row>
    <row r="61" spans="1:53" s="660" customFormat="1">
      <c r="A61" s="660">
        <v>2016</v>
      </c>
      <c r="B61" s="863"/>
      <c r="C61" s="916" t="s">
        <v>1293</v>
      </c>
      <c r="D61" s="916"/>
      <c r="E61" s="660">
        <v>0</v>
      </c>
      <c r="G61" s="461">
        <v>8</v>
      </c>
      <c r="H61" s="462"/>
      <c r="I61" s="462"/>
      <c r="J61" s="463">
        <v>11</v>
      </c>
      <c r="K61" s="537">
        <f t="shared" si="9"/>
        <v>72.727272727272734</v>
      </c>
      <c r="L61" s="537">
        <f t="shared" si="10"/>
        <v>0</v>
      </c>
      <c r="M61" s="537">
        <f t="shared" si="11"/>
        <v>0</v>
      </c>
      <c r="N61" s="540">
        <f t="shared" si="12"/>
        <v>72.727272727272734</v>
      </c>
      <c r="O61" s="536">
        <v>66.8</v>
      </c>
      <c r="P61" s="537"/>
      <c r="Q61" s="537"/>
      <c r="R61" s="538">
        <f t="shared" si="13"/>
        <v>66.8</v>
      </c>
      <c r="S61" s="660">
        <v>1</v>
      </c>
      <c r="T61" s="838"/>
      <c r="U61" s="836"/>
      <c r="V61" s="532" t="s">
        <v>1118</v>
      </c>
      <c r="W61" s="660" t="s">
        <v>1328</v>
      </c>
      <c r="X61" s="660" t="s">
        <v>11</v>
      </c>
      <c r="Y61" s="533">
        <v>66.8</v>
      </c>
      <c r="AD61" s="532"/>
      <c r="AG61" s="533"/>
      <c r="AL61" s="532"/>
      <c r="AO61" s="533"/>
      <c r="AP61" s="532"/>
      <c r="AS61" s="533"/>
      <c r="AW61" s="533"/>
      <c r="BA61" s="534"/>
    </row>
    <row r="62" spans="1:53" s="660" customFormat="1">
      <c r="A62" s="660">
        <v>2016</v>
      </c>
      <c r="B62" s="863"/>
      <c r="C62" s="916" t="s">
        <v>1293</v>
      </c>
      <c r="D62" s="916"/>
      <c r="E62" s="660">
        <v>366</v>
      </c>
      <c r="G62" s="461">
        <v>8</v>
      </c>
      <c r="H62" s="462"/>
      <c r="I62" s="462"/>
      <c r="J62" s="463">
        <v>11</v>
      </c>
      <c r="K62" s="537">
        <f t="shared" si="9"/>
        <v>72.727272727272734</v>
      </c>
      <c r="L62" s="537">
        <f t="shared" si="10"/>
        <v>0</v>
      </c>
      <c r="M62" s="537">
        <f t="shared" si="11"/>
        <v>0</v>
      </c>
      <c r="N62" s="540">
        <f t="shared" si="12"/>
        <v>72.727272727272734</v>
      </c>
      <c r="O62" s="536">
        <v>66.8</v>
      </c>
      <c r="P62" s="537"/>
      <c r="Q62" s="537"/>
      <c r="R62" s="538">
        <f t="shared" si="13"/>
        <v>66.8</v>
      </c>
      <c r="S62" s="660">
        <v>1</v>
      </c>
      <c r="T62" s="838"/>
      <c r="U62" s="836"/>
      <c r="V62" s="532" t="s">
        <v>1118</v>
      </c>
      <c r="W62" s="660" t="s">
        <v>1328</v>
      </c>
      <c r="X62" s="660" t="s">
        <v>11</v>
      </c>
      <c r="Y62" s="533">
        <v>66.8</v>
      </c>
      <c r="AD62" s="532"/>
      <c r="AG62" s="533"/>
      <c r="AL62" s="532"/>
      <c r="AO62" s="533"/>
      <c r="AP62" s="532"/>
      <c r="AS62" s="533"/>
      <c r="AW62" s="533"/>
      <c r="BA62" s="534"/>
    </row>
    <row r="63" spans="1:53" s="726" customFormat="1">
      <c r="A63" s="726">
        <v>2017</v>
      </c>
      <c r="B63" s="863"/>
      <c r="C63" s="916" t="s">
        <v>1293</v>
      </c>
      <c r="D63" s="916"/>
      <c r="E63" s="726">
        <v>121</v>
      </c>
      <c r="G63" s="461">
        <v>8</v>
      </c>
      <c r="H63" s="462"/>
      <c r="I63" s="462"/>
      <c r="J63" s="463">
        <v>11</v>
      </c>
      <c r="K63" s="537">
        <f t="shared" si="9"/>
        <v>72.727272727272734</v>
      </c>
      <c r="L63" s="537">
        <f t="shared" si="10"/>
        <v>0</v>
      </c>
      <c r="M63" s="537">
        <f t="shared" si="11"/>
        <v>0</v>
      </c>
      <c r="N63" s="540">
        <f t="shared" si="12"/>
        <v>72.727272727272734</v>
      </c>
      <c r="O63" s="536">
        <v>66.8</v>
      </c>
      <c r="P63" s="537"/>
      <c r="Q63" s="537"/>
      <c r="R63" s="538">
        <f t="shared" ref="R63:R65" si="14">SUM(O63:Q63)</f>
        <v>66.8</v>
      </c>
      <c r="S63" s="726">
        <v>1</v>
      </c>
      <c r="T63" s="838"/>
      <c r="U63" s="836"/>
      <c r="V63" s="532" t="s">
        <v>1118</v>
      </c>
      <c r="W63" s="726" t="s">
        <v>1328</v>
      </c>
      <c r="X63" s="726" t="s">
        <v>11</v>
      </c>
      <c r="Y63" s="533">
        <v>66.8</v>
      </c>
      <c r="AD63" s="532"/>
      <c r="AG63" s="533"/>
      <c r="AL63" s="532"/>
      <c r="AO63" s="533"/>
      <c r="AP63" s="532"/>
      <c r="AS63" s="533"/>
      <c r="AW63" s="533"/>
      <c r="BA63" s="534"/>
    </row>
    <row r="64" spans="1:53" s="726" customFormat="1">
      <c r="A64" s="726">
        <v>2017</v>
      </c>
      <c r="B64" s="862">
        <v>42857</v>
      </c>
      <c r="C64" s="916" t="s">
        <v>1293</v>
      </c>
      <c r="D64" s="916"/>
      <c r="E64" s="726">
        <v>153</v>
      </c>
      <c r="F64" s="428">
        <v>0</v>
      </c>
      <c r="G64" s="461">
        <v>10</v>
      </c>
      <c r="H64" s="462"/>
      <c r="I64" s="462"/>
      <c r="J64" s="463">
        <v>13</v>
      </c>
      <c r="K64" s="537">
        <f t="shared" si="9"/>
        <v>76.923076923076934</v>
      </c>
      <c r="L64" s="537">
        <f t="shared" si="10"/>
        <v>0</v>
      </c>
      <c r="M64" s="537">
        <f t="shared" si="11"/>
        <v>0</v>
      </c>
      <c r="N64" s="540">
        <f t="shared" si="12"/>
        <v>76.923076923076934</v>
      </c>
      <c r="O64" s="536">
        <v>66.8</v>
      </c>
      <c r="P64" s="537"/>
      <c r="Q64" s="537"/>
      <c r="R64" s="538">
        <f t="shared" si="14"/>
        <v>66.8</v>
      </c>
      <c r="S64" s="726">
        <v>1</v>
      </c>
      <c r="T64" s="838"/>
      <c r="U64" s="836"/>
      <c r="V64" s="532" t="s">
        <v>1118</v>
      </c>
      <c r="W64" s="726" t="s">
        <v>1328</v>
      </c>
      <c r="X64" s="726" t="s">
        <v>11</v>
      </c>
      <c r="Y64" s="533">
        <v>66.8</v>
      </c>
      <c r="AD64" s="532"/>
      <c r="AG64" s="533"/>
      <c r="AL64" s="532"/>
      <c r="AO64" s="533"/>
      <c r="AP64" s="532"/>
      <c r="AS64" s="533"/>
      <c r="AW64" s="533"/>
      <c r="BA64" s="534"/>
    </row>
    <row r="65" spans="1:53" s="726" customFormat="1">
      <c r="A65" s="726">
        <v>2017</v>
      </c>
      <c r="B65" s="862">
        <v>43010</v>
      </c>
      <c r="C65" s="916" t="s">
        <v>1293</v>
      </c>
      <c r="D65" s="916"/>
      <c r="E65" s="726">
        <v>91</v>
      </c>
      <c r="F65" s="428">
        <v>0</v>
      </c>
      <c r="G65" s="461">
        <v>10</v>
      </c>
      <c r="H65" s="462"/>
      <c r="I65" s="462"/>
      <c r="J65" s="463">
        <v>13</v>
      </c>
      <c r="K65" s="537">
        <f t="shared" si="9"/>
        <v>76.923076923076934</v>
      </c>
      <c r="L65" s="537">
        <f t="shared" si="10"/>
        <v>0</v>
      </c>
      <c r="M65" s="537">
        <f t="shared" si="11"/>
        <v>0</v>
      </c>
      <c r="N65" s="540">
        <f t="shared" si="12"/>
        <v>76.923076923076934</v>
      </c>
      <c r="O65" s="536">
        <v>66.8</v>
      </c>
      <c r="P65" s="537"/>
      <c r="Q65" s="537"/>
      <c r="R65" s="538">
        <f t="shared" si="14"/>
        <v>66.8</v>
      </c>
      <c r="S65" s="726">
        <v>1</v>
      </c>
      <c r="T65" s="838"/>
      <c r="U65" s="836"/>
      <c r="V65" s="532" t="s">
        <v>1118</v>
      </c>
      <c r="W65" s="726" t="s">
        <v>1328</v>
      </c>
      <c r="X65" s="726" t="s">
        <v>11</v>
      </c>
      <c r="Y65" s="533">
        <v>66.8</v>
      </c>
      <c r="AD65" s="532"/>
      <c r="AG65" s="533"/>
      <c r="AL65" s="532"/>
      <c r="AO65" s="533"/>
      <c r="AP65" s="532"/>
      <c r="AS65" s="533"/>
      <c r="AW65" s="533"/>
      <c r="BA65" s="534"/>
    </row>
    <row r="66" spans="1:53" s="759" customFormat="1">
      <c r="A66" s="759">
        <v>2018</v>
      </c>
      <c r="B66" s="862"/>
      <c r="C66" s="916" t="s">
        <v>1293</v>
      </c>
      <c r="D66" s="916"/>
      <c r="E66" s="759">
        <v>137</v>
      </c>
      <c r="F66" s="428"/>
      <c r="G66" s="461">
        <v>10</v>
      </c>
      <c r="H66" s="462"/>
      <c r="I66" s="462"/>
      <c r="J66" s="463">
        <v>13</v>
      </c>
      <c r="K66" s="537">
        <f t="shared" si="9"/>
        <v>76.923076923076934</v>
      </c>
      <c r="L66" s="537">
        <f t="shared" si="10"/>
        <v>0</v>
      </c>
      <c r="M66" s="537">
        <f t="shared" si="11"/>
        <v>0</v>
      </c>
      <c r="N66" s="540">
        <f t="shared" si="12"/>
        <v>76.923076923076934</v>
      </c>
      <c r="O66" s="536">
        <v>66.8</v>
      </c>
      <c r="P66" s="537"/>
      <c r="Q66" s="537"/>
      <c r="R66" s="538">
        <f t="shared" ref="R66:R67" si="15">SUM(O66:Q66)</f>
        <v>66.8</v>
      </c>
      <c r="S66" s="759">
        <v>1</v>
      </c>
      <c r="T66" s="838"/>
      <c r="U66" s="836"/>
      <c r="V66" s="532" t="s">
        <v>1118</v>
      </c>
      <c r="W66" s="759" t="s">
        <v>1328</v>
      </c>
      <c r="X66" s="759" t="s">
        <v>11</v>
      </c>
      <c r="Y66" s="533">
        <v>66.8</v>
      </c>
      <c r="AD66" s="532"/>
      <c r="AG66" s="533"/>
      <c r="AL66" s="532"/>
      <c r="AO66" s="533"/>
      <c r="AP66" s="532"/>
      <c r="AS66" s="533"/>
      <c r="AW66" s="533"/>
      <c r="BA66" s="534"/>
    </row>
    <row r="67" spans="1:53" s="760" customFormat="1">
      <c r="A67" s="760">
        <v>2018</v>
      </c>
      <c r="B67" s="830">
        <v>43238</v>
      </c>
      <c r="C67" s="917" t="s">
        <v>1399</v>
      </c>
      <c r="D67" s="917"/>
      <c r="E67" s="760">
        <v>228</v>
      </c>
      <c r="F67" s="502"/>
      <c r="G67" s="459">
        <v>10</v>
      </c>
      <c r="H67" s="286"/>
      <c r="I67" s="286"/>
      <c r="J67" s="460">
        <v>13</v>
      </c>
      <c r="K67" s="496">
        <f t="shared" si="9"/>
        <v>76.923076923076934</v>
      </c>
      <c r="L67" s="496">
        <f t="shared" si="10"/>
        <v>0</v>
      </c>
      <c r="M67" s="496">
        <f t="shared" si="11"/>
        <v>0</v>
      </c>
      <c r="N67" s="499">
        <f t="shared" si="12"/>
        <v>76.923076923076934</v>
      </c>
      <c r="O67" s="495">
        <v>65.8</v>
      </c>
      <c r="P67" s="496"/>
      <c r="Q67" s="496"/>
      <c r="R67" s="497">
        <f t="shared" si="15"/>
        <v>65.8</v>
      </c>
      <c r="S67" s="760">
        <v>1</v>
      </c>
      <c r="T67" s="839">
        <v>43198</v>
      </c>
      <c r="U67" s="830">
        <v>43238</v>
      </c>
      <c r="V67" s="492" t="s">
        <v>1118</v>
      </c>
      <c r="W67" s="787" t="s">
        <v>1328</v>
      </c>
      <c r="X67" s="787" t="s">
        <v>11</v>
      </c>
      <c r="Y67" s="493">
        <v>65.8</v>
      </c>
      <c r="AD67" s="492"/>
      <c r="AG67" s="493"/>
      <c r="AL67" s="492"/>
      <c r="AO67" s="493"/>
      <c r="AP67" s="492"/>
      <c r="AS67" s="493"/>
      <c r="AW67" s="493"/>
      <c r="BA67" s="494"/>
    </row>
    <row r="68" spans="1:53" s="787" customFormat="1">
      <c r="A68" s="787">
        <v>2019</v>
      </c>
      <c r="B68" s="830"/>
      <c r="C68" s="917" t="s">
        <v>1399</v>
      </c>
      <c r="D68" s="917"/>
      <c r="E68" s="787">
        <v>180</v>
      </c>
      <c r="F68" s="502"/>
      <c r="G68" s="459">
        <v>10</v>
      </c>
      <c r="H68" s="286"/>
      <c r="I68" s="286"/>
      <c r="J68" s="460">
        <v>13</v>
      </c>
      <c r="K68" s="496">
        <f t="shared" ref="K68:K69" si="16">G68/J68*100</f>
        <v>76.923076923076934</v>
      </c>
      <c r="L68" s="496">
        <f t="shared" ref="L68:L69" si="17">H68/J68*100</f>
        <v>0</v>
      </c>
      <c r="M68" s="496">
        <f t="shared" ref="M68:M69" si="18">I68/J68*100</f>
        <v>0</v>
      </c>
      <c r="N68" s="499">
        <f t="shared" ref="N68:N69" si="19">SUM(K68:M68)</f>
        <v>76.923076923076934</v>
      </c>
      <c r="O68" s="495">
        <v>65.8</v>
      </c>
      <c r="P68" s="496"/>
      <c r="Q68" s="496"/>
      <c r="R68" s="497">
        <f t="shared" ref="R68:R69" si="20">SUM(O68:Q68)</f>
        <v>65.8</v>
      </c>
      <c r="S68" s="787">
        <v>1</v>
      </c>
      <c r="T68" s="839"/>
      <c r="U68" s="830"/>
      <c r="V68" s="492" t="s">
        <v>1118</v>
      </c>
      <c r="W68" s="787" t="s">
        <v>1328</v>
      </c>
      <c r="X68" s="787" t="s">
        <v>11</v>
      </c>
      <c r="Y68" s="493">
        <v>65.8</v>
      </c>
      <c r="AD68" s="492"/>
      <c r="AG68" s="493"/>
      <c r="AL68" s="492"/>
      <c r="AO68" s="493"/>
      <c r="AP68" s="492"/>
      <c r="AS68" s="493"/>
      <c r="AW68" s="493"/>
      <c r="BA68" s="494"/>
    </row>
    <row r="69" spans="1:53" s="787" customFormat="1">
      <c r="A69" s="787">
        <v>2019</v>
      </c>
      <c r="B69" s="864">
        <v>43646</v>
      </c>
      <c r="C69" s="917" t="s">
        <v>1399</v>
      </c>
      <c r="D69" s="917"/>
      <c r="E69" s="787">
        <v>185</v>
      </c>
      <c r="F69" s="502">
        <v>0</v>
      </c>
      <c r="G69" s="459">
        <v>11</v>
      </c>
      <c r="H69" s="286"/>
      <c r="I69" s="286"/>
      <c r="J69" s="460">
        <v>13</v>
      </c>
      <c r="K69" s="496">
        <f t="shared" si="16"/>
        <v>84.615384615384613</v>
      </c>
      <c r="L69" s="496">
        <f t="shared" si="17"/>
        <v>0</v>
      </c>
      <c r="M69" s="496">
        <f t="shared" si="18"/>
        <v>0</v>
      </c>
      <c r="N69" s="499">
        <f t="shared" si="19"/>
        <v>84.615384615384613</v>
      </c>
      <c r="O69" s="495">
        <v>65.8</v>
      </c>
      <c r="P69" s="496"/>
      <c r="Q69" s="496"/>
      <c r="R69" s="497">
        <f t="shared" si="20"/>
        <v>65.8</v>
      </c>
      <c r="S69" s="787">
        <v>1</v>
      </c>
      <c r="T69" s="839"/>
      <c r="U69" s="830"/>
      <c r="V69" s="492" t="s">
        <v>1118</v>
      </c>
      <c r="W69" s="787" t="s">
        <v>1328</v>
      </c>
      <c r="X69" s="787" t="s">
        <v>11</v>
      </c>
      <c r="Y69" s="493">
        <v>65.8</v>
      </c>
      <c r="AD69" s="492"/>
      <c r="AG69" s="493"/>
      <c r="AL69" s="492"/>
      <c r="AO69" s="493"/>
      <c r="AP69" s="492"/>
      <c r="AS69" s="493"/>
      <c r="AW69" s="493"/>
      <c r="BA69" s="494"/>
    </row>
    <row r="70" spans="1:53">
      <c r="B70" s="2"/>
      <c r="C70" s="2"/>
      <c r="D70" s="2"/>
      <c r="E70" s="2"/>
      <c r="F70" s="2"/>
      <c r="G70" s="2"/>
      <c r="H70" s="2"/>
      <c r="I70" s="2"/>
      <c r="J70" s="2"/>
      <c r="K70" s="2"/>
      <c r="L70" s="2"/>
      <c r="M70" s="2"/>
      <c r="N70" s="2"/>
      <c r="V70" s="885"/>
      <c r="W70" s="885"/>
      <c r="X70" s="885"/>
      <c r="Y70" s="885"/>
    </row>
    <row r="71" spans="1:53" s="2" customFormat="1" ht="18" customHeight="1">
      <c r="B71" s="22" t="s">
        <v>1269</v>
      </c>
      <c r="V71" s="885"/>
      <c r="W71" s="885"/>
      <c r="X71" s="885"/>
      <c r="Y71" s="885"/>
    </row>
    <row r="72" spans="1:53" s="2" customFormat="1" ht="9" customHeight="1"/>
    <row r="73" spans="1:53" s="317" customFormat="1" ht="9" customHeight="1">
      <c r="A73" s="315"/>
      <c r="B73" s="316" t="s">
        <v>1220</v>
      </c>
      <c r="C73" s="316"/>
      <c r="D73" s="316"/>
      <c r="E73" s="316"/>
      <c r="F73" s="316"/>
      <c r="G73" s="316" t="s">
        <v>1221</v>
      </c>
      <c r="H73" s="316"/>
      <c r="I73" s="316"/>
      <c r="J73" s="316"/>
      <c r="K73" s="316"/>
      <c r="L73" s="316"/>
      <c r="M73" s="316"/>
      <c r="N73" s="316"/>
      <c r="R73" s="895" t="s">
        <v>1222</v>
      </c>
      <c r="S73" s="895"/>
      <c r="T73" s="895"/>
      <c r="U73" s="895"/>
      <c r="V73" s="895"/>
      <c r="W73" s="895"/>
      <c r="X73" s="318"/>
      <c r="Y73" s="318"/>
      <c r="AA73" s="318"/>
      <c r="AB73" s="318"/>
      <c r="AC73" s="318"/>
      <c r="AD73" s="318"/>
    </row>
    <row r="74" spans="1:53" s="322" customFormat="1" ht="9" customHeight="1">
      <c r="A74" s="319"/>
      <c r="B74" s="320" t="s">
        <v>1224</v>
      </c>
      <c r="C74" s="321"/>
      <c r="D74" s="321"/>
      <c r="E74" s="321"/>
      <c r="F74" s="321"/>
      <c r="G74" s="320" t="s">
        <v>1223</v>
      </c>
      <c r="H74" s="321"/>
      <c r="I74" s="321"/>
      <c r="J74" s="321"/>
      <c r="K74" s="321"/>
      <c r="L74" s="321"/>
      <c r="M74" s="321"/>
      <c r="N74" s="321"/>
      <c r="R74" s="323" t="s">
        <v>1225</v>
      </c>
      <c r="S74" s="324"/>
      <c r="T74" s="325"/>
      <c r="U74" s="325"/>
      <c r="V74" s="325"/>
      <c r="W74" s="323" t="s">
        <v>1226</v>
      </c>
      <c r="X74" s="325"/>
      <c r="Y74" s="325"/>
      <c r="AA74" s="325"/>
      <c r="AB74" s="325"/>
      <c r="AC74" s="325"/>
      <c r="AD74" s="325"/>
    </row>
    <row r="75" spans="1:53" s="307" customFormat="1" ht="12" customHeight="1">
      <c r="A75" s="326" t="s">
        <v>3</v>
      </c>
      <c r="B75" s="327" t="s">
        <v>8</v>
      </c>
      <c r="C75" s="327" t="s">
        <v>9</v>
      </c>
      <c r="D75" s="327" t="s">
        <v>10</v>
      </c>
      <c r="E75" s="328" t="s">
        <v>1200</v>
      </c>
      <c r="F75" s="327"/>
      <c r="G75" s="307" t="s">
        <v>3</v>
      </c>
      <c r="H75" s="896" t="s">
        <v>0</v>
      </c>
      <c r="I75" s="896"/>
      <c r="J75" s="896" t="s">
        <v>1</v>
      </c>
      <c r="K75" s="896"/>
      <c r="L75" s="896" t="s">
        <v>2</v>
      </c>
      <c r="M75" s="896"/>
      <c r="N75" s="897" t="s">
        <v>1200</v>
      </c>
      <c r="O75" s="897"/>
      <c r="P75" s="329"/>
      <c r="Q75" s="329"/>
      <c r="R75" s="330" t="s">
        <v>3</v>
      </c>
      <c r="S75" s="331" t="s">
        <v>136</v>
      </c>
      <c r="T75" s="329" t="s">
        <v>134</v>
      </c>
      <c r="U75" s="327" t="s">
        <v>135</v>
      </c>
      <c r="V75" s="329"/>
      <c r="W75" s="332" t="s">
        <v>26</v>
      </c>
    </row>
    <row r="76" spans="1:53" ht="9" customHeight="1">
      <c r="A76" s="1">
        <v>1990</v>
      </c>
      <c r="B76" s="8">
        <f>(K7*($E7/223))+(K8*($E8/223))</f>
        <v>53.185522497882801</v>
      </c>
      <c r="C76" s="8">
        <f>(L7*($E7/223))+(L8*($E8/223))</f>
        <v>5.8518096877646499</v>
      </c>
      <c r="D76" s="8">
        <f>(M7*($E7/223))+(M8*($E8/223))</f>
        <v>23.4072387510586</v>
      </c>
      <c r="E76" s="69">
        <f>SUM(B76:D76)</f>
        <v>82.444570936706043</v>
      </c>
      <c r="G76" s="1">
        <v>1990</v>
      </c>
      <c r="H76" s="933">
        <f>(O7/$R7*100*($E7/223))+(O8/$R8*100*($E8/223))</f>
        <v>71.669477234401356</v>
      </c>
      <c r="I76" s="933"/>
      <c r="J76" s="933">
        <f>(P7/$R7*100*($E7/223))+(P8/$R8*100*($E8/223))</f>
        <v>9.1062394603709951</v>
      </c>
      <c r="K76" s="933"/>
      <c r="L76" s="933">
        <f>(Q7/$R7*100*($E7/223))+(Q8/$R8*100*($E8/223))</f>
        <v>19.224283305227658</v>
      </c>
      <c r="M76" s="933"/>
      <c r="N76" s="887">
        <f>SUM(H76:M76)</f>
        <v>100.00000000000001</v>
      </c>
      <c r="O76" s="887"/>
      <c r="R76" s="1">
        <v>1990</v>
      </c>
      <c r="S76" s="8">
        <f>(O7*($E7/223))+(O8*($E8/223))</f>
        <v>42.5</v>
      </c>
      <c r="T76" s="8">
        <f>(P7*($E7/223))+(P8*($E8/223))</f>
        <v>5.4</v>
      </c>
      <c r="U76" s="8">
        <f>(Q7*($E7/223))+(Q8*($E8/223))</f>
        <v>11.4</v>
      </c>
      <c r="W76" s="7">
        <f t="shared" ref="W76:W97" si="21">SUM(S76:U76)</f>
        <v>59.3</v>
      </c>
      <c r="Y76" s="71" t="s">
        <v>1142</v>
      </c>
    </row>
    <row r="77" spans="1:53" ht="9" customHeight="1">
      <c r="A77" s="1">
        <v>1991</v>
      </c>
      <c r="B77" s="8">
        <f>(K9*($E9/365))+(K10*($E10/365))</f>
        <v>57.894736842105267</v>
      </c>
      <c r="C77" s="8">
        <f>(L9*($E9/365))+(L10*($E10/365))</f>
        <v>5.2631578947368416</v>
      </c>
      <c r="D77" s="8">
        <f>(M9*($E9/365))+(M10*($E10/365))</f>
        <v>21.052631578947366</v>
      </c>
      <c r="E77" s="69">
        <f t="shared" ref="E77:E97" si="22">SUM(B77:D77)</f>
        <v>84.21052631578948</v>
      </c>
      <c r="G77" s="1">
        <v>1991</v>
      </c>
      <c r="H77" s="918">
        <f>(O9/$R9*100*($E9/365))+(O10/$R10*100*($E10/365))</f>
        <v>71.669477234401356</v>
      </c>
      <c r="I77" s="918"/>
      <c r="J77" s="918">
        <f>(P9/$R9*100*($E9/365))+(P10/$R10*100*($E10/365))</f>
        <v>9.1062394603709969</v>
      </c>
      <c r="K77" s="918"/>
      <c r="L77" s="918">
        <f>(Q9/$R9*100*($E9/365))+(Q10/$R10*100*($E10/365))</f>
        <v>19.224283305227658</v>
      </c>
      <c r="M77" s="918"/>
      <c r="N77" s="887">
        <f t="shared" ref="N77:N98" si="23">SUM(H77:M77)</f>
        <v>100.00000000000001</v>
      </c>
      <c r="O77" s="887"/>
      <c r="R77" s="1">
        <v>1991</v>
      </c>
      <c r="S77" s="8">
        <f>(O9*($E9/365))+(O10*($E10/365))</f>
        <v>42.5</v>
      </c>
      <c r="T77" s="8">
        <f>(P9*($E9/365))+(P10*($E10/365))</f>
        <v>5.4</v>
      </c>
      <c r="U77" s="8">
        <f>(Q9*($E9/365))+(Q10*($E10/365))</f>
        <v>11.4</v>
      </c>
      <c r="W77" s="7">
        <f t="shared" si="21"/>
        <v>59.3</v>
      </c>
    </row>
    <row r="78" spans="1:53" ht="9" customHeight="1">
      <c r="A78" s="1">
        <v>1992</v>
      </c>
      <c r="B78" s="8">
        <f>(K11*($E11/366))+(K12*($E12/366))</f>
        <v>57.89473684210526</v>
      </c>
      <c r="C78" s="8">
        <f>(L11*($E11/366))+(L12*($E12/366))</f>
        <v>5.2631578947368416</v>
      </c>
      <c r="D78" s="8">
        <f>(M11*($E11/366))+(M12*($E12/366))</f>
        <v>21.052631578947366</v>
      </c>
      <c r="E78" s="69">
        <f t="shared" si="22"/>
        <v>84.210526315789465</v>
      </c>
      <c r="G78" s="1">
        <v>1992</v>
      </c>
      <c r="H78" s="918">
        <f>(O11/$R11*100*($E11/366))+(O12/$R12*100*($E12/366))</f>
        <v>71.669477234401356</v>
      </c>
      <c r="I78" s="918"/>
      <c r="J78" s="918">
        <f>(P11/$R11*100*($E11/366))+(P12/$R12*100*($E12/366))</f>
        <v>9.1062394603709969</v>
      </c>
      <c r="K78" s="918"/>
      <c r="L78" s="918">
        <f>(Q11/$R11*100*($E11/366))+(Q12/$R12*100*($E12/366))</f>
        <v>19.224283305227658</v>
      </c>
      <c r="M78" s="918"/>
      <c r="N78" s="887">
        <f t="shared" si="23"/>
        <v>100.00000000000001</v>
      </c>
      <c r="O78" s="887"/>
      <c r="R78" s="1">
        <v>1992</v>
      </c>
      <c r="S78" s="8">
        <f>(O11*($E11/366))+(O12*($E12/366))</f>
        <v>42.499999999999993</v>
      </c>
      <c r="T78" s="8">
        <f>(P11*($E11/366))+(P12*($E12/366))</f>
        <v>5.4</v>
      </c>
      <c r="U78" s="8">
        <f>(Q11*($E11/366))+(Q12*($E12/366))</f>
        <v>11.4</v>
      </c>
      <c r="W78" s="7">
        <f t="shared" si="21"/>
        <v>59.29999999999999</v>
      </c>
    </row>
    <row r="79" spans="1:53" ht="9" customHeight="1">
      <c r="A79" s="1">
        <v>1993</v>
      </c>
      <c r="B79" s="8">
        <f>(K13*($E13/365))+(K14*($E14/365))</f>
        <v>58.03352559480895</v>
      </c>
      <c r="C79" s="8">
        <f>(L13*($E13/365))+(L14*($E14/365))</f>
        <v>5.6696106705118954</v>
      </c>
      <c r="D79" s="8">
        <f>(M13*($E13/365))+(M14*($E14/365))</f>
        <v>20.983237202595529</v>
      </c>
      <c r="E79" s="69">
        <f t="shared" si="22"/>
        <v>84.686373467916368</v>
      </c>
      <c r="G79" s="1">
        <v>1993</v>
      </c>
      <c r="H79" s="918">
        <f>(O13/$R13*100*($E13/365))+(O14/$R14*100*($E14/365))</f>
        <v>71.669477234401356</v>
      </c>
      <c r="I79" s="918"/>
      <c r="J79" s="918">
        <f>(P13/$R13*100*($E13/365))+(P14/$R14*100*($E14/365))</f>
        <v>9.1062394603709969</v>
      </c>
      <c r="K79" s="918"/>
      <c r="L79" s="918">
        <f>(Q13/$R13*100*($E13/365))+(Q14/$R14*100*($E14/365))</f>
        <v>19.224283305227658</v>
      </c>
      <c r="M79" s="918"/>
      <c r="N79" s="887">
        <f t="shared" si="23"/>
        <v>100.00000000000001</v>
      </c>
      <c r="O79" s="887"/>
      <c r="R79" s="1">
        <v>1993</v>
      </c>
      <c r="S79" s="8">
        <f>(O13*($E13/365))+(O14*($E14/365))</f>
        <v>42.5</v>
      </c>
      <c r="T79" s="8">
        <f>(P13*($E13/365))+(P14*($E14/365))</f>
        <v>5.4</v>
      </c>
      <c r="U79" s="8">
        <f>(Q13*($E13/365))+(Q14*($E14/365))</f>
        <v>11.4</v>
      </c>
      <c r="W79" s="7">
        <f t="shared" si="21"/>
        <v>59.3</v>
      </c>
    </row>
    <row r="80" spans="1:53" ht="9" customHeight="1">
      <c r="A80" s="1">
        <v>1994</v>
      </c>
      <c r="B80" s="8">
        <f>(K15*($E15/365))+(K16*($E16/365))</f>
        <v>43.370841487279847</v>
      </c>
      <c r="C80" s="8">
        <f>(L15*($E15/365))+(L16*($E16/365))</f>
        <v>10.017123287671234</v>
      </c>
      <c r="D80" s="8">
        <f>(M15*($E15/365))+(M16*($E16/365))</f>
        <v>46.61203522504892</v>
      </c>
      <c r="E80" s="69">
        <f t="shared" si="22"/>
        <v>100</v>
      </c>
      <c r="G80" s="1">
        <v>1994</v>
      </c>
      <c r="H80" s="918">
        <f>(O15/$R15*100*($E15/365))+(O16/$R16*100*($E16/365))</f>
        <v>49.868320409855215</v>
      </c>
      <c r="I80" s="918"/>
      <c r="J80" s="918">
        <f>(P15/$R15*100*($E15/365))+(P16/$R16*100*($E16/365))</f>
        <v>4.8649772459516285</v>
      </c>
      <c r="K80" s="918"/>
      <c r="L80" s="918">
        <f>(Q15/$R15*100*($E15/365))+(Q16/$R16*100*($E16/365))</f>
        <v>45.266702344193163</v>
      </c>
      <c r="M80" s="918"/>
      <c r="N80" s="887">
        <f t="shared" si="23"/>
        <v>100</v>
      </c>
      <c r="O80" s="887"/>
      <c r="R80" s="1">
        <v>1994</v>
      </c>
      <c r="S80" s="8">
        <f>(O15*($E15/365))+(O16*($E16/365))</f>
        <v>31.042465753424658</v>
      </c>
      <c r="T80" s="8">
        <f>(P15*($E15/365))+(P16*($E16/365))</f>
        <v>2.8849315068493153</v>
      </c>
      <c r="U80" s="8">
        <f>(Q15*($E15/365))+(Q16*($E16/365))</f>
        <v>31.287671232876711</v>
      </c>
      <c r="W80" s="7">
        <f t="shared" si="21"/>
        <v>65.215068493150682</v>
      </c>
    </row>
    <row r="81" spans="1:23" ht="9" customHeight="1">
      <c r="A81" s="1">
        <v>1995</v>
      </c>
      <c r="B81" s="8">
        <f>(K17*($E17/365))+(K18*($E18/365))</f>
        <v>20.230919765166341</v>
      </c>
      <c r="C81" s="8">
        <f>(L17*($E17/365))+(L18*($E18/365))</f>
        <v>0</v>
      </c>
      <c r="D81" s="8">
        <f>(M17*($E17/365))+(M18*($E18/365))</f>
        <v>79.769080234833652</v>
      </c>
      <c r="E81" s="69">
        <f t="shared" si="22"/>
        <v>100</v>
      </c>
      <c r="G81" s="1">
        <v>1995</v>
      </c>
      <c r="H81" s="918">
        <f>(O17/$R17*100*($E17/365))+(O18/$R18*100*($E18/365))</f>
        <v>24.861111111111107</v>
      </c>
      <c r="I81" s="918"/>
      <c r="J81" s="918">
        <f>(P17/$R17*100*($E17/365))+(P18/$R18*100*($E18/365))</f>
        <v>0</v>
      </c>
      <c r="K81" s="918"/>
      <c r="L81" s="918">
        <f>(Q17/$R17*100*($E17/365))+(Q18/$R18*100*($E18/365))</f>
        <v>75.138888888888886</v>
      </c>
      <c r="M81" s="918"/>
      <c r="N81" s="887">
        <f t="shared" si="23"/>
        <v>100</v>
      </c>
      <c r="O81" s="887"/>
      <c r="R81" s="1">
        <v>1995</v>
      </c>
      <c r="S81" s="8">
        <f>(O17*($E17/365))+(O18*($E18/365))</f>
        <v>17.899999999999999</v>
      </c>
      <c r="T81" s="8">
        <f>(P17*($E17/365))+(P18*($E18/365))</f>
        <v>0</v>
      </c>
      <c r="U81" s="8">
        <f>(Q17*($E17/365))+(Q18*($E18/365))</f>
        <v>54.100000000000009</v>
      </c>
      <c r="W81" s="7">
        <f t="shared" si="21"/>
        <v>72</v>
      </c>
    </row>
    <row r="82" spans="1:23" ht="9" customHeight="1">
      <c r="A82" s="1">
        <v>1996</v>
      </c>
      <c r="B82" s="8">
        <f>(K19*($E19/366))+(K20*($E20/366))</f>
        <v>20</v>
      </c>
      <c r="C82" s="8">
        <f>(L19*($E19/366))+(L20*($E20/366))</f>
        <v>0</v>
      </c>
      <c r="D82" s="8">
        <f>(M19*($E19/366))+(M20*($E20/366))</f>
        <v>80</v>
      </c>
      <c r="E82" s="69">
        <f t="shared" si="22"/>
        <v>100</v>
      </c>
      <c r="G82" s="1">
        <v>1996</v>
      </c>
      <c r="H82" s="918">
        <f>(O19/$R19*100*($E19/366))+(O20/$R20*100*($E20/366))</f>
        <v>24.861111111111107</v>
      </c>
      <c r="I82" s="918"/>
      <c r="J82" s="918">
        <f>(P19/$R19*100*($E19/366))+(P20/$R20*100*($E20/366))</f>
        <v>0</v>
      </c>
      <c r="K82" s="918"/>
      <c r="L82" s="918">
        <f>(Q19/$R19*100*($E19/366))+(Q20/$R20*100*($E20/366))</f>
        <v>75.138888888888886</v>
      </c>
      <c r="M82" s="918"/>
      <c r="N82" s="887">
        <f t="shared" si="23"/>
        <v>100</v>
      </c>
      <c r="O82" s="887"/>
      <c r="R82" s="1">
        <v>1996</v>
      </c>
      <c r="S82" s="8">
        <f>(O19*($E19/366))+(O20*($E20/366))</f>
        <v>17.899999999999999</v>
      </c>
      <c r="T82" s="8">
        <f>(P19*($E19/366))+(P20*($E20/366))</f>
        <v>0</v>
      </c>
      <c r="U82" s="8">
        <f>(Q19*($E19/366))+(Q20*($E20/366))</f>
        <v>54.1</v>
      </c>
      <c r="W82" s="7">
        <f t="shared" si="21"/>
        <v>72</v>
      </c>
    </row>
    <row r="83" spans="1:23" ht="9" customHeight="1">
      <c r="A83" s="1">
        <v>1997</v>
      </c>
      <c r="B83" s="8">
        <f>(K21*($E21/365))+(K22*($E22/365))</f>
        <v>20</v>
      </c>
      <c r="C83" s="8">
        <f>(L21*($E21/365))+(L22*($E22/365))</f>
        <v>0</v>
      </c>
      <c r="D83" s="8">
        <f>(M21*($E21/365))+(M22*($E22/365))</f>
        <v>80</v>
      </c>
      <c r="E83" s="69">
        <f t="shared" si="22"/>
        <v>100</v>
      </c>
      <c r="G83" s="1">
        <v>1997</v>
      </c>
      <c r="H83" s="918">
        <f>(O21/$R21*100*($E21/365))+(O22/$R22*100*($E22/365))</f>
        <v>24.861111111111107</v>
      </c>
      <c r="I83" s="918"/>
      <c r="J83" s="918">
        <f>(P21/$R21*100*($E21/365))+(P22/$R22*100*($E22/365))</f>
        <v>0</v>
      </c>
      <c r="K83" s="918"/>
      <c r="L83" s="918">
        <f>(Q21/$R21*100*($E21/365))+(Q22/$R22*100*($E22/365))</f>
        <v>75.138888888888886</v>
      </c>
      <c r="M83" s="918"/>
      <c r="N83" s="887">
        <f t="shared" si="23"/>
        <v>100</v>
      </c>
      <c r="O83" s="887"/>
      <c r="R83" s="1">
        <v>1997</v>
      </c>
      <c r="S83" s="8">
        <f>(O21*($E21/365))+(O22*($E22/365))</f>
        <v>17.899999999999999</v>
      </c>
      <c r="T83" s="8">
        <f>(P21*($E21/365))+(P22*($E22/365))</f>
        <v>0</v>
      </c>
      <c r="U83" s="8">
        <f>(Q21*($E21/365))+(Q22*($E22/365))</f>
        <v>54.1</v>
      </c>
      <c r="W83" s="7">
        <f t="shared" si="21"/>
        <v>72</v>
      </c>
    </row>
    <row r="84" spans="1:23" ht="9" customHeight="1">
      <c r="A84" s="1">
        <v>1998</v>
      </c>
      <c r="B84" s="8">
        <f>(K23*($E23/365))+(K24*($E24/365))</f>
        <v>48.421779670772409</v>
      </c>
      <c r="C84" s="8">
        <f>(L23*($E23/365))+(L24*($E24/365))</f>
        <v>0</v>
      </c>
      <c r="D84" s="8">
        <f>(M23*($E23/365))+(M24*($E24/365))</f>
        <v>51.578220329227577</v>
      </c>
      <c r="E84" s="69">
        <f t="shared" si="22"/>
        <v>99.999999999999986</v>
      </c>
      <c r="G84" s="1">
        <v>1998</v>
      </c>
      <c r="H84" s="918">
        <f>(O23/$R23*100*($E23/365))+(O24/$R24*100*($E24/365))</f>
        <v>50.673573991663147</v>
      </c>
      <c r="I84" s="918"/>
      <c r="J84" s="918">
        <f>(P23/$R23*100*($E23/365))+(P24/$R24*100*($E24/365))</f>
        <v>0</v>
      </c>
      <c r="K84" s="918"/>
      <c r="L84" s="918">
        <f>(Q23/$R23*100*($E23/365))+(Q24/$R24*100*($E24/365))</f>
        <v>49.32642600833686</v>
      </c>
      <c r="M84" s="918"/>
      <c r="N84" s="887">
        <f t="shared" si="23"/>
        <v>100</v>
      </c>
      <c r="O84" s="887"/>
      <c r="R84" s="1">
        <v>1998</v>
      </c>
      <c r="S84" s="8">
        <f>(O23*($E23/365))+(O24*($E24/365))</f>
        <v>30.062191780821919</v>
      </c>
      <c r="T84" s="8">
        <f>(P23*($E23/365))+(P24*($E24/365))</f>
        <v>0</v>
      </c>
      <c r="U84" s="8">
        <f>(Q23*($E23/365))+(Q24*($E24/365))</f>
        <v>33.649863013698635</v>
      </c>
      <c r="W84" s="7">
        <f t="shared" si="21"/>
        <v>63.712054794520554</v>
      </c>
    </row>
    <row r="85" spans="1:23" ht="9" customHeight="1">
      <c r="A85" s="1">
        <v>1999</v>
      </c>
      <c r="B85" s="8">
        <f>(K25*($E25/365))+(K26*($E26/365))</f>
        <v>77.777777777777786</v>
      </c>
      <c r="C85" s="8">
        <f>(L25*($E25/365))+(L26*($E26/365))</f>
        <v>0</v>
      </c>
      <c r="D85" s="8">
        <f>(M25*($E25/365))+(M26*($E26/365))</f>
        <v>22.222222222222221</v>
      </c>
      <c r="E85" s="69">
        <f t="shared" si="22"/>
        <v>100</v>
      </c>
      <c r="G85" s="1">
        <v>1999</v>
      </c>
      <c r="H85" s="918">
        <f>(O25/$R25*100*($E25/365))+(O26/$R26*100*($E26/365))</f>
        <v>77.495462794918339</v>
      </c>
      <c r="I85" s="918"/>
      <c r="J85" s="918">
        <f>(P25/$R25*100*($E25/365))+(P26/$R26*100*($E26/365))</f>
        <v>0</v>
      </c>
      <c r="K85" s="918"/>
      <c r="L85" s="918">
        <f>(Q25/$R25*100*($E25/365))+(Q26/$R26*100*($E26/365))</f>
        <v>22.504537205081672</v>
      </c>
      <c r="M85" s="918"/>
      <c r="N85" s="887">
        <f t="shared" si="23"/>
        <v>100.00000000000001</v>
      </c>
      <c r="O85" s="887"/>
      <c r="R85" s="1">
        <v>1999</v>
      </c>
      <c r="S85" s="8">
        <f>(O25*($E25/365))+(O26*($E26/365))</f>
        <v>42.7</v>
      </c>
      <c r="T85" s="8">
        <f>(P25*($E25/365))+(P26*($E26/365))</f>
        <v>0</v>
      </c>
      <c r="U85" s="8">
        <f>(Q25*($E25/365))+(Q26*($E26/365))</f>
        <v>12.4</v>
      </c>
      <c r="W85" s="7">
        <f t="shared" si="21"/>
        <v>55.1</v>
      </c>
    </row>
    <row r="86" spans="1:23" ht="9" customHeight="1">
      <c r="A86" s="1">
        <v>2000</v>
      </c>
      <c r="B86" s="8">
        <f>(K27*($E27/366))+(K28*($E28/366))</f>
        <v>77.777777777777786</v>
      </c>
      <c r="C86" s="8">
        <f>(L27*($E27/366))+(L28*($E28/366))</f>
        <v>0</v>
      </c>
      <c r="D86" s="8">
        <f>(M27*($E27/366))+(M28*($E28/366))</f>
        <v>22.222222222222221</v>
      </c>
      <c r="E86" s="69">
        <f t="shared" si="22"/>
        <v>100</v>
      </c>
      <c r="G86" s="1">
        <v>2000</v>
      </c>
      <c r="H86" s="918">
        <f>(O27/$R27*100*($E27/366))+(O28/$R28*100*($E28/366))</f>
        <v>77.495462794918339</v>
      </c>
      <c r="I86" s="918"/>
      <c r="J86" s="918">
        <f>(P27/$R27*100*($E27/366))+(P28/$R28*100*($E28/366))</f>
        <v>0</v>
      </c>
      <c r="K86" s="918"/>
      <c r="L86" s="918">
        <f>(Q27/$R27*100*($E27/366))+(Q28/$R28*100*($E28/366))</f>
        <v>22.504537205081672</v>
      </c>
      <c r="M86" s="918"/>
      <c r="N86" s="887">
        <f t="shared" si="23"/>
        <v>100.00000000000001</v>
      </c>
      <c r="O86" s="887"/>
      <c r="R86" s="1">
        <v>2000</v>
      </c>
      <c r="S86" s="8">
        <f>(O27*($E27/366))+(O28*($E28/366))</f>
        <v>42.7</v>
      </c>
      <c r="T86" s="8">
        <f>(P27*($E27/366))+(P28*($E28/366))</f>
        <v>0</v>
      </c>
      <c r="U86" s="8">
        <f>(Q27*($E27/366))+(Q28*($E28/366))</f>
        <v>12.4</v>
      </c>
      <c r="W86" s="7">
        <f t="shared" si="21"/>
        <v>55.1</v>
      </c>
    </row>
    <row r="87" spans="1:23" ht="9" customHeight="1">
      <c r="A87" s="1">
        <v>2001</v>
      </c>
      <c r="B87" s="8">
        <f>(K29*($E29/365))+(K30*($E30/365))</f>
        <v>77.777777777777786</v>
      </c>
      <c r="C87" s="8">
        <f>(L29*($E29/365))+(L30*($E30/365))</f>
        <v>0</v>
      </c>
      <c r="D87" s="8">
        <f>(M29*($E29/365))+(M30*($E30/365))</f>
        <v>22.222222222222221</v>
      </c>
      <c r="E87" s="69">
        <f t="shared" si="22"/>
        <v>100</v>
      </c>
      <c r="G87" s="1">
        <v>2001</v>
      </c>
      <c r="H87" s="918">
        <f>(O29/$R29*100*($E29/365))+(O30/$R30*100*($E30/365))</f>
        <v>77.495462794918339</v>
      </c>
      <c r="I87" s="918"/>
      <c r="J87" s="918">
        <f>(P29/$R29*100*($E29/365))+(P30/$R30*100*($E30/365))</f>
        <v>0</v>
      </c>
      <c r="K87" s="918"/>
      <c r="L87" s="918">
        <f>(Q29/$R29*100*($E29/365))+(Q30/$R30*100*($E30/365))</f>
        <v>22.504537205081672</v>
      </c>
      <c r="M87" s="918"/>
      <c r="N87" s="887">
        <f t="shared" si="23"/>
        <v>100.00000000000001</v>
      </c>
      <c r="O87" s="887"/>
      <c r="R87" s="1">
        <v>2001</v>
      </c>
      <c r="S87" s="8">
        <f>(O29*($E29/365))+(O30*($E30/365))</f>
        <v>42.7</v>
      </c>
      <c r="T87" s="8">
        <f>(P29*($E29/365))+(P30*($E30/365))</f>
        <v>0</v>
      </c>
      <c r="U87" s="8">
        <f>(Q29*($E29/365))+(Q30*($E30/365))</f>
        <v>12.4</v>
      </c>
      <c r="W87" s="7">
        <f t="shared" si="21"/>
        <v>55.1</v>
      </c>
    </row>
    <row r="88" spans="1:23" ht="9" customHeight="1">
      <c r="A88" s="1">
        <v>2002</v>
      </c>
      <c r="B88" s="8">
        <f>(K31*($E31/365))+(K32*($E32/365))</f>
        <v>47.111111111111114</v>
      </c>
      <c r="C88" s="8">
        <f>(L31*($E31/365))+(L32*($E32/365))</f>
        <v>0</v>
      </c>
      <c r="D88" s="8">
        <f>(M31*($E31/365))+(M32*($E32/365))</f>
        <v>52.888888888888886</v>
      </c>
      <c r="E88" s="69">
        <f t="shared" si="22"/>
        <v>100</v>
      </c>
      <c r="G88" s="1">
        <v>2002</v>
      </c>
      <c r="H88" s="918">
        <f>(O31/$R31*100*($E31/365))+(O32/$R32*100*($E32/365))</f>
        <v>37.080056462996581</v>
      </c>
      <c r="I88" s="918"/>
      <c r="J88" s="918">
        <f>(P31/$R31*100*($E31/365))+(P32/$R32*100*($E32/365))</f>
        <v>0</v>
      </c>
      <c r="K88" s="918"/>
      <c r="L88" s="918">
        <f>(Q31/$R31*100*($E31/365))+(Q32/$R32*100*($E32/365))</f>
        <v>62.919943537003427</v>
      </c>
      <c r="M88" s="918"/>
      <c r="N88" s="887">
        <f t="shared" si="23"/>
        <v>100</v>
      </c>
      <c r="O88" s="887"/>
      <c r="R88" s="1">
        <v>2002</v>
      </c>
      <c r="S88" s="8">
        <f>(O31*($E31/365))+(O32*($E32/365))</f>
        <v>20.200000000000003</v>
      </c>
      <c r="T88" s="8">
        <f>(P31*($E31/365))+(P32*($E32/365))</f>
        <v>0</v>
      </c>
      <c r="U88" s="8">
        <f>(Q31*($E31/365))+(Q32*($E32/365))</f>
        <v>32.620000000000005</v>
      </c>
      <c r="W88" s="7">
        <f t="shared" si="21"/>
        <v>52.820000000000007</v>
      </c>
    </row>
    <row r="89" spans="1:23" ht="9" customHeight="1">
      <c r="A89" s="1">
        <v>2003</v>
      </c>
      <c r="B89" s="8">
        <f>(K33*($E33/365))+(K34*($E34/365))</f>
        <v>24.681171098576414</v>
      </c>
      <c r="C89" s="8">
        <f>(L33*($E33/365))+(L34*($E34/365))</f>
        <v>0</v>
      </c>
      <c r="D89" s="8">
        <f>(M33*($E33/365))+(M34*($E34/365))</f>
        <v>75.318828901423572</v>
      </c>
      <c r="E89" s="69">
        <f t="shared" si="22"/>
        <v>99.999999999999986</v>
      </c>
      <c r="G89" s="1">
        <v>2003</v>
      </c>
      <c r="H89" s="918">
        <f>(O33/$R33*100*($E33/365))+(O34/$R34*100*($E34/365))</f>
        <v>10.1364522417154</v>
      </c>
      <c r="I89" s="918"/>
      <c r="J89" s="918">
        <f>(P33/$R33*100*($E33/365))+(P34/$R34*100*($E34/365))</f>
        <v>0</v>
      </c>
      <c r="K89" s="918"/>
      <c r="L89" s="918">
        <f>(Q33/$R33*100*($E33/365))+(Q34/$R34*100*($E34/365))</f>
        <v>89.863547758284597</v>
      </c>
      <c r="M89" s="918"/>
      <c r="N89" s="887">
        <f t="shared" si="23"/>
        <v>100</v>
      </c>
      <c r="O89" s="887"/>
      <c r="R89" s="1">
        <v>2003</v>
      </c>
      <c r="S89" s="8">
        <f>(O33*($E33/365))+(O34*($E34/365))</f>
        <v>5.1999999999999993</v>
      </c>
      <c r="T89" s="8">
        <f>(P33*($E33/365))+(P34*($E34/365))</f>
        <v>0</v>
      </c>
      <c r="U89" s="8">
        <f>(Q33*($E33/365))+(Q34*($E34/365))</f>
        <v>46.099999999999994</v>
      </c>
      <c r="W89" s="7">
        <f t="shared" si="21"/>
        <v>51.3</v>
      </c>
    </row>
    <row r="90" spans="1:23" ht="9" customHeight="1">
      <c r="A90" s="1">
        <v>2004</v>
      </c>
      <c r="B90" s="8">
        <f>(K35*($E35/366))+(K36*($E36/366))</f>
        <v>23.193685488767454</v>
      </c>
      <c r="C90" s="8">
        <f>(L35*($E35/366))+(L36*($E36/366))</f>
        <v>0</v>
      </c>
      <c r="D90" s="8">
        <f>(M35*($E35/366))+(M36*($E36/366))</f>
        <v>76.806314511232543</v>
      </c>
      <c r="E90" s="69">
        <f t="shared" si="22"/>
        <v>100</v>
      </c>
      <c r="G90" s="1">
        <v>2004</v>
      </c>
      <c r="H90" s="918">
        <f>(O35/$R35*100*($E35/366))+(O36/$R36*100*($E36/366))</f>
        <v>10.1364522417154</v>
      </c>
      <c r="I90" s="918"/>
      <c r="J90" s="918">
        <f>(P35/$R35*100*($E35/366))+(P36/$R36*100*($E36/366))</f>
        <v>0</v>
      </c>
      <c r="K90" s="918"/>
      <c r="L90" s="918">
        <f>(Q35/$R35*100*($E35/366))+(Q36/$R36*100*($E36/366))</f>
        <v>89.863547758284597</v>
      </c>
      <c r="M90" s="918"/>
      <c r="N90" s="887">
        <f t="shared" si="23"/>
        <v>100</v>
      </c>
      <c r="O90" s="887"/>
      <c r="R90" s="1">
        <v>2004</v>
      </c>
      <c r="S90" s="8">
        <f>(O35*($E35/366))+(O36*($E36/366))</f>
        <v>5.2</v>
      </c>
      <c r="T90" s="8">
        <f>(P35*($E35/366))+(P36*($E36/366))</f>
        <v>0</v>
      </c>
      <c r="U90" s="8">
        <f>(Q35*($E35/366))+(Q36*($E36/366))</f>
        <v>46.1</v>
      </c>
      <c r="W90" s="7">
        <f t="shared" si="21"/>
        <v>51.300000000000004</v>
      </c>
    </row>
    <row r="91" spans="1:23" ht="9" customHeight="1">
      <c r="A91" s="1">
        <v>2005</v>
      </c>
      <c r="B91" s="8">
        <f>(K37*($E37/365))+(K38*($E38/365))</f>
        <v>22.222222222222221</v>
      </c>
      <c r="C91" s="8">
        <f>(L37*($E37/365))+(L38*($E38/365))</f>
        <v>0</v>
      </c>
      <c r="D91" s="8">
        <f>(M37*($E37/365))+(M38*($E38/365))</f>
        <v>77.777777777777786</v>
      </c>
      <c r="E91" s="69">
        <f t="shared" si="22"/>
        <v>100</v>
      </c>
      <c r="G91" s="1">
        <v>2005</v>
      </c>
      <c r="H91" s="918">
        <f>(O37/$R37*100*($E37/365))+(O38/$R38*100*($E38/365))</f>
        <v>10.1364522417154</v>
      </c>
      <c r="I91" s="918"/>
      <c r="J91" s="918">
        <f>(P37/$R37*100*($E37/365))+(P38/$R38*100*($E38/365))</f>
        <v>0</v>
      </c>
      <c r="K91" s="918"/>
      <c r="L91" s="918">
        <f>(Q37/$R37*100*($E37/365))+(Q38/$R38*100*($E38/365))</f>
        <v>89.863547758284597</v>
      </c>
      <c r="M91" s="918"/>
      <c r="N91" s="887">
        <f t="shared" si="23"/>
        <v>100</v>
      </c>
      <c r="O91" s="887"/>
      <c r="R91" s="1">
        <v>2005</v>
      </c>
      <c r="S91" s="8">
        <f>(O37*($E37/365))+(O38*($E38/365))</f>
        <v>5.2</v>
      </c>
      <c r="T91" s="8">
        <f>(P37*($E37/365))+(P38*($E38/365))</f>
        <v>0</v>
      </c>
      <c r="U91" s="8">
        <f>(Q37*($E37/365))+(Q38*($E38/365))</f>
        <v>46.1</v>
      </c>
      <c r="W91" s="7">
        <f t="shared" si="21"/>
        <v>51.300000000000004</v>
      </c>
    </row>
    <row r="92" spans="1:23" ht="9" customHeight="1">
      <c r="A92" s="1">
        <v>2006</v>
      </c>
      <c r="B92" s="8">
        <f>(K39*($E39/365))+(K40*($E40/365))</f>
        <v>22.704601334738321</v>
      </c>
      <c r="C92" s="8">
        <f>(L39*($E39/365))+(L40*($E40/365))</f>
        <v>0</v>
      </c>
      <c r="D92" s="8">
        <f>(M39*($E39/365))+(M40*($E40/365))</f>
        <v>77.295398665261686</v>
      </c>
      <c r="E92" s="69">
        <f t="shared" si="22"/>
        <v>100</v>
      </c>
      <c r="G92" s="1">
        <v>2006</v>
      </c>
      <c r="H92" s="918">
        <f>(O39/$R39*100*($E39/365))+(O40/$R40*100*($E40/365))</f>
        <v>9.904105914318702</v>
      </c>
      <c r="I92" s="918"/>
      <c r="J92" s="918">
        <f>(P39/$R39*100*($E39/365))+(P40/$R40*100*($E40/365))</f>
        <v>0</v>
      </c>
      <c r="K92" s="918"/>
      <c r="L92" s="918">
        <f>(Q39/$R39*100*($E39/365))+(Q40/$R40*100*($E40/365))</f>
        <v>90.095894085681294</v>
      </c>
      <c r="M92" s="918"/>
      <c r="N92" s="887">
        <f t="shared" si="23"/>
        <v>100</v>
      </c>
      <c r="O92" s="887"/>
      <c r="R92" s="1">
        <v>2006</v>
      </c>
      <c r="S92" s="8">
        <f>(O39*($E39/365))+(O40*($E40/365))</f>
        <v>5.2564383561643835</v>
      </c>
      <c r="T92" s="8">
        <f>(P39*($E39/365))+(P40*($E40/365))</f>
        <v>0</v>
      </c>
      <c r="U92" s="8">
        <f>(Q39*($E39/365))+(Q40*($E40/365))</f>
        <v>47.849589041095896</v>
      </c>
      <c r="W92" s="7">
        <f t="shared" si="21"/>
        <v>53.106027397260277</v>
      </c>
    </row>
    <row r="93" spans="1:23" ht="9" customHeight="1">
      <c r="A93" s="1">
        <v>2007</v>
      </c>
      <c r="B93" s="8">
        <f>(K41*($E41/365))+(K42*($E42/365))</f>
        <v>21.525816649104321</v>
      </c>
      <c r="C93" s="8">
        <f>(L41*($E41/365))+(L42*($E42/365))</f>
        <v>0</v>
      </c>
      <c r="D93" s="8">
        <f>(M41*($E41/365))+(M42*($E42/365))</f>
        <v>78.474183350895686</v>
      </c>
      <c r="E93" s="69">
        <f t="shared" si="22"/>
        <v>100</v>
      </c>
      <c r="G93" s="1">
        <v>2007</v>
      </c>
      <c r="H93" s="918">
        <f>(O41/$R41*100*($E41/365))+(O42/$R42*100*($E42/365))</f>
        <v>9.7247706422018343</v>
      </c>
      <c r="I93" s="918"/>
      <c r="J93" s="918">
        <f>(P41/$R41*100*($E41/365))+(P42/$R42*100*($E42/365))</f>
        <v>0</v>
      </c>
      <c r="K93" s="918"/>
      <c r="L93" s="918">
        <f>(Q41/$R41*100*($E41/365))+(Q42/$R42*100*($E42/365))</f>
        <v>90.275229357798167</v>
      </c>
      <c r="M93" s="918"/>
      <c r="N93" s="887">
        <f t="shared" si="23"/>
        <v>100</v>
      </c>
      <c r="O93" s="887"/>
      <c r="R93" s="1">
        <v>2007</v>
      </c>
      <c r="S93" s="8">
        <f>(O41*($E41/365))+(O42*($E42/365))</f>
        <v>5.3000000000000007</v>
      </c>
      <c r="T93" s="8">
        <f>(P41*($E41/365))+(P42*($E42/365))</f>
        <v>0</v>
      </c>
      <c r="U93" s="8">
        <f>(Q41*($E41/365))+(Q42*($E42/365))</f>
        <v>49.2</v>
      </c>
      <c r="W93" s="7">
        <f t="shared" si="21"/>
        <v>54.5</v>
      </c>
    </row>
    <row r="94" spans="1:23" ht="9" customHeight="1">
      <c r="A94" s="1">
        <v>2008</v>
      </c>
      <c r="B94" s="8">
        <f>(K43*($E43/366))+(K44*($E44/366))+(K45*($E45/366))</f>
        <v>6.9555035128805622</v>
      </c>
      <c r="C94" s="8">
        <f>(L43*($E43/366))+(L44*($E44/366))+(L45*($E45/366))</f>
        <v>0</v>
      </c>
      <c r="D94" s="8">
        <f>(M43*($E43/366))+(M44*($E44/366))+(M45*($E45/366))</f>
        <v>93.044496487119432</v>
      </c>
      <c r="E94" s="69">
        <f t="shared" si="22"/>
        <v>100</v>
      </c>
      <c r="G94" s="1">
        <v>2008</v>
      </c>
      <c r="H94" s="918">
        <f>(O43/$R43*100*($E43/366))+(O44/$R44*100*($E44/366))+(O45/$R45*100*($E45/366))</f>
        <v>3.2415902140672781</v>
      </c>
      <c r="I94" s="918"/>
      <c r="J94" s="918">
        <f>(P43/$R43*100*($E43/366))+(P44/$R44*100*($E44/366))+(P45/$R45*100*($E45/366))</f>
        <v>0</v>
      </c>
      <c r="K94" s="918"/>
      <c r="L94" s="918">
        <f>(Q43/$R43*100*($E43/366))+(Q44/$R44*100*($E44/366))+(Q45/$R45*100*($E45/366))</f>
        <v>96.758409785932713</v>
      </c>
      <c r="M94" s="918"/>
      <c r="N94" s="887">
        <f t="shared" si="23"/>
        <v>99.999999999999986</v>
      </c>
      <c r="O94" s="887"/>
      <c r="R94" s="1">
        <v>2008</v>
      </c>
      <c r="S94" s="8">
        <f>(O43*($E43/366))+(O44*($E44/366))+(O45*($E45/366))</f>
        <v>1.7666666666666666</v>
      </c>
      <c r="T94" s="8">
        <f>(P43*($E43/366))+(P44*($E44/366))+(P45*($E45/366))</f>
        <v>0</v>
      </c>
      <c r="U94" s="8">
        <f>(Q43*($E43/366))+(Q44*($E44/366))+(Q45*($E45/366))</f>
        <v>49.2</v>
      </c>
      <c r="W94" s="7">
        <f t="shared" si="21"/>
        <v>50.966666666666669</v>
      </c>
    </row>
    <row r="95" spans="1:23" ht="9" customHeight="1">
      <c r="A95" s="1">
        <v>2009</v>
      </c>
      <c r="B95" s="8">
        <f>(K46*($E46/365))+(K47*($E47/365))</f>
        <v>0</v>
      </c>
      <c r="C95" s="8">
        <f>(L46*($E46/365))+(L47*($E47/365))</f>
        <v>0</v>
      </c>
      <c r="D95" s="8">
        <f>(M46*($E46/365))+(M47*($E47/365))</f>
        <v>100</v>
      </c>
      <c r="E95" s="69">
        <f t="shared" si="22"/>
        <v>100</v>
      </c>
      <c r="G95" s="1">
        <v>2009</v>
      </c>
      <c r="H95" s="918">
        <f>(O46/$R46*100*($E46/365))+(O47/$R47*100*($E47/365))</f>
        <v>0</v>
      </c>
      <c r="I95" s="918"/>
      <c r="J95" s="918">
        <f>(P46/$R46*100*($E46/365))+(P47/$R47*100*($E47/365))</f>
        <v>0</v>
      </c>
      <c r="K95" s="918"/>
      <c r="L95" s="918">
        <f>(Q46/$R46*100*($E46/365))+(Q47/$R47*100*($E47/365))</f>
        <v>100</v>
      </c>
      <c r="M95" s="918"/>
      <c r="N95" s="887">
        <f t="shared" si="23"/>
        <v>100</v>
      </c>
      <c r="O95" s="887"/>
      <c r="R95" s="1">
        <v>2009</v>
      </c>
      <c r="S95" s="8">
        <f>(O46*($E46/365))+(O47*($E47/365))</f>
        <v>0</v>
      </c>
      <c r="T95" s="8">
        <f>(P46*($E46/365))+(P47*($E47/365))</f>
        <v>0</v>
      </c>
      <c r="U95" s="8">
        <f>(Q46*($E46/365))+(Q47*($E47/365))</f>
        <v>49.2</v>
      </c>
      <c r="W95" s="7">
        <f t="shared" si="21"/>
        <v>49.2</v>
      </c>
    </row>
    <row r="96" spans="1:23" ht="9" customHeight="1">
      <c r="A96" s="1">
        <v>2010</v>
      </c>
      <c r="B96" s="8">
        <f>(K48*($E48/365))+(K49*($E49/365))</f>
        <v>41.61643835616438</v>
      </c>
      <c r="C96" s="8">
        <f>(L48*($E48/365))+(L49*($E49/365))</f>
        <v>0</v>
      </c>
      <c r="D96" s="8">
        <f>(M48*($E48/365))+(M49*($E49/365))</f>
        <v>40.547945205479451</v>
      </c>
      <c r="E96" s="69">
        <f t="shared" si="22"/>
        <v>82.164383561643831</v>
      </c>
      <c r="G96" s="1">
        <v>2010</v>
      </c>
      <c r="H96" s="918">
        <f>(O48/$R48*100*($E48/365))+(O49/$R49*100*($E49/365))</f>
        <v>59.452054794520549</v>
      </c>
      <c r="I96" s="918"/>
      <c r="J96" s="918">
        <f>(P48/$R48*100*($E48/365))+(P49/$R49*100*($E49/365))</f>
        <v>0</v>
      </c>
      <c r="K96" s="918"/>
      <c r="L96" s="918">
        <f>(Q48/$R48*100*($E48/365))+(Q49/$R49*100*($E49/365))</f>
        <v>40.547945205479451</v>
      </c>
      <c r="M96" s="918"/>
      <c r="N96" s="887">
        <f t="shared" si="23"/>
        <v>100</v>
      </c>
      <c r="O96" s="887"/>
      <c r="R96" s="1">
        <v>2010</v>
      </c>
      <c r="S96" s="8">
        <f>(O48*($E48/365))+(O49*($E49/365))</f>
        <v>40.48684931506849</v>
      </c>
      <c r="T96" s="8">
        <f>(P48*($E48/365))+(P49*($E49/365))</f>
        <v>0</v>
      </c>
      <c r="U96" s="8">
        <f>(Q48*($E48/365))+(Q49*($E49/365))</f>
        <v>19.949589041095891</v>
      </c>
      <c r="W96" s="7">
        <f t="shared" si="21"/>
        <v>60.436438356164381</v>
      </c>
    </row>
    <row r="97" spans="1:23" ht="9" customHeight="1">
      <c r="A97" s="1">
        <v>2011</v>
      </c>
      <c r="B97" s="8">
        <f>(K50*($E50/365))+(K51*($E51/365))</f>
        <v>69.843088418430881</v>
      </c>
      <c r="C97" s="8">
        <f>(L50*($E50/365))+(L51*($E51/365))</f>
        <v>0</v>
      </c>
      <c r="D97" s="8">
        <f>(M50*($E50/365))+(M51*($E51/365))</f>
        <v>0</v>
      </c>
      <c r="E97" s="69">
        <f t="shared" si="22"/>
        <v>69.843088418430881</v>
      </c>
      <c r="G97" s="1">
        <v>2011</v>
      </c>
      <c r="H97" s="918">
        <f>(O50/$R50*100*($E50/365))+(O51/$R51*100*($E51/365))</f>
        <v>100</v>
      </c>
      <c r="I97" s="918"/>
      <c r="J97" s="918">
        <f>(P50/$R50*100*($E50/365))+(P51/$R51*100*($E51/365))</f>
        <v>0</v>
      </c>
      <c r="K97" s="918"/>
      <c r="L97" s="918">
        <f>(Q50/$R50*100*($E50/365))+(Q51/$R51*100*($E51/365))</f>
        <v>0</v>
      </c>
      <c r="M97" s="918"/>
      <c r="N97" s="887">
        <f t="shared" si="23"/>
        <v>100</v>
      </c>
      <c r="O97" s="887"/>
      <c r="R97" s="1">
        <v>2011</v>
      </c>
      <c r="S97" s="8">
        <f>(O50*($E50/365))+(O51*($E51/365))</f>
        <v>68.099999999999994</v>
      </c>
      <c r="T97" s="8">
        <f>(P50*($E50/365))+(P51*($E51/365))</f>
        <v>0</v>
      </c>
      <c r="U97" s="8">
        <f>(Q50*($E50/365))+(Q51*($E51/365))</f>
        <v>0</v>
      </c>
      <c r="W97" s="7">
        <f t="shared" si="21"/>
        <v>68.099999999999994</v>
      </c>
    </row>
    <row r="98" spans="1:23" ht="9" customHeight="1">
      <c r="A98" s="1">
        <v>2012</v>
      </c>
      <c r="B98" s="8">
        <f>(K52*($E52/366))+(K53*($E53/366))+(K54*($E54/366))</f>
        <v>74.689518132141089</v>
      </c>
      <c r="C98" s="8">
        <f>(L52*($E52/366))+(L53*($E53/366))+(L54*($E54/366))</f>
        <v>0</v>
      </c>
      <c r="D98" s="8">
        <f>(M52*($E52/366))+(M53*($E53/366))+(M54*($E54/366))</f>
        <v>0</v>
      </c>
      <c r="E98" s="69">
        <f t="shared" ref="E98:E103" si="24">SUM(B98:D98)</f>
        <v>74.689518132141089</v>
      </c>
      <c r="G98" s="1">
        <v>2012</v>
      </c>
      <c r="H98" s="918">
        <f>(O52/$R52*100*($E52/366))+(O53/$R53*100*($E53/366))+(O54/$R54*100*($E54/366))</f>
        <v>100</v>
      </c>
      <c r="I98" s="918"/>
      <c r="J98" s="918">
        <f>(P52/$R52*100*($E52/366))+(P53/$R53*100*($E53/366))+(P54/$R54*100*($E54/366))</f>
        <v>0</v>
      </c>
      <c r="K98" s="918"/>
      <c r="L98" s="918">
        <f>(Q52/$R52*100*($E52/366))+(Q53/$R53*100*($E53/366))+(Q54/$R54*100*($E54/366))</f>
        <v>0</v>
      </c>
      <c r="M98" s="918"/>
      <c r="N98" s="887">
        <f t="shared" si="23"/>
        <v>100</v>
      </c>
      <c r="O98" s="887"/>
      <c r="R98" s="1">
        <v>2012</v>
      </c>
      <c r="S98" s="8">
        <f>(O52*($E52/366))+(O53*($E53/366))+(O54*($E54/366))</f>
        <v>68.099999999999994</v>
      </c>
      <c r="T98" s="8">
        <f>(P52*($E52/366))+(P53*($E53/366))+(P54*($E54/366))</f>
        <v>0</v>
      </c>
      <c r="U98" s="8">
        <f>(Q52*($E52/366))+(Q53*($E53/366))+(Q54*($E54/366))</f>
        <v>0</v>
      </c>
      <c r="W98" s="7">
        <f t="shared" ref="W98:W103" si="25">SUM(S98:U98)</f>
        <v>68.099999999999994</v>
      </c>
    </row>
    <row r="99" spans="1:23" ht="9" customHeight="1">
      <c r="A99" s="1">
        <v>2013</v>
      </c>
      <c r="B99" s="8">
        <f>(K55*($E55/365))+(K56*($E56/365))</f>
        <v>80.303860523038608</v>
      </c>
      <c r="C99" s="8">
        <f>(L55*($E55/365))+(L56*($E56/365))</f>
        <v>0</v>
      </c>
      <c r="D99" s="8">
        <f>(M55*($E55/365))+(M56*($E56/365))</f>
        <v>0</v>
      </c>
      <c r="E99" s="276">
        <f t="shared" si="24"/>
        <v>80.303860523038608</v>
      </c>
      <c r="G99" s="1">
        <v>2013</v>
      </c>
      <c r="H99" s="918">
        <f>(O55/$R55*100*($E55/365))+(O56/$R56*100*($E56/365))</f>
        <v>100</v>
      </c>
      <c r="I99" s="918"/>
      <c r="J99" s="918">
        <f>(P55/$R55*100*($E55/365))+(P56/$R56*100*($E56/365))</f>
        <v>0</v>
      </c>
      <c r="K99" s="918"/>
      <c r="L99" s="918">
        <f>(Q55/$R55*100*($E55/365))+(Q56/$R56*100*($E56/365))</f>
        <v>0</v>
      </c>
      <c r="M99" s="918"/>
      <c r="N99" s="887">
        <f t="shared" ref="N99:N104" si="26">SUM(H99:M99)</f>
        <v>100</v>
      </c>
      <c r="O99" s="887"/>
      <c r="R99" s="1">
        <v>2013</v>
      </c>
      <c r="S99" s="8">
        <f>(O55*($E55/365))+(O56*($E56/365))</f>
        <v>68.099999999999994</v>
      </c>
      <c r="T99" s="8">
        <f>(P55*($E55/365))+(P56*($E56/365))</f>
        <v>0</v>
      </c>
      <c r="U99" s="8">
        <f>(Q55*($E55/365))+(Q56*($E56/365))</f>
        <v>0</v>
      </c>
      <c r="W99" s="7">
        <f t="shared" si="25"/>
        <v>68.099999999999994</v>
      </c>
    </row>
    <row r="100" spans="1:23" ht="9" customHeight="1">
      <c r="A100" s="1">
        <v>2014</v>
      </c>
      <c r="B100" s="8">
        <f>(K57*($E57/365))+(K58*($E58/365))</f>
        <v>69.150684931506845</v>
      </c>
      <c r="C100" s="8">
        <f>(L57*($E57/365))+(L58*($E58/365))</f>
        <v>0</v>
      </c>
      <c r="D100" s="8">
        <f>(M57*($E57/365))+(M58*($E58/365))</f>
        <v>0</v>
      </c>
      <c r="E100" s="451">
        <f t="shared" si="24"/>
        <v>69.150684931506845</v>
      </c>
      <c r="G100" s="1">
        <v>2014</v>
      </c>
      <c r="H100" s="918">
        <f>(O57/$R57*100*($E57/365))+(O58/$R58*100*($E58/365))</f>
        <v>100</v>
      </c>
      <c r="I100" s="918"/>
      <c r="J100" s="918">
        <f>(P57/$R57*100*($E57/365))+(P58/$R58*100*($E58/365))</f>
        <v>0</v>
      </c>
      <c r="K100" s="918"/>
      <c r="L100" s="918">
        <f>(Q57/$R57*100*($E57/365))+(Q58/$R58*100*($E58/365))</f>
        <v>0</v>
      </c>
      <c r="M100" s="918"/>
      <c r="N100" s="887">
        <f t="shared" si="26"/>
        <v>100</v>
      </c>
      <c r="O100" s="887"/>
      <c r="R100" s="1">
        <v>2014</v>
      </c>
      <c r="S100" s="8">
        <f>(O57*($E57/365))+(O58*($E58/365))</f>
        <v>67.238082191780819</v>
      </c>
      <c r="T100" s="8">
        <f>(P57*($E57/365))+(P58*($E58/365))</f>
        <v>0</v>
      </c>
      <c r="U100" s="8">
        <f>(Q57*($E57/365))+(Q58*($E58/365))</f>
        <v>0</v>
      </c>
      <c r="W100" s="7">
        <f t="shared" si="25"/>
        <v>67.238082191780819</v>
      </c>
    </row>
    <row r="101" spans="1:23" s="603" customFormat="1" ht="9" customHeight="1">
      <c r="A101" s="603">
        <v>2015</v>
      </c>
      <c r="B101" s="595">
        <f>(K59*($E59/365))+(K60*($E60/365))</f>
        <v>72.727272727272734</v>
      </c>
      <c r="C101" s="595">
        <f>(L59*($E59/365))+(L60*($E60/365))</f>
        <v>0</v>
      </c>
      <c r="D101" s="595">
        <f>(M59*($E59/365))+(M60*($E60/365))</f>
        <v>0</v>
      </c>
      <c r="E101" s="596">
        <f t="shared" si="24"/>
        <v>72.727272727272734</v>
      </c>
      <c r="G101" s="603">
        <v>2015</v>
      </c>
      <c r="H101" s="918">
        <f>(O59/$R59*100*($E59/365))+(O60/$R60*100*($E60/365))</f>
        <v>100</v>
      </c>
      <c r="I101" s="918"/>
      <c r="J101" s="918">
        <f>(P59/$R59*100*($E59/365))+(P60/$R60*100*($E60/365))</f>
        <v>0</v>
      </c>
      <c r="K101" s="918"/>
      <c r="L101" s="918">
        <f>(Q59/$R59*100*($E59/365))+(Q60/$R60*100*($E60/365))</f>
        <v>0</v>
      </c>
      <c r="M101" s="918"/>
      <c r="N101" s="887">
        <f t="shared" si="26"/>
        <v>100</v>
      </c>
      <c r="O101" s="887"/>
      <c r="R101" s="603">
        <v>2015</v>
      </c>
      <c r="S101" s="595">
        <f>(O59*($E59/365))+(O60*($E60/365))</f>
        <v>66.8</v>
      </c>
      <c r="T101" s="595">
        <f>(P59*($E59/365))+(P60*($E60/365))</f>
        <v>0</v>
      </c>
      <c r="U101" s="595">
        <f>(Q59*($E59/365))+(Q60*($E60/365))</f>
        <v>0</v>
      </c>
      <c r="W101" s="599">
        <f t="shared" si="25"/>
        <v>66.8</v>
      </c>
    </row>
    <row r="102" spans="1:23" s="663" customFormat="1" ht="9" customHeight="1">
      <c r="A102" s="663">
        <v>2016</v>
      </c>
      <c r="B102" s="657">
        <f>(K61*($E61/366))+(K62*($E62/366))</f>
        <v>72.727272727272734</v>
      </c>
      <c r="C102" s="657">
        <f>(L61*($E61/366))+(L62*($E62/366))</f>
        <v>0</v>
      </c>
      <c r="D102" s="657">
        <f>(M61*($E61/366))+(M62*($E62/366))</f>
        <v>0</v>
      </c>
      <c r="E102" s="658">
        <f t="shared" si="24"/>
        <v>72.727272727272734</v>
      </c>
      <c r="G102" s="663">
        <v>2016</v>
      </c>
      <c r="H102" s="918">
        <f>(O61/$R61*100*($E61/366))+(O62/$R62*100*($E62/366))</f>
        <v>100</v>
      </c>
      <c r="I102" s="918"/>
      <c r="J102" s="918">
        <f>(P61/$R61*100*($E61/366))+(P62/$R62*100*($E62/366))</f>
        <v>0</v>
      </c>
      <c r="K102" s="918"/>
      <c r="L102" s="918">
        <f>(Q61/$R61*100*($E61/366))+(Q62/$R62*100*($E62/366))</f>
        <v>0</v>
      </c>
      <c r="M102" s="918"/>
      <c r="N102" s="887">
        <f t="shared" si="26"/>
        <v>100</v>
      </c>
      <c r="O102" s="887"/>
      <c r="R102" s="663">
        <v>2016</v>
      </c>
      <c r="S102" s="657">
        <f>(O61*($E61/366))+(O62*($E62/366))</f>
        <v>66.8</v>
      </c>
      <c r="T102" s="657">
        <f>(P61*($E61/366))+(P62*($E62/366))</f>
        <v>0</v>
      </c>
      <c r="U102" s="657">
        <f>(Q61*($E61/366))+(Q62*($E62/366))</f>
        <v>0</v>
      </c>
      <c r="W102" s="661">
        <f t="shared" si="25"/>
        <v>66.8</v>
      </c>
    </row>
    <row r="103" spans="1:23">
      <c r="A103" s="749">
        <v>2017</v>
      </c>
      <c r="B103" s="744">
        <f>(K63*($E63/365))+(K64*($E64/365))+(K65*($E65/365))</f>
        <v>75.532139093782945</v>
      </c>
      <c r="C103" s="744">
        <f>(L63*($E63/365))+(L64*($E64/365))+(L65*($E65/365))</f>
        <v>0</v>
      </c>
      <c r="D103" s="744">
        <f>(M63*($E63/365))+(M64*($E64/365))+(M65*($E65/365))</f>
        <v>0</v>
      </c>
      <c r="E103" s="745">
        <f t="shared" si="24"/>
        <v>75.532139093782945</v>
      </c>
      <c r="F103" s="749"/>
      <c r="G103" s="749">
        <v>2017</v>
      </c>
      <c r="H103" s="918">
        <f>(O63/$R63*100*($E63/365))+(O64/$R64*100*($E64/365))+(O65/$R65*100*($E65/365))</f>
        <v>100</v>
      </c>
      <c r="I103" s="918"/>
      <c r="J103" s="918">
        <f>(P63/$R63*100*($E63/365))+(P64/$R64*100*($E64/365))+(P65/$R65*100*($E65/365))</f>
        <v>0</v>
      </c>
      <c r="K103" s="918"/>
      <c r="L103" s="918">
        <f>(Q63/$R63*100*($E63/365))+(Q64/$R64*100*($E64/365))+(Q65/$R65*100*($E65/365))</f>
        <v>0</v>
      </c>
      <c r="M103" s="918"/>
      <c r="N103" s="887">
        <f t="shared" si="26"/>
        <v>100</v>
      </c>
      <c r="O103" s="887"/>
      <c r="P103" s="749"/>
      <c r="Q103" s="749"/>
      <c r="R103" s="749">
        <v>2017</v>
      </c>
      <c r="S103" s="744">
        <f>(O63*($E63/365))+(O64*($E64/365))+(O65*($E65/365))</f>
        <v>66.8</v>
      </c>
      <c r="T103" s="744">
        <f>(P63*($E63/365))+(P64*($E64/365))+(P65*($E65/365))</f>
        <v>0</v>
      </c>
      <c r="U103" s="744">
        <f>(Q63*($E63/365))+(Q64*($E64/365))+(Q65*($E65/365))</f>
        <v>0</v>
      </c>
      <c r="V103" s="749"/>
      <c r="W103" s="746">
        <f t="shared" si="25"/>
        <v>66.8</v>
      </c>
    </row>
    <row r="104" spans="1:23">
      <c r="A104" s="766">
        <v>2018</v>
      </c>
      <c r="B104" s="757">
        <f>(K66*($E66/365))+(K67*($E67/365))</f>
        <v>76.923076923076934</v>
      </c>
      <c r="C104" s="757">
        <f>(L66*($E66/365))+(L67*($E67/365))</f>
        <v>0</v>
      </c>
      <c r="D104" s="757">
        <f>(M66*($E66/365))+(M67*($E67/365))</f>
        <v>0</v>
      </c>
      <c r="E104" s="758">
        <f t="shared" ref="E104" si="27">SUM(B104:D104)</f>
        <v>76.923076923076934</v>
      </c>
      <c r="F104" s="766"/>
      <c r="G104" s="766">
        <v>2018</v>
      </c>
      <c r="H104" s="918">
        <f>(O66/$R66*100*($E66/365))+(O67/$R67*100*($E67/365))</f>
        <v>100</v>
      </c>
      <c r="I104" s="918"/>
      <c r="J104" s="918">
        <f>(P66/$R66*100*($E66/365))+(P67/$R67*100*($E67/365))</f>
        <v>0</v>
      </c>
      <c r="K104" s="918"/>
      <c r="L104" s="918">
        <f>(Q66/$R66*100*($E66/365))+(Q67/$R67*100*($E67/365))</f>
        <v>0</v>
      </c>
      <c r="M104" s="918"/>
      <c r="N104" s="887">
        <f t="shared" si="26"/>
        <v>100</v>
      </c>
      <c r="O104" s="887"/>
      <c r="P104" s="766"/>
      <c r="Q104" s="766"/>
      <c r="R104" s="766">
        <v>2018</v>
      </c>
      <c r="S104" s="757">
        <f>(O66*($E66/365))+(O67*($E67/365))</f>
        <v>66.175342465753417</v>
      </c>
      <c r="T104" s="757">
        <f>(P66*($E66/365))+(P67*($E67/365))</f>
        <v>0</v>
      </c>
      <c r="U104" s="757">
        <f>(Q66*($E66/365))+(Q67*($E67/365))</f>
        <v>0</v>
      </c>
      <c r="V104" s="766"/>
      <c r="W104" s="762">
        <f t="shared" ref="W104" si="28">SUM(S104:U104)</f>
        <v>66.175342465753417</v>
      </c>
    </row>
    <row r="105" spans="1:23">
      <c r="A105" s="794">
        <v>2019</v>
      </c>
      <c r="B105" s="788">
        <f>(K68*($E68/365))+(K69*($E69/365))</f>
        <v>80.821917808219183</v>
      </c>
      <c r="C105" s="788">
        <f>(L68*($E68/365))+(L69*($E69/365))</f>
        <v>0</v>
      </c>
      <c r="D105" s="788">
        <f>(M68*($E68/365))+(M69*($E69/365))</f>
        <v>0</v>
      </c>
      <c r="E105" s="789">
        <f t="shared" ref="E105" si="29">SUM(B105:D105)</f>
        <v>80.821917808219183</v>
      </c>
      <c r="F105" s="794"/>
      <c r="G105" s="794">
        <v>2019</v>
      </c>
      <c r="H105" s="918">
        <f>(O68/$R68*100*($E68/365))+(O69/$R69*100*($E69/365))</f>
        <v>100</v>
      </c>
      <c r="I105" s="918"/>
      <c r="J105" s="918">
        <f>(P68/$R68*100*($E68/365))+(P69/$R69*100*($E69/365))</f>
        <v>0</v>
      </c>
      <c r="K105" s="918"/>
      <c r="L105" s="918">
        <f>(Q68/$R68*100*($E68/365))+(Q69/$R69*100*($E69/365))</f>
        <v>0</v>
      </c>
      <c r="M105" s="918"/>
      <c r="N105" s="887">
        <f t="shared" ref="N105" si="30">SUM(H105:M105)</f>
        <v>100</v>
      </c>
      <c r="O105" s="887"/>
      <c r="P105" s="794"/>
      <c r="Q105" s="794"/>
      <c r="R105" s="794">
        <v>2019</v>
      </c>
      <c r="S105" s="788">
        <f>(O68*($E68/365))+(O69*($E69/365))</f>
        <v>65.8</v>
      </c>
      <c r="T105" s="788">
        <f>(P68*($E68/365))+(P69*($E69/365))</f>
        <v>0</v>
      </c>
      <c r="U105" s="788">
        <f>(Q68*($E68/365))+(Q69*($E69/365))</f>
        <v>0</v>
      </c>
      <c r="V105" s="794"/>
      <c r="W105" s="791">
        <f t="shared" ref="W105" si="31">SUM(S105:U105)</f>
        <v>65.8</v>
      </c>
    </row>
  </sheetData>
  <mergeCells count="210">
    <mergeCell ref="N92:O92"/>
    <mergeCell ref="J92:K92"/>
    <mergeCell ref="N80:O80"/>
    <mergeCell ref="N81:O81"/>
    <mergeCell ref="N88:O88"/>
    <mergeCell ref="C66:D66"/>
    <mergeCell ref="C67:D67"/>
    <mergeCell ref="H104:I104"/>
    <mergeCell ref="J104:K104"/>
    <mergeCell ref="L104:M104"/>
    <mergeCell ref="N104:O104"/>
    <mergeCell ref="J103:K103"/>
    <mergeCell ref="L103:M103"/>
    <mergeCell ref="H103:I103"/>
    <mergeCell ref="N103:O103"/>
    <mergeCell ref="N98:O98"/>
    <mergeCell ref="J97:K97"/>
    <mergeCell ref="N96:O96"/>
    <mergeCell ref="J95:K95"/>
    <mergeCell ref="J96:K96"/>
    <mergeCell ref="N89:O89"/>
    <mergeCell ref="N90:O90"/>
    <mergeCell ref="N91:O91"/>
    <mergeCell ref="J89:K89"/>
    <mergeCell ref="N102:O102"/>
    <mergeCell ref="H99:I99"/>
    <mergeCell ref="J99:K99"/>
    <mergeCell ref="L99:M99"/>
    <mergeCell ref="L95:M95"/>
    <mergeCell ref="J93:K93"/>
    <mergeCell ref="J94:K94"/>
    <mergeCell ref="N97:O97"/>
    <mergeCell ref="N94:O94"/>
    <mergeCell ref="N95:O95"/>
    <mergeCell ref="H96:I96"/>
    <mergeCell ref="N99:O99"/>
    <mergeCell ref="N93:O93"/>
    <mergeCell ref="L96:M96"/>
    <mergeCell ref="H97:I97"/>
    <mergeCell ref="H101:I101"/>
    <mergeCell ref="J101:K101"/>
    <mergeCell ref="L101:M101"/>
    <mergeCell ref="N101:O101"/>
    <mergeCell ref="H100:I100"/>
    <mergeCell ref="J100:K100"/>
    <mergeCell ref="L100:M100"/>
    <mergeCell ref="H102:I102"/>
    <mergeCell ref="J102:K102"/>
    <mergeCell ref="L102:M102"/>
    <mergeCell ref="H98:I98"/>
    <mergeCell ref="L93:M93"/>
    <mergeCell ref="L94:M94"/>
    <mergeCell ref="J98:K98"/>
    <mergeCell ref="L97:M97"/>
    <mergeCell ref="L98:M98"/>
    <mergeCell ref="L92:M92"/>
    <mergeCell ref="H92:I92"/>
    <mergeCell ref="H93:I93"/>
    <mergeCell ref="H94:I94"/>
    <mergeCell ref="H95:I95"/>
    <mergeCell ref="N77:O77"/>
    <mergeCell ref="H80:I80"/>
    <mergeCell ref="H87:I87"/>
    <mergeCell ref="H88:I88"/>
    <mergeCell ref="N79:O79"/>
    <mergeCell ref="J76:K76"/>
    <mergeCell ref="J77:K77"/>
    <mergeCell ref="J82:K82"/>
    <mergeCell ref="L84:M84"/>
    <mergeCell ref="L85:M85"/>
    <mergeCell ref="L86:M86"/>
    <mergeCell ref="L87:M87"/>
    <mergeCell ref="L88:M88"/>
    <mergeCell ref="J87:K87"/>
    <mergeCell ref="J88:K88"/>
    <mergeCell ref="J78:K78"/>
    <mergeCell ref="J79:K79"/>
    <mergeCell ref="J80:K80"/>
    <mergeCell ref="J81:K81"/>
    <mergeCell ref="L77:M77"/>
    <mergeCell ref="L82:M82"/>
    <mergeCell ref="N78:O78"/>
    <mergeCell ref="N86:O86"/>
    <mergeCell ref="N87:O87"/>
    <mergeCell ref="L83:M83"/>
    <mergeCell ref="J85:K85"/>
    <mergeCell ref="J86:K86"/>
    <mergeCell ref="L90:M90"/>
    <mergeCell ref="L89:M89"/>
    <mergeCell ref="H84:I84"/>
    <mergeCell ref="L81:M81"/>
    <mergeCell ref="L91:M91"/>
    <mergeCell ref="J90:K90"/>
    <mergeCell ref="J91:K91"/>
    <mergeCell ref="C46:D46"/>
    <mergeCell ref="C47:D47"/>
    <mergeCell ref="C48:D48"/>
    <mergeCell ref="C49:D49"/>
    <mergeCell ref="C50:D50"/>
    <mergeCell ref="J83:K83"/>
    <mergeCell ref="J84:K84"/>
    <mergeCell ref="C51:D51"/>
    <mergeCell ref="C53:D53"/>
    <mergeCell ref="C55:D55"/>
    <mergeCell ref="C52:D52"/>
    <mergeCell ref="C63:D63"/>
    <mergeCell ref="C64:D64"/>
    <mergeCell ref="C65:D65"/>
    <mergeCell ref="C62:D62"/>
    <mergeCell ref="C61:D61"/>
    <mergeCell ref="H79:I79"/>
    <mergeCell ref="H81:I81"/>
    <mergeCell ref="H82:I82"/>
    <mergeCell ref="H83:I83"/>
    <mergeCell ref="H77:I77"/>
    <mergeCell ref="C8:D8"/>
    <mergeCell ref="R73:W73"/>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C38:D38"/>
    <mergeCell ref="C43:D43"/>
    <mergeCell ref="C21:D21"/>
    <mergeCell ref="C22:D22"/>
    <mergeCell ref="C10:D10"/>
    <mergeCell ref="C11:D11"/>
    <mergeCell ref="G3:M3"/>
    <mergeCell ref="O3:Q3"/>
    <mergeCell ref="A4:A5"/>
    <mergeCell ref="B4:B5"/>
    <mergeCell ref="C4:D5"/>
    <mergeCell ref="E4:E5"/>
    <mergeCell ref="F4:F5"/>
    <mergeCell ref="G4:J4"/>
    <mergeCell ref="C7:D7"/>
    <mergeCell ref="C6:D6"/>
    <mergeCell ref="AX4:BA4"/>
    <mergeCell ref="K4:N4"/>
    <mergeCell ref="O4:R4"/>
    <mergeCell ref="Z4:AC4"/>
    <mergeCell ref="AD4:AG4"/>
    <mergeCell ref="AH4:AK4"/>
    <mergeCell ref="AL4:AO4"/>
    <mergeCell ref="AP4:AS4"/>
    <mergeCell ref="V4:Y4"/>
    <mergeCell ref="S4:S5"/>
    <mergeCell ref="U4:U5"/>
    <mergeCell ref="T4:T5"/>
    <mergeCell ref="AT4:AW4"/>
    <mergeCell ref="C9:D9"/>
    <mergeCell ref="C14:D14"/>
    <mergeCell ref="H75:I75"/>
    <mergeCell ref="J75:K75"/>
    <mergeCell ref="C15:D15"/>
    <mergeCell ref="C12:D12"/>
    <mergeCell ref="C13:D13"/>
    <mergeCell ref="H105:I105"/>
    <mergeCell ref="J105:K105"/>
    <mergeCell ref="C23:D23"/>
    <mergeCell ref="C25:D25"/>
    <mergeCell ref="C26:D26"/>
    <mergeCell ref="C27:D27"/>
    <mergeCell ref="C39:D39"/>
    <mergeCell ref="C28:D28"/>
    <mergeCell ref="C29:D29"/>
    <mergeCell ref="C30:D30"/>
    <mergeCell ref="C31:D31"/>
    <mergeCell ref="C32:D32"/>
    <mergeCell ref="C68:D68"/>
    <mergeCell ref="C69:D69"/>
    <mergeCell ref="C24:D24"/>
    <mergeCell ref="H89:I89"/>
    <mergeCell ref="H78:I78"/>
    <mergeCell ref="L105:M105"/>
    <mergeCell ref="N105:O105"/>
    <mergeCell ref="C16:D16"/>
    <mergeCell ref="C17:D17"/>
    <mergeCell ref="C18:D18"/>
    <mergeCell ref="N100:O100"/>
    <mergeCell ref="H90:I90"/>
    <mergeCell ref="H91:I91"/>
    <mergeCell ref="H76:I76"/>
    <mergeCell ref="L76:M76"/>
    <mergeCell ref="N76:O76"/>
    <mergeCell ref="N84:O84"/>
    <mergeCell ref="N85:O85"/>
    <mergeCell ref="N82:O82"/>
    <mergeCell ref="N83:O83"/>
    <mergeCell ref="H85:I85"/>
    <mergeCell ref="H86:I86"/>
    <mergeCell ref="L78:M78"/>
    <mergeCell ref="L79:M79"/>
    <mergeCell ref="L80:M80"/>
    <mergeCell ref="C19:D19"/>
    <mergeCell ref="C20:D20"/>
    <mergeCell ref="L75:M75"/>
    <mergeCell ref="N75:O75"/>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A198"/>
  <sheetViews>
    <sheetView zoomScale="163" zoomScaleNormal="120" workbookViewId="0">
      <pane xSplit="1" ySplit="5" topLeftCell="B111" activePane="bottomRight" state="frozen"/>
      <selection pane="topRight" activeCell="B1" sqref="B1"/>
      <selection pane="bottomLeft" activeCell="A6" sqref="A6"/>
      <selection pane="bottomRight" activeCell="E19" sqref="E1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33" width="5.6640625" style="1" customWidth="1"/>
    <col min="34" max="34" width="5.6640625" style="37" customWidth="1"/>
    <col min="35" max="53" width="5.6640625" style="1" customWidth="1"/>
    <col min="54" max="16384" width="10.6640625" style="1"/>
  </cols>
  <sheetData>
    <row r="1" spans="1:53" s="2" customFormat="1" ht="15" customHeight="1">
      <c r="B1" s="22" t="s">
        <v>14</v>
      </c>
      <c r="AH1" s="36"/>
    </row>
    <row r="2" spans="1:53" s="2" customFormat="1" ht="15" customHeight="1">
      <c r="B2" s="22" t="s">
        <v>57</v>
      </c>
      <c r="AH2" s="36"/>
    </row>
    <row r="3" spans="1:53" s="2" customFormat="1">
      <c r="G3" s="924"/>
      <c r="H3" s="924"/>
      <c r="I3" s="924"/>
      <c r="J3" s="924"/>
      <c r="K3" s="924"/>
      <c r="L3" s="924"/>
      <c r="M3" s="924"/>
      <c r="O3" s="924"/>
      <c r="P3" s="924"/>
      <c r="Q3" s="924"/>
      <c r="AH3" s="3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ht="9" customHeight="1">
      <c r="A6" s="233">
        <v>1959</v>
      </c>
      <c r="B6" s="853"/>
      <c r="C6" s="925" t="s">
        <v>1234</v>
      </c>
      <c r="D6" s="925"/>
      <c r="E6" s="227">
        <v>323</v>
      </c>
      <c r="G6" s="235"/>
      <c r="I6" s="227">
        <v>4</v>
      </c>
      <c r="J6" s="242">
        <v>4</v>
      </c>
      <c r="K6" s="218">
        <f t="shared" ref="K6:M8" si="0">G6/$J6*100</f>
        <v>0</v>
      </c>
      <c r="L6" s="218">
        <f t="shared" si="0"/>
        <v>0</v>
      </c>
      <c r="M6" s="218">
        <f t="shared" si="0"/>
        <v>100</v>
      </c>
      <c r="N6" s="237">
        <f>K6+L6+M6</f>
        <v>100</v>
      </c>
      <c r="O6" s="217"/>
      <c r="P6" s="218"/>
      <c r="Q6" s="218">
        <v>15</v>
      </c>
      <c r="R6" s="219">
        <f>O6+P6+Q6</f>
        <v>15</v>
      </c>
      <c r="S6" s="227">
        <v>4</v>
      </c>
      <c r="T6" s="870"/>
      <c r="U6" s="853"/>
      <c r="V6" s="251" t="s">
        <v>112</v>
      </c>
      <c r="W6" s="227" t="s">
        <v>20</v>
      </c>
      <c r="X6" s="227" t="s">
        <v>12</v>
      </c>
      <c r="Y6" s="227">
        <v>15</v>
      </c>
      <c r="AD6" s="226"/>
      <c r="AG6" s="228"/>
      <c r="AH6" s="252"/>
      <c r="AL6" s="226"/>
      <c r="AO6" s="228"/>
      <c r="AP6" s="226"/>
      <c r="AS6" s="228"/>
      <c r="AW6" s="228"/>
      <c r="BA6" s="229"/>
    </row>
    <row r="7" spans="1:53" s="227" customFormat="1">
      <c r="A7" s="233">
        <v>1959</v>
      </c>
      <c r="B7" s="853">
        <v>21874</v>
      </c>
      <c r="C7" s="925" t="s">
        <v>277</v>
      </c>
      <c r="D7" s="925"/>
      <c r="E7" s="227">
        <f>365-E6</f>
        <v>42</v>
      </c>
      <c r="F7" s="227">
        <v>1</v>
      </c>
      <c r="G7" s="235">
        <v>4</v>
      </c>
      <c r="I7" s="227">
        <v>2</v>
      </c>
      <c r="J7" s="242">
        <v>6</v>
      </c>
      <c r="K7" s="218">
        <f t="shared" si="0"/>
        <v>66.666666666666657</v>
      </c>
      <c r="L7" s="218">
        <f t="shared" si="0"/>
        <v>0</v>
      </c>
      <c r="M7" s="218">
        <f t="shared" si="0"/>
        <v>33.333333333333329</v>
      </c>
      <c r="N7" s="237">
        <f>K7+L7+M7</f>
        <v>99.999999999999986</v>
      </c>
      <c r="O7" s="217">
        <v>40</v>
      </c>
      <c r="P7" s="218"/>
      <c r="Q7" s="218">
        <v>15</v>
      </c>
      <c r="R7" s="219">
        <f>O7+P7+Q7</f>
        <v>55</v>
      </c>
      <c r="S7" s="227">
        <v>2</v>
      </c>
      <c r="T7" s="870">
        <v>21849</v>
      </c>
      <c r="U7" s="853">
        <v>21874</v>
      </c>
      <c r="V7" s="226" t="s">
        <v>561</v>
      </c>
      <c r="W7" s="227" t="s">
        <v>74</v>
      </c>
      <c r="X7" s="227" t="s">
        <v>11</v>
      </c>
      <c r="Y7" s="228">
        <v>40</v>
      </c>
      <c r="Z7" s="227" t="s">
        <v>112</v>
      </c>
      <c r="AA7" s="227" t="s">
        <v>20</v>
      </c>
      <c r="AB7" s="227" t="s">
        <v>12</v>
      </c>
      <c r="AC7" s="227">
        <v>15</v>
      </c>
      <c r="AD7" s="226"/>
      <c r="AG7" s="228"/>
      <c r="AH7" s="252"/>
      <c r="AL7" s="226"/>
      <c r="AO7" s="228"/>
      <c r="AP7" s="226"/>
      <c r="AS7" s="228"/>
      <c r="AW7" s="228"/>
      <c r="BA7" s="229"/>
    </row>
    <row r="8" spans="1:53" s="73" customFormat="1">
      <c r="A8" s="101">
        <v>1960</v>
      </c>
      <c r="B8" s="852"/>
      <c r="C8" s="917" t="s">
        <v>277</v>
      </c>
      <c r="D8" s="917"/>
      <c r="E8" s="73">
        <v>0</v>
      </c>
      <c r="G8" s="119">
        <v>4</v>
      </c>
      <c r="I8" s="73">
        <v>2</v>
      </c>
      <c r="J8" s="126">
        <v>6</v>
      </c>
      <c r="K8" s="92">
        <f t="shared" si="0"/>
        <v>66.666666666666657</v>
      </c>
      <c r="L8" s="92">
        <f t="shared" si="0"/>
        <v>0</v>
      </c>
      <c r="M8" s="92">
        <f t="shared" si="0"/>
        <v>33.333333333333329</v>
      </c>
      <c r="N8" s="121">
        <f>K8+L8+M8</f>
        <v>99.999999999999986</v>
      </c>
      <c r="O8" s="91">
        <v>40</v>
      </c>
      <c r="P8" s="92"/>
      <c r="Q8" s="92">
        <v>15</v>
      </c>
      <c r="R8" s="93">
        <f>O8+P8+Q8</f>
        <v>55</v>
      </c>
      <c r="S8" s="73">
        <v>2</v>
      </c>
      <c r="T8" s="839"/>
      <c r="U8" s="852"/>
      <c r="V8" s="82" t="s">
        <v>561</v>
      </c>
      <c r="W8" s="73" t="s">
        <v>74</v>
      </c>
      <c r="X8" s="73" t="s">
        <v>11</v>
      </c>
      <c r="Y8" s="83">
        <v>40</v>
      </c>
      <c r="Z8" s="73" t="s">
        <v>112</v>
      </c>
      <c r="AA8" s="73" t="s">
        <v>20</v>
      </c>
      <c r="AB8" s="73" t="s">
        <v>12</v>
      </c>
      <c r="AC8" s="73">
        <v>15</v>
      </c>
      <c r="AD8" s="82"/>
      <c r="AG8" s="83"/>
      <c r="AH8" s="150"/>
      <c r="AL8" s="82"/>
      <c r="AO8" s="83"/>
      <c r="AP8" s="82"/>
      <c r="AS8" s="83"/>
      <c r="AW8" s="83"/>
      <c r="BA8" s="84"/>
    </row>
    <row r="9" spans="1:53" s="73" customFormat="1">
      <c r="A9" s="101">
        <v>1960</v>
      </c>
      <c r="B9" s="852"/>
      <c r="C9" s="917" t="s">
        <v>277</v>
      </c>
      <c r="D9" s="917"/>
      <c r="E9" s="73">
        <v>366</v>
      </c>
      <c r="G9" s="119">
        <v>4</v>
      </c>
      <c r="I9" s="73">
        <v>2</v>
      </c>
      <c r="J9" s="126">
        <v>6</v>
      </c>
      <c r="K9" s="92">
        <f t="shared" ref="K9:M43" si="1">G9/$J9*100</f>
        <v>66.666666666666657</v>
      </c>
      <c r="L9" s="92">
        <f t="shared" si="1"/>
        <v>0</v>
      </c>
      <c r="M9" s="92">
        <f t="shared" si="1"/>
        <v>33.333333333333329</v>
      </c>
      <c r="N9" s="121">
        <f t="shared" ref="N9:N72" si="2">K9+L9+M9</f>
        <v>99.999999999999986</v>
      </c>
      <c r="O9" s="91">
        <v>40</v>
      </c>
      <c r="P9" s="92"/>
      <c r="Q9" s="92">
        <v>15</v>
      </c>
      <c r="R9" s="93">
        <f t="shared" ref="R9:R73" si="3">O9+P9+Q9</f>
        <v>55</v>
      </c>
      <c r="S9" s="73">
        <v>2</v>
      </c>
      <c r="T9" s="839"/>
      <c r="U9" s="852"/>
      <c r="V9" s="82" t="s">
        <v>561</v>
      </c>
      <c r="W9" s="73" t="s">
        <v>74</v>
      </c>
      <c r="X9" s="73" t="s">
        <v>11</v>
      </c>
      <c r="Y9" s="83">
        <v>40</v>
      </c>
      <c r="Z9" s="73" t="s">
        <v>112</v>
      </c>
      <c r="AA9" s="73" t="s">
        <v>20</v>
      </c>
      <c r="AB9" s="73" t="s">
        <v>12</v>
      </c>
      <c r="AC9" s="73">
        <v>15</v>
      </c>
      <c r="AD9" s="82"/>
      <c r="AG9" s="83"/>
      <c r="AH9" s="150"/>
      <c r="AL9" s="82"/>
      <c r="AO9" s="83"/>
      <c r="AP9" s="82"/>
      <c r="AS9" s="83"/>
      <c r="AW9" s="83"/>
      <c r="BA9" s="84"/>
    </row>
    <row r="10" spans="1:53" s="73" customFormat="1">
      <c r="A10" s="101">
        <v>1961</v>
      </c>
      <c r="B10" s="852"/>
      <c r="C10" s="917" t="s">
        <v>277</v>
      </c>
      <c r="D10" s="917"/>
      <c r="E10" s="73">
        <v>0</v>
      </c>
      <c r="G10" s="119">
        <v>4</v>
      </c>
      <c r="I10" s="73">
        <v>2</v>
      </c>
      <c r="J10" s="126">
        <v>6</v>
      </c>
      <c r="K10" s="92">
        <f t="shared" si="1"/>
        <v>66.666666666666657</v>
      </c>
      <c r="L10" s="92">
        <f t="shared" si="1"/>
        <v>0</v>
      </c>
      <c r="M10" s="92">
        <f t="shared" si="1"/>
        <v>33.333333333333329</v>
      </c>
      <c r="N10" s="121">
        <f t="shared" si="2"/>
        <v>99.999999999999986</v>
      </c>
      <c r="O10" s="91">
        <v>40</v>
      </c>
      <c r="P10" s="92"/>
      <c r="Q10" s="92">
        <v>15</v>
      </c>
      <c r="R10" s="93">
        <f t="shared" si="3"/>
        <v>55</v>
      </c>
      <c r="S10" s="73">
        <v>2</v>
      </c>
      <c r="T10" s="839"/>
      <c r="U10" s="852"/>
      <c r="V10" s="82" t="s">
        <v>561</v>
      </c>
      <c r="W10" s="73" t="s">
        <v>74</v>
      </c>
      <c r="X10" s="73" t="s">
        <v>11</v>
      </c>
      <c r="Y10" s="83">
        <v>40</v>
      </c>
      <c r="Z10" s="73" t="s">
        <v>112</v>
      </c>
      <c r="AA10" s="73" t="s">
        <v>20</v>
      </c>
      <c r="AB10" s="73" t="s">
        <v>12</v>
      </c>
      <c r="AC10" s="73">
        <v>15</v>
      </c>
      <c r="AD10" s="82"/>
      <c r="AG10" s="83"/>
      <c r="AH10" s="150"/>
      <c r="AL10" s="82"/>
      <c r="AO10" s="83"/>
      <c r="AP10" s="82"/>
      <c r="AS10" s="83"/>
      <c r="AW10" s="83"/>
      <c r="BA10" s="84"/>
    </row>
    <row r="11" spans="1:53" s="73" customFormat="1">
      <c r="A11" s="101">
        <v>1961</v>
      </c>
      <c r="B11" s="852"/>
      <c r="C11" s="917" t="s">
        <v>277</v>
      </c>
      <c r="D11" s="917"/>
      <c r="E11" s="73">
        <v>365</v>
      </c>
      <c r="G11" s="119">
        <v>4</v>
      </c>
      <c r="I11" s="73">
        <v>2</v>
      </c>
      <c r="J11" s="126">
        <v>6</v>
      </c>
      <c r="K11" s="92">
        <f t="shared" si="1"/>
        <v>66.666666666666657</v>
      </c>
      <c r="L11" s="92">
        <f t="shared" si="1"/>
        <v>0</v>
      </c>
      <c r="M11" s="92">
        <f t="shared" si="1"/>
        <v>33.333333333333329</v>
      </c>
      <c r="N11" s="121">
        <f t="shared" si="2"/>
        <v>99.999999999999986</v>
      </c>
      <c r="O11" s="91">
        <v>40</v>
      </c>
      <c r="P11" s="92"/>
      <c r="Q11" s="92">
        <v>15</v>
      </c>
      <c r="R11" s="93">
        <f t="shared" si="3"/>
        <v>55</v>
      </c>
      <c r="S11" s="73">
        <v>2</v>
      </c>
      <c r="T11" s="839"/>
      <c r="U11" s="852"/>
      <c r="V11" s="82" t="s">
        <v>561</v>
      </c>
      <c r="W11" s="73" t="s">
        <v>74</v>
      </c>
      <c r="X11" s="73" t="s">
        <v>11</v>
      </c>
      <c r="Y11" s="83">
        <v>40</v>
      </c>
      <c r="Z11" s="73" t="s">
        <v>112</v>
      </c>
      <c r="AA11" s="73" t="s">
        <v>20</v>
      </c>
      <c r="AB11" s="73" t="s">
        <v>12</v>
      </c>
      <c r="AC11" s="73">
        <v>15</v>
      </c>
      <c r="AD11" s="82"/>
      <c r="AG11" s="83"/>
      <c r="AH11" s="150"/>
      <c r="AL11" s="82"/>
      <c r="AO11" s="83"/>
      <c r="AP11" s="82"/>
      <c r="AS11" s="83"/>
      <c r="AW11" s="83"/>
      <c r="BA11" s="84"/>
    </row>
    <row r="12" spans="1:53" s="73" customFormat="1">
      <c r="A12" s="101">
        <v>1962</v>
      </c>
      <c r="B12" s="852"/>
      <c r="C12" s="917" t="s">
        <v>277</v>
      </c>
      <c r="D12" s="917"/>
      <c r="E12" s="73">
        <v>0</v>
      </c>
      <c r="G12" s="119">
        <v>4</v>
      </c>
      <c r="I12" s="73">
        <v>2</v>
      </c>
      <c r="J12" s="126">
        <v>6</v>
      </c>
      <c r="K12" s="92">
        <f t="shared" si="1"/>
        <v>66.666666666666657</v>
      </c>
      <c r="L12" s="92">
        <f t="shared" si="1"/>
        <v>0</v>
      </c>
      <c r="M12" s="92">
        <f t="shared" si="1"/>
        <v>33.333333333333329</v>
      </c>
      <c r="N12" s="121">
        <f t="shared" si="2"/>
        <v>99.999999999999986</v>
      </c>
      <c r="O12" s="91">
        <v>40</v>
      </c>
      <c r="P12" s="92"/>
      <c r="Q12" s="92">
        <v>15</v>
      </c>
      <c r="R12" s="93">
        <f t="shared" si="3"/>
        <v>55</v>
      </c>
      <c r="S12" s="73">
        <v>2</v>
      </c>
      <c r="T12" s="839"/>
      <c r="U12" s="852"/>
      <c r="V12" s="82" t="s">
        <v>561</v>
      </c>
      <c r="W12" s="73" t="s">
        <v>74</v>
      </c>
      <c r="X12" s="73" t="s">
        <v>11</v>
      </c>
      <c r="Y12" s="83">
        <v>40</v>
      </c>
      <c r="Z12" s="73" t="s">
        <v>112</v>
      </c>
      <c r="AA12" s="73" t="s">
        <v>20</v>
      </c>
      <c r="AB12" s="73" t="s">
        <v>12</v>
      </c>
      <c r="AC12" s="73">
        <v>15</v>
      </c>
      <c r="AD12" s="82"/>
      <c r="AG12" s="83"/>
      <c r="AH12" s="150"/>
      <c r="AL12" s="82"/>
      <c r="AO12" s="83"/>
      <c r="AP12" s="82"/>
      <c r="AS12" s="83"/>
      <c r="AW12" s="83"/>
      <c r="BA12" s="84"/>
    </row>
    <row r="13" spans="1:53" s="73" customFormat="1">
      <c r="A13" s="101">
        <v>1962</v>
      </c>
      <c r="B13" s="852"/>
      <c r="C13" s="917" t="s">
        <v>277</v>
      </c>
      <c r="D13" s="917"/>
      <c r="E13" s="73">
        <v>365</v>
      </c>
      <c r="G13" s="119">
        <v>4</v>
      </c>
      <c r="I13" s="73">
        <v>2</v>
      </c>
      <c r="J13" s="126">
        <v>6</v>
      </c>
      <c r="K13" s="92">
        <f t="shared" si="1"/>
        <v>66.666666666666657</v>
      </c>
      <c r="L13" s="92">
        <f t="shared" si="1"/>
        <v>0</v>
      </c>
      <c r="M13" s="92">
        <f t="shared" si="1"/>
        <v>33.333333333333329</v>
      </c>
      <c r="N13" s="121">
        <f t="shared" si="2"/>
        <v>99.999999999999986</v>
      </c>
      <c r="O13" s="91">
        <v>40</v>
      </c>
      <c r="P13" s="92"/>
      <c r="Q13" s="92">
        <v>15</v>
      </c>
      <c r="R13" s="93">
        <f t="shared" si="3"/>
        <v>55</v>
      </c>
      <c r="S13" s="73">
        <v>2</v>
      </c>
      <c r="T13" s="839"/>
      <c r="U13" s="852"/>
      <c r="V13" s="82" t="s">
        <v>561</v>
      </c>
      <c r="W13" s="73" t="s">
        <v>74</v>
      </c>
      <c r="X13" s="73" t="s">
        <v>11</v>
      </c>
      <c r="Y13" s="83">
        <v>40</v>
      </c>
      <c r="Z13" s="73" t="s">
        <v>112</v>
      </c>
      <c r="AA13" s="73" t="s">
        <v>20</v>
      </c>
      <c r="AB13" s="73" t="s">
        <v>12</v>
      </c>
      <c r="AC13" s="73">
        <v>15</v>
      </c>
      <c r="AD13" s="82"/>
      <c r="AG13" s="83"/>
      <c r="AH13" s="150"/>
      <c r="AL13" s="82"/>
      <c r="AO13" s="83"/>
      <c r="AP13" s="82"/>
      <c r="AS13" s="83"/>
      <c r="AW13" s="83"/>
      <c r="BA13" s="84"/>
    </row>
    <row r="14" spans="1:53" s="73" customFormat="1">
      <c r="A14" s="101">
        <v>1962.6</v>
      </c>
      <c r="B14" s="852"/>
      <c r="C14" s="917" t="s">
        <v>277</v>
      </c>
      <c r="D14" s="917"/>
      <c r="E14" s="73">
        <v>317</v>
      </c>
      <c r="G14" s="119">
        <v>4</v>
      </c>
      <c r="I14" s="73">
        <v>2</v>
      </c>
      <c r="J14" s="126">
        <v>6</v>
      </c>
      <c r="K14" s="92">
        <f t="shared" si="1"/>
        <v>66.666666666666657</v>
      </c>
      <c r="L14" s="92">
        <f t="shared" si="1"/>
        <v>0</v>
      </c>
      <c r="M14" s="92">
        <f t="shared" si="1"/>
        <v>33.333333333333329</v>
      </c>
      <c r="N14" s="121">
        <f t="shared" si="2"/>
        <v>99.999999999999986</v>
      </c>
      <c r="O14" s="91">
        <v>40</v>
      </c>
      <c r="P14" s="92"/>
      <c r="Q14" s="92">
        <v>15</v>
      </c>
      <c r="R14" s="93">
        <f t="shared" si="3"/>
        <v>55</v>
      </c>
      <c r="S14" s="73">
        <v>2</v>
      </c>
      <c r="T14" s="839"/>
      <c r="U14" s="852"/>
      <c r="V14" s="82" t="s">
        <v>561</v>
      </c>
      <c r="W14" s="73" t="s">
        <v>74</v>
      </c>
      <c r="X14" s="73" t="s">
        <v>11</v>
      </c>
      <c r="Y14" s="83">
        <v>40</v>
      </c>
      <c r="Z14" s="73" t="s">
        <v>112</v>
      </c>
      <c r="AA14" s="73" t="s">
        <v>20</v>
      </c>
      <c r="AB14" s="73" t="s">
        <v>12</v>
      </c>
      <c r="AC14" s="73">
        <v>15</v>
      </c>
      <c r="AD14" s="82"/>
      <c r="AG14" s="83"/>
      <c r="AH14" s="150"/>
      <c r="AL14" s="82"/>
      <c r="AO14" s="83"/>
      <c r="AP14" s="82"/>
      <c r="AS14" s="83"/>
      <c r="AW14" s="83"/>
      <c r="BA14" s="84"/>
    </row>
    <row r="15" spans="1:53" s="292" customFormat="1">
      <c r="A15" s="338">
        <v>1963.05714285714</v>
      </c>
      <c r="B15" s="836">
        <v>23329</v>
      </c>
      <c r="C15" s="916" t="s">
        <v>1456</v>
      </c>
      <c r="D15" s="916"/>
      <c r="E15" s="292">
        <f>365-E14</f>
        <v>48</v>
      </c>
      <c r="F15" s="292">
        <v>3</v>
      </c>
      <c r="G15" s="366">
        <v>4</v>
      </c>
      <c r="I15" s="292">
        <v>3</v>
      </c>
      <c r="J15" s="377">
        <v>7</v>
      </c>
      <c r="K15" s="336">
        <f t="shared" si="1"/>
        <v>57.142857142857139</v>
      </c>
      <c r="L15" s="336">
        <f t="shared" si="1"/>
        <v>0</v>
      </c>
      <c r="M15" s="336">
        <f t="shared" si="1"/>
        <v>42.857142857142854</v>
      </c>
      <c r="N15" s="368">
        <f t="shared" si="2"/>
        <v>100</v>
      </c>
      <c r="O15" s="335">
        <v>40</v>
      </c>
      <c r="P15" s="336"/>
      <c r="Q15" s="336">
        <v>13.3</v>
      </c>
      <c r="R15" s="337">
        <f t="shared" si="3"/>
        <v>53.3</v>
      </c>
      <c r="S15" s="292">
        <v>2</v>
      </c>
      <c r="T15" s="838">
        <v>23171</v>
      </c>
      <c r="U15" s="836">
        <v>23329</v>
      </c>
      <c r="V15" s="299" t="s">
        <v>561</v>
      </c>
      <c r="W15" s="292" t="s">
        <v>74</v>
      </c>
      <c r="X15" s="292" t="s">
        <v>11</v>
      </c>
      <c r="Y15" s="300">
        <v>40</v>
      </c>
      <c r="Z15" s="292" t="s">
        <v>112</v>
      </c>
      <c r="AA15" s="292" t="s">
        <v>20</v>
      </c>
      <c r="AB15" s="292" t="s">
        <v>12</v>
      </c>
      <c r="AC15" s="292">
        <v>13.3</v>
      </c>
      <c r="AD15" s="299"/>
      <c r="AG15" s="300"/>
      <c r="AH15" s="390"/>
      <c r="AL15" s="299"/>
      <c r="AO15" s="300"/>
      <c r="AP15" s="299"/>
      <c r="AS15" s="300"/>
      <c r="AW15" s="300"/>
      <c r="BA15" s="301"/>
    </row>
    <row r="16" spans="1:53" s="292" customFormat="1">
      <c r="A16" s="338">
        <v>1963.5142857142901</v>
      </c>
      <c r="B16" s="836"/>
      <c r="C16" s="959" t="s">
        <v>1457</v>
      </c>
      <c r="D16" s="916"/>
      <c r="E16" s="292">
        <v>0</v>
      </c>
      <c r="G16" s="366">
        <v>4</v>
      </c>
      <c r="I16" s="292">
        <v>3</v>
      </c>
      <c r="J16" s="377">
        <v>7</v>
      </c>
      <c r="K16" s="336">
        <f t="shared" si="1"/>
        <v>57.142857142857139</v>
      </c>
      <c r="L16" s="336">
        <f t="shared" si="1"/>
        <v>0</v>
      </c>
      <c r="M16" s="336">
        <f t="shared" si="1"/>
        <v>42.857142857142854</v>
      </c>
      <c r="N16" s="368">
        <f t="shared" si="2"/>
        <v>100</v>
      </c>
      <c r="O16" s="335">
        <v>40</v>
      </c>
      <c r="P16" s="336"/>
      <c r="Q16" s="336">
        <v>13.3</v>
      </c>
      <c r="R16" s="337">
        <f t="shared" si="3"/>
        <v>53.3</v>
      </c>
      <c r="S16" s="292">
        <v>2</v>
      </c>
      <c r="T16" s="838"/>
      <c r="U16" s="836"/>
      <c r="V16" s="299" t="s">
        <v>561</v>
      </c>
      <c r="W16" s="292" t="s">
        <v>74</v>
      </c>
      <c r="X16" s="292" t="s">
        <v>11</v>
      </c>
      <c r="Y16" s="300">
        <v>40</v>
      </c>
      <c r="Z16" s="292" t="s">
        <v>112</v>
      </c>
      <c r="AA16" s="292" t="s">
        <v>20</v>
      </c>
      <c r="AB16" s="292" t="s">
        <v>12</v>
      </c>
      <c r="AC16" s="292">
        <v>13.3</v>
      </c>
      <c r="AD16" s="299"/>
      <c r="AG16" s="300"/>
      <c r="AH16" s="390"/>
      <c r="AL16" s="299"/>
      <c r="AO16" s="300"/>
      <c r="AP16" s="299"/>
      <c r="AS16" s="300"/>
      <c r="AW16" s="300"/>
      <c r="BA16" s="301"/>
    </row>
    <row r="17" spans="1:53" s="292" customFormat="1">
      <c r="A17" s="338">
        <v>1963.9714285714299</v>
      </c>
      <c r="B17" s="836"/>
      <c r="C17" s="959" t="s">
        <v>1457</v>
      </c>
      <c r="D17" s="916"/>
      <c r="E17" s="292">
        <v>366</v>
      </c>
      <c r="G17" s="366">
        <v>4</v>
      </c>
      <c r="I17" s="292">
        <v>3</v>
      </c>
      <c r="J17" s="377">
        <v>7</v>
      </c>
      <c r="K17" s="336">
        <f t="shared" si="1"/>
        <v>57.142857142857139</v>
      </c>
      <c r="L17" s="336">
        <f t="shared" si="1"/>
        <v>0</v>
      </c>
      <c r="M17" s="336">
        <f t="shared" si="1"/>
        <v>42.857142857142854</v>
      </c>
      <c r="N17" s="368">
        <f t="shared" si="2"/>
        <v>100</v>
      </c>
      <c r="O17" s="335">
        <v>40</v>
      </c>
      <c r="P17" s="336"/>
      <c r="Q17" s="336">
        <v>13.3</v>
      </c>
      <c r="R17" s="337">
        <f t="shared" si="3"/>
        <v>53.3</v>
      </c>
      <c r="S17" s="292">
        <v>2</v>
      </c>
      <c r="T17" s="838"/>
      <c r="U17" s="836"/>
      <c r="V17" s="299" t="s">
        <v>561</v>
      </c>
      <c r="W17" s="292" t="s">
        <v>74</v>
      </c>
      <c r="X17" s="292" t="s">
        <v>11</v>
      </c>
      <c r="Y17" s="300">
        <v>40</v>
      </c>
      <c r="Z17" s="292" t="s">
        <v>112</v>
      </c>
      <c r="AA17" s="292" t="s">
        <v>20</v>
      </c>
      <c r="AB17" s="292" t="s">
        <v>12</v>
      </c>
      <c r="AC17" s="292">
        <v>13.3</v>
      </c>
      <c r="AD17" s="299"/>
      <c r="AG17" s="300"/>
      <c r="AH17" s="390"/>
      <c r="AL17" s="299"/>
      <c r="AO17" s="300"/>
      <c r="AP17" s="299"/>
      <c r="AS17" s="300"/>
      <c r="AW17" s="300"/>
      <c r="BA17" s="301"/>
    </row>
    <row r="18" spans="1:53" s="292" customFormat="1">
      <c r="A18" s="338">
        <v>1965</v>
      </c>
      <c r="B18" s="836"/>
      <c r="C18" s="959" t="s">
        <v>1457</v>
      </c>
      <c r="D18" s="916"/>
      <c r="E18" s="292">
        <v>0</v>
      </c>
      <c r="G18" s="366">
        <v>4</v>
      </c>
      <c r="I18" s="292">
        <v>3</v>
      </c>
      <c r="J18" s="377">
        <v>7</v>
      </c>
      <c r="K18" s="336">
        <f t="shared" si="1"/>
        <v>57.142857142857139</v>
      </c>
      <c r="L18" s="336">
        <f t="shared" si="1"/>
        <v>0</v>
      </c>
      <c r="M18" s="336">
        <f t="shared" si="1"/>
        <v>42.857142857142854</v>
      </c>
      <c r="N18" s="368">
        <f t="shared" si="2"/>
        <v>100</v>
      </c>
      <c r="O18" s="335">
        <v>40</v>
      </c>
      <c r="P18" s="336"/>
      <c r="Q18" s="336">
        <v>13.3</v>
      </c>
      <c r="R18" s="337">
        <f t="shared" si="3"/>
        <v>53.3</v>
      </c>
      <c r="S18" s="292">
        <v>2</v>
      </c>
      <c r="T18" s="838"/>
      <c r="U18" s="836"/>
      <c r="V18" s="299" t="s">
        <v>561</v>
      </c>
      <c r="W18" s="292" t="s">
        <v>74</v>
      </c>
      <c r="X18" s="292" t="s">
        <v>11</v>
      </c>
      <c r="Y18" s="300">
        <v>40</v>
      </c>
      <c r="Z18" s="292" t="s">
        <v>112</v>
      </c>
      <c r="AA18" s="292" t="s">
        <v>20</v>
      </c>
      <c r="AB18" s="292" t="s">
        <v>12</v>
      </c>
      <c r="AC18" s="292">
        <v>13.3</v>
      </c>
      <c r="AD18" s="299"/>
      <c r="AG18" s="300"/>
      <c r="AH18" s="390"/>
      <c r="AL18" s="299"/>
      <c r="AO18" s="300"/>
      <c r="AP18" s="299"/>
      <c r="AS18" s="300"/>
      <c r="AW18" s="300"/>
      <c r="BA18" s="301"/>
    </row>
    <row r="19" spans="1:53" s="292" customFormat="1">
      <c r="A19" s="338">
        <v>1964.88571428572</v>
      </c>
      <c r="B19" s="836"/>
      <c r="C19" s="959" t="s">
        <v>1457</v>
      </c>
      <c r="D19" s="916"/>
      <c r="E19" s="292">
        <v>365</v>
      </c>
      <c r="G19" s="366">
        <v>4</v>
      </c>
      <c r="I19" s="292">
        <v>3</v>
      </c>
      <c r="J19" s="377">
        <v>7</v>
      </c>
      <c r="K19" s="336">
        <f t="shared" si="1"/>
        <v>57.142857142857139</v>
      </c>
      <c r="L19" s="336">
        <f t="shared" si="1"/>
        <v>0</v>
      </c>
      <c r="M19" s="336">
        <f t="shared" si="1"/>
        <v>42.857142857142854</v>
      </c>
      <c r="N19" s="368">
        <f t="shared" si="2"/>
        <v>100</v>
      </c>
      <c r="O19" s="335">
        <v>40</v>
      </c>
      <c r="P19" s="336"/>
      <c r="Q19" s="336">
        <v>13.3</v>
      </c>
      <c r="R19" s="337">
        <f t="shared" si="3"/>
        <v>53.3</v>
      </c>
      <c r="S19" s="292">
        <v>2</v>
      </c>
      <c r="T19" s="838"/>
      <c r="U19" s="836"/>
      <c r="V19" s="299" t="s">
        <v>561</v>
      </c>
      <c r="W19" s="292" t="s">
        <v>74</v>
      </c>
      <c r="X19" s="292" t="s">
        <v>11</v>
      </c>
      <c r="Y19" s="300">
        <v>40</v>
      </c>
      <c r="Z19" s="292" t="s">
        <v>112</v>
      </c>
      <c r="AA19" s="292" t="s">
        <v>20</v>
      </c>
      <c r="AB19" s="292" t="s">
        <v>12</v>
      </c>
      <c r="AC19" s="292">
        <v>13.3</v>
      </c>
      <c r="AD19" s="299"/>
      <c r="AG19" s="300"/>
      <c r="AH19" s="390"/>
      <c r="AL19" s="299"/>
      <c r="AO19" s="300"/>
      <c r="AP19" s="299"/>
      <c r="AS19" s="300"/>
      <c r="AW19" s="300"/>
      <c r="BA19" s="301"/>
    </row>
    <row r="20" spans="1:53" s="292" customFormat="1">
      <c r="A20" s="338">
        <v>1966</v>
      </c>
      <c r="B20" s="836"/>
      <c r="C20" s="959" t="s">
        <v>1457</v>
      </c>
      <c r="D20" s="916"/>
      <c r="E20" s="292">
        <v>0</v>
      </c>
      <c r="G20" s="366">
        <v>4</v>
      </c>
      <c r="I20" s="292">
        <v>3</v>
      </c>
      <c r="J20" s="377">
        <v>7</v>
      </c>
      <c r="K20" s="336">
        <f t="shared" si="1"/>
        <v>57.142857142857139</v>
      </c>
      <c r="L20" s="336">
        <f t="shared" si="1"/>
        <v>0</v>
      </c>
      <c r="M20" s="336">
        <f t="shared" si="1"/>
        <v>42.857142857142854</v>
      </c>
      <c r="N20" s="368">
        <f t="shared" si="2"/>
        <v>100</v>
      </c>
      <c r="O20" s="335">
        <v>40</v>
      </c>
      <c r="P20" s="336"/>
      <c r="Q20" s="336">
        <v>13.3</v>
      </c>
      <c r="R20" s="337">
        <f t="shared" si="3"/>
        <v>53.3</v>
      </c>
      <c r="S20" s="292">
        <v>2</v>
      </c>
      <c r="T20" s="838"/>
      <c r="U20" s="836"/>
      <c r="V20" s="299" t="s">
        <v>561</v>
      </c>
      <c r="W20" s="292" t="s">
        <v>74</v>
      </c>
      <c r="X20" s="292" t="s">
        <v>11</v>
      </c>
      <c r="Y20" s="300">
        <v>40</v>
      </c>
      <c r="Z20" s="292" t="s">
        <v>112</v>
      </c>
      <c r="AA20" s="292" t="s">
        <v>20</v>
      </c>
      <c r="AB20" s="292" t="s">
        <v>12</v>
      </c>
      <c r="AC20" s="292">
        <v>13.3</v>
      </c>
      <c r="AD20" s="299"/>
      <c r="AG20" s="300"/>
      <c r="AH20" s="390"/>
      <c r="AL20" s="299"/>
      <c r="AO20" s="300"/>
      <c r="AP20" s="299"/>
      <c r="AS20" s="300"/>
      <c r="AW20" s="300"/>
      <c r="BA20" s="301"/>
    </row>
    <row r="21" spans="1:53" s="292" customFormat="1">
      <c r="A21" s="338">
        <v>1965.8</v>
      </c>
      <c r="B21" s="836"/>
      <c r="C21" s="959" t="s">
        <v>1457</v>
      </c>
      <c r="D21" s="916"/>
      <c r="E21" s="292">
        <v>365</v>
      </c>
      <c r="G21" s="366">
        <v>4</v>
      </c>
      <c r="I21" s="292">
        <v>3</v>
      </c>
      <c r="J21" s="377">
        <v>7</v>
      </c>
      <c r="K21" s="336">
        <f t="shared" si="1"/>
        <v>57.142857142857139</v>
      </c>
      <c r="L21" s="336">
        <f t="shared" si="1"/>
        <v>0</v>
      </c>
      <c r="M21" s="336">
        <f t="shared" si="1"/>
        <v>42.857142857142854</v>
      </c>
      <c r="N21" s="368">
        <f t="shared" si="2"/>
        <v>100</v>
      </c>
      <c r="O21" s="335">
        <v>40</v>
      </c>
      <c r="P21" s="336"/>
      <c r="Q21" s="336">
        <v>13.3</v>
      </c>
      <c r="R21" s="337">
        <f t="shared" si="3"/>
        <v>53.3</v>
      </c>
      <c r="S21" s="292">
        <v>2</v>
      </c>
      <c r="T21" s="838"/>
      <c r="U21" s="836"/>
      <c r="V21" s="299" t="s">
        <v>561</v>
      </c>
      <c r="W21" s="292" t="s">
        <v>74</v>
      </c>
      <c r="X21" s="292" t="s">
        <v>11</v>
      </c>
      <c r="Y21" s="300">
        <v>40</v>
      </c>
      <c r="Z21" s="292" t="s">
        <v>112</v>
      </c>
      <c r="AA21" s="292" t="s">
        <v>20</v>
      </c>
      <c r="AB21" s="292" t="s">
        <v>12</v>
      </c>
      <c r="AC21" s="292">
        <v>13.3</v>
      </c>
      <c r="AD21" s="299"/>
      <c r="AG21" s="300"/>
      <c r="AH21" s="390"/>
      <c r="AL21" s="299"/>
      <c r="AO21" s="300"/>
      <c r="AP21" s="299"/>
      <c r="AS21" s="300"/>
      <c r="AW21" s="300"/>
      <c r="BA21" s="301"/>
    </row>
    <row r="22" spans="1:53" s="292" customFormat="1">
      <c r="A22" s="338">
        <v>1967</v>
      </c>
      <c r="B22" s="836"/>
      <c r="C22" s="959" t="s">
        <v>1457</v>
      </c>
      <c r="D22" s="916"/>
      <c r="E22" s="292">
        <v>162</v>
      </c>
      <c r="G22" s="366">
        <v>4</v>
      </c>
      <c r="I22" s="292">
        <v>3</v>
      </c>
      <c r="J22" s="377">
        <v>7</v>
      </c>
      <c r="K22" s="336">
        <f t="shared" si="1"/>
        <v>57.142857142857139</v>
      </c>
      <c r="L22" s="336">
        <f t="shared" si="1"/>
        <v>0</v>
      </c>
      <c r="M22" s="336">
        <f t="shared" si="1"/>
        <v>42.857142857142854</v>
      </c>
      <c r="N22" s="368">
        <f t="shared" si="2"/>
        <v>100</v>
      </c>
      <c r="O22" s="335">
        <v>40</v>
      </c>
      <c r="P22" s="336"/>
      <c r="Q22" s="336">
        <v>13.3</v>
      </c>
      <c r="R22" s="337">
        <f t="shared" si="3"/>
        <v>53.3</v>
      </c>
      <c r="S22" s="292">
        <v>2</v>
      </c>
      <c r="T22" s="838"/>
      <c r="U22" s="836"/>
      <c r="V22" s="299" t="s">
        <v>561</v>
      </c>
      <c r="W22" s="292" t="s">
        <v>74</v>
      </c>
      <c r="X22" s="292" t="s">
        <v>11</v>
      </c>
      <c r="Y22" s="300">
        <v>40</v>
      </c>
      <c r="Z22" s="292" t="s">
        <v>112</v>
      </c>
      <c r="AA22" s="292" t="s">
        <v>20</v>
      </c>
      <c r="AB22" s="292" t="s">
        <v>12</v>
      </c>
      <c r="AC22" s="292">
        <v>13.3</v>
      </c>
      <c r="AD22" s="299"/>
      <c r="AG22" s="300"/>
      <c r="AH22" s="390"/>
      <c r="AL22" s="299"/>
      <c r="AO22" s="300"/>
      <c r="AP22" s="299"/>
      <c r="AS22" s="300"/>
      <c r="AW22" s="300"/>
      <c r="BA22" s="301"/>
    </row>
    <row r="23" spans="1:53" s="73" customFormat="1">
      <c r="A23" s="101">
        <v>1966.7142857142901</v>
      </c>
      <c r="B23" s="852">
        <v>24635</v>
      </c>
      <c r="C23" s="917" t="s">
        <v>1458</v>
      </c>
      <c r="D23" s="917"/>
      <c r="E23" s="73">
        <f>365-E22</f>
        <v>203</v>
      </c>
      <c r="F23" s="73">
        <v>1</v>
      </c>
      <c r="G23" s="119">
        <v>4</v>
      </c>
      <c r="I23" s="73">
        <v>3</v>
      </c>
      <c r="J23" s="126">
        <v>7</v>
      </c>
      <c r="K23" s="92">
        <f t="shared" si="1"/>
        <v>57.142857142857139</v>
      </c>
      <c r="L23" s="92">
        <f t="shared" si="1"/>
        <v>0</v>
      </c>
      <c r="M23" s="92">
        <f t="shared" si="1"/>
        <v>42.857142857142854</v>
      </c>
      <c r="N23" s="121">
        <f t="shared" si="2"/>
        <v>100</v>
      </c>
      <c r="O23" s="91">
        <v>38.299999999999997</v>
      </c>
      <c r="P23" s="92"/>
      <c r="Q23" s="92">
        <v>15</v>
      </c>
      <c r="R23" s="93">
        <f t="shared" si="3"/>
        <v>53.3</v>
      </c>
      <c r="S23" s="73">
        <v>2</v>
      </c>
      <c r="T23" s="839">
        <v>24634</v>
      </c>
      <c r="U23" s="852">
        <v>24635</v>
      </c>
      <c r="V23" s="82" t="s">
        <v>561</v>
      </c>
      <c r="W23" s="73" t="s">
        <v>74</v>
      </c>
      <c r="X23" s="73" t="s">
        <v>11</v>
      </c>
      <c r="Y23" s="83">
        <v>38.299999999999997</v>
      </c>
      <c r="Z23" s="73" t="s">
        <v>112</v>
      </c>
      <c r="AA23" s="73" t="s">
        <v>20</v>
      </c>
      <c r="AB23" s="73" t="s">
        <v>12</v>
      </c>
      <c r="AC23" s="73">
        <v>15</v>
      </c>
      <c r="AD23" s="82"/>
      <c r="AG23" s="83"/>
      <c r="AH23" s="150"/>
      <c r="AL23" s="82"/>
      <c r="AO23" s="83"/>
      <c r="AP23" s="82"/>
      <c r="AS23" s="83"/>
      <c r="AW23" s="83"/>
      <c r="BA23" s="84"/>
    </row>
    <row r="24" spans="1:53" s="73" customFormat="1">
      <c r="A24" s="101">
        <v>1968</v>
      </c>
      <c r="B24" s="852"/>
      <c r="C24" s="917" t="s">
        <v>1458</v>
      </c>
      <c r="D24" s="917"/>
      <c r="E24" s="73">
        <v>0</v>
      </c>
      <c r="G24" s="119">
        <v>4</v>
      </c>
      <c r="I24" s="73">
        <v>3</v>
      </c>
      <c r="J24" s="126">
        <v>7</v>
      </c>
      <c r="K24" s="92">
        <f t="shared" si="1"/>
        <v>57.142857142857139</v>
      </c>
      <c r="L24" s="92">
        <f t="shared" si="1"/>
        <v>0</v>
      </c>
      <c r="M24" s="92">
        <f t="shared" si="1"/>
        <v>42.857142857142854</v>
      </c>
      <c r="N24" s="121">
        <f t="shared" si="2"/>
        <v>100</v>
      </c>
      <c r="O24" s="91">
        <v>38.299999999999997</v>
      </c>
      <c r="P24" s="92"/>
      <c r="Q24" s="92">
        <v>15</v>
      </c>
      <c r="R24" s="93">
        <f t="shared" si="3"/>
        <v>53.3</v>
      </c>
      <c r="S24" s="73">
        <v>2</v>
      </c>
      <c r="T24" s="839"/>
      <c r="U24" s="852"/>
      <c r="V24" s="82" t="s">
        <v>561</v>
      </c>
      <c r="W24" s="73" t="s">
        <v>74</v>
      </c>
      <c r="X24" s="73" t="s">
        <v>11</v>
      </c>
      <c r="Y24" s="83">
        <v>38.299999999999997</v>
      </c>
      <c r="Z24" s="73" t="s">
        <v>112</v>
      </c>
      <c r="AA24" s="73" t="s">
        <v>20</v>
      </c>
      <c r="AB24" s="73" t="s">
        <v>12</v>
      </c>
      <c r="AC24" s="73">
        <v>15</v>
      </c>
      <c r="AD24" s="82"/>
      <c r="AG24" s="83"/>
      <c r="AH24" s="150"/>
      <c r="AL24" s="82"/>
      <c r="AO24" s="83"/>
      <c r="AP24" s="82"/>
      <c r="AS24" s="83"/>
      <c r="AW24" s="83"/>
      <c r="BA24" s="84"/>
    </row>
    <row r="25" spans="1:53" s="73" customFormat="1">
      <c r="A25" s="101">
        <v>1967.62857142857</v>
      </c>
      <c r="B25" s="852"/>
      <c r="C25" s="917" t="s">
        <v>1458</v>
      </c>
      <c r="D25" s="917"/>
      <c r="E25" s="73">
        <v>366</v>
      </c>
      <c r="G25" s="119">
        <v>4</v>
      </c>
      <c r="I25" s="73">
        <v>3</v>
      </c>
      <c r="J25" s="126">
        <v>7</v>
      </c>
      <c r="K25" s="92">
        <f t="shared" si="1"/>
        <v>57.142857142857139</v>
      </c>
      <c r="L25" s="92">
        <f t="shared" si="1"/>
        <v>0</v>
      </c>
      <c r="M25" s="92">
        <f t="shared" si="1"/>
        <v>42.857142857142854</v>
      </c>
      <c r="N25" s="121">
        <f t="shared" si="2"/>
        <v>100</v>
      </c>
      <c r="O25" s="91">
        <v>38.299999999999997</v>
      </c>
      <c r="P25" s="92"/>
      <c r="Q25" s="92">
        <v>15</v>
      </c>
      <c r="R25" s="93">
        <f t="shared" si="3"/>
        <v>53.3</v>
      </c>
      <c r="S25" s="73">
        <v>2</v>
      </c>
      <c r="T25" s="839"/>
      <c r="U25" s="852"/>
      <c r="V25" s="82" t="s">
        <v>561</v>
      </c>
      <c r="W25" s="73" t="s">
        <v>74</v>
      </c>
      <c r="X25" s="73" t="s">
        <v>11</v>
      </c>
      <c r="Y25" s="83">
        <v>38.299999999999997</v>
      </c>
      <c r="Z25" s="73" t="s">
        <v>112</v>
      </c>
      <c r="AA25" s="73" t="s">
        <v>20</v>
      </c>
      <c r="AB25" s="73" t="s">
        <v>12</v>
      </c>
      <c r="AC25" s="73">
        <v>15</v>
      </c>
      <c r="AD25" s="82"/>
      <c r="AG25" s="83"/>
      <c r="AH25" s="150"/>
      <c r="AL25" s="82"/>
      <c r="AO25" s="83"/>
      <c r="AP25" s="82"/>
      <c r="AS25" s="83"/>
      <c r="AW25" s="83"/>
      <c r="BA25" s="84"/>
    </row>
    <row r="26" spans="1:53" s="73" customFormat="1">
      <c r="A26" s="101">
        <v>1969</v>
      </c>
      <c r="B26" s="852"/>
      <c r="C26" s="917" t="s">
        <v>1458</v>
      </c>
      <c r="D26" s="917"/>
      <c r="E26" s="73">
        <v>0</v>
      </c>
      <c r="G26" s="119">
        <v>4</v>
      </c>
      <c r="I26" s="73">
        <v>3</v>
      </c>
      <c r="J26" s="126">
        <v>7</v>
      </c>
      <c r="K26" s="92">
        <f t="shared" si="1"/>
        <v>57.142857142857139</v>
      </c>
      <c r="L26" s="92">
        <f t="shared" si="1"/>
        <v>0</v>
      </c>
      <c r="M26" s="92">
        <f t="shared" si="1"/>
        <v>42.857142857142854</v>
      </c>
      <c r="N26" s="121">
        <f t="shared" si="2"/>
        <v>100</v>
      </c>
      <c r="O26" s="91">
        <v>38.299999999999997</v>
      </c>
      <c r="P26" s="92"/>
      <c r="Q26" s="92">
        <v>15</v>
      </c>
      <c r="R26" s="93">
        <f t="shared" si="3"/>
        <v>53.3</v>
      </c>
      <c r="S26" s="73">
        <v>2</v>
      </c>
      <c r="T26" s="839"/>
      <c r="U26" s="852"/>
      <c r="V26" s="82" t="s">
        <v>561</v>
      </c>
      <c r="W26" s="73" t="s">
        <v>74</v>
      </c>
      <c r="X26" s="73" t="s">
        <v>11</v>
      </c>
      <c r="Y26" s="83">
        <v>38.299999999999997</v>
      </c>
      <c r="Z26" s="73" t="s">
        <v>112</v>
      </c>
      <c r="AA26" s="73" t="s">
        <v>20</v>
      </c>
      <c r="AB26" s="73" t="s">
        <v>12</v>
      </c>
      <c r="AC26" s="73">
        <v>15</v>
      </c>
      <c r="AD26" s="82"/>
      <c r="AG26" s="83"/>
      <c r="AH26" s="150"/>
      <c r="AL26" s="82"/>
      <c r="AO26" s="83"/>
      <c r="AP26" s="82"/>
      <c r="AS26" s="83"/>
      <c r="AW26" s="83"/>
      <c r="BA26" s="84"/>
    </row>
    <row r="27" spans="1:53" s="73" customFormat="1">
      <c r="A27" s="101">
        <v>1968.5428571428599</v>
      </c>
      <c r="B27" s="852"/>
      <c r="C27" s="917" t="s">
        <v>1458</v>
      </c>
      <c r="D27" s="917"/>
      <c r="E27" s="73">
        <v>365</v>
      </c>
      <c r="G27" s="119">
        <v>4</v>
      </c>
      <c r="I27" s="73">
        <v>3</v>
      </c>
      <c r="J27" s="126">
        <v>7</v>
      </c>
      <c r="K27" s="92">
        <f t="shared" si="1"/>
        <v>57.142857142857139</v>
      </c>
      <c r="L27" s="92">
        <f t="shared" si="1"/>
        <v>0</v>
      </c>
      <c r="M27" s="92">
        <f t="shared" si="1"/>
        <v>42.857142857142854</v>
      </c>
      <c r="N27" s="121">
        <f t="shared" si="2"/>
        <v>100</v>
      </c>
      <c r="O27" s="91">
        <v>38.299999999999997</v>
      </c>
      <c r="P27" s="92"/>
      <c r="Q27" s="92">
        <v>15</v>
      </c>
      <c r="R27" s="93">
        <f t="shared" si="3"/>
        <v>53.3</v>
      </c>
      <c r="S27" s="73">
        <v>2</v>
      </c>
      <c r="T27" s="839"/>
      <c r="U27" s="852"/>
      <c r="V27" s="82" t="s">
        <v>561</v>
      </c>
      <c r="W27" s="73" t="s">
        <v>74</v>
      </c>
      <c r="X27" s="73" t="s">
        <v>11</v>
      </c>
      <c r="Y27" s="83">
        <v>38.299999999999997</v>
      </c>
      <c r="Z27" s="73" t="s">
        <v>112</v>
      </c>
      <c r="AA27" s="73" t="s">
        <v>20</v>
      </c>
      <c r="AB27" s="73" t="s">
        <v>12</v>
      </c>
      <c r="AC27" s="73">
        <v>15</v>
      </c>
      <c r="AD27" s="82"/>
      <c r="AG27" s="83"/>
      <c r="AH27" s="150"/>
      <c r="AL27" s="82"/>
      <c r="AO27" s="83"/>
      <c r="AP27" s="82"/>
      <c r="AS27" s="83"/>
      <c r="AW27" s="83"/>
      <c r="BA27" s="84"/>
    </row>
    <row r="28" spans="1:53" s="73" customFormat="1">
      <c r="A28" s="101">
        <v>1970</v>
      </c>
      <c r="B28" s="852"/>
      <c r="C28" s="917" t="s">
        <v>1458</v>
      </c>
      <c r="D28" s="917"/>
      <c r="E28" s="73">
        <v>282</v>
      </c>
      <c r="G28" s="119">
        <v>4</v>
      </c>
      <c r="I28" s="73">
        <v>3</v>
      </c>
      <c r="J28" s="126">
        <v>7</v>
      </c>
      <c r="K28" s="92">
        <f t="shared" si="1"/>
        <v>57.142857142857139</v>
      </c>
      <c r="L28" s="92">
        <f t="shared" si="1"/>
        <v>0</v>
      </c>
      <c r="M28" s="92">
        <f t="shared" si="1"/>
        <v>42.857142857142854</v>
      </c>
      <c r="N28" s="121">
        <f t="shared" si="2"/>
        <v>100</v>
      </c>
      <c r="O28" s="91">
        <v>38.299999999999997</v>
      </c>
      <c r="P28" s="92"/>
      <c r="Q28" s="92">
        <v>15</v>
      </c>
      <c r="R28" s="93">
        <f t="shared" si="3"/>
        <v>53.3</v>
      </c>
      <c r="S28" s="73">
        <v>2</v>
      </c>
      <c r="T28" s="839"/>
      <c r="U28" s="852"/>
      <c r="V28" s="82" t="s">
        <v>561</v>
      </c>
      <c r="W28" s="73" t="s">
        <v>74</v>
      </c>
      <c r="X28" s="73" t="s">
        <v>11</v>
      </c>
      <c r="Y28" s="83">
        <v>38.299999999999997</v>
      </c>
      <c r="Z28" s="73" t="s">
        <v>112</v>
      </c>
      <c r="AA28" s="73" t="s">
        <v>20</v>
      </c>
      <c r="AB28" s="73" t="s">
        <v>12</v>
      </c>
      <c r="AC28" s="73">
        <v>15</v>
      </c>
      <c r="AD28" s="82"/>
      <c r="AG28" s="83"/>
      <c r="AH28" s="150"/>
      <c r="AL28" s="82"/>
      <c r="AO28" s="83"/>
      <c r="AP28" s="82"/>
      <c r="AS28" s="83"/>
      <c r="AW28" s="83"/>
      <c r="BA28" s="84"/>
    </row>
    <row r="29" spans="1:53" s="292" customFormat="1">
      <c r="A29" s="338">
        <v>1970</v>
      </c>
      <c r="B29" s="836">
        <v>25851</v>
      </c>
      <c r="C29" s="916" t="s">
        <v>278</v>
      </c>
      <c r="D29" s="916"/>
      <c r="E29" s="292">
        <f>365-E28</f>
        <v>83</v>
      </c>
      <c r="F29" s="292">
        <v>3</v>
      </c>
      <c r="G29" s="366">
        <v>4</v>
      </c>
      <c r="I29" s="292">
        <v>3</v>
      </c>
      <c r="J29" s="377">
        <v>7</v>
      </c>
      <c r="K29" s="336">
        <f t="shared" si="1"/>
        <v>57.142857142857139</v>
      </c>
      <c r="L29" s="336">
        <f t="shared" si="1"/>
        <v>0</v>
      </c>
      <c r="M29" s="336">
        <f t="shared" si="1"/>
        <v>42.857142857142854</v>
      </c>
      <c r="N29" s="368">
        <f t="shared" si="2"/>
        <v>100</v>
      </c>
      <c r="O29" s="335">
        <v>38.299999999999997</v>
      </c>
      <c r="P29" s="336"/>
      <c r="Q29" s="336">
        <v>15</v>
      </c>
      <c r="R29" s="337">
        <f t="shared" si="3"/>
        <v>53.3</v>
      </c>
      <c r="S29" s="292">
        <v>2</v>
      </c>
      <c r="T29" s="838"/>
      <c r="U29" s="836">
        <v>25851</v>
      </c>
      <c r="V29" s="299" t="s">
        <v>561</v>
      </c>
      <c r="W29" s="292" t="s">
        <v>74</v>
      </c>
      <c r="X29" s="292" t="s">
        <v>11</v>
      </c>
      <c r="Y29" s="300">
        <v>38.299999999999997</v>
      </c>
      <c r="Z29" s="292" t="s">
        <v>112</v>
      </c>
      <c r="AA29" s="292" t="s">
        <v>20</v>
      </c>
      <c r="AB29" s="292" t="s">
        <v>12</v>
      </c>
      <c r="AC29" s="292">
        <v>15</v>
      </c>
      <c r="AD29" s="299"/>
      <c r="AG29" s="300"/>
      <c r="AH29" s="390"/>
      <c r="AL29" s="299"/>
      <c r="AO29" s="300"/>
      <c r="AP29" s="299"/>
      <c r="AS29" s="300"/>
      <c r="AW29" s="300"/>
      <c r="BA29" s="301"/>
    </row>
    <row r="30" spans="1:53" s="292" customFormat="1">
      <c r="A30" s="338">
        <v>1971</v>
      </c>
      <c r="B30" s="836"/>
      <c r="C30" s="916" t="s">
        <v>278</v>
      </c>
      <c r="D30" s="916"/>
      <c r="E30" s="292">
        <v>164</v>
      </c>
      <c r="G30" s="366">
        <v>4</v>
      </c>
      <c r="I30" s="292">
        <v>3</v>
      </c>
      <c r="J30" s="377">
        <v>7</v>
      </c>
      <c r="K30" s="336">
        <f t="shared" si="1"/>
        <v>57.142857142857139</v>
      </c>
      <c r="L30" s="336">
        <f t="shared" si="1"/>
        <v>0</v>
      </c>
      <c r="M30" s="336">
        <f t="shared" si="1"/>
        <v>42.857142857142854</v>
      </c>
      <c r="N30" s="368">
        <f t="shared" si="2"/>
        <v>100</v>
      </c>
      <c r="O30" s="335">
        <v>38.299999999999997</v>
      </c>
      <c r="P30" s="336"/>
      <c r="Q30" s="336">
        <v>15</v>
      </c>
      <c r="R30" s="337">
        <f t="shared" si="3"/>
        <v>53.3</v>
      </c>
      <c r="S30" s="292">
        <v>2</v>
      </c>
      <c r="T30" s="838"/>
      <c r="U30" s="836"/>
      <c r="V30" s="299" t="s">
        <v>561</v>
      </c>
      <c r="W30" s="292" t="s">
        <v>74</v>
      </c>
      <c r="X30" s="292" t="s">
        <v>11</v>
      </c>
      <c r="Y30" s="300">
        <v>38.299999999999997</v>
      </c>
      <c r="Z30" s="292" t="s">
        <v>112</v>
      </c>
      <c r="AA30" s="292" t="s">
        <v>20</v>
      </c>
      <c r="AB30" s="292" t="s">
        <v>12</v>
      </c>
      <c r="AC30" s="292">
        <v>15</v>
      </c>
      <c r="AD30" s="299"/>
      <c r="AG30" s="300"/>
      <c r="AH30" s="390"/>
      <c r="AL30" s="299"/>
      <c r="AO30" s="300"/>
      <c r="AP30" s="299"/>
      <c r="AS30" s="300"/>
      <c r="AW30" s="300"/>
      <c r="BA30" s="301"/>
    </row>
    <row r="31" spans="1:53" s="73" customFormat="1">
      <c r="A31" s="101">
        <v>1971</v>
      </c>
      <c r="B31" s="852">
        <v>26098</v>
      </c>
      <c r="C31" s="917" t="s">
        <v>1170</v>
      </c>
      <c r="D31" s="917"/>
      <c r="E31" s="73">
        <f>365-E30</f>
        <v>201</v>
      </c>
      <c r="F31" s="73">
        <v>1</v>
      </c>
      <c r="G31" s="119"/>
      <c r="H31" s="73">
        <v>5</v>
      </c>
      <c r="I31" s="73">
        <v>2</v>
      </c>
      <c r="J31" s="126">
        <v>7</v>
      </c>
      <c r="K31" s="92">
        <f t="shared" si="1"/>
        <v>0</v>
      </c>
      <c r="L31" s="92">
        <f t="shared" si="1"/>
        <v>71.428571428571431</v>
      </c>
      <c r="M31" s="92">
        <f t="shared" si="1"/>
        <v>28.571428571428569</v>
      </c>
      <c r="N31" s="121">
        <f t="shared" si="2"/>
        <v>100</v>
      </c>
      <c r="O31" s="91"/>
      <c r="P31" s="92">
        <v>36.6</v>
      </c>
      <c r="Q31" s="92">
        <v>16.7</v>
      </c>
      <c r="R31" s="93">
        <f t="shared" si="3"/>
        <v>53.3</v>
      </c>
      <c r="S31" s="73">
        <v>2</v>
      </c>
      <c r="T31" s="839">
        <v>26097</v>
      </c>
      <c r="U31" s="852">
        <v>26098</v>
      </c>
      <c r="V31" s="82" t="s">
        <v>479</v>
      </c>
      <c r="W31" s="73" t="s">
        <v>279</v>
      </c>
      <c r="X31" s="73" t="s">
        <v>18</v>
      </c>
      <c r="Y31" s="83">
        <v>28.3</v>
      </c>
      <c r="Z31" s="73" t="s">
        <v>562</v>
      </c>
      <c r="AA31" s="73" t="s">
        <v>114</v>
      </c>
      <c r="AB31" s="73" t="s">
        <v>12</v>
      </c>
      <c r="AC31" s="73">
        <v>16.7</v>
      </c>
      <c r="AD31" s="82" t="s">
        <v>565</v>
      </c>
      <c r="AE31" s="73" t="s">
        <v>22</v>
      </c>
      <c r="AF31" s="73" t="s">
        <v>18</v>
      </c>
      <c r="AG31" s="83">
        <v>8.3000000000000007</v>
      </c>
      <c r="AH31" s="150"/>
      <c r="AL31" s="82"/>
      <c r="AO31" s="83"/>
      <c r="AP31" s="82"/>
      <c r="AS31" s="83"/>
      <c r="AW31" s="83"/>
      <c r="BA31" s="84"/>
    </row>
    <row r="32" spans="1:53" s="73" customFormat="1">
      <c r="A32" s="101">
        <v>1972</v>
      </c>
      <c r="B32" s="852"/>
      <c r="C32" s="917" t="s">
        <v>1170</v>
      </c>
      <c r="D32" s="917"/>
      <c r="E32" s="73">
        <v>0</v>
      </c>
      <c r="G32" s="119"/>
      <c r="H32" s="73">
        <v>5</v>
      </c>
      <c r="I32" s="73">
        <v>2</v>
      </c>
      <c r="J32" s="126">
        <v>7</v>
      </c>
      <c r="K32" s="92">
        <f t="shared" si="1"/>
        <v>0</v>
      </c>
      <c r="L32" s="92">
        <f t="shared" si="1"/>
        <v>71.428571428571431</v>
      </c>
      <c r="M32" s="92">
        <f t="shared" si="1"/>
        <v>28.571428571428569</v>
      </c>
      <c r="N32" s="121">
        <f t="shared" si="2"/>
        <v>100</v>
      </c>
      <c r="O32" s="91"/>
      <c r="P32" s="92">
        <v>36.6</v>
      </c>
      <c r="Q32" s="92">
        <v>16.7</v>
      </c>
      <c r="R32" s="93">
        <f t="shared" si="3"/>
        <v>53.3</v>
      </c>
      <c r="S32" s="73">
        <v>2</v>
      </c>
      <c r="T32" s="839"/>
      <c r="U32" s="852"/>
      <c r="V32" s="82" t="s">
        <v>479</v>
      </c>
      <c r="W32" s="73" t="s">
        <v>279</v>
      </c>
      <c r="X32" s="73" t="s">
        <v>18</v>
      </c>
      <c r="Y32" s="83">
        <v>28.3</v>
      </c>
      <c r="Z32" s="73" t="s">
        <v>562</v>
      </c>
      <c r="AA32" s="73" t="s">
        <v>114</v>
      </c>
      <c r="AB32" s="73" t="s">
        <v>12</v>
      </c>
      <c r="AC32" s="73">
        <v>16.7</v>
      </c>
      <c r="AD32" s="82" t="s">
        <v>565</v>
      </c>
      <c r="AE32" s="73" t="s">
        <v>22</v>
      </c>
      <c r="AF32" s="73" t="s">
        <v>18</v>
      </c>
      <c r="AG32" s="83">
        <v>8.3000000000000007</v>
      </c>
      <c r="AH32" s="150"/>
      <c r="AL32" s="82"/>
      <c r="AO32" s="83"/>
      <c r="AP32" s="82"/>
      <c r="AS32" s="83"/>
      <c r="AW32" s="83"/>
      <c r="BA32" s="84"/>
    </row>
    <row r="33" spans="1:53" s="73" customFormat="1">
      <c r="A33" s="101">
        <v>1972</v>
      </c>
      <c r="B33" s="852"/>
      <c r="C33" s="917" t="s">
        <v>1170</v>
      </c>
      <c r="D33" s="917"/>
      <c r="E33" s="73">
        <v>366</v>
      </c>
      <c r="G33" s="119"/>
      <c r="H33" s="73">
        <v>5</v>
      </c>
      <c r="I33" s="73">
        <v>2</v>
      </c>
      <c r="J33" s="126">
        <v>7</v>
      </c>
      <c r="K33" s="92">
        <f t="shared" si="1"/>
        <v>0</v>
      </c>
      <c r="L33" s="92">
        <f t="shared" si="1"/>
        <v>71.428571428571431</v>
      </c>
      <c r="M33" s="92">
        <f t="shared" si="1"/>
        <v>28.571428571428569</v>
      </c>
      <c r="N33" s="121">
        <f t="shared" si="2"/>
        <v>100</v>
      </c>
      <c r="O33" s="91"/>
      <c r="P33" s="92">
        <v>36.6</v>
      </c>
      <c r="Q33" s="92">
        <v>16.7</v>
      </c>
      <c r="R33" s="93">
        <f t="shared" si="3"/>
        <v>53.3</v>
      </c>
      <c r="S33" s="73">
        <v>2</v>
      </c>
      <c r="T33" s="839"/>
      <c r="U33" s="852"/>
      <c r="V33" s="82" t="s">
        <v>479</v>
      </c>
      <c r="W33" s="73" t="s">
        <v>279</v>
      </c>
      <c r="X33" s="73" t="s">
        <v>18</v>
      </c>
      <c r="Y33" s="83">
        <v>28.3</v>
      </c>
      <c r="Z33" s="73" t="s">
        <v>562</v>
      </c>
      <c r="AA33" s="73" t="s">
        <v>114</v>
      </c>
      <c r="AB33" s="73" t="s">
        <v>12</v>
      </c>
      <c r="AC33" s="73">
        <v>16.7</v>
      </c>
      <c r="AD33" s="82" t="s">
        <v>565</v>
      </c>
      <c r="AE33" s="73" t="s">
        <v>22</v>
      </c>
      <c r="AF33" s="73" t="s">
        <v>18</v>
      </c>
      <c r="AG33" s="83">
        <v>8.3000000000000007</v>
      </c>
      <c r="AH33" s="150"/>
      <c r="AL33" s="82"/>
      <c r="AO33" s="83"/>
      <c r="AP33" s="82"/>
      <c r="AS33" s="83"/>
      <c r="AW33" s="83"/>
      <c r="BA33" s="84"/>
    </row>
    <row r="34" spans="1:53" s="73" customFormat="1">
      <c r="A34" s="101">
        <v>1973</v>
      </c>
      <c r="B34" s="852"/>
      <c r="C34" s="917" t="s">
        <v>1170</v>
      </c>
      <c r="D34" s="917"/>
      <c r="E34" s="73">
        <v>0</v>
      </c>
      <c r="G34" s="119"/>
      <c r="H34" s="73">
        <v>5</v>
      </c>
      <c r="I34" s="73">
        <v>2</v>
      </c>
      <c r="J34" s="126">
        <v>7</v>
      </c>
      <c r="K34" s="92">
        <f t="shared" si="1"/>
        <v>0</v>
      </c>
      <c r="L34" s="92">
        <f t="shared" si="1"/>
        <v>71.428571428571431</v>
      </c>
      <c r="M34" s="92">
        <f t="shared" si="1"/>
        <v>28.571428571428569</v>
      </c>
      <c r="N34" s="121">
        <f t="shared" si="2"/>
        <v>100</v>
      </c>
      <c r="O34" s="91"/>
      <c r="P34" s="92">
        <v>36.6</v>
      </c>
      <c r="Q34" s="92">
        <v>16.7</v>
      </c>
      <c r="R34" s="93">
        <f t="shared" si="3"/>
        <v>53.3</v>
      </c>
      <c r="S34" s="73">
        <v>2</v>
      </c>
      <c r="T34" s="839"/>
      <c r="U34" s="852"/>
      <c r="V34" s="82" t="s">
        <v>479</v>
      </c>
      <c r="W34" s="73" t="s">
        <v>279</v>
      </c>
      <c r="X34" s="73" t="s">
        <v>18</v>
      </c>
      <c r="Y34" s="83">
        <v>28.3</v>
      </c>
      <c r="Z34" s="73" t="s">
        <v>562</v>
      </c>
      <c r="AA34" s="73" t="s">
        <v>114</v>
      </c>
      <c r="AB34" s="73" t="s">
        <v>12</v>
      </c>
      <c r="AC34" s="73">
        <v>16.7</v>
      </c>
      <c r="AD34" s="82" t="s">
        <v>565</v>
      </c>
      <c r="AE34" s="73" t="s">
        <v>22</v>
      </c>
      <c r="AF34" s="73" t="s">
        <v>18</v>
      </c>
      <c r="AG34" s="83">
        <v>8.3000000000000007</v>
      </c>
      <c r="AH34" s="150"/>
      <c r="AL34" s="82"/>
      <c r="AO34" s="83"/>
      <c r="AP34" s="82"/>
      <c r="AS34" s="83"/>
      <c r="AW34" s="83"/>
      <c r="BA34" s="84"/>
    </row>
    <row r="35" spans="1:53" s="73" customFormat="1">
      <c r="A35" s="101">
        <v>1973</v>
      </c>
      <c r="B35" s="852"/>
      <c r="C35" s="917" t="s">
        <v>1170</v>
      </c>
      <c r="D35" s="917"/>
      <c r="E35" s="73">
        <v>365</v>
      </c>
      <c r="G35" s="119"/>
      <c r="H35" s="73">
        <v>5</v>
      </c>
      <c r="I35" s="73">
        <v>2</v>
      </c>
      <c r="J35" s="126">
        <v>7</v>
      </c>
      <c r="K35" s="92">
        <f t="shared" si="1"/>
        <v>0</v>
      </c>
      <c r="L35" s="92">
        <f t="shared" si="1"/>
        <v>71.428571428571431</v>
      </c>
      <c r="M35" s="92">
        <f t="shared" si="1"/>
        <v>28.571428571428569</v>
      </c>
      <c r="N35" s="121">
        <f t="shared" si="2"/>
        <v>100</v>
      </c>
      <c r="O35" s="91"/>
      <c r="P35" s="92">
        <v>36.6</v>
      </c>
      <c r="Q35" s="92">
        <v>16.7</v>
      </c>
      <c r="R35" s="93">
        <f t="shared" si="3"/>
        <v>53.3</v>
      </c>
      <c r="S35" s="73">
        <v>2</v>
      </c>
      <c r="T35" s="839"/>
      <c r="U35" s="852"/>
      <c r="V35" s="82" t="s">
        <v>479</v>
      </c>
      <c r="W35" s="73" t="s">
        <v>279</v>
      </c>
      <c r="X35" s="73" t="s">
        <v>18</v>
      </c>
      <c r="Y35" s="83">
        <v>28.3</v>
      </c>
      <c r="Z35" s="73" t="s">
        <v>562</v>
      </c>
      <c r="AA35" s="73" t="s">
        <v>114</v>
      </c>
      <c r="AB35" s="73" t="s">
        <v>12</v>
      </c>
      <c r="AC35" s="73">
        <v>16.7</v>
      </c>
      <c r="AD35" s="82" t="s">
        <v>565</v>
      </c>
      <c r="AE35" s="73" t="s">
        <v>22</v>
      </c>
      <c r="AF35" s="73" t="s">
        <v>18</v>
      </c>
      <c r="AG35" s="83">
        <v>8.3000000000000007</v>
      </c>
      <c r="AH35" s="150"/>
      <c r="AL35" s="82"/>
      <c r="AO35" s="83"/>
      <c r="AP35" s="82"/>
      <c r="AS35" s="83"/>
      <c r="AW35" s="83"/>
      <c r="BA35" s="84"/>
    </row>
    <row r="36" spans="1:53" s="73" customFormat="1">
      <c r="A36" s="101">
        <v>1974</v>
      </c>
      <c r="B36" s="852"/>
      <c r="C36" s="917" t="s">
        <v>1170</v>
      </c>
      <c r="D36" s="917"/>
      <c r="E36" s="73">
        <v>240</v>
      </c>
      <c r="G36" s="119"/>
      <c r="H36" s="73">
        <v>5</v>
      </c>
      <c r="I36" s="73">
        <v>2</v>
      </c>
      <c r="J36" s="126">
        <v>7</v>
      </c>
      <c r="K36" s="92">
        <f t="shared" si="1"/>
        <v>0</v>
      </c>
      <c r="L36" s="92">
        <f t="shared" si="1"/>
        <v>71.428571428571431</v>
      </c>
      <c r="M36" s="92">
        <f t="shared" si="1"/>
        <v>28.571428571428569</v>
      </c>
      <c r="N36" s="121">
        <f t="shared" si="2"/>
        <v>100</v>
      </c>
      <c r="O36" s="91"/>
      <c r="P36" s="92">
        <v>36.6</v>
      </c>
      <c r="Q36" s="92">
        <v>16.7</v>
      </c>
      <c r="R36" s="93">
        <f t="shared" si="3"/>
        <v>53.3</v>
      </c>
      <c r="S36" s="73">
        <v>2</v>
      </c>
      <c r="T36" s="839"/>
      <c r="U36" s="852"/>
      <c r="V36" s="82" t="s">
        <v>479</v>
      </c>
      <c r="W36" s="73" t="s">
        <v>279</v>
      </c>
      <c r="X36" s="73" t="s">
        <v>18</v>
      </c>
      <c r="Y36" s="83">
        <v>28.3</v>
      </c>
      <c r="Z36" s="73" t="s">
        <v>562</v>
      </c>
      <c r="AA36" s="73" t="s">
        <v>114</v>
      </c>
      <c r="AB36" s="73" t="s">
        <v>12</v>
      </c>
      <c r="AC36" s="73">
        <v>16.7</v>
      </c>
      <c r="AD36" s="82" t="s">
        <v>565</v>
      </c>
      <c r="AE36" s="73" t="s">
        <v>22</v>
      </c>
      <c r="AF36" s="73" t="s">
        <v>18</v>
      </c>
      <c r="AG36" s="83">
        <v>8.3000000000000007</v>
      </c>
      <c r="AH36" s="150"/>
      <c r="AL36" s="82"/>
      <c r="AO36" s="83"/>
      <c r="AP36" s="82"/>
      <c r="AS36" s="83"/>
      <c r="AW36" s="83"/>
      <c r="BA36" s="84"/>
    </row>
    <row r="37" spans="1:53" s="292" customFormat="1">
      <c r="A37" s="338">
        <v>1974</v>
      </c>
      <c r="B37" s="836">
        <v>27270</v>
      </c>
      <c r="C37" s="916" t="s">
        <v>1171</v>
      </c>
      <c r="D37" s="916"/>
      <c r="E37" s="292">
        <f>365-E36</f>
        <v>125</v>
      </c>
      <c r="F37" s="292">
        <v>4</v>
      </c>
      <c r="G37" s="366">
        <v>4</v>
      </c>
      <c r="H37" s="292">
        <v>4</v>
      </c>
      <c r="J37" s="377">
        <v>8</v>
      </c>
      <c r="K37" s="336">
        <f t="shared" si="1"/>
        <v>50</v>
      </c>
      <c r="L37" s="336">
        <f t="shared" si="1"/>
        <v>50</v>
      </c>
      <c r="M37" s="336">
        <f t="shared" si="1"/>
        <v>0</v>
      </c>
      <c r="N37" s="368">
        <f t="shared" si="2"/>
        <v>100</v>
      </c>
      <c r="O37" s="335">
        <v>41.7</v>
      </c>
      <c r="P37" s="336">
        <v>28.3</v>
      </c>
      <c r="Q37" s="336"/>
      <c r="R37" s="337">
        <f t="shared" si="3"/>
        <v>70</v>
      </c>
      <c r="S37" s="292">
        <v>2</v>
      </c>
      <c r="T37" s="838">
        <v>27210</v>
      </c>
      <c r="U37" s="836">
        <v>27270</v>
      </c>
      <c r="V37" s="299" t="s">
        <v>561</v>
      </c>
      <c r="W37" s="292" t="s">
        <v>74</v>
      </c>
      <c r="X37" s="292" t="s">
        <v>11</v>
      </c>
      <c r="Y37" s="300">
        <v>41.7</v>
      </c>
      <c r="Z37" s="299" t="s">
        <v>479</v>
      </c>
      <c r="AA37" s="292" t="s">
        <v>279</v>
      </c>
      <c r="AB37" s="292" t="s">
        <v>18</v>
      </c>
      <c r="AC37" s="292">
        <v>28.3</v>
      </c>
      <c r="AD37" s="299"/>
      <c r="AG37" s="300"/>
      <c r="AH37" s="390"/>
      <c r="AL37" s="299"/>
      <c r="AO37" s="300"/>
      <c r="AP37" s="299"/>
      <c r="AS37" s="300"/>
      <c r="AW37" s="300"/>
      <c r="BA37" s="301"/>
    </row>
    <row r="38" spans="1:53" s="292" customFormat="1">
      <c r="A38" s="338">
        <v>1975</v>
      </c>
      <c r="B38" s="836"/>
      <c r="C38" s="916" t="s">
        <v>1171</v>
      </c>
      <c r="D38" s="916"/>
      <c r="E38" s="292">
        <v>0</v>
      </c>
      <c r="G38" s="366">
        <v>4</v>
      </c>
      <c r="H38" s="292">
        <v>4</v>
      </c>
      <c r="J38" s="377">
        <v>8</v>
      </c>
      <c r="K38" s="336">
        <f t="shared" si="1"/>
        <v>50</v>
      </c>
      <c r="L38" s="336">
        <f t="shared" si="1"/>
        <v>50</v>
      </c>
      <c r="M38" s="336">
        <f t="shared" si="1"/>
        <v>0</v>
      </c>
      <c r="N38" s="368">
        <f t="shared" si="2"/>
        <v>100</v>
      </c>
      <c r="O38" s="335">
        <v>41.7</v>
      </c>
      <c r="P38" s="336">
        <v>28.3</v>
      </c>
      <c r="Q38" s="336"/>
      <c r="R38" s="337">
        <f t="shared" si="3"/>
        <v>70</v>
      </c>
      <c r="S38" s="292">
        <v>2</v>
      </c>
      <c r="T38" s="838"/>
      <c r="U38" s="836"/>
      <c r="V38" s="299" t="s">
        <v>561</v>
      </c>
      <c r="W38" s="292" t="s">
        <v>74</v>
      </c>
      <c r="X38" s="292" t="s">
        <v>11</v>
      </c>
      <c r="Y38" s="300">
        <v>41.7</v>
      </c>
      <c r="Z38" s="299" t="s">
        <v>479</v>
      </c>
      <c r="AA38" s="292" t="s">
        <v>279</v>
      </c>
      <c r="AB38" s="292" t="s">
        <v>18</v>
      </c>
      <c r="AC38" s="292">
        <v>28.3</v>
      </c>
      <c r="AD38" s="299"/>
      <c r="AG38" s="300"/>
      <c r="AH38" s="390"/>
      <c r="AL38" s="299"/>
      <c r="AO38" s="300"/>
      <c r="AP38" s="299"/>
      <c r="AS38" s="300"/>
      <c r="AW38" s="300"/>
      <c r="BA38" s="301"/>
    </row>
    <row r="39" spans="1:53" s="292" customFormat="1">
      <c r="A39" s="338">
        <v>1975</v>
      </c>
      <c r="B39" s="836"/>
      <c r="C39" s="916" t="s">
        <v>1171</v>
      </c>
      <c r="D39" s="916"/>
      <c r="E39" s="292">
        <v>365</v>
      </c>
      <c r="G39" s="366">
        <v>4</v>
      </c>
      <c r="H39" s="292">
        <v>4</v>
      </c>
      <c r="J39" s="377">
        <v>8</v>
      </c>
      <c r="K39" s="336">
        <f t="shared" si="1"/>
        <v>50</v>
      </c>
      <c r="L39" s="336">
        <f t="shared" si="1"/>
        <v>50</v>
      </c>
      <c r="M39" s="336">
        <f t="shared" si="1"/>
        <v>0</v>
      </c>
      <c r="N39" s="368">
        <f t="shared" si="2"/>
        <v>100</v>
      </c>
      <c r="O39" s="335">
        <v>41.7</v>
      </c>
      <c r="P39" s="336">
        <v>28.3</v>
      </c>
      <c r="Q39" s="336"/>
      <c r="R39" s="337">
        <f t="shared" si="3"/>
        <v>70</v>
      </c>
      <c r="S39" s="292">
        <v>2</v>
      </c>
      <c r="T39" s="838"/>
      <c r="U39" s="836"/>
      <c r="V39" s="299" t="s">
        <v>561</v>
      </c>
      <c r="W39" s="292" t="s">
        <v>74</v>
      </c>
      <c r="X39" s="292" t="s">
        <v>11</v>
      </c>
      <c r="Y39" s="300">
        <v>41.7</v>
      </c>
      <c r="Z39" s="299" t="s">
        <v>479</v>
      </c>
      <c r="AA39" s="292" t="s">
        <v>279</v>
      </c>
      <c r="AB39" s="292" t="s">
        <v>18</v>
      </c>
      <c r="AC39" s="292">
        <v>28.3</v>
      </c>
      <c r="AD39" s="299"/>
      <c r="AG39" s="300"/>
      <c r="AH39" s="390"/>
      <c r="AL39" s="299"/>
      <c r="AO39" s="300"/>
      <c r="AP39" s="299"/>
      <c r="AS39" s="300"/>
      <c r="AW39" s="300"/>
      <c r="BA39" s="301"/>
    </row>
    <row r="40" spans="1:53" s="292" customFormat="1">
      <c r="A40" s="338">
        <v>1976</v>
      </c>
      <c r="B40" s="836"/>
      <c r="C40" s="916" t="s">
        <v>1171</v>
      </c>
      <c r="D40" s="916"/>
      <c r="E40" s="292">
        <v>0</v>
      </c>
      <c r="G40" s="366">
        <v>4</v>
      </c>
      <c r="H40" s="292">
        <v>4</v>
      </c>
      <c r="J40" s="377">
        <v>8</v>
      </c>
      <c r="K40" s="336">
        <f t="shared" si="1"/>
        <v>50</v>
      </c>
      <c r="L40" s="336">
        <f t="shared" si="1"/>
        <v>50</v>
      </c>
      <c r="M40" s="336">
        <f t="shared" si="1"/>
        <v>0</v>
      </c>
      <c r="N40" s="368">
        <f t="shared" si="2"/>
        <v>100</v>
      </c>
      <c r="O40" s="335">
        <v>41.7</v>
      </c>
      <c r="P40" s="336">
        <v>28.3</v>
      </c>
      <c r="Q40" s="336"/>
      <c r="R40" s="337">
        <f t="shared" si="3"/>
        <v>70</v>
      </c>
      <c r="S40" s="292">
        <v>2</v>
      </c>
      <c r="T40" s="838"/>
      <c r="U40" s="836"/>
      <c r="V40" s="299" t="s">
        <v>561</v>
      </c>
      <c r="W40" s="292" t="s">
        <v>74</v>
      </c>
      <c r="X40" s="292" t="s">
        <v>11</v>
      </c>
      <c r="Y40" s="300">
        <v>41.7</v>
      </c>
      <c r="Z40" s="299" t="s">
        <v>479</v>
      </c>
      <c r="AA40" s="292" t="s">
        <v>279</v>
      </c>
      <c r="AB40" s="292" t="s">
        <v>18</v>
      </c>
      <c r="AC40" s="292">
        <v>28.3</v>
      </c>
      <c r="AD40" s="299"/>
      <c r="AG40" s="300"/>
      <c r="AH40" s="390"/>
      <c r="AL40" s="299"/>
      <c r="AO40" s="300"/>
      <c r="AP40" s="299"/>
      <c r="AS40" s="300"/>
      <c r="AW40" s="300"/>
      <c r="BA40" s="301"/>
    </row>
    <row r="41" spans="1:53" s="292" customFormat="1">
      <c r="A41" s="338">
        <v>1976</v>
      </c>
      <c r="B41" s="836"/>
      <c r="C41" s="916" t="s">
        <v>1171</v>
      </c>
      <c r="D41" s="916"/>
      <c r="E41" s="292">
        <v>366</v>
      </c>
      <c r="G41" s="366">
        <v>4</v>
      </c>
      <c r="H41" s="292">
        <v>4</v>
      </c>
      <c r="J41" s="377">
        <v>8</v>
      </c>
      <c r="K41" s="336">
        <f t="shared" si="1"/>
        <v>50</v>
      </c>
      <c r="L41" s="336">
        <f t="shared" si="1"/>
        <v>50</v>
      </c>
      <c r="M41" s="336">
        <f t="shared" si="1"/>
        <v>0</v>
      </c>
      <c r="N41" s="368">
        <f t="shared" si="2"/>
        <v>100</v>
      </c>
      <c r="O41" s="335">
        <v>41.7</v>
      </c>
      <c r="P41" s="336">
        <v>28.3</v>
      </c>
      <c r="Q41" s="336"/>
      <c r="R41" s="337">
        <f t="shared" si="3"/>
        <v>70</v>
      </c>
      <c r="S41" s="292">
        <v>2</v>
      </c>
      <c r="T41" s="838"/>
      <c r="U41" s="836"/>
      <c r="V41" s="299" t="s">
        <v>561</v>
      </c>
      <c r="W41" s="292" t="s">
        <v>74</v>
      </c>
      <c r="X41" s="292" t="s">
        <v>11</v>
      </c>
      <c r="Y41" s="300">
        <v>41.7</v>
      </c>
      <c r="Z41" s="299" t="s">
        <v>479</v>
      </c>
      <c r="AA41" s="292" t="s">
        <v>279</v>
      </c>
      <c r="AB41" s="292" t="s">
        <v>18</v>
      </c>
      <c r="AC41" s="292">
        <v>28.3</v>
      </c>
      <c r="AD41" s="299"/>
      <c r="AG41" s="300"/>
      <c r="AH41" s="390"/>
      <c r="AL41" s="299"/>
      <c r="AO41" s="300"/>
      <c r="AP41" s="299"/>
      <c r="AS41" s="300"/>
      <c r="AW41" s="300"/>
      <c r="BA41" s="301"/>
    </row>
    <row r="42" spans="1:53" s="292" customFormat="1">
      <c r="A42" s="338">
        <v>1977</v>
      </c>
      <c r="B42" s="836"/>
      <c r="C42" s="916" t="s">
        <v>1171</v>
      </c>
      <c r="D42" s="916"/>
      <c r="E42" s="292">
        <v>0</v>
      </c>
      <c r="G42" s="366">
        <v>4</v>
      </c>
      <c r="H42" s="292">
        <v>4</v>
      </c>
      <c r="J42" s="377">
        <v>8</v>
      </c>
      <c r="K42" s="336">
        <f t="shared" si="1"/>
        <v>50</v>
      </c>
      <c r="L42" s="336">
        <f t="shared" si="1"/>
        <v>50</v>
      </c>
      <c r="M42" s="336">
        <f t="shared" si="1"/>
        <v>0</v>
      </c>
      <c r="N42" s="368">
        <f t="shared" si="2"/>
        <v>100</v>
      </c>
      <c r="O42" s="335">
        <v>41.7</v>
      </c>
      <c r="P42" s="336">
        <v>28.3</v>
      </c>
      <c r="Q42" s="336"/>
      <c r="R42" s="337">
        <f t="shared" si="3"/>
        <v>70</v>
      </c>
      <c r="S42" s="292">
        <v>2</v>
      </c>
      <c r="T42" s="838"/>
      <c r="U42" s="836"/>
      <c r="V42" s="299" t="s">
        <v>561</v>
      </c>
      <c r="W42" s="292" t="s">
        <v>74</v>
      </c>
      <c r="X42" s="292" t="s">
        <v>11</v>
      </c>
      <c r="Y42" s="300">
        <v>41.7</v>
      </c>
      <c r="Z42" s="299" t="s">
        <v>479</v>
      </c>
      <c r="AA42" s="292" t="s">
        <v>279</v>
      </c>
      <c r="AB42" s="292" t="s">
        <v>18</v>
      </c>
      <c r="AC42" s="292">
        <v>28.3</v>
      </c>
      <c r="AD42" s="299"/>
      <c r="AG42" s="300"/>
      <c r="AH42" s="390"/>
      <c r="AL42" s="299"/>
      <c r="AO42" s="300"/>
      <c r="AP42" s="299"/>
      <c r="AS42" s="300"/>
      <c r="AW42" s="300"/>
      <c r="BA42" s="301"/>
    </row>
    <row r="43" spans="1:53" s="292" customFormat="1">
      <c r="A43" s="338">
        <v>1977</v>
      </c>
      <c r="B43" s="836"/>
      <c r="C43" s="916" t="s">
        <v>1171</v>
      </c>
      <c r="D43" s="916"/>
      <c r="E43" s="292">
        <v>365</v>
      </c>
      <c r="G43" s="366">
        <v>4</v>
      </c>
      <c r="H43" s="292">
        <v>4</v>
      </c>
      <c r="J43" s="377">
        <v>8</v>
      </c>
      <c r="K43" s="336">
        <f t="shared" si="1"/>
        <v>50</v>
      </c>
      <c r="L43" s="336">
        <f t="shared" si="1"/>
        <v>50</v>
      </c>
      <c r="M43" s="336">
        <f t="shared" si="1"/>
        <v>0</v>
      </c>
      <c r="N43" s="368">
        <f t="shared" si="2"/>
        <v>100</v>
      </c>
      <c r="O43" s="335">
        <v>41.7</v>
      </c>
      <c r="P43" s="336">
        <v>28.3</v>
      </c>
      <c r="Q43" s="336"/>
      <c r="R43" s="337">
        <f t="shared" si="3"/>
        <v>70</v>
      </c>
      <c r="S43" s="292">
        <v>2</v>
      </c>
      <c r="T43" s="838"/>
      <c r="U43" s="836"/>
      <c r="V43" s="299" t="s">
        <v>561</v>
      </c>
      <c r="W43" s="292" t="s">
        <v>74</v>
      </c>
      <c r="X43" s="292" t="s">
        <v>11</v>
      </c>
      <c r="Y43" s="300">
        <v>41.7</v>
      </c>
      <c r="Z43" s="299" t="s">
        <v>479</v>
      </c>
      <c r="AA43" s="292" t="s">
        <v>279</v>
      </c>
      <c r="AB43" s="292" t="s">
        <v>18</v>
      </c>
      <c r="AC43" s="292">
        <v>28.3</v>
      </c>
      <c r="AD43" s="299"/>
      <c r="AG43" s="300"/>
      <c r="AH43" s="390"/>
      <c r="AL43" s="299"/>
      <c r="AO43" s="300"/>
      <c r="AP43" s="299"/>
      <c r="AS43" s="300"/>
      <c r="AW43" s="300"/>
      <c r="BA43" s="301"/>
    </row>
    <row r="44" spans="1:53" s="292" customFormat="1">
      <c r="A44" s="338">
        <v>1978</v>
      </c>
      <c r="B44" s="836"/>
      <c r="C44" s="916" t="s">
        <v>1171</v>
      </c>
      <c r="D44" s="916"/>
      <c r="E44" s="292">
        <v>242</v>
      </c>
      <c r="G44" s="366">
        <v>4</v>
      </c>
      <c r="H44" s="292">
        <v>4</v>
      </c>
      <c r="J44" s="377">
        <v>8</v>
      </c>
      <c r="K44" s="336">
        <f t="shared" ref="K44:M71" si="4">G44/$J44*100</f>
        <v>50</v>
      </c>
      <c r="L44" s="336">
        <f t="shared" si="4"/>
        <v>50</v>
      </c>
      <c r="M44" s="336">
        <f t="shared" si="4"/>
        <v>0</v>
      </c>
      <c r="N44" s="368">
        <f t="shared" si="2"/>
        <v>100</v>
      </c>
      <c r="O44" s="335">
        <v>41.7</v>
      </c>
      <c r="P44" s="336">
        <v>28.3</v>
      </c>
      <c r="Q44" s="336"/>
      <c r="R44" s="337">
        <f t="shared" si="3"/>
        <v>70</v>
      </c>
      <c r="S44" s="292">
        <v>2</v>
      </c>
      <c r="T44" s="838"/>
      <c r="U44" s="836"/>
      <c r="V44" s="299" t="s">
        <v>561</v>
      </c>
      <c r="W44" s="292" t="s">
        <v>74</v>
      </c>
      <c r="X44" s="292" t="s">
        <v>11</v>
      </c>
      <c r="Y44" s="300">
        <v>41.7</v>
      </c>
      <c r="Z44" s="299" t="s">
        <v>479</v>
      </c>
      <c r="AA44" s="292" t="s">
        <v>279</v>
      </c>
      <c r="AB44" s="292" t="s">
        <v>18</v>
      </c>
      <c r="AC44" s="292">
        <v>28.3</v>
      </c>
      <c r="AD44" s="299"/>
      <c r="AG44" s="300"/>
      <c r="AH44" s="390"/>
      <c r="AL44" s="299"/>
      <c r="AO44" s="300"/>
      <c r="AP44" s="299"/>
      <c r="AS44" s="300"/>
      <c r="AW44" s="300"/>
      <c r="BA44" s="301"/>
    </row>
    <row r="45" spans="1:53" s="73" customFormat="1">
      <c r="A45" s="101">
        <v>1978</v>
      </c>
      <c r="B45" s="852">
        <v>28733</v>
      </c>
      <c r="C45" s="917" t="s">
        <v>1172</v>
      </c>
      <c r="D45" s="917"/>
      <c r="E45" s="73">
        <f>365-E44</f>
        <v>123</v>
      </c>
      <c r="F45" s="73">
        <v>1</v>
      </c>
      <c r="G45" s="119"/>
      <c r="H45" s="73">
        <v>3</v>
      </c>
      <c r="I45" s="73">
        <v>6</v>
      </c>
      <c r="J45" s="126">
        <v>9</v>
      </c>
      <c r="K45" s="92">
        <f t="shared" si="4"/>
        <v>0</v>
      </c>
      <c r="L45" s="92">
        <f t="shared" si="4"/>
        <v>33.333333333333329</v>
      </c>
      <c r="M45" s="92">
        <f t="shared" si="4"/>
        <v>66.666666666666657</v>
      </c>
      <c r="N45" s="121">
        <f t="shared" si="2"/>
        <v>99.999999999999986</v>
      </c>
      <c r="O45" s="91"/>
      <c r="P45" s="92">
        <v>20</v>
      </c>
      <c r="Q45" s="92">
        <v>46.6</v>
      </c>
      <c r="R45" s="93">
        <f t="shared" si="3"/>
        <v>66.599999999999994</v>
      </c>
      <c r="S45" s="73">
        <v>2</v>
      </c>
      <c r="T45" s="839">
        <v>28666</v>
      </c>
      <c r="U45" s="852">
        <v>28733</v>
      </c>
      <c r="V45" s="82" t="s">
        <v>479</v>
      </c>
      <c r="W45" s="73" t="s">
        <v>279</v>
      </c>
      <c r="X45" s="73" t="s">
        <v>18</v>
      </c>
      <c r="Y45" s="83">
        <v>20</v>
      </c>
      <c r="Z45" s="73" t="s">
        <v>112</v>
      </c>
      <c r="AA45" s="73" t="s">
        <v>20</v>
      </c>
      <c r="AB45" s="73" t="s">
        <v>12</v>
      </c>
      <c r="AC45" s="73">
        <v>23.3</v>
      </c>
      <c r="AD45" s="82" t="s">
        <v>562</v>
      </c>
      <c r="AE45" s="73" t="s">
        <v>114</v>
      </c>
      <c r="AF45" s="73" t="s">
        <v>12</v>
      </c>
      <c r="AG45" s="83">
        <v>23.3</v>
      </c>
      <c r="AH45" s="150"/>
      <c r="AL45" s="82"/>
      <c r="AO45" s="83"/>
      <c r="AP45" s="82"/>
      <c r="AS45" s="83"/>
      <c r="AW45" s="83"/>
      <c r="BA45" s="84"/>
    </row>
    <row r="46" spans="1:53" s="73" customFormat="1">
      <c r="A46" s="101">
        <v>1979</v>
      </c>
      <c r="B46" s="852"/>
      <c r="C46" s="917" t="s">
        <v>1172</v>
      </c>
      <c r="D46" s="917"/>
      <c r="E46" s="73">
        <v>287</v>
      </c>
      <c r="G46" s="119"/>
      <c r="H46" s="73">
        <v>3</v>
      </c>
      <c r="I46" s="73">
        <v>6</v>
      </c>
      <c r="J46" s="126">
        <v>9</v>
      </c>
      <c r="K46" s="92">
        <f t="shared" si="4"/>
        <v>0</v>
      </c>
      <c r="L46" s="92">
        <f t="shared" si="4"/>
        <v>33.333333333333329</v>
      </c>
      <c r="M46" s="92">
        <f t="shared" si="4"/>
        <v>66.666666666666657</v>
      </c>
      <c r="N46" s="121">
        <f t="shared" si="2"/>
        <v>99.999999999999986</v>
      </c>
      <c r="O46" s="91"/>
      <c r="P46" s="92">
        <v>20</v>
      </c>
      <c r="Q46" s="92">
        <v>46.6</v>
      </c>
      <c r="R46" s="93">
        <f t="shared" si="3"/>
        <v>66.599999999999994</v>
      </c>
      <c r="S46" s="73">
        <v>2</v>
      </c>
      <c r="T46" s="839"/>
      <c r="U46" s="852"/>
      <c r="V46" s="82" t="s">
        <v>479</v>
      </c>
      <c r="W46" s="73" t="s">
        <v>279</v>
      </c>
      <c r="X46" s="73" t="s">
        <v>18</v>
      </c>
      <c r="Y46" s="83">
        <v>20</v>
      </c>
      <c r="Z46" s="73" t="s">
        <v>112</v>
      </c>
      <c r="AA46" s="73" t="s">
        <v>20</v>
      </c>
      <c r="AB46" s="73" t="s">
        <v>12</v>
      </c>
      <c r="AC46" s="73">
        <v>23.3</v>
      </c>
      <c r="AD46" s="82" t="s">
        <v>562</v>
      </c>
      <c r="AE46" s="73" t="s">
        <v>114</v>
      </c>
      <c r="AF46" s="73" t="s">
        <v>12</v>
      </c>
      <c r="AG46" s="83">
        <v>23.3</v>
      </c>
      <c r="AH46" s="150"/>
      <c r="AL46" s="82"/>
      <c r="AO46" s="83"/>
      <c r="AP46" s="82"/>
      <c r="AS46" s="83"/>
      <c r="AW46" s="83"/>
      <c r="BA46" s="84"/>
    </row>
    <row r="47" spans="1:53" s="292" customFormat="1">
      <c r="A47" s="338">
        <v>1979</v>
      </c>
      <c r="B47" s="836">
        <v>29143</v>
      </c>
      <c r="C47" s="916" t="s">
        <v>280</v>
      </c>
      <c r="D47" s="916"/>
      <c r="E47" s="292">
        <f>365-E46</f>
        <v>78</v>
      </c>
      <c r="F47" s="292">
        <v>4</v>
      </c>
      <c r="G47" s="366"/>
      <c r="I47" s="292">
        <v>6</v>
      </c>
      <c r="J47" s="377">
        <v>6</v>
      </c>
      <c r="K47" s="336">
        <f t="shared" si="4"/>
        <v>0</v>
      </c>
      <c r="L47" s="336">
        <f t="shared" si="4"/>
        <v>0</v>
      </c>
      <c r="M47" s="336">
        <f t="shared" si="4"/>
        <v>100</v>
      </c>
      <c r="N47" s="368">
        <f t="shared" si="2"/>
        <v>100</v>
      </c>
      <c r="O47" s="335"/>
      <c r="P47" s="336"/>
      <c r="Q47" s="336">
        <v>23.3</v>
      </c>
      <c r="R47" s="337">
        <f t="shared" si="3"/>
        <v>23.3</v>
      </c>
      <c r="S47" s="292">
        <v>4</v>
      </c>
      <c r="T47" s="838"/>
      <c r="U47" s="836">
        <v>29143</v>
      </c>
      <c r="V47" s="299" t="s">
        <v>112</v>
      </c>
      <c r="W47" s="292" t="s">
        <v>20</v>
      </c>
      <c r="X47" s="292" t="s">
        <v>12</v>
      </c>
      <c r="Y47" s="300">
        <v>23.3</v>
      </c>
      <c r="AD47" s="299"/>
      <c r="AG47" s="300"/>
      <c r="AH47" s="390"/>
      <c r="AL47" s="299"/>
      <c r="AO47" s="300"/>
      <c r="AP47" s="299"/>
      <c r="AS47" s="300"/>
      <c r="AW47" s="300"/>
      <c r="BA47" s="301"/>
    </row>
    <row r="48" spans="1:53" s="292" customFormat="1">
      <c r="A48" s="338">
        <v>1980</v>
      </c>
      <c r="B48" s="836"/>
      <c r="C48" s="916" t="s">
        <v>280</v>
      </c>
      <c r="D48" s="916"/>
      <c r="E48" s="292">
        <v>38</v>
      </c>
      <c r="G48" s="366"/>
      <c r="I48" s="292">
        <v>6</v>
      </c>
      <c r="J48" s="377">
        <v>6</v>
      </c>
      <c r="K48" s="336">
        <f t="shared" si="4"/>
        <v>0</v>
      </c>
      <c r="L48" s="336">
        <f t="shared" si="4"/>
        <v>0</v>
      </c>
      <c r="M48" s="336">
        <f t="shared" si="4"/>
        <v>100</v>
      </c>
      <c r="N48" s="368">
        <f t="shared" si="2"/>
        <v>100</v>
      </c>
      <c r="O48" s="335"/>
      <c r="P48" s="336"/>
      <c r="Q48" s="336">
        <v>23.3</v>
      </c>
      <c r="R48" s="337">
        <f t="shared" si="3"/>
        <v>23.3</v>
      </c>
      <c r="S48" s="292">
        <v>4</v>
      </c>
      <c r="T48" s="838">
        <v>29191</v>
      </c>
      <c r="U48" s="836"/>
      <c r="V48" s="299" t="s">
        <v>112</v>
      </c>
      <c r="W48" s="292" t="s">
        <v>20</v>
      </c>
      <c r="X48" s="292" t="s">
        <v>12</v>
      </c>
      <c r="Y48" s="300">
        <v>23.3</v>
      </c>
      <c r="AD48" s="299"/>
      <c r="AG48" s="300"/>
      <c r="AH48" s="390"/>
      <c r="AL48" s="299"/>
      <c r="AO48" s="300"/>
      <c r="AP48" s="299"/>
      <c r="AS48" s="300"/>
      <c r="AW48" s="300"/>
      <c r="BA48" s="301"/>
    </row>
    <row r="49" spans="1:53" s="73" customFormat="1">
      <c r="A49" s="101">
        <v>1980</v>
      </c>
      <c r="B49" s="852">
        <v>29259</v>
      </c>
      <c r="C49" s="917" t="s">
        <v>281</v>
      </c>
      <c r="D49" s="917"/>
      <c r="E49" s="73">
        <f>366-E48</f>
        <v>328</v>
      </c>
      <c r="F49" s="73">
        <v>1</v>
      </c>
      <c r="G49" s="119">
        <v>4</v>
      </c>
      <c r="H49" s="73">
        <v>3</v>
      </c>
      <c r="I49" s="73">
        <v>3</v>
      </c>
      <c r="J49" s="126">
        <v>10</v>
      </c>
      <c r="K49" s="92">
        <f t="shared" si="4"/>
        <v>40</v>
      </c>
      <c r="L49" s="92">
        <f t="shared" si="4"/>
        <v>30</v>
      </c>
      <c r="M49" s="92">
        <f t="shared" si="4"/>
        <v>30</v>
      </c>
      <c r="N49" s="121">
        <f t="shared" si="2"/>
        <v>100</v>
      </c>
      <c r="O49" s="91">
        <v>35</v>
      </c>
      <c r="P49" s="92">
        <v>28.3</v>
      </c>
      <c r="Q49" s="92">
        <v>18.3</v>
      </c>
      <c r="R49" s="93">
        <f t="shared" si="3"/>
        <v>81.599999999999994</v>
      </c>
      <c r="S49" s="73">
        <v>3</v>
      </c>
      <c r="T49" s="839"/>
      <c r="U49" s="852">
        <v>29259</v>
      </c>
      <c r="V49" s="82" t="s">
        <v>479</v>
      </c>
      <c r="W49" s="73" t="s">
        <v>279</v>
      </c>
      <c r="X49" s="73" t="s">
        <v>18</v>
      </c>
      <c r="Y49" s="83">
        <v>28.3</v>
      </c>
      <c r="Z49" s="82" t="s">
        <v>561</v>
      </c>
      <c r="AA49" s="73" t="s">
        <v>74</v>
      </c>
      <c r="AB49" s="73" t="s">
        <v>11</v>
      </c>
      <c r="AC49" s="73">
        <v>35</v>
      </c>
      <c r="AD49" s="82" t="s">
        <v>562</v>
      </c>
      <c r="AE49" s="73" t="s">
        <v>114</v>
      </c>
      <c r="AF49" s="73" t="s">
        <v>12</v>
      </c>
      <c r="AG49" s="83">
        <v>18.3</v>
      </c>
      <c r="AH49" s="150"/>
      <c r="AL49" s="82"/>
      <c r="AO49" s="83"/>
      <c r="AP49" s="82"/>
      <c r="AS49" s="83"/>
      <c r="AW49" s="83"/>
      <c r="BA49" s="84"/>
    </row>
    <row r="50" spans="1:53" s="73" customFormat="1">
      <c r="A50" s="101">
        <v>1981</v>
      </c>
      <c r="B50" s="852"/>
      <c r="C50" s="917" t="s">
        <v>281</v>
      </c>
      <c r="D50" s="917"/>
      <c r="E50" s="73">
        <v>0</v>
      </c>
      <c r="G50" s="119">
        <v>4</v>
      </c>
      <c r="H50" s="73">
        <v>3</v>
      </c>
      <c r="I50" s="73">
        <v>3</v>
      </c>
      <c r="J50" s="126">
        <v>10</v>
      </c>
      <c r="K50" s="92">
        <f t="shared" si="4"/>
        <v>40</v>
      </c>
      <c r="L50" s="92">
        <f t="shared" si="4"/>
        <v>30</v>
      </c>
      <c r="M50" s="92">
        <f t="shared" si="4"/>
        <v>30</v>
      </c>
      <c r="N50" s="121">
        <f t="shared" si="2"/>
        <v>100</v>
      </c>
      <c r="O50" s="91">
        <v>35</v>
      </c>
      <c r="P50" s="92">
        <v>28.3</v>
      </c>
      <c r="Q50" s="92">
        <v>18.3</v>
      </c>
      <c r="R50" s="93">
        <f t="shared" si="3"/>
        <v>81.599999999999994</v>
      </c>
      <c r="S50" s="73">
        <v>3</v>
      </c>
      <c r="T50" s="839"/>
      <c r="U50" s="852"/>
      <c r="V50" s="82" t="s">
        <v>479</v>
      </c>
      <c r="W50" s="73" t="s">
        <v>279</v>
      </c>
      <c r="X50" s="73" t="s">
        <v>18</v>
      </c>
      <c r="Y50" s="83">
        <v>28.3</v>
      </c>
      <c r="Z50" s="82" t="s">
        <v>561</v>
      </c>
      <c r="AA50" s="73" t="s">
        <v>74</v>
      </c>
      <c r="AB50" s="73" t="s">
        <v>11</v>
      </c>
      <c r="AC50" s="73">
        <v>35</v>
      </c>
      <c r="AD50" s="82" t="s">
        <v>562</v>
      </c>
      <c r="AE50" s="73" t="s">
        <v>114</v>
      </c>
      <c r="AF50" s="73" t="s">
        <v>12</v>
      </c>
      <c r="AG50" s="83">
        <v>18.3</v>
      </c>
      <c r="AH50" s="150"/>
      <c r="AL50" s="82"/>
      <c r="AO50" s="83"/>
      <c r="AP50" s="82"/>
      <c r="AS50" s="83"/>
      <c r="AW50" s="83"/>
      <c r="BA50" s="84"/>
    </row>
    <row r="51" spans="1:53" s="73" customFormat="1">
      <c r="A51" s="101">
        <v>1981</v>
      </c>
      <c r="B51" s="852"/>
      <c r="C51" s="917" t="s">
        <v>281</v>
      </c>
      <c r="D51" s="917"/>
      <c r="E51" s="73">
        <v>365</v>
      </c>
      <c r="G51" s="119">
        <v>4</v>
      </c>
      <c r="H51" s="73">
        <v>3</v>
      </c>
      <c r="I51" s="73">
        <v>3</v>
      </c>
      <c r="J51" s="126">
        <v>10</v>
      </c>
      <c r="K51" s="92">
        <f t="shared" si="4"/>
        <v>40</v>
      </c>
      <c r="L51" s="92">
        <f t="shared" si="4"/>
        <v>30</v>
      </c>
      <c r="M51" s="92">
        <f t="shared" si="4"/>
        <v>30</v>
      </c>
      <c r="N51" s="121">
        <f t="shared" si="2"/>
        <v>100</v>
      </c>
      <c r="O51" s="91">
        <v>35</v>
      </c>
      <c r="P51" s="92">
        <v>28.3</v>
      </c>
      <c r="Q51" s="92">
        <v>18.3</v>
      </c>
      <c r="R51" s="93">
        <f t="shared" si="3"/>
        <v>81.599999999999994</v>
      </c>
      <c r="S51" s="73">
        <v>3</v>
      </c>
      <c r="T51" s="839"/>
      <c r="U51" s="852"/>
      <c r="V51" s="82" t="s">
        <v>479</v>
      </c>
      <c r="W51" s="73" t="s">
        <v>279</v>
      </c>
      <c r="X51" s="73" t="s">
        <v>18</v>
      </c>
      <c r="Y51" s="83">
        <v>28.3</v>
      </c>
      <c r="Z51" s="82" t="s">
        <v>561</v>
      </c>
      <c r="AA51" s="73" t="s">
        <v>74</v>
      </c>
      <c r="AB51" s="73" t="s">
        <v>11</v>
      </c>
      <c r="AC51" s="73">
        <v>35</v>
      </c>
      <c r="AD51" s="82" t="s">
        <v>562</v>
      </c>
      <c r="AE51" s="73" t="s">
        <v>114</v>
      </c>
      <c r="AF51" s="73" t="s">
        <v>12</v>
      </c>
      <c r="AG51" s="83">
        <v>18.3</v>
      </c>
      <c r="AH51" s="150"/>
      <c r="AL51" s="82"/>
      <c r="AO51" s="83"/>
      <c r="AP51" s="82"/>
      <c r="AS51" s="83"/>
      <c r="AW51" s="83"/>
      <c r="BA51" s="84"/>
    </row>
    <row r="52" spans="1:53" s="73" customFormat="1">
      <c r="A52" s="101">
        <v>1982</v>
      </c>
      <c r="B52" s="852"/>
      <c r="C52" s="917" t="s">
        <v>281</v>
      </c>
      <c r="D52" s="917"/>
      <c r="E52" s="73">
        <v>0</v>
      </c>
      <c r="G52" s="119">
        <v>4</v>
      </c>
      <c r="H52" s="73">
        <v>3</v>
      </c>
      <c r="I52" s="73">
        <v>3</v>
      </c>
      <c r="J52" s="126">
        <v>10</v>
      </c>
      <c r="K52" s="92">
        <f t="shared" si="4"/>
        <v>40</v>
      </c>
      <c r="L52" s="92">
        <f t="shared" si="4"/>
        <v>30</v>
      </c>
      <c r="M52" s="92">
        <f t="shared" si="4"/>
        <v>30</v>
      </c>
      <c r="N52" s="121">
        <f t="shared" si="2"/>
        <v>100</v>
      </c>
      <c r="O52" s="91">
        <v>35</v>
      </c>
      <c r="P52" s="92">
        <v>28.3</v>
      </c>
      <c r="Q52" s="92">
        <v>18.3</v>
      </c>
      <c r="R52" s="93">
        <f t="shared" si="3"/>
        <v>81.599999999999994</v>
      </c>
      <c r="S52" s="73">
        <v>3</v>
      </c>
      <c r="T52" s="839"/>
      <c r="U52" s="852"/>
      <c r="V52" s="82" t="s">
        <v>479</v>
      </c>
      <c r="W52" s="73" t="s">
        <v>279</v>
      </c>
      <c r="X52" s="73" t="s">
        <v>18</v>
      </c>
      <c r="Y52" s="83">
        <v>28.3</v>
      </c>
      <c r="Z52" s="82" t="s">
        <v>561</v>
      </c>
      <c r="AA52" s="73" t="s">
        <v>74</v>
      </c>
      <c r="AB52" s="73" t="s">
        <v>11</v>
      </c>
      <c r="AC52" s="73">
        <v>35</v>
      </c>
      <c r="AD52" s="82" t="s">
        <v>562</v>
      </c>
      <c r="AE52" s="73" t="s">
        <v>114</v>
      </c>
      <c r="AF52" s="73" t="s">
        <v>12</v>
      </c>
      <c r="AG52" s="83">
        <v>18.3</v>
      </c>
      <c r="AH52" s="150"/>
      <c r="AL52" s="82"/>
      <c r="AO52" s="83"/>
      <c r="AP52" s="82"/>
      <c r="AS52" s="83"/>
      <c r="AW52" s="83"/>
      <c r="BA52" s="84"/>
    </row>
    <row r="53" spans="1:53" s="73" customFormat="1">
      <c r="A53" s="101">
        <v>1982</v>
      </c>
      <c r="B53" s="852"/>
      <c r="C53" s="917" t="s">
        <v>281</v>
      </c>
      <c r="D53" s="917"/>
      <c r="E53" s="73">
        <v>365</v>
      </c>
      <c r="G53" s="119">
        <v>4</v>
      </c>
      <c r="H53" s="73">
        <v>3</v>
      </c>
      <c r="I53" s="73">
        <v>3</v>
      </c>
      <c r="J53" s="126">
        <v>10</v>
      </c>
      <c r="K53" s="92">
        <f t="shared" si="4"/>
        <v>40</v>
      </c>
      <c r="L53" s="92">
        <f t="shared" si="4"/>
        <v>30</v>
      </c>
      <c r="M53" s="92">
        <f t="shared" si="4"/>
        <v>30</v>
      </c>
      <c r="N53" s="121">
        <f t="shared" si="2"/>
        <v>100</v>
      </c>
      <c r="O53" s="91">
        <v>35</v>
      </c>
      <c r="P53" s="92">
        <v>28.3</v>
      </c>
      <c r="Q53" s="92">
        <v>18.3</v>
      </c>
      <c r="R53" s="93">
        <f t="shared" si="3"/>
        <v>81.599999999999994</v>
      </c>
      <c r="S53" s="73">
        <v>3</v>
      </c>
      <c r="T53" s="839"/>
      <c r="U53" s="852"/>
      <c r="V53" s="82" t="s">
        <v>479</v>
      </c>
      <c r="W53" s="73" t="s">
        <v>279</v>
      </c>
      <c r="X53" s="73" t="s">
        <v>18</v>
      </c>
      <c r="Y53" s="83">
        <v>28.3</v>
      </c>
      <c r="Z53" s="82" t="s">
        <v>561</v>
      </c>
      <c r="AA53" s="73" t="s">
        <v>74</v>
      </c>
      <c r="AB53" s="73" t="s">
        <v>11</v>
      </c>
      <c r="AC53" s="73">
        <v>35</v>
      </c>
      <c r="AD53" s="82" t="s">
        <v>562</v>
      </c>
      <c r="AE53" s="73" t="s">
        <v>114</v>
      </c>
      <c r="AF53" s="73" t="s">
        <v>12</v>
      </c>
      <c r="AG53" s="83">
        <v>18.3</v>
      </c>
      <c r="AH53" s="150"/>
      <c r="AL53" s="82"/>
      <c r="AO53" s="83"/>
      <c r="AP53" s="82"/>
      <c r="AS53" s="83"/>
      <c r="AW53" s="83"/>
      <c r="BA53" s="84"/>
    </row>
    <row r="54" spans="1:53" s="73" customFormat="1">
      <c r="A54" s="101">
        <v>1983</v>
      </c>
      <c r="B54" s="852"/>
      <c r="C54" s="917" t="s">
        <v>281</v>
      </c>
      <c r="D54" s="917"/>
      <c r="E54" s="73">
        <v>145</v>
      </c>
      <c r="G54" s="119">
        <v>4</v>
      </c>
      <c r="H54" s="73">
        <v>3</v>
      </c>
      <c r="I54" s="73">
        <v>3</v>
      </c>
      <c r="J54" s="126">
        <v>10</v>
      </c>
      <c r="K54" s="92">
        <f t="shared" si="4"/>
        <v>40</v>
      </c>
      <c r="L54" s="92">
        <f t="shared" si="4"/>
        <v>30</v>
      </c>
      <c r="M54" s="92">
        <f t="shared" si="4"/>
        <v>30</v>
      </c>
      <c r="N54" s="121">
        <f t="shared" si="2"/>
        <v>100</v>
      </c>
      <c r="O54" s="91">
        <v>35</v>
      </c>
      <c r="P54" s="92">
        <v>28.3</v>
      </c>
      <c r="Q54" s="92">
        <v>18.3</v>
      </c>
      <c r="R54" s="93">
        <f t="shared" si="3"/>
        <v>81.599999999999994</v>
      </c>
      <c r="S54" s="73">
        <v>3</v>
      </c>
      <c r="T54" s="839"/>
      <c r="U54" s="852"/>
      <c r="V54" s="82" t="s">
        <v>479</v>
      </c>
      <c r="W54" s="73" t="s">
        <v>279</v>
      </c>
      <c r="X54" s="73" t="s">
        <v>18</v>
      </c>
      <c r="Y54" s="83">
        <v>28.3</v>
      </c>
      <c r="Z54" s="82" t="s">
        <v>561</v>
      </c>
      <c r="AA54" s="73" t="s">
        <v>74</v>
      </c>
      <c r="AB54" s="73" t="s">
        <v>11</v>
      </c>
      <c r="AC54" s="73">
        <v>35</v>
      </c>
      <c r="AD54" s="82" t="s">
        <v>562</v>
      </c>
      <c r="AE54" s="73" t="s">
        <v>114</v>
      </c>
      <c r="AF54" s="73" t="s">
        <v>12</v>
      </c>
      <c r="AG54" s="83">
        <v>18.3</v>
      </c>
      <c r="AH54" s="150"/>
      <c r="AL54" s="82"/>
      <c r="AO54" s="83"/>
      <c r="AP54" s="82"/>
      <c r="AS54" s="83"/>
      <c r="AW54" s="83"/>
      <c r="BA54" s="84"/>
    </row>
    <row r="55" spans="1:53" s="292" customFormat="1">
      <c r="A55" s="338">
        <v>1983</v>
      </c>
      <c r="B55" s="836">
        <v>30462</v>
      </c>
      <c r="C55" s="916" t="s">
        <v>282</v>
      </c>
      <c r="D55" s="916"/>
      <c r="E55" s="292">
        <f>365-E54</f>
        <v>220</v>
      </c>
      <c r="F55" s="292">
        <v>5</v>
      </c>
      <c r="G55" s="366">
        <v>6</v>
      </c>
      <c r="H55" s="292">
        <v>4</v>
      </c>
      <c r="J55" s="377">
        <v>10</v>
      </c>
      <c r="K55" s="336">
        <f t="shared" si="4"/>
        <v>60</v>
      </c>
      <c r="L55" s="336">
        <f t="shared" si="4"/>
        <v>40</v>
      </c>
      <c r="M55" s="336">
        <f t="shared" si="4"/>
        <v>0</v>
      </c>
      <c r="N55" s="368">
        <f t="shared" si="2"/>
        <v>100</v>
      </c>
      <c r="O55" s="335">
        <v>38.299999999999997</v>
      </c>
      <c r="P55" s="336">
        <v>23.3</v>
      </c>
      <c r="Q55" s="336"/>
      <c r="R55" s="337">
        <f t="shared" si="3"/>
        <v>61.599999999999994</v>
      </c>
      <c r="S55" s="292">
        <v>2</v>
      </c>
      <c r="T55" s="838">
        <v>30429</v>
      </c>
      <c r="U55" s="836">
        <v>30462</v>
      </c>
      <c r="V55" s="299" t="s">
        <v>479</v>
      </c>
      <c r="W55" s="292" t="s">
        <v>279</v>
      </c>
      <c r="X55" s="292" t="s">
        <v>18</v>
      </c>
      <c r="Y55" s="300">
        <v>23.3</v>
      </c>
      <c r="Z55" s="299" t="s">
        <v>561</v>
      </c>
      <c r="AA55" s="292" t="s">
        <v>74</v>
      </c>
      <c r="AB55" s="292" t="s">
        <v>11</v>
      </c>
      <c r="AC55" s="292">
        <v>38.299999999999997</v>
      </c>
      <c r="AD55" s="299"/>
      <c r="AG55" s="300"/>
      <c r="AH55" s="390"/>
      <c r="AL55" s="299"/>
      <c r="AO55" s="300"/>
      <c r="AP55" s="299"/>
      <c r="AS55" s="300"/>
      <c r="AW55" s="300"/>
      <c r="BA55" s="301"/>
    </row>
    <row r="56" spans="1:53" s="292" customFormat="1">
      <c r="A56" s="338">
        <v>1984</v>
      </c>
      <c r="B56" s="836"/>
      <c r="C56" s="916" t="s">
        <v>282</v>
      </c>
      <c r="D56" s="916"/>
      <c r="E56" s="292">
        <v>0</v>
      </c>
      <c r="G56" s="366">
        <v>6</v>
      </c>
      <c r="H56" s="292">
        <v>4</v>
      </c>
      <c r="J56" s="377">
        <v>10</v>
      </c>
      <c r="K56" s="336">
        <f t="shared" si="4"/>
        <v>60</v>
      </c>
      <c r="L56" s="336">
        <f t="shared" si="4"/>
        <v>40</v>
      </c>
      <c r="M56" s="336">
        <f t="shared" si="4"/>
        <v>0</v>
      </c>
      <c r="N56" s="368">
        <f t="shared" si="2"/>
        <v>100</v>
      </c>
      <c r="O56" s="335">
        <v>38.299999999999997</v>
      </c>
      <c r="P56" s="336">
        <v>23.3</v>
      </c>
      <c r="Q56" s="336"/>
      <c r="R56" s="337">
        <f t="shared" si="3"/>
        <v>61.599999999999994</v>
      </c>
      <c r="S56" s="292">
        <v>2</v>
      </c>
      <c r="T56" s="838"/>
      <c r="U56" s="836"/>
      <c r="V56" s="299" t="s">
        <v>479</v>
      </c>
      <c r="W56" s="292" t="s">
        <v>279</v>
      </c>
      <c r="X56" s="292" t="s">
        <v>18</v>
      </c>
      <c r="Y56" s="300">
        <v>23.3</v>
      </c>
      <c r="Z56" s="299" t="s">
        <v>561</v>
      </c>
      <c r="AA56" s="292" t="s">
        <v>74</v>
      </c>
      <c r="AB56" s="292" t="s">
        <v>11</v>
      </c>
      <c r="AC56" s="292">
        <v>38.299999999999997</v>
      </c>
      <c r="AD56" s="299"/>
      <c r="AG56" s="300"/>
      <c r="AH56" s="390"/>
      <c r="AL56" s="299"/>
      <c r="AO56" s="300"/>
      <c r="AP56" s="299"/>
      <c r="AS56" s="300"/>
      <c r="AW56" s="300"/>
      <c r="BA56" s="301"/>
    </row>
    <row r="57" spans="1:53" s="292" customFormat="1">
      <c r="A57" s="338">
        <v>1984</v>
      </c>
      <c r="B57" s="836"/>
      <c r="C57" s="916" t="s">
        <v>282</v>
      </c>
      <c r="D57" s="916"/>
      <c r="E57" s="292">
        <v>366</v>
      </c>
      <c r="G57" s="366">
        <v>6</v>
      </c>
      <c r="H57" s="292">
        <v>4</v>
      </c>
      <c r="J57" s="377">
        <v>10</v>
      </c>
      <c r="K57" s="336">
        <f t="shared" si="4"/>
        <v>60</v>
      </c>
      <c r="L57" s="336">
        <f t="shared" si="4"/>
        <v>40</v>
      </c>
      <c r="M57" s="336">
        <f t="shared" si="4"/>
        <v>0</v>
      </c>
      <c r="N57" s="368">
        <f t="shared" si="2"/>
        <v>100</v>
      </c>
      <c r="O57" s="335">
        <v>38.299999999999997</v>
      </c>
      <c r="P57" s="336">
        <v>23.3</v>
      </c>
      <c r="Q57" s="336"/>
      <c r="R57" s="337">
        <f t="shared" si="3"/>
        <v>61.599999999999994</v>
      </c>
      <c r="S57" s="292">
        <v>2</v>
      </c>
      <c r="T57" s="838"/>
      <c r="U57" s="836"/>
      <c r="V57" s="299" t="s">
        <v>479</v>
      </c>
      <c r="W57" s="292" t="s">
        <v>279</v>
      </c>
      <c r="X57" s="292" t="s">
        <v>18</v>
      </c>
      <c r="Y57" s="300">
        <v>23.3</v>
      </c>
      <c r="Z57" s="299" t="s">
        <v>561</v>
      </c>
      <c r="AA57" s="292" t="s">
        <v>74</v>
      </c>
      <c r="AB57" s="292" t="s">
        <v>11</v>
      </c>
      <c r="AC57" s="292">
        <v>38.299999999999997</v>
      </c>
      <c r="AD57" s="299"/>
      <c r="AG57" s="300"/>
      <c r="AH57" s="390"/>
      <c r="AL57" s="299"/>
      <c r="AO57" s="300"/>
      <c r="AP57" s="299"/>
      <c r="AS57" s="300"/>
      <c r="AW57" s="300"/>
      <c r="BA57" s="301"/>
    </row>
    <row r="58" spans="1:53" s="292" customFormat="1">
      <c r="A58" s="338">
        <v>1985</v>
      </c>
      <c r="B58" s="836"/>
      <c r="C58" s="916" t="s">
        <v>282</v>
      </c>
      <c r="D58" s="916"/>
      <c r="E58" s="292">
        <v>0</v>
      </c>
      <c r="G58" s="366">
        <v>6</v>
      </c>
      <c r="H58" s="292">
        <v>4</v>
      </c>
      <c r="J58" s="377">
        <v>10</v>
      </c>
      <c r="K58" s="336">
        <f t="shared" si="4"/>
        <v>60</v>
      </c>
      <c r="L58" s="336">
        <f t="shared" si="4"/>
        <v>40</v>
      </c>
      <c r="M58" s="336">
        <f t="shared" si="4"/>
        <v>0</v>
      </c>
      <c r="N58" s="368">
        <f t="shared" si="2"/>
        <v>100</v>
      </c>
      <c r="O58" s="335">
        <v>38.299999999999997</v>
      </c>
      <c r="P58" s="336">
        <v>23.3</v>
      </c>
      <c r="Q58" s="336"/>
      <c r="R58" s="337">
        <f t="shared" si="3"/>
        <v>61.599999999999994</v>
      </c>
      <c r="S58" s="292">
        <v>2</v>
      </c>
      <c r="T58" s="838"/>
      <c r="U58" s="836"/>
      <c r="V58" s="299" t="s">
        <v>479</v>
      </c>
      <c r="W58" s="292" t="s">
        <v>279</v>
      </c>
      <c r="X58" s="292" t="s">
        <v>18</v>
      </c>
      <c r="Y58" s="300">
        <v>23.3</v>
      </c>
      <c r="Z58" s="299" t="s">
        <v>561</v>
      </c>
      <c r="AA58" s="292" t="s">
        <v>74</v>
      </c>
      <c r="AB58" s="292" t="s">
        <v>11</v>
      </c>
      <c r="AC58" s="292">
        <v>38.299999999999997</v>
      </c>
      <c r="AD58" s="299"/>
      <c r="AG58" s="300"/>
      <c r="AH58" s="390"/>
      <c r="AL58" s="299"/>
      <c r="AO58" s="300"/>
      <c r="AP58" s="299"/>
      <c r="AS58" s="300"/>
      <c r="AW58" s="300"/>
      <c r="BA58" s="301"/>
    </row>
    <row r="59" spans="1:53" s="292" customFormat="1">
      <c r="A59" s="338">
        <v>1985</v>
      </c>
      <c r="B59" s="836"/>
      <c r="C59" s="916" t="s">
        <v>282</v>
      </c>
      <c r="D59" s="916"/>
      <c r="E59" s="292">
        <v>365</v>
      </c>
      <c r="G59" s="366">
        <v>6</v>
      </c>
      <c r="H59" s="292">
        <v>4</v>
      </c>
      <c r="J59" s="377">
        <v>10</v>
      </c>
      <c r="K59" s="336">
        <f t="shared" si="4"/>
        <v>60</v>
      </c>
      <c r="L59" s="336">
        <f t="shared" si="4"/>
        <v>40</v>
      </c>
      <c r="M59" s="336">
        <f t="shared" si="4"/>
        <v>0</v>
      </c>
      <c r="N59" s="368">
        <f t="shared" si="2"/>
        <v>100</v>
      </c>
      <c r="O59" s="335">
        <v>38.299999999999997</v>
      </c>
      <c r="P59" s="336">
        <v>23.3</v>
      </c>
      <c r="Q59" s="336"/>
      <c r="R59" s="337">
        <f t="shared" si="3"/>
        <v>61.599999999999994</v>
      </c>
      <c r="S59" s="292">
        <v>2</v>
      </c>
      <c r="T59" s="838"/>
      <c r="U59" s="836"/>
      <c r="V59" s="299" t="s">
        <v>479</v>
      </c>
      <c r="W59" s="292" t="s">
        <v>279</v>
      </c>
      <c r="X59" s="292" t="s">
        <v>18</v>
      </c>
      <c r="Y59" s="300">
        <v>23.3</v>
      </c>
      <c r="Z59" s="299" t="s">
        <v>561</v>
      </c>
      <c r="AA59" s="292" t="s">
        <v>74</v>
      </c>
      <c r="AB59" s="292" t="s">
        <v>11</v>
      </c>
      <c r="AC59" s="292">
        <v>38.299999999999997</v>
      </c>
      <c r="AD59" s="299"/>
      <c r="AG59" s="300"/>
      <c r="AH59" s="390"/>
      <c r="AL59" s="299"/>
      <c r="AO59" s="300"/>
      <c r="AP59" s="299"/>
      <c r="AS59" s="300"/>
      <c r="AW59" s="300"/>
      <c r="BA59" s="301"/>
    </row>
    <row r="60" spans="1:53" s="292" customFormat="1">
      <c r="A60" s="338">
        <v>1986</v>
      </c>
      <c r="B60" s="836"/>
      <c r="C60" s="916" t="s">
        <v>282</v>
      </c>
      <c r="D60" s="916"/>
      <c r="E60" s="292">
        <v>0</v>
      </c>
      <c r="G60" s="366">
        <v>6</v>
      </c>
      <c r="H60" s="292">
        <v>4</v>
      </c>
      <c r="J60" s="377">
        <v>10</v>
      </c>
      <c r="K60" s="336">
        <f t="shared" si="4"/>
        <v>60</v>
      </c>
      <c r="L60" s="336">
        <f t="shared" si="4"/>
        <v>40</v>
      </c>
      <c r="M60" s="336">
        <f t="shared" si="4"/>
        <v>0</v>
      </c>
      <c r="N60" s="368">
        <f t="shared" si="2"/>
        <v>100</v>
      </c>
      <c r="O60" s="335">
        <v>38.299999999999997</v>
      </c>
      <c r="P60" s="336">
        <v>23.3</v>
      </c>
      <c r="Q60" s="336"/>
      <c r="R60" s="337">
        <f t="shared" si="3"/>
        <v>61.599999999999994</v>
      </c>
      <c r="S60" s="292">
        <v>2</v>
      </c>
      <c r="T60" s="838"/>
      <c r="U60" s="836"/>
      <c r="V60" s="299" t="s">
        <v>479</v>
      </c>
      <c r="W60" s="292" t="s">
        <v>279</v>
      </c>
      <c r="X60" s="292" t="s">
        <v>18</v>
      </c>
      <c r="Y60" s="300">
        <v>23.3</v>
      </c>
      <c r="Z60" s="299" t="s">
        <v>561</v>
      </c>
      <c r="AA60" s="292" t="s">
        <v>74</v>
      </c>
      <c r="AB60" s="292" t="s">
        <v>11</v>
      </c>
      <c r="AC60" s="292">
        <v>38.299999999999997</v>
      </c>
      <c r="AD60" s="299"/>
      <c r="AG60" s="300"/>
      <c r="AH60" s="390"/>
      <c r="AL60" s="299"/>
      <c r="AO60" s="300"/>
      <c r="AP60" s="299"/>
      <c r="AS60" s="300"/>
      <c r="AW60" s="300"/>
      <c r="BA60" s="301"/>
    </row>
    <row r="61" spans="1:53" s="292" customFormat="1">
      <c r="A61" s="338">
        <v>1986</v>
      </c>
      <c r="B61" s="836"/>
      <c r="C61" s="916" t="s">
        <v>282</v>
      </c>
      <c r="D61" s="916"/>
      <c r="E61" s="292">
        <v>365</v>
      </c>
      <c r="G61" s="366">
        <v>6</v>
      </c>
      <c r="H61" s="292">
        <v>4</v>
      </c>
      <c r="J61" s="377">
        <v>10</v>
      </c>
      <c r="K61" s="336">
        <f t="shared" si="4"/>
        <v>60</v>
      </c>
      <c r="L61" s="336">
        <f t="shared" si="4"/>
        <v>40</v>
      </c>
      <c r="M61" s="336">
        <f t="shared" si="4"/>
        <v>0</v>
      </c>
      <c r="N61" s="368">
        <f t="shared" si="2"/>
        <v>100</v>
      </c>
      <c r="O61" s="335">
        <v>38.299999999999997</v>
      </c>
      <c r="P61" s="336">
        <v>23.3</v>
      </c>
      <c r="Q61" s="336"/>
      <c r="R61" s="337">
        <f t="shared" si="3"/>
        <v>61.599999999999994</v>
      </c>
      <c r="S61" s="292">
        <v>2</v>
      </c>
      <c r="T61" s="838"/>
      <c r="U61" s="836"/>
      <c r="V61" s="299" t="s">
        <v>479</v>
      </c>
      <c r="W61" s="292" t="s">
        <v>279</v>
      </c>
      <c r="X61" s="292" t="s">
        <v>18</v>
      </c>
      <c r="Y61" s="300">
        <v>23.3</v>
      </c>
      <c r="Z61" s="299" t="s">
        <v>561</v>
      </c>
      <c r="AA61" s="292" t="s">
        <v>74</v>
      </c>
      <c r="AB61" s="292" t="s">
        <v>11</v>
      </c>
      <c r="AC61" s="292">
        <v>38.299999999999997</v>
      </c>
      <c r="AD61" s="299"/>
      <c r="AG61" s="300"/>
      <c r="AH61" s="390"/>
      <c r="AL61" s="299"/>
      <c r="AO61" s="300"/>
      <c r="AP61" s="299"/>
      <c r="AS61" s="300"/>
      <c r="AW61" s="300"/>
      <c r="BA61" s="301"/>
    </row>
    <row r="62" spans="1:53" s="292" customFormat="1">
      <c r="A62" s="338">
        <v>1987</v>
      </c>
      <c r="B62" s="836"/>
      <c r="C62" s="916" t="s">
        <v>282</v>
      </c>
      <c r="D62" s="916"/>
      <c r="E62" s="292">
        <v>188</v>
      </c>
      <c r="G62" s="366">
        <v>6</v>
      </c>
      <c r="H62" s="292">
        <v>4</v>
      </c>
      <c r="J62" s="377">
        <v>10</v>
      </c>
      <c r="K62" s="336">
        <f t="shared" si="4"/>
        <v>60</v>
      </c>
      <c r="L62" s="336">
        <f t="shared" si="4"/>
        <v>40</v>
      </c>
      <c r="M62" s="336">
        <f t="shared" si="4"/>
        <v>0</v>
      </c>
      <c r="N62" s="368">
        <f t="shared" si="2"/>
        <v>100</v>
      </c>
      <c r="O62" s="335">
        <v>38.299999999999997</v>
      </c>
      <c r="P62" s="336">
        <v>23.3</v>
      </c>
      <c r="Q62" s="336"/>
      <c r="R62" s="337">
        <f t="shared" si="3"/>
        <v>61.599999999999994</v>
      </c>
      <c r="S62" s="292">
        <v>2</v>
      </c>
      <c r="T62" s="838"/>
      <c r="U62" s="836"/>
      <c r="V62" s="299" t="s">
        <v>479</v>
      </c>
      <c r="W62" s="292" t="s">
        <v>279</v>
      </c>
      <c r="X62" s="292" t="s">
        <v>18</v>
      </c>
      <c r="Y62" s="300">
        <v>23.3</v>
      </c>
      <c r="Z62" s="299" t="s">
        <v>561</v>
      </c>
      <c r="AA62" s="292" t="s">
        <v>74</v>
      </c>
      <c r="AB62" s="292" t="s">
        <v>11</v>
      </c>
      <c r="AC62" s="292">
        <v>38.299999999999997</v>
      </c>
      <c r="AD62" s="299"/>
      <c r="AG62" s="300"/>
      <c r="AH62" s="390"/>
      <c r="AL62" s="299"/>
      <c r="AO62" s="300"/>
      <c r="AP62" s="299"/>
      <c r="AS62" s="300"/>
      <c r="AW62" s="300"/>
      <c r="BA62" s="301"/>
    </row>
    <row r="63" spans="1:53" s="73" customFormat="1">
      <c r="A63" s="101">
        <v>1987</v>
      </c>
      <c r="B63" s="852">
        <v>31966</v>
      </c>
      <c r="C63" s="917" t="s">
        <v>1173</v>
      </c>
      <c r="D63" s="917"/>
      <c r="E63" s="73">
        <f>365-E62</f>
        <v>177</v>
      </c>
      <c r="F63" s="73">
        <v>1</v>
      </c>
      <c r="G63" s="119">
        <v>4</v>
      </c>
      <c r="H63" s="73">
        <v>4</v>
      </c>
      <c r="I63" s="73">
        <v>3</v>
      </c>
      <c r="J63" s="126">
        <v>11</v>
      </c>
      <c r="K63" s="92">
        <f t="shared" si="4"/>
        <v>36.363636363636367</v>
      </c>
      <c r="L63" s="92">
        <f t="shared" si="4"/>
        <v>36.363636363636367</v>
      </c>
      <c r="M63" s="92">
        <f t="shared" si="4"/>
        <v>27.27272727272727</v>
      </c>
      <c r="N63" s="121">
        <f t="shared" si="2"/>
        <v>100</v>
      </c>
      <c r="O63" s="91">
        <v>28.6</v>
      </c>
      <c r="P63" s="92">
        <v>20.6</v>
      </c>
      <c r="Q63" s="92">
        <v>15.8</v>
      </c>
      <c r="R63" s="93">
        <f t="shared" si="3"/>
        <v>65</v>
      </c>
      <c r="S63" s="73">
        <v>2</v>
      </c>
      <c r="T63" s="839">
        <v>31892</v>
      </c>
      <c r="U63" s="852">
        <v>31966</v>
      </c>
      <c r="V63" s="82" t="s">
        <v>479</v>
      </c>
      <c r="W63" s="73" t="s">
        <v>279</v>
      </c>
      <c r="X63" s="73" t="s">
        <v>18</v>
      </c>
      <c r="Y63" s="83">
        <v>20.6</v>
      </c>
      <c r="Z63" s="82" t="s">
        <v>561</v>
      </c>
      <c r="AA63" s="73" t="s">
        <v>74</v>
      </c>
      <c r="AB63" s="73" t="s">
        <v>11</v>
      </c>
      <c r="AC63" s="73">
        <v>28.6</v>
      </c>
      <c r="AD63" s="82" t="s">
        <v>112</v>
      </c>
      <c r="AE63" s="73" t="s">
        <v>20</v>
      </c>
      <c r="AF63" s="73" t="s">
        <v>12</v>
      </c>
      <c r="AG63" s="83">
        <v>15.8</v>
      </c>
      <c r="AH63" s="150"/>
      <c r="AL63" s="82"/>
      <c r="AO63" s="83"/>
      <c r="AP63" s="82"/>
      <c r="AS63" s="83"/>
      <c r="AW63" s="83"/>
      <c r="BA63" s="84"/>
    </row>
    <row r="64" spans="1:53" s="73" customFormat="1">
      <c r="A64" s="101">
        <v>1988</v>
      </c>
      <c r="B64" s="852"/>
      <c r="C64" s="917" t="s">
        <v>1173</v>
      </c>
      <c r="D64" s="917"/>
      <c r="E64" s="73">
        <v>272</v>
      </c>
      <c r="G64" s="119">
        <v>4</v>
      </c>
      <c r="H64" s="73">
        <v>4</v>
      </c>
      <c r="I64" s="73">
        <v>3</v>
      </c>
      <c r="J64" s="126">
        <v>11</v>
      </c>
      <c r="K64" s="92">
        <f t="shared" si="4"/>
        <v>36.363636363636367</v>
      </c>
      <c r="L64" s="92">
        <f t="shared" si="4"/>
        <v>36.363636363636367</v>
      </c>
      <c r="M64" s="92">
        <f t="shared" si="4"/>
        <v>27.27272727272727</v>
      </c>
      <c r="N64" s="121">
        <f t="shared" si="2"/>
        <v>100</v>
      </c>
      <c r="O64" s="91">
        <v>28.6</v>
      </c>
      <c r="P64" s="92">
        <v>20.6</v>
      </c>
      <c r="Q64" s="92">
        <v>15.8</v>
      </c>
      <c r="R64" s="93">
        <f t="shared" si="3"/>
        <v>65</v>
      </c>
      <c r="S64" s="73">
        <v>2</v>
      </c>
      <c r="T64" s="839"/>
      <c r="U64" s="852"/>
      <c r="V64" s="82" t="s">
        <v>479</v>
      </c>
      <c r="W64" s="73" t="s">
        <v>279</v>
      </c>
      <c r="X64" s="73" t="s">
        <v>18</v>
      </c>
      <c r="Y64" s="83">
        <v>20.6</v>
      </c>
      <c r="Z64" s="82" t="s">
        <v>561</v>
      </c>
      <c r="AA64" s="73" t="s">
        <v>74</v>
      </c>
      <c r="AB64" s="73" t="s">
        <v>11</v>
      </c>
      <c r="AC64" s="73">
        <v>28.6</v>
      </c>
      <c r="AD64" s="82" t="s">
        <v>112</v>
      </c>
      <c r="AE64" s="73" t="s">
        <v>20</v>
      </c>
      <c r="AF64" s="73" t="s">
        <v>12</v>
      </c>
      <c r="AG64" s="83">
        <v>15.8</v>
      </c>
      <c r="AH64" s="150"/>
      <c r="AL64" s="82"/>
      <c r="AO64" s="83"/>
      <c r="AP64" s="82"/>
      <c r="AS64" s="83"/>
      <c r="AW64" s="83"/>
      <c r="BA64" s="84"/>
    </row>
    <row r="65" spans="1:53" s="292" customFormat="1">
      <c r="A65" s="338">
        <v>1988</v>
      </c>
      <c r="B65" s="836">
        <v>32415</v>
      </c>
      <c r="C65" s="916" t="s">
        <v>283</v>
      </c>
      <c r="D65" s="916"/>
      <c r="E65" s="292">
        <f>366-E64</f>
        <v>94</v>
      </c>
      <c r="F65" s="292">
        <v>5</v>
      </c>
      <c r="G65" s="366"/>
      <c r="H65" s="292">
        <v>3</v>
      </c>
      <c r="I65" s="292">
        <v>6</v>
      </c>
      <c r="J65" s="377">
        <v>9</v>
      </c>
      <c r="K65" s="336">
        <f t="shared" si="4"/>
        <v>0</v>
      </c>
      <c r="L65" s="336">
        <f t="shared" si="4"/>
        <v>33.333333333333329</v>
      </c>
      <c r="M65" s="336">
        <f t="shared" si="4"/>
        <v>66.666666666666657</v>
      </c>
      <c r="N65" s="368">
        <f t="shared" si="2"/>
        <v>99.999999999999986</v>
      </c>
      <c r="O65" s="335"/>
      <c r="P65" s="336">
        <v>20.6</v>
      </c>
      <c r="Q65" s="336">
        <v>28.5</v>
      </c>
      <c r="R65" s="337">
        <f t="shared" si="3"/>
        <v>49.1</v>
      </c>
      <c r="S65" s="292">
        <v>5</v>
      </c>
      <c r="T65" s="838"/>
      <c r="U65" s="836">
        <v>32415</v>
      </c>
      <c r="V65" s="299" t="s">
        <v>479</v>
      </c>
      <c r="W65" s="292" t="s">
        <v>279</v>
      </c>
      <c r="X65" s="292" t="s">
        <v>18</v>
      </c>
      <c r="Y65" s="300">
        <v>20.6</v>
      </c>
      <c r="Z65" s="292" t="s">
        <v>112</v>
      </c>
      <c r="AA65" s="292" t="s">
        <v>20</v>
      </c>
      <c r="AB65" s="292" t="s">
        <v>12</v>
      </c>
      <c r="AC65" s="292">
        <v>15.8</v>
      </c>
      <c r="AD65" s="299" t="s">
        <v>562</v>
      </c>
      <c r="AE65" s="292" t="s">
        <v>114</v>
      </c>
      <c r="AF65" s="292" t="s">
        <v>12</v>
      </c>
      <c r="AG65" s="300">
        <v>12.7</v>
      </c>
      <c r="AH65" s="390"/>
      <c r="AL65" s="299"/>
      <c r="AO65" s="300"/>
      <c r="AP65" s="299"/>
      <c r="AS65" s="300"/>
      <c r="AW65" s="300"/>
      <c r="BA65" s="301"/>
    </row>
    <row r="66" spans="1:53" s="292" customFormat="1">
      <c r="A66" s="338">
        <v>1989</v>
      </c>
      <c r="B66" s="836"/>
      <c r="C66" s="916" t="s">
        <v>283</v>
      </c>
      <c r="D66" s="916"/>
      <c r="E66" s="292">
        <v>270</v>
      </c>
      <c r="G66" s="366"/>
      <c r="H66" s="292">
        <v>3</v>
      </c>
      <c r="I66" s="292">
        <v>6</v>
      </c>
      <c r="J66" s="377">
        <v>9</v>
      </c>
      <c r="K66" s="336">
        <f t="shared" si="4"/>
        <v>0</v>
      </c>
      <c r="L66" s="336">
        <f t="shared" si="4"/>
        <v>33.333333333333329</v>
      </c>
      <c r="M66" s="336">
        <f t="shared" si="4"/>
        <v>66.666666666666657</v>
      </c>
      <c r="N66" s="368">
        <f t="shared" si="2"/>
        <v>99.999999999999986</v>
      </c>
      <c r="O66" s="335"/>
      <c r="P66" s="336">
        <v>20.6</v>
      </c>
      <c r="Q66" s="336">
        <v>28.5</v>
      </c>
      <c r="R66" s="337">
        <f t="shared" si="3"/>
        <v>49.1</v>
      </c>
      <c r="S66" s="292">
        <v>5</v>
      </c>
      <c r="T66" s="838"/>
      <c r="U66" s="836"/>
      <c r="V66" s="299" t="s">
        <v>479</v>
      </c>
      <c r="W66" s="292" t="s">
        <v>279</v>
      </c>
      <c r="X66" s="292" t="s">
        <v>18</v>
      </c>
      <c r="Y66" s="300">
        <v>20.6</v>
      </c>
      <c r="Z66" s="292" t="s">
        <v>112</v>
      </c>
      <c r="AA66" s="292" t="s">
        <v>20</v>
      </c>
      <c r="AB66" s="292" t="s">
        <v>12</v>
      </c>
      <c r="AC66" s="292">
        <v>15.8</v>
      </c>
      <c r="AD66" s="299" t="s">
        <v>562</v>
      </c>
      <c r="AE66" s="292" t="s">
        <v>114</v>
      </c>
      <c r="AF66" s="292" t="s">
        <v>12</v>
      </c>
      <c r="AG66" s="300">
        <v>12.7</v>
      </c>
      <c r="AH66" s="390"/>
      <c r="AL66" s="299"/>
      <c r="AO66" s="300"/>
      <c r="AP66" s="299"/>
      <c r="AS66" s="300"/>
      <c r="AW66" s="300"/>
      <c r="BA66" s="301"/>
    </row>
    <row r="67" spans="1:53" s="73" customFormat="1">
      <c r="A67" s="101">
        <v>1989</v>
      </c>
      <c r="B67" s="852">
        <v>32779</v>
      </c>
      <c r="C67" s="917" t="s">
        <v>284</v>
      </c>
      <c r="D67" s="917"/>
      <c r="E67" s="73">
        <f>365-E66</f>
        <v>95</v>
      </c>
      <c r="F67" s="73">
        <v>7</v>
      </c>
      <c r="G67" s="119">
        <v>2</v>
      </c>
      <c r="H67" s="73">
        <v>3</v>
      </c>
      <c r="I67" s="73">
        <v>6</v>
      </c>
      <c r="J67" s="126">
        <v>11</v>
      </c>
      <c r="K67" s="92">
        <f t="shared" si="4"/>
        <v>18.181818181818183</v>
      </c>
      <c r="L67" s="92">
        <f t="shared" si="4"/>
        <v>27.27272727272727</v>
      </c>
      <c r="M67" s="92">
        <f t="shared" si="4"/>
        <v>54.54545454545454</v>
      </c>
      <c r="N67" s="121">
        <f t="shared" si="2"/>
        <v>100</v>
      </c>
      <c r="O67" s="91">
        <v>11.1</v>
      </c>
      <c r="P67" s="92">
        <v>20.6</v>
      </c>
      <c r="Q67" s="92">
        <v>28.5</v>
      </c>
      <c r="R67" s="93">
        <f t="shared" si="3"/>
        <v>60.2</v>
      </c>
      <c r="S67" s="73">
        <v>2</v>
      </c>
      <c r="T67" s="839"/>
      <c r="U67" s="852">
        <v>32779</v>
      </c>
      <c r="V67" s="82" t="s">
        <v>479</v>
      </c>
      <c r="W67" s="73" t="s">
        <v>279</v>
      </c>
      <c r="X67" s="73" t="s">
        <v>18</v>
      </c>
      <c r="Y67" s="83">
        <v>20.6</v>
      </c>
      <c r="Z67" s="73" t="s">
        <v>112</v>
      </c>
      <c r="AA67" s="73" t="s">
        <v>20</v>
      </c>
      <c r="AB67" s="73" t="s">
        <v>12</v>
      </c>
      <c r="AC67" s="73">
        <v>15.8</v>
      </c>
      <c r="AD67" s="82" t="s">
        <v>504</v>
      </c>
      <c r="AE67" s="73" t="s">
        <v>118</v>
      </c>
      <c r="AF67" s="73" t="s">
        <v>11</v>
      </c>
      <c r="AG67" s="83">
        <v>11.1</v>
      </c>
      <c r="AH67" s="73" t="s">
        <v>562</v>
      </c>
      <c r="AI67" s="73" t="s">
        <v>114</v>
      </c>
      <c r="AJ67" s="73" t="s">
        <v>12</v>
      </c>
      <c r="AK67" s="73">
        <v>12.7</v>
      </c>
      <c r="AL67" s="82"/>
      <c r="AO67" s="83"/>
      <c r="AP67" s="82"/>
      <c r="AS67" s="83"/>
      <c r="AW67" s="83"/>
      <c r="BA67" s="84"/>
    </row>
    <row r="68" spans="1:53" s="140" customFormat="1">
      <c r="A68" s="140">
        <v>1990</v>
      </c>
      <c r="B68" s="874"/>
      <c r="C68" s="960" t="s">
        <v>284</v>
      </c>
      <c r="D68" s="960"/>
      <c r="E68" s="140">
        <v>0</v>
      </c>
      <c r="G68" s="151">
        <v>2</v>
      </c>
      <c r="H68" s="140">
        <v>3</v>
      </c>
      <c r="I68" s="140">
        <v>6</v>
      </c>
      <c r="J68" s="152">
        <v>11</v>
      </c>
      <c r="K68" s="153">
        <f t="shared" si="4"/>
        <v>18.181818181818183</v>
      </c>
      <c r="L68" s="153">
        <f t="shared" si="4"/>
        <v>27.27272727272727</v>
      </c>
      <c r="M68" s="153">
        <f t="shared" si="4"/>
        <v>54.54545454545454</v>
      </c>
      <c r="N68" s="154">
        <f t="shared" si="2"/>
        <v>100</v>
      </c>
      <c r="O68" s="155">
        <v>11.1</v>
      </c>
      <c r="P68" s="153">
        <v>20.6</v>
      </c>
      <c r="Q68" s="153">
        <v>28.5</v>
      </c>
      <c r="R68" s="156">
        <f t="shared" si="3"/>
        <v>60.2</v>
      </c>
      <c r="S68" s="140">
        <v>2</v>
      </c>
      <c r="T68" s="875"/>
      <c r="U68" s="874"/>
      <c r="V68" s="157" t="s">
        <v>479</v>
      </c>
      <c r="W68" s="140" t="s">
        <v>279</v>
      </c>
      <c r="X68" s="140" t="s">
        <v>18</v>
      </c>
      <c r="Y68" s="158">
        <v>20.6</v>
      </c>
      <c r="Z68" s="140" t="s">
        <v>112</v>
      </c>
      <c r="AA68" s="140" t="s">
        <v>20</v>
      </c>
      <c r="AB68" s="140" t="s">
        <v>12</v>
      </c>
      <c r="AC68" s="140">
        <v>15.8</v>
      </c>
      <c r="AD68" s="157" t="s">
        <v>504</v>
      </c>
      <c r="AE68" s="140" t="s">
        <v>118</v>
      </c>
      <c r="AF68" s="140" t="s">
        <v>11</v>
      </c>
      <c r="AG68" s="158">
        <v>11.1</v>
      </c>
      <c r="AH68" s="140" t="s">
        <v>562</v>
      </c>
      <c r="AI68" s="140" t="s">
        <v>114</v>
      </c>
      <c r="AJ68" s="140" t="s">
        <v>12</v>
      </c>
      <c r="AK68" s="140">
        <v>12.7</v>
      </c>
      <c r="AL68" s="157"/>
      <c r="AO68" s="158"/>
      <c r="AP68" s="157"/>
      <c r="AS68" s="158"/>
      <c r="AW68" s="158"/>
      <c r="BA68" s="159"/>
    </row>
    <row r="69" spans="1:53" s="73" customFormat="1">
      <c r="A69" s="73">
        <v>1990</v>
      </c>
      <c r="B69" s="852"/>
      <c r="C69" s="917" t="s">
        <v>284</v>
      </c>
      <c r="D69" s="917"/>
      <c r="E69" s="73">
        <f>365-E68</f>
        <v>365</v>
      </c>
      <c r="G69" s="119">
        <v>2</v>
      </c>
      <c r="H69" s="73">
        <v>3</v>
      </c>
      <c r="I69" s="73">
        <v>6</v>
      </c>
      <c r="J69" s="126">
        <v>11</v>
      </c>
      <c r="K69" s="92">
        <f t="shared" si="4"/>
        <v>18.181818181818183</v>
      </c>
      <c r="L69" s="92">
        <f t="shared" si="4"/>
        <v>27.27272727272727</v>
      </c>
      <c r="M69" s="92">
        <f t="shared" si="4"/>
        <v>54.54545454545454</v>
      </c>
      <c r="N69" s="121">
        <f t="shared" si="2"/>
        <v>100</v>
      </c>
      <c r="O69" s="91">
        <v>11.1</v>
      </c>
      <c r="P69" s="92">
        <v>20.6</v>
      </c>
      <c r="Q69" s="92">
        <v>28.5</v>
      </c>
      <c r="R69" s="93">
        <f t="shared" si="3"/>
        <v>60.2</v>
      </c>
      <c r="S69" s="73">
        <v>2</v>
      </c>
      <c r="T69" s="839"/>
      <c r="U69" s="852"/>
      <c r="V69" s="82" t="s">
        <v>479</v>
      </c>
      <c r="W69" s="73" t="s">
        <v>279</v>
      </c>
      <c r="X69" s="73" t="s">
        <v>18</v>
      </c>
      <c r="Y69" s="83">
        <v>20.6</v>
      </c>
      <c r="Z69" s="73" t="s">
        <v>112</v>
      </c>
      <c r="AA69" s="73" t="s">
        <v>20</v>
      </c>
      <c r="AB69" s="73" t="s">
        <v>12</v>
      </c>
      <c r="AC69" s="73">
        <v>15.8</v>
      </c>
      <c r="AD69" s="82" t="s">
        <v>504</v>
      </c>
      <c r="AE69" s="73" t="s">
        <v>118</v>
      </c>
      <c r="AF69" s="73" t="s">
        <v>11</v>
      </c>
      <c r="AG69" s="83">
        <v>11.1</v>
      </c>
      <c r="AH69" s="73" t="s">
        <v>562</v>
      </c>
      <c r="AI69" s="73" t="s">
        <v>114</v>
      </c>
      <c r="AJ69" s="73" t="s">
        <v>12</v>
      </c>
      <c r="AK69" s="73">
        <v>12.7</v>
      </c>
      <c r="AL69" s="82"/>
      <c r="AO69" s="83"/>
      <c r="AP69" s="82"/>
      <c r="AS69" s="83"/>
      <c r="AW69" s="83"/>
      <c r="BA69" s="84"/>
    </row>
    <row r="70" spans="1:53" s="73" customFormat="1">
      <c r="A70" s="73">
        <v>1991</v>
      </c>
      <c r="B70" s="852"/>
      <c r="C70" s="917" t="s">
        <v>284</v>
      </c>
      <c r="D70" s="917"/>
      <c r="E70" s="73">
        <v>119</v>
      </c>
      <c r="G70" s="119">
        <v>2</v>
      </c>
      <c r="H70" s="73">
        <v>3</v>
      </c>
      <c r="I70" s="73">
        <v>6</v>
      </c>
      <c r="J70" s="126">
        <v>11</v>
      </c>
      <c r="K70" s="92">
        <f t="shared" si="4"/>
        <v>18.181818181818183</v>
      </c>
      <c r="L70" s="92">
        <f t="shared" si="4"/>
        <v>27.27272727272727</v>
      </c>
      <c r="M70" s="92">
        <f t="shared" si="4"/>
        <v>54.54545454545454</v>
      </c>
      <c r="N70" s="121">
        <f t="shared" si="2"/>
        <v>100</v>
      </c>
      <c r="O70" s="91">
        <v>11.1</v>
      </c>
      <c r="P70" s="92">
        <v>20.6</v>
      </c>
      <c r="Q70" s="92">
        <v>28.5</v>
      </c>
      <c r="R70" s="93">
        <f t="shared" si="3"/>
        <v>60.2</v>
      </c>
      <c r="S70" s="73">
        <v>2</v>
      </c>
      <c r="T70" s="839"/>
      <c r="U70" s="852"/>
      <c r="V70" s="82" t="s">
        <v>479</v>
      </c>
      <c r="W70" s="73" t="s">
        <v>279</v>
      </c>
      <c r="X70" s="73" t="s">
        <v>18</v>
      </c>
      <c r="Y70" s="83">
        <v>20.6</v>
      </c>
      <c r="Z70" s="73" t="s">
        <v>112</v>
      </c>
      <c r="AA70" s="73" t="s">
        <v>20</v>
      </c>
      <c r="AB70" s="73" t="s">
        <v>12</v>
      </c>
      <c r="AC70" s="73">
        <v>15.8</v>
      </c>
      <c r="AD70" s="82" t="s">
        <v>504</v>
      </c>
      <c r="AE70" s="73" t="s">
        <v>118</v>
      </c>
      <c r="AF70" s="73" t="s">
        <v>11</v>
      </c>
      <c r="AG70" s="83">
        <v>11.1</v>
      </c>
      <c r="AH70" s="73" t="s">
        <v>562</v>
      </c>
      <c r="AI70" s="73" t="s">
        <v>114</v>
      </c>
      <c r="AJ70" s="73" t="s">
        <v>12</v>
      </c>
      <c r="AK70" s="73">
        <v>12.7</v>
      </c>
      <c r="AL70" s="82"/>
      <c r="AO70" s="83"/>
      <c r="AP70" s="82"/>
      <c r="AS70" s="83"/>
      <c r="AW70" s="83"/>
      <c r="BA70" s="84"/>
    </row>
    <row r="71" spans="1:53" s="292" customFormat="1">
      <c r="A71" s="292">
        <v>1991</v>
      </c>
      <c r="B71" s="836">
        <v>33358</v>
      </c>
      <c r="C71" s="916" t="s">
        <v>285</v>
      </c>
      <c r="D71" s="916"/>
      <c r="E71" s="292">
        <f>365-E70</f>
        <v>246</v>
      </c>
      <c r="F71" s="292">
        <v>1</v>
      </c>
      <c r="G71" s="366">
        <v>5</v>
      </c>
      <c r="I71" s="292">
        <v>5</v>
      </c>
      <c r="J71" s="377">
        <v>10</v>
      </c>
      <c r="K71" s="336">
        <f t="shared" si="4"/>
        <v>50</v>
      </c>
      <c r="L71" s="336">
        <f t="shared" si="4"/>
        <v>0</v>
      </c>
      <c r="M71" s="336">
        <f t="shared" si="4"/>
        <v>50</v>
      </c>
      <c r="N71" s="368">
        <f t="shared" si="2"/>
        <v>100</v>
      </c>
      <c r="O71" s="335">
        <v>41.3</v>
      </c>
      <c r="P71" s="336"/>
      <c r="Q71" s="336">
        <v>15.9</v>
      </c>
      <c r="R71" s="337">
        <f t="shared" si="3"/>
        <v>57.199999999999996</v>
      </c>
      <c r="S71" s="292">
        <v>2</v>
      </c>
      <c r="T71" s="838">
        <v>33348</v>
      </c>
      <c r="U71" s="836">
        <v>33358</v>
      </c>
      <c r="V71" s="299" t="s">
        <v>561</v>
      </c>
      <c r="W71" s="292" t="s">
        <v>74</v>
      </c>
      <c r="X71" s="292" t="s">
        <v>11</v>
      </c>
      <c r="Y71" s="300">
        <v>41.3</v>
      </c>
      <c r="Z71" s="292" t="s">
        <v>112</v>
      </c>
      <c r="AA71" s="292" t="s">
        <v>20</v>
      </c>
      <c r="AB71" s="292" t="s">
        <v>12</v>
      </c>
      <c r="AC71" s="292">
        <v>15.9</v>
      </c>
      <c r="AD71" s="299"/>
      <c r="AG71" s="300"/>
      <c r="AH71" s="390"/>
      <c r="AL71" s="299"/>
      <c r="AO71" s="300"/>
      <c r="AP71" s="299"/>
      <c r="AS71" s="300"/>
      <c r="AW71" s="300"/>
      <c r="BA71" s="301"/>
    </row>
    <row r="72" spans="1:53" s="292" customFormat="1">
      <c r="A72" s="292">
        <v>1992</v>
      </c>
      <c r="B72" s="836"/>
      <c r="C72" s="916" t="s">
        <v>285</v>
      </c>
      <c r="D72" s="916"/>
      <c r="E72" s="292">
        <v>0</v>
      </c>
      <c r="G72" s="366">
        <v>5</v>
      </c>
      <c r="I72" s="292">
        <v>5</v>
      </c>
      <c r="J72" s="377">
        <v>10</v>
      </c>
      <c r="K72" s="336">
        <f t="shared" ref="K72:M115" si="5">G72/$J72*100</f>
        <v>50</v>
      </c>
      <c r="L72" s="336">
        <f t="shared" si="5"/>
        <v>0</v>
      </c>
      <c r="M72" s="336">
        <f t="shared" si="5"/>
        <v>50</v>
      </c>
      <c r="N72" s="368">
        <f t="shared" si="2"/>
        <v>100</v>
      </c>
      <c r="O72" s="335">
        <v>41.3</v>
      </c>
      <c r="P72" s="336"/>
      <c r="Q72" s="336">
        <v>15.9</v>
      </c>
      <c r="R72" s="337">
        <f t="shared" si="3"/>
        <v>57.199999999999996</v>
      </c>
      <c r="S72" s="292">
        <v>2</v>
      </c>
      <c r="T72" s="838"/>
      <c r="U72" s="836"/>
      <c r="V72" s="299" t="s">
        <v>561</v>
      </c>
      <c r="W72" s="292" t="s">
        <v>74</v>
      </c>
      <c r="X72" s="292" t="s">
        <v>11</v>
      </c>
      <c r="Y72" s="300">
        <v>41.3</v>
      </c>
      <c r="Z72" s="292" t="s">
        <v>112</v>
      </c>
      <c r="AA72" s="292" t="s">
        <v>20</v>
      </c>
      <c r="AB72" s="292" t="s">
        <v>12</v>
      </c>
      <c r="AC72" s="292">
        <v>15.9</v>
      </c>
      <c r="AD72" s="299"/>
      <c r="AG72" s="300"/>
      <c r="AH72" s="390"/>
      <c r="AL72" s="299"/>
      <c r="AO72" s="300"/>
      <c r="AP72" s="299"/>
      <c r="AS72" s="300"/>
      <c r="AW72" s="300"/>
      <c r="BA72" s="301"/>
    </row>
    <row r="73" spans="1:53" s="292" customFormat="1">
      <c r="A73" s="292">
        <v>1992</v>
      </c>
      <c r="B73" s="836"/>
      <c r="C73" s="916" t="s">
        <v>285</v>
      </c>
      <c r="D73" s="916"/>
      <c r="E73" s="292">
        <v>366</v>
      </c>
      <c r="G73" s="366">
        <v>5</v>
      </c>
      <c r="I73" s="292">
        <v>5</v>
      </c>
      <c r="J73" s="377">
        <v>10</v>
      </c>
      <c r="K73" s="336">
        <f t="shared" si="5"/>
        <v>50</v>
      </c>
      <c r="L73" s="336">
        <f t="shared" si="5"/>
        <v>0</v>
      </c>
      <c r="M73" s="336">
        <f t="shared" si="5"/>
        <v>50</v>
      </c>
      <c r="N73" s="368">
        <f t="shared" ref="N73:N115" si="6">K73+L73+M73</f>
        <v>100</v>
      </c>
      <c r="O73" s="335">
        <v>41.3</v>
      </c>
      <c r="P73" s="336"/>
      <c r="Q73" s="336">
        <v>15.9</v>
      </c>
      <c r="R73" s="337">
        <f t="shared" si="3"/>
        <v>57.199999999999996</v>
      </c>
      <c r="S73" s="292">
        <v>2</v>
      </c>
      <c r="T73" s="838"/>
      <c r="U73" s="836"/>
      <c r="V73" s="299" t="s">
        <v>561</v>
      </c>
      <c r="W73" s="292" t="s">
        <v>74</v>
      </c>
      <c r="X73" s="292" t="s">
        <v>11</v>
      </c>
      <c r="Y73" s="300">
        <v>41.3</v>
      </c>
      <c r="Z73" s="292" t="s">
        <v>112</v>
      </c>
      <c r="AA73" s="292" t="s">
        <v>20</v>
      </c>
      <c r="AB73" s="292" t="s">
        <v>12</v>
      </c>
      <c r="AC73" s="292">
        <v>15.9</v>
      </c>
      <c r="AD73" s="299"/>
      <c r="AG73" s="300"/>
      <c r="AH73" s="390"/>
      <c r="AL73" s="299"/>
      <c r="AO73" s="300"/>
      <c r="AP73" s="299"/>
      <c r="AS73" s="300"/>
      <c r="AW73" s="300"/>
      <c r="BA73" s="301"/>
    </row>
    <row r="74" spans="1:53" s="292" customFormat="1">
      <c r="A74" s="292">
        <v>1993</v>
      </c>
      <c r="B74" s="836"/>
      <c r="C74" s="916" t="s">
        <v>285</v>
      </c>
      <c r="D74" s="916"/>
      <c r="E74" s="292">
        <v>0</v>
      </c>
      <c r="G74" s="366">
        <v>5</v>
      </c>
      <c r="I74" s="292">
        <v>5</v>
      </c>
      <c r="J74" s="377">
        <v>10</v>
      </c>
      <c r="K74" s="336">
        <f t="shared" si="5"/>
        <v>50</v>
      </c>
      <c r="L74" s="336">
        <f t="shared" si="5"/>
        <v>0</v>
      </c>
      <c r="M74" s="336">
        <f t="shared" si="5"/>
        <v>50</v>
      </c>
      <c r="N74" s="368">
        <f t="shared" si="6"/>
        <v>100</v>
      </c>
      <c r="O74" s="335">
        <v>41.3</v>
      </c>
      <c r="P74" s="336"/>
      <c r="Q74" s="336">
        <v>15.9</v>
      </c>
      <c r="R74" s="337">
        <f t="shared" ref="R74:R114" si="7">O74+P74+Q74</f>
        <v>57.199999999999996</v>
      </c>
      <c r="S74" s="292">
        <v>2</v>
      </c>
      <c r="T74" s="838"/>
      <c r="U74" s="836"/>
      <c r="V74" s="299" t="s">
        <v>561</v>
      </c>
      <c r="W74" s="292" t="s">
        <v>74</v>
      </c>
      <c r="X74" s="292" t="s">
        <v>11</v>
      </c>
      <c r="Y74" s="300">
        <v>41.3</v>
      </c>
      <c r="Z74" s="292" t="s">
        <v>112</v>
      </c>
      <c r="AA74" s="292" t="s">
        <v>20</v>
      </c>
      <c r="AB74" s="292" t="s">
        <v>12</v>
      </c>
      <c r="AC74" s="292">
        <v>15.9</v>
      </c>
      <c r="AD74" s="299"/>
      <c r="AG74" s="300"/>
      <c r="AH74" s="390"/>
      <c r="AL74" s="299"/>
      <c r="AO74" s="300"/>
      <c r="AP74" s="299"/>
      <c r="AS74" s="300"/>
      <c r="AW74" s="300"/>
      <c r="BA74" s="301"/>
    </row>
    <row r="75" spans="1:53" s="292" customFormat="1">
      <c r="A75" s="292">
        <v>1993</v>
      </c>
      <c r="B75" s="836"/>
      <c r="C75" s="916" t="s">
        <v>285</v>
      </c>
      <c r="D75" s="916"/>
      <c r="E75" s="292">
        <f>365-E74</f>
        <v>365</v>
      </c>
      <c r="G75" s="366">
        <v>5</v>
      </c>
      <c r="I75" s="292">
        <v>5</v>
      </c>
      <c r="J75" s="377">
        <v>10</v>
      </c>
      <c r="K75" s="336">
        <f t="shared" si="5"/>
        <v>50</v>
      </c>
      <c r="L75" s="336">
        <f t="shared" si="5"/>
        <v>0</v>
      </c>
      <c r="M75" s="336">
        <f t="shared" si="5"/>
        <v>50</v>
      </c>
      <c r="N75" s="368">
        <f t="shared" si="6"/>
        <v>100</v>
      </c>
      <c r="O75" s="335">
        <v>41.3</v>
      </c>
      <c r="P75" s="336"/>
      <c r="Q75" s="336">
        <v>15.9</v>
      </c>
      <c r="R75" s="337">
        <f t="shared" si="7"/>
        <v>57.199999999999996</v>
      </c>
      <c r="S75" s="292">
        <v>2</v>
      </c>
      <c r="T75" s="838"/>
      <c r="U75" s="836"/>
      <c r="V75" s="299" t="s">
        <v>561</v>
      </c>
      <c r="W75" s="292" t="s">
        <v>74</v>
      </c>
      <c r="X75" s="292" t="s">
        <v>11</v>
      </c>
      <c r="Y75" s="300">
        <v>41.3</v>
      </c>
      <c r="Z75" s="292" t="s">
        <v>112</v>
      </c>
      <c r="AA75" s="292" t="s">
        <v>20</v>
      </c>
      <c r="AB75" s="292" t="s">
        <v>12</v>
      </c>
      <c r="AC75" s="292">
        <v>15.9</v>
      </c>
      <c r="AD75" s="299"/>
      <c r="AG75" s="300"/>
      <c r="AH75" s="390"/>
      <c r="AL75" s="299"/>
      <c r="AO75" s="300"/>
      <c r="AP75" s="299"/>
      <c r="AS75" s="300"/>
      <c r="AW75" s="300"/>
      <c r="BA75" s="301"/>
    </row>
    <row r="76" spans="1:53" s="292" customFormat="1">
      <c r="A76" s="292">
        <v>1994</v>
      </c>
      <c r="B76" s="836"/>
      <c r="C76" s="916" t="s">
        <v>285</v>
      </c>
      <c r="D76" s="916"/>
      <c r="E76" s="292">
        <v>174</v>
      </c>
      <c r="G76" s="366">
        <v>5</v>
      </c>
      <c r="I76" s="292">
        <v>5</v>
      </c>
      <c r="J76" s="377">
        <v>10</v>
      </c>
      <c r="K76" s="336">
        <f t="shared" si="5"/>
        <v>50</v>
      </c>
      <c r="L76" s="336">
        <f t="shared" si="5"/>
        <v>0</v>
      </c>
      <c r="M76" s="336">
        <f t="shared" si="5"/>
        <v>50</v>
      </c>
      <c r="N76" s="368">
        <f t="shared" si="6"/>
        <v>100</v>
      </c>
      <c r="O76" s="335">
        <v>41.3</v>
      </c>
      <c r="P76" s="336"/>
      <c r="Q76" s="336">
        <v>15.9</v>
      </c>
      <c r="R76" s="337">
        <f t="shared" si="7"/>
        <v>57.199999999999996</v>
      </c>
      <c r="S76" s="292">
        <v>2</v>
      </c>
      <c r="T76" s="838"/>
      <c r="U76" s="836"/>
      <c r="V76" s="299" t="s">
        <v>561</v>
      </c>
      <c r="W76" s="292" t="s">
        <v>74</v>
      </c>
      <c r="X76" s="292" t="s">
        <v>11</v>
      </c>
      <c r="Y76" s="300">
        <v>41.3</v>
      </c>
      <c r="Z76" s="292" t="s">
        <v>112</v>
      </c>
      <c r="AA76" s="292" t="s">
        <v>20</v>
      </c>
      <c r="AB76" s="292" t="s">
        <v>12</v>
      </c>
      <c r="AC76" s="292">
        <v>15.9</v>
      </c>
      <c r="AD76" s="299"/>
      <c r="AG76" s="300"/>
      <c r="AH76" s="390"/>
      <c r="AL76" s="299"/>
      <c r="AO76" s="300"/>
      <c r="AP76" s="299"/>
      <c r="AS76" s="300"/>
      <c r="AW76" s="300"/>
      <c r="BA76" s="301"/>
    </row>
    <row r="77" spans="1:53" s="292" customFormat="1">
      <c r="A77" s="292">
        <v>1994</v>
      </c>
      <c r="B77" s="865">
        <v>34509</v>
      </c>
      <c r="C77" s="916" t="s">
        <v>285</v>
      </c>
      <c r="D77" s="916"/>
      <c r="E77" s="292">
        <f>365-E76</f>
        <v>191</v>
      </c>
      <c r="F77" s="381">
        <v>0</v>
      </c>
      <c r="G77" s="366">
        <v>5</v>
      </c>
      <c r="I77" s="292">
        <v>4</v>
      </c>
      <c r="J77" s="377">
        <v>9</v>
      </c>
      <c r="K77" s="336">
        <f t="shared" si="5"/>
        <v>55.555555555555557</v>
      </c>
      <c r="L77" s="336">
        <f t="shared" si="5"/>
        <v>0</v>
      </c>
      <c r="M77" s="336">
        <f t="shared" si="5"/>
        <v>44.444444444444443</v>
      </c>
      <c r="N77" s="368">
        <f t="shared" si="6"/>
        <v>100</v>
      </c>
      <c r="O77" s="335">
        <v>41.3</v>
      </c>
      <c r="P77" s="336"/>
      <c r="Q77" s="336">
        <v>15.9</v>
      </c>
      <c r="R77" s="337">
        <f t="shared" si="7"/>
        <v>57.199999999999996</v>
      </c>
      <c r="S77" s="292">
        <v>2</v>
      </c>
      <c r="T77" s="838"/>
      <c r="U77" s="836"/>
      <c r="V77" s="299" t="s">
        <v>561</v>
      </c>
      <c r="W77" s="292" t="s">
        <v>74</v>
      </c>
      <c r="X77" s="292" t="s">
        <v>11</v>
      </c>
      <c r="Y77" s="300">
        <v>41.3</v>
      </c>
      <c r="Z77" s="292" t="s">
        <v>112</v>
      </c>
      <c r="AA77" s="292" t="s">
        <v>20</v>
      </c>
      <c r="AB77" s="292" t="s">
        <v>12</v>
      </c>
      <c r="AC77" s="292">
        <v>15.9</v>
      </c>
      <c r="AD77" s="299"/>
      <c r="AG77" s="300"/>
      <c r="AH77" s="390"/>
      <c r="AL77" s="299"/>
      <c r="AO77" s="300"/>
      <c r="AP77" s="299"/>
      <c r="AS77" s="300"/>
      <c r="AW77" s="300"/>
      <c r="BA77" s="301"/>
    </row>
    <row r="78" spans="1:53" s="292" customFormat="1">
      <c r="A78" s="292">
        <v>1995</v>
      </c>
      <c r="B78" s="836"/>
      <c r="C78" s="916" t="s">
        <v>285</v>
      </c>
      <c r="D78" s="916"/>
      <c r="E78" s="292">
        <v>112</v>
      </c>
      <c r="G78" s="366">
        <v>5</v>
      </c>
      <c r="I78" s="292">
        <v>4</v>
      </c>
      <c r="J78" s="377">
        <v>9</v>
      </c>
      <c r="K78" s="336">
        <f t="shared" si="5"/>
        <v>55.555555555555557</v>
      </c>
      <c r="L78" s="336">
        <f t="shared" si="5"/>
        <v>0</v>
      </c>
      <c r="M78" s="336">
        <f t="shared" si="5"/>
        <v>44.444444444444443</v>
      </c>
      <c r="N78" s="368">
        <f t="shared" si="6"/>
        <v>100</v>
      </c>
      <c r="O78" s="335">
        <v>41.3</v>
      </c>
      <c r="P78" s="336"/>
      <c r="Q78" s="336">
        <v>15.9</v>
      </c>
      <c r="R78" s="337">
        <f t="shared" si="7"/>
        <v>57.199999999999996</v>
      </c>
      <c r="S78" s="292">
        <v>2</v>
      </c>
      <c r="T78" s="838"/>
      <c r="U78" s="836"/>
      <c r="V78" s="299" t="s">
        <v>561</v>
      </c>
      <c r="W78" s="292" t="s">
        <v>74</v>
      </c>
      <c r="X78" s="292" t="s">
        <v>11</v>
      </c>
      <c r="Y78" s="300">
        <v>41.3</v>
      </c>
      <c r="Z78" s="292" t="s">
        <v>112</v>
      </c>
      <c r="AA78" s="292" t="s">
        <v>20</v>
      </c>
      <c r="AB78" s="292" t="s">
        <v>12</v>
      </c>
      <c r="AC78" s="292">
        <v>15.9</v>
      </c>
      <c r="AD78" s="299"/>
      <c r="AG78" s="300"/>
      <c r="AH78" s="390"/>
      <c r="AL78" s="299"/>
      <c r="AO78" s="300"/>
      <c r="AP78" s="299"/>
      <c r="AS78" s="300"/>
      <c r="AW78" s="300"/>
      <c r="BA78" s="301"/>
    </row>
    <row r="79" spans="1:53" s="73" customFormat="1">
      <c r="A79" s="73">
        <v>1995</v>
      </c>
      <c r="B79" s="852">
        <v>34812</v>
      </c>
      <c r="C79" s="917" t="s">
        <v>286</v>
      </c>
      <c r="D79" s="917"/>
      <c r="E79" s="73">
        <f>365-E78</f>
        <v>253</v>
      </c>
      <c r="F79" s="73">
        <v>1</v>
      </c>
      <c r="G79" s="119">
        <v>5</v>
      </c>
      <c r="H79" s="73">
        <v>5</v>
      </c>
      <c r="J79" s="126">
        <v>10</v>
      </c>
      <c r="K79" s="92">
        <f t="shared" si="5"/>
        <v>50</v>
      </c>
      <c r="L79" s="92">
        <f t="shared" si="5"/>
        <v>50</v>
      </c>
      <c r="M79" s="92">
        <f t="shared" si="5"/>
        <v>0</v>
      </c>
      <c r="N79" s="121">
        <f t="shared" si="6"/>
        <v>100</v>
      </c>
      <c r="O79" s="91">
        <v>39.700000000000003</v>
      </c>
      <c r="P79" s="92">
        <v>23.8</v>
      </c>
      <c r="Q79" s="92"/>
      <c r="R79" s="93">
        <f t="shared" si="7"/>
        <v>63.5</v>
      </c>
      <c r="S79" s="73">
        <v>2</v>
      </c>
      <c r="T79" s="839">
        <v>34797</v>
      </c>
      <c r="U79" s="852">
        <v>34812</v>
      </c>
      <c r="V79" s="82" t="s">
        <v>561</v>
      </c>
      <c r="W79" s="73" t="s">
        <v>74</v>
      </c>
      <c r="X79" s="73" t="s">
        <v>11</v>
      </c>
      <c r="Y79" s="83">
        <v>39.700000000000003</v>
      </c>
      <c r="Z79" s="82" t="s">
        <v>479</v>
      </c>
      <c r="AA79" s="73" t="s">
        <v>279</v>
      </c>
      <c r="AB79" s="73" t="s">
        <v>18</v>
      </c>
      <c r="AC79" s="73">
        <v>23.8</v>
      </c>
      <c r="AD79" s="82"/>
      <c r="AG79" s="83"/>
      <c r="AH79" s="150"/>
      <c r="AL79" s="82"/>
      <c r="AO79" s="83"/>
      <c r="AP79" s="82"/>
      <c r="AS79" s="83"/>
      <c r="AW79" s="83"/>
      <c r="BA79" s="84"/>
    </row>
    <row r="80" spans="1:53" s="73" customFormat="1">
      <c r="A80" s="73">
        <v>1996</v>
      </c>
      <c r="B80" s="852"/>
      <c r="C80" s="917" t="s">
        <v>286</v>
      </c>
      <c r="D80" s="917"/>
      <c r="E80" s="73">
        <v>0</v>
      </c>
      <c r="G80" s="119">
        <v>5</v>
      </c>
      <c r="H80" s="73">
        <v>5</v>
      </c>
      <c r="J80" s="126">
        <v>10</v>
      </c>
      <c r="K80" s="92">
        <f t="shared" si="5"/>
        <v>50</v>
      </c>
      <c r="L80" s="92">
        <f t="shared" si="5"/>
        <v>50</v>
      </c>
      <c r="M80" s="92">
        <f t="shared" si="5"/>
        <v>0</v>
      </c>
      <c r="N80" s="121">
        <f t="shared" si="6"/>
        <v>100</v>
      </c>
      <c r="O80" s="91">
        <v>39.700000000000003</v>
      </c>
      <c r="P80" s="92">
        <v>23.8</v>
      </c>
      <c r="Q80" s="92"/>
      <c r="R80" s="93">
        <f t="shared" si="7"/>
        <v>63.5</v>
      </c>
      <c r="S80" s="73">
        <v>2</v>
      </c>
      <c r="T80" s="839"/>
      <c r="U80" s="852"/>
      <c r="V80" s="82" t="s">
        <v>561</v>
      </c>
      <c r="W80" s="73" t="s">
        <v>74</v>
      </c>
      <c r="X80" s="73" t="s">
        <v>11</v>
      </c>
      <c r="Y80" s="83">
        <v>39.700000000000003</v>
      </c>
      <c r="Z80" s="82" t="s">
        <v>479</v>
      </c>
      <c r="AA80" s="73" t="s">
        <v>279</v>
      </c>
      <c r="AB80" s="73" t="s">
        <v>18</v>
      </c>
      <c r="AC80" s="73">
        <v>23.8</v>
      </c>
      <c r="AD80" s="82"/>
      <c r="AG80" s="83"/>
      <c r="AH80" s="150"/>
      <c r="AL80" s="82"/>
      <c r="AO80" s="83"/>
      <c r="AP80" s="82"/>
      <c r="AS80" s="83"/>
      <c r="AW80" s="83"/>
      <c r="BA80" s="84"/>
    </row>
    <row r="81" spans="1:53" s="73" customFormat="1">
      <c r="A81" s="73">
        <v>1996</v>
      </c>
      <c r="B81" s="852"/>
      <c r="C81" s="917" t="s">
        <v>286</v>
      </c>
      <c r="D81" s="917"/>
      <c r="E81" s="73">
        <v>366</v>
      </c>
      <c r="G81" s="119">
        <v>5</v>
      </c>
      <c r="H81" s="73">
        <v>5</v>
      </c>
      <c r="J81" s="126">
        <v>10</v>
      </c>
      <c r="K81" s="92">
        <f t="shared" si="5"/>
        <v>50</v>
      </c>
      <c r="L81" s="92">
        <f t="shared" si="5"/>
        <v>50</v>
      </c>
      <c r="M81" s="92">
        <f t="shared" si="5"/>
        <v>0</v>
      </c>
      <c r="N81" s="121">
        <f t="shared" si="6"/>
        <v>100</v>
      </c>
      <c r="O81" s="91">
        <v>39.700000000000003</v>
      </c>
      <c r="P81" s="92">
        <v>23.8</v>
      </c>
      <c r="Q81" s="92"/>
      <c r="R81" s="93">
        <f t="shared" si="7"/>
        <v>63.5</v>
      </c>
      <c r="S81" s="73">
        <v>2</v>
      </c>
      <c r="T81" s="839"/>
      <c r="U81" s="852"/>
      <c r="V81" s="82" t="s">
        <v>561</v>
      </c>
      <c r="W81" s="73" t="s">
        <v>74</v>
      </c>
      <c r="X81" s="73" t="s">
        <v>11</v>
      </c>
      <c r="Y81" s="83">
        <v>39.700000000000003</v>
      </c>
      <c r="Z81" s="82" t="s">
        <v>479</v>
      </c>
      <c r="AA81" s="73" t="s">
        <v>279</v>
      </c>
      <c r="AB81" s="73" t="s">
        <v>18</v>
      </c>
      <c r="AC81" s="73">
        <v>23.8</v>
      </c>
      <c r="AD81" s="82"/>
      <c r="AG81" s="83"/>
      <c r="AH81" s="150"/>
      <c r="AL81" s="82"/>
      <c r="AO81" s="83"/>
      <c r="AP81" s="82"/>
      <c r="AS81" s="83"/>
      <c r="AW81" s="83"/>
      <c r="BA81" s="84"/>
    </row>
    <row r="82" spans="1:53" s="73" customFormat="1">
      <c r="A82" s="73">
        <v>1997</v>
      </c>
      <c r="B82" s="852"/>
      <c r="C82" s="917" t="s">
        <v>286</v>
      </c>
      <c r="D82" s="917"/>
      <c r="E82" s="73">
        <v>0</v>
      </c>
      <c r="G82" s="119">
        <v>5</v>
      </c>
      <c r="H82" s="73">
        <v>5</v>
      </c>
      <c r="J82" s="126">
        <v>10</v>
      </c>
      <c r="K82" s="92">
        <f t="shared" si="5"/>
        <v>50</v>
      </c>
      <c r="L82" s="92">
        <f t="shared" si="5"/>
        <v>50</v>
      </c>
      <c r="M82" s="92">
        <f t="shared" si="5"/>
        <v>0</v>
      </c>
      <c r="N82" s="121">
        <f t="shared" si="6"/>
        <v>100</v>
      </c>
      <c r="O82" s="91">
        <v>39.700000000000003</v>
      </c>
      <c r="P82" s="92">
        <v>23.8</v>
      </c>
      <c r="Q82" s="92"/>
      <c r="R82" s="93">
        <f t="shared" si="7"/>
        <v>63.5</v>
      </c>
      <c r="S82" s="73">
        <v>2</v>
      </c>
      <c r="T82" s="839"/>
      <c r="U82" s="852"/>
      <c r="V82" s="82" t="s">
        <v>561</v>
      </c>
      <c r="W82" s="73" t="s">
        <v>74</v>
      </c>
      <c r="X82" s="73" t="s">
        <v>11</v>
      </c>
      <c r="Y82" s="83">
        <v>39.700000000000003</v>
      </c>
      <c r="Z82" s="82" t="s">
        <v>479</v>
      </c>
      <c r="AA82" s="73" t="s">
        <v>279</v>
      </c>
      <c r="AB82" s="73" t="s">
        <v>18</v>
      </c>
      <c r="AC82" s="73">
        <v>23.8</v>
      </c>
      <c r="AD82" s="82"/>
      <c r="AG82" s="83"/>
      <c r="AH82" s="150"/>
      <c r="AL82" s="82"/>
      <c r="AO82" s="83"/>
      <c r="AP82" s="82"/>
      <c r="AS82" s="83"/>
      <c r="AW82" s="83"/>
      <c r="BA82" s="84"/>
    </row>
    <row r="83" spans="1:53" s="73" customFormat="1">
      <c r="A83" s="73">
        <v>1997</v>
      </c>
      <c r="B83" s="852"/>
      <c r="C83" s="917" t="s">
        <v>286</v>
      </c>
      <c r="D83" s="917"/>
      <c r="E83" s="73">
        <f>365-E82</f>
        <v>365</v>
      </c>
      <c r="G83" s="119">
        <v>5</v>
      </c>
      <c r="H83" s="73">
        <v>5</v>
      </c>
      <c r="J83" s="126">
        <v>10</v>
      </c>
      <c r="K83" s="92">
        <f t="shared" si="5"/>
        <v>50</v>
      </c>
      <c r="L83" s="92">
        <f t="shared" si="5"/>
        <v>50</v>
      </c>
      <c r="M83" s="92">
        <f t="shared" si="5"/>
        <v>0</v>
      </c>
      <c r="N83" s="121">
        <f t="shared" si="6"/>
        <v>100</v>
      </c>
      <c r="O83" s="91">
        <v>39.700000000000003</v>
      </c>
      <c r="P83" s="92">
        <v>23.8</v>
      </c>
      <c r="Q83" s="92"/>
      <c r="R83" s="93">
        <f t="shared" si="7"/>
        <v>63.5</v>
      </c>
      <c r="S83" s="73">
        <v>2</v>
      </c>
      <c r="T83" s="839"/>
      <c r="U83" s="852"/>
      <c r="V83" s="82" t="s">
        <v>561</v>
      </c>
      <c r="W83" s="73" t="s">
        <v>74</v>
      </c>
      <c r="X83" s="73" t="s">
        <v>11</v>
      </c>
      <c r="Y83" s="83">
        <v>39.700000000000003</v>
      </c>
      <c r="Z83" s="82" t="s">
        <v>479</v>
      </c>
      <c r="AA83" s="73" t="s">
        <v>279</v>
      </c>
      <c r="AB83" s="73" t="s">
        <v>18</v>
      </c>
      <c r="AC83" s="73">
        <v>23.8</v>
      </c>
      <c r="AD83" s="82"/>
      <c r="AG83" s="83"/>
      <c r="AH83" s="150"/>
      <c r="AL83" s="82"/>
      <c r="AO83" s="83"/>
      <c r="AP83" s="82"/>
      <c r="AS83" s="83"/>
      <c r="AW83" s="83"/>
      <c r="BA83" s="84"/>
    </row>
    <row r="84" spans="1:53" s="73" customFormat="1">
      <c r="A84" s="73">
        <v>1998</v>
      </c>
      <c r="B84" s="852"/>
      <c r="C84" s="917" t="s">
        <v>286</v>
      </c>
      <c r="D84" s="917"/>
      <c r="E84" s="73">
        <v>0</v>
      </c>
      <c r="G84" s="119">
        <v>5</v>
      </c>
      <c r="H84" s="73">
        <v>5</v>
      </c>
      <c r="J84" s="126">
        <v>10</v>
      </c>
      <c r="K84" s="92">
        <f t="shared" si="5"/>
        <v>50</v>
      </c>
      <c r="L84" s="92">
        <f t="shared" si="5"/>
        <v>50</v>
      </c>
      <c r="M84" s="92">
        <f t="shared" si="5"/>
        <v>0</v>
      </c>
      <c r="N84" s="121">
        <f t="shared" si="6"/>
        <v>100</v>
      </c>
      <c r="O84" s="91">
        <v>39.700000000000003</v>
      </c>
      <c r="P84" s="92">
        <v>23.8</v>
      </c>
      <c r="Q84" s="92"/>
      <c r="R84" s="93">
        <f t="shared" si="7"/>
        <v>63.5</v>
      </c>
      <c r="S84" s="73">
        <v>2</v>
      </c>
      <c r="T84" s="839"/>
      <c r="U84" s="852"/>
      <c r="V84" s="82" t="s">
        <v>561</v>
      </c>
      <c r="W84" s="73" t="s">
        <v>74</v>
      </c>
      <c r="X84" s="73" t="s">
        <v>11</v>
      </c>
      <c r="Y84" s="83">
        <v>39.700000000000003</v>
      </c>
      <c r="Z84" s="82" t="s">
        <v>479</v>
      </c>
      <c r="AA84" s="73" t="s">
        <v>279</v>
      </c>
      <c r="AB84" s="73" t="s">
        <v>18</v>
      </c>
      <c r="AC84" s="73">
        <v>23.8</v>
      </c>
      <c r="AD84" s="82"/>
      <c r="AG84" s="83"/>
      <c r="AH84" s="150"/>
      <c r="AL84" s="82"/>
      <c r="AO84" s="83"/>
      <c r="AP84" s="82"/>
      <c r="AS84" s="83"/>
      <c r="AW84" s="83"/>
      <c r="BA84" s="84"/>
    </row>
    <row r="85" spans="1:53" s="73" customFormat="1">
      <c r="A85" s="73">
        <v>1998</v>
      </c>
      <c r="B85" s="852"/>
      <c r="C85" s="917" t="s">
        <v>286</v>
      </c>
      <c r="D85" s="917"/>
      <c r="E85" s="73">
        <f>365-E84</f>
        <v>365</v>
      </c>
      <c r="G85" s="119">
        <v>5</v>
      </c>
      <c r="H85" s="73">
        <v>5</v>
      </c>
      <c r="J85" s="126">
        <v>10</v>
      </c>
      <c r="K85" s="92">
        <f t="shared" si="5"/>
        <v>50</v>
      </c>
      <c r="L85" s="92">
        <f t="shared" si="5"/>
        <v>50</v>
      </c>
      <c r="M85" s="92">
        <f t="shared" si="5"/>
        <v>0</v>
      </c>
      <c r="N85" s="121">
        <f t="shared" si="6"/>
        <v>100</v>
      </c>
      <c r="O85" s="91">
        <v>39.700000000000003</v>
      </c>
      <c r="P85" s="92">
        <v>23.8</v>
      </c>
      <c r="Q85" s="92"/>
      <c r="R85" s="93">
        <f t="shared" si="7"/>
        <v>63.5</v>
      </c>
      <c r="S85" s="73">
        <v>2</v>
      </c>
      <c r="T85" s="839"/>
      <c r="U85" s="852"/>
      <c r="V85" s="82" t="s">
        <v>561</v>
      </c>
      <c r="W85" s="73" t="s">
        <v>74</v>
      </c>
      <c r="X85" s="73" t="s">
        <v>11</v>
      </c>
      <c r="Y85" s="83">
        <v>39.700000000000003</v>
      </c>
      <c r="Z85" s="82" t="s">
        <v>479</v>
      </c>
      <c r="AA85" s="73" t="s">
        <v>279</v>
      </c>
      <c r="AB85" s="73" t="s">
        <v>18</v>
      </c>
      <c r="AC85" s="73">
        <v>23.8</v>
      </c>
      <c r="AD85" s="82"/>
      <c r="AG85" s="83"/>
      <c r="AH85" s="150"/>
      <c r="AL85" s="82"/>
      <c r="AO85" s="83"/>
      <c r="AP85" s="82"/>
      <c r="AS85" s="83"/>
      <c r="AW85" s="83"/>
      <c r="BA85" s="84"/>
    </row>
    <row r="86" spans="1:53" s="73" customFormat="1">
      <c r="A86" s="73">
        <v>1999</v>
      </c>
      <c r="B86" s="852"/>
      <c r="C86" s="917" t="s">
        <v>286</v>
      </c>
      <c r="D86" s="917"/>
      <c r="E86" s="73">
        <v>147</v>
      </c>
      <c r="G86" s="119">
        <v>5</v>
      </c>
      <c r="H86" s="73">
        <v>5</v>
      </c>
      <c r="J86" s="126">
        <v>10</v>
      </c>
      <c r="K86" s="92">
        <f t="shared" si="5"/>
        <v>50</v>
      </c>
      <c r="L86" s="92">
        <f t="shared" si="5"/>
        <v>50</v>
      </c>
      <c r="M86" s="92">
        <f t="shared" si="5"/>
        <v>0</v>
      </c>
      <c r="N86" s="121">
        <f t="shared" si="6"/>
        <v>100</v>
      </c>
      <c r="O86" s="91">
        <v>39.700000000000003</v>
      </c>
      <c r="P86" s="92">
        <v>23.8</v>
      </c>
      <c r="Q86" s="92"/>
      <c r="R86" s="93">
        <f t="shared" si="7"/>
        <v>63.5</v>
      </c>
      <c r="S86" s="73">
        <v>2</v>
      </c>
      <c r="T86" s="839"/>
      <c r="U86" s="852"/>
      <c r="V86" s="82" t="s">
        <v>561</v>
      </c>
      <c r="W86" s="73" t="s">
        <v>74</v>
      </c>
      <c r="X86" s="73" t="s">
        <v>11</v>
      </c>
      <c r="Y86" s="83">
        <v>39.700000000000003</v>
      </c>
      <c r="Z86" s="82" t="s">
        <v>479</v>
      </c>
      <c r="AA86" s="73" t="s">
        <v>279</v>
      </c>
      <c r="AB86" s="73" t="s">
        <v>18</v>
      </c>
      <c r="AC86" s="73">
        <v>23.8</v>
      </c>
      <c r="AD86" s="82"/>
      <c r="AG86" s="83"/>
      <c r="AH86" s="150"/>
      <c r="AL86" s="82"/>
      <c r="AO86" s="83"/>
      <c r="AP86" s="82"/>
      <c r="AS86" s="83"/>
      <c r="AW86" s="83"/>
      <c r="BA86" s="84"/>
    </row>
    <row r="87" spans="1:53" s="292" customFormat="1">
      <c r="A87" s="292">
        <v>1999</v>
      </c>
      <c r="B87" s="836">
        <v>36308</v>
      </c>
      <c r="C87" s="916" t="s">
        <v>287</v>
      </c>
      <c r="D87" s="916"/>
      <c r="E87" s="292">
        <f>365-E86</f>
        <v>218</v>
      </c>
      <c r="F87" s="292">
        <v>1</v>
      </c>
      <c r="G87" s="366">
        <v>6</v>
      </c>
      <c r="H87" s="292">
        <v>6</v>
      </c>
      <c r="J87" s="377">
        <v>12</v>
      </c>
      <c r="K87" s="336">
        <f t="shared" si="5"/>
        <v>50</v>
      </c>
      <c r="L87" s="336">
        <f t="shared" si="5"/>
        <v>50</v>
      </c>
      <c r="M87" s="336">
        <f t="shared" si="5"/>
        <v>0</v>
      </c>
      <c r="N87" s="368">
        <f t="shared" si="6"/>
        <v>100</v>
      </c>
      <c r="O87" s="335">
        <v>41.3</v>
      </c>
      <c r="P87" s="336">
        <v>19</v>
      </c>
      <c r="Q87" s="336"/>
      <c r="R87" s="337">
        <f t="shared" si="7"/>
        <v>60.3</v>
      </c>
      <c r="S87" s="292">
        <v>2</v>
      </c>
      <c r="T87" s="838">
        <v>36288</v>
      </c>
      <c r="U87" s="836">
        <v>36308</v>
      </c>
      <c r="V87" s="299" t="s">
        <v>561</v>
      </c>
      <c r="W87" s="292" t="s">
        <v>74</v>
      </c>
      <c r="X87" s="292" t="s">
        <v>11</v>
      </c>
      <c r="Y87" s="300">
        <v>41.3</v>
      </c>
      <c r="Z87" s="299" t="s">
        <v>479</v>
      </c>
      <c r="AA87" s="292" t="s">
        <v>279</v>
      </c>
      <c r="AB87" s="292" t="s">
        <v>18</v>
      </c>
      <c r="AC87" s="292">
        <v>19</v>
      </c>
      <c r="AD87" s="299"/>
      <c r="AG87" s="300"/>
      <c r="AH87" s="390"/>
      <c r="AL87" s="299"/>
      <c r="AO87" s="300"/>
      <c r="AP87" s="299"/>
      <c r="AS87" s="300"/>
      <c r="AW87" s="300"/>
      <c r="BA87" s="301"/>
    </row>
    <row r="88" spans="1:53" s="292" customFormat="1">
      <c r="A88" s="292">
        <v>2000</v>
      </c>
      <c r="B88" s="836"/>
      <c r="C88" s="916" t="s">
        <v>287</v>
      </c>
      <c r="D88" s="916"/>
      <c r="E88" s="292">
        <v>0</v>
      </c>
      <c r="G88" s="366">
        <v>6</v>
      </c>
      <c r="H88" s="292">
        <v>6</v>
      </c>
      <c r="J88" s="377">
        <v>12</v>
      </c>
      <c r="K88" s="336">
        <f t="shared" si="5"/>
        <v>50</v>
      </c>
      <c r="L88" s="336">
        <f t="shared" si="5"/>
        <v>50</v>
      </c>
      <c r="M88" s="336">
        <f t="shared" si="5"/>
        <v>0</v>
      </c>
      <c r="N88" s="368">
        <f t="shared" si="6"/>
        <v>100</v>
      </c>
      <c r="O88" s="335">
        <v>41.3</v>
      </c>
      <c r="P88" s="336">
        <v>19</v>
      </c>
      <c r="Q88" s="336"/>
      <c r="R88" s="337">
        <f t="shared" si="7"/>
        <v>60.3</v>
      </c>
      <c r="S88" s="292">
        <v>2</v>
      </c>
      <c r="T88" s="838"/>
      <c r="U88" s="836"/>
      <c r="V88" s="299" t="s">
        <v>561</v>
      </c>
      <c r="W88" s="292" t="s">
        <v>74</v>
      </c>
      <c r="X88" s="292" t="s">
        <v>11</v>
      </c>
      <c r="Y88" s="300">
        <v>41.3</v>
      </c>
      <c r="Z88" s="299" t="s">
        <v>479</v>
      </c>
      <c r="AA88" s="292" t="s">
        <v>279</v>
      </c>
      <c r="AB88" s="292" t="s">
        <v>18</v>
      </c>
      <c r="AC88" s="292">
        <v>19</v>
      </c>
      <c r="AD88" s="299"/>
      <c r="AG88" s="300"/>
      <c r="AH88" s="390"/>
      <c r="AL88" s="299"/>
      <c r="AO88" s="300"/>
      <c r="AP88" s="299"/>
      <c r="AS88" s="300"/>
      <c r="AW88" s="300"/>
      <c r="BA88" s="301"/>
    </row>
    <row r="89" spans="1:53" s="292" customFormat="1">
      <c r="A89" s="292">
        <v>2000</v>
      </c>
      <c r="B89" s="836"/>
      <c r="C89" s="916" t="s">
        <v>287</v>
      </c>
      <c r="D89" s="916"/>
      <c r="E89" s="292">
        <v>366</v>
      </c>
      <c r="G89" s="366">
        <v>6</v>
      </c>
      <c r="H89" s="292">
        <v>6</v>
      </c>
      <c r="J89" s="377">
        <v>12</v>
      </c>
      <c r="K89" s="336">
        <f t="shared" si="5"/>
        <v>50</v>
      </c>
      <c r="L89" s="336">
        <f t="shared" si="5"/>
        <v>50</v>
      </c>
      <c r="M89" s="336">
        <f t="shared" si="5"/>
        <v>0</v>
      </c>
      <c r="N89" s="368">
        <f t="shared" si="6"/>
        <v>100</v>
      </c>
      <c r="O89" s="335">
        <v>41.3</v>
      </c>
      <c r="P89" s="336">
        <v>19</v>
      </c>
      <c r="Q89" s="336"/>
      <c r="R89" s="337">
        <f t="shared" si="7"/>
        <v>60.3</v>
      </c>
      <c r="S89" s="292">
        <v>2</v>
      </c>
      <c r="T89" s="838"/>
      <c r="U89" s="836"/>
      <c r="V89" s="299" t="s">
        <v>561</v>
      </c>
      <c r="W89" s="292" t="s">
        <v>74</v>
      </c>
      <c r="X89" s="292" t="s">
        <v>11</v>
      </c>
      <c r="Y89" s="300">
        <v>41.3</v>
      </c>
      <c r="Z89" s="299" t="s">
        <v>479</v>
      </c>
      <c r="AA89" s="292" t="s">
        <v>279</v>
      </c>
      <c r="AB89" s="292" t="s">
        <v>18</v>
      </c>
      <c r="AC89" s="292">
        <v>19</v>
      </c>
      <c r="AD89" s="299"/>
      <c r="AG89" s="300"/>
      <c r="AH89" s="390"/>
      <c r="AL89" s="299"/>
      <c r="AO89" s="300"/>
      <c r="AP89" s="299"/>
      <c r="AS89" s="300"/>
      <c r="AW89" s="300"/>
      <c r="BA89" s="301"/>
    </row>
    <row r="90" spans="1:53" s="292" customFormat="1">
      <c r="A90" s="292">
        <v>2001</v>
      </c>
      <c r="B90" s="836"/>
      <c r="C90" s="916" t="s">
        <v>287</v>
      </c>
      <c r="D90" s="916"/>
      <c r="E90" s="292">
        <v>0</v>
      </c>
      <c r="G90" s="366">
        <v>6</v>
      </c>
      <c r="H90" s="292">
        <v>6</v>
      </c>
      <c r="J90" s="377">
        <v>12</v>
      </c>
      <c r="K90" s="336">
        <f t="shared" si="5"/>
        <v>50</v>
      </c>
      <c r="L90" s="336">
        <f t="shared" si="5"/>
        <v>50</v>
      </c>
      <c r="M90" s="336">
        <f t="shared" si="5"/>
        <v>0</v>
      </c>
      <c r="N90" s="368">
        <f t="shared" si="6"/>
        <v>100</v>
      </c>
      <c r="O90" s="335">
        <v>41.3</v>
      </c>
      <c r="P90" s="336">
        <v>19</v>
      </c>
      <c r="Q90" s="336"/>
      <c r="R90" s="337">
        <f t="shared" si="7"/>
        <v>60.3</v>
      </c>
      <c r="S90" s="292">
        <v>2</v>
      </c>
      <c r="T90" s="838"/>
      <c r="U90" s="836"/>
      <c r="V90" s="299" t="s">
        <v>561</v>
      </c>
      <c r="W90" s="292" t="s">
        <v>74</v>
      </c>
      <c r="X90" s="292" t="s">
        <v>11</v>
      </c>
      <c r="Y90" s="300">
        <v>41.3</v>
      </c>
      <c r="Z90" s="299" t="s">
        <v>479</v>
      </c>
      <c r="AA90" s="292" t="s">
        <v>279</v>
      </c>
      <c r="AB90" s="292" t="s">
        <v>18</v>
      </c>
      <c r="AC90" s="292">
        <v>19</v>
      </c>
      <c r="AD90" s="299"/>
      <c r="AG90" s="300"/>
      <c r="AH90" s="390"/>
      <c r="AL90" s="299"/>
      <c r="AO90" s="300"/>
      <c r="AP90" s="299"/>
      <c r="AS90" s="300"/>
      <c r="AW90" s="300"/>
      <c r="BA90" s="301"/>
    </row>
    <row r="91" spans="1:53" s="292" customFormat="1">
      <c r="A91" s="292">
        <v>2001</v>
      </c>
      <c r="B91" s="836"/>
      <c r="C91" s="916" t="s">
        <v>287</v>
      </c>
      <c r="D91" s="916"/>
      <c r="E91" s="292">
        <f>365-E90</f>
        <v>365</v>
      </c>
      <c r="G91" s="366">
        <v>6</v>
      </c>
      <c r="H91" s="292">
        <v>6</v>
      </c>
      <c r="J91" s="377">
        <v>12</v>
      </c>
      <c r="K91" s="336">
        <f t="shared" si="5"/>
        <v>50</v>
      </c>
      <c r="L91" s="336">
        <f t="shared" si="5"/>
        <v>50</v>
      </c>
      <c r="M91" s="336">
        <f t="shared" si="5"/>
        <v>0</v>
      </c>
      <c r="N91" s="368">
        <f t="shared" si="6"/>
        <v>100</v>
      </c>
      <c r="O91" s="335">
        <v>41.3</v>
      </c>
      <c r="P91" s="336">
        <v>19</v>
      </c>
      <c r="Q91" s="336"/>
      <c r="R91" s="337">
        <f t="shared" si="7"/>
        <v>60.3</v>
      </c>
      <c r="S91" s="292">
        <v>2</v>
      </c>
      <c r="T91" s="838"/>
      <c r="U91" s="836"/>
      <c r="V91" s="299" t="s">
        <v>561</v>
      </c>
      <c r="W91" s="292" t="s">
        <v>74</v>
      </c>
      <c r="X91" s="292" t="s">
        <v>11</v>
      </c>
      <c r="Y91" s="300">
        <v>41.3</v>
      </c>
      <c r="Z91" s="299" t="s">
        <v>479</v>
      </c>
      <c r="AA91" s="292" t="s">
        <v>279</v>
      </c>
      <c r="AB91" s="292" t="s">
        <v>18</v>
      </c>
      <c r="AC91" s="292">
        <v>19</v>
      </c>
      <c r="AD91" s="299"/>
      <c r="AG91" s="300"/>
      <c r="AH91" s="390"/>
      <c r="AL91" s="299"/>
      <c r="AO91" s="300"/>
      <c r="AP91" s="299"/>
      <c r="AS91" s="300"/>
      <c r="AW91" s="300"/>
      <c r="BA91" s="301"/>
    </row>
    <row r="92" spans="1:53" s="292" customFormat="1">
      <c r="A92" s="292">
        <v>2002</v>
      </c>
      <c r="B92" s="836"/>
      <c r="C92" s="916" t="s">
        <v>287</v>
      </c>
      <c r="D92" s="916"/>
      <c r="E92" s="292">
        <v>0</v>
      </c>
      <c r="G92" s="366">
        <v>6</v>
      </c>
      <c r="H92" s="292">
        <v>6</v>
      </c>
      <c r="J92" s="377">
        <v>12</v>
      </c>
      <c r="K92" s="336">
        <f t="shared" si="5"/>
        <v>50</v>
      </c>
      <c r="L92" s="336">
        <f t="shared" si="5"/>
        <v>50</v>
      </c>
      <c r="M92" s="336">
        <f t="shared" si="5"/>
        <v>0</v>
      </c>
      <c r="N92" s="368">
        <f t="shared" si="6"/>
        <v>100</v>
      </c>
      <c r="O92" s="335">
        <v>41.3</v>
      </c>
      <c r="P92" s="336">
        <v>19</v>
      </c>
      <c r="Q92" s="336"/>
      <c r="R92" s="337">
        <f t="shared" si="7"/>
        <v>60.3</v>
      </c>
      <c r="S92" s="292">
        <v>2</v>
      </c>
      <c r="T92" s="838"/>
      <c r="U92" s="836"/>
      <c r="V92" s="299" t="s">
        <v>561</v>
      </c>
      <c r="W92" s="292" t="s">
        <v>74</v>
      </c>
      <c r="X92" s="292" t="s">
        <v>11</v>
      </c>
      <c r="Y92" s="300">
        <v>41.3</v>
      </c>
      <c r="Z92" s="299" t="s">
        <v>479</v>
      </c>
      <c r="AA92" s="292" t="s">
        <v>279</v>
      </c>
      <c r="AB92" s="292" t="s">
        <v>18</v>
      </c>
      <c r="AC92" s="292">
        <v>19</v>
      </c>
      <c r="AD92" s="299"/>
      <c r="AG92" s="300"/>
      <c r="AH92" s="390"/>
      <c r="AL92" s="299"/>
      <c r="AO92" s="300"/>
      <c r="AP92" s="299"/>
      <c r="AS92" s="300"/>
      <c r="AW92" s="300"/>
      <c r="BA92" s="301"/>
    </row>
    <row r="93" spans="1:53" s="292" customFormat="1">
      <c r="A93" s="292">
        <v>2002</v>
      </c>
      <c r="B93" s="836"/>
      <c r="C93" s="916" t="s">
        <v>287</v>
      </c>
      <c r="D93" s="916"/>
      <c r="E93" s="292">
        <f>365-E92</f>
        <v>365</v>
      </c>
      <c r="G93" s="366">
        <v>6</v>
      </c>
      <c r="H93" s="292">
        <v>6</v>
      </c>
      <c r="J93" s="377">
        <v>12</v>
      </c>
      <c r="K93" s="336">
        <f t="shared" si="5"/>
        <v>50</v>
      </c>
      <c r="L93" s="336">
        <f t="shared" si="5"/>
        <v>50</v>
      </c>
      <c r="M93" s="336">
        <f t="shared" si="5"/>
        <v>0</v>
      </c>
      <c r="N93" s="368">
        <f t="shared" si="6"/>
        <v>100</v>
      </c>
      <c r="O93" s="335">
        <v>41.3</v>
      </c>
      <c r="P93" s="336">
        <v>19</v>
      </c>
      <c r="Q93" s="336"/>
      <c r="R93" s="337">
        <f t="shared" si="7"/>
        <v>60.3</v>
      </c>
      <c r="S93" s="292">
        <v>2</v>
      </c>
      <c r="T93" s="838"/>
      <c r="U93" s="836"/>
      <c r="V93" s="299" t="s">
        <v>561</v>
      </c>
      <c r="W93" s="292" t="s">
        <v>74</v>
      </c>
      <c r="X93" s="292" t="s">
        <v>11</v>
      </c>
      <c r="Y93" s="300">
        <v>41.3</v>
      </c>
      <c r="Z93" s="299" t="s">
        <v>479</v>
      </c>
      <c r="AA93" s="292" t="s">
        <v>279</v>
      </c>
      <c r="AB93" s="292" t="s">
        <v>18</v>
      </c>
      <c r="AC93" s="292">
        <v>19</v>
      </c>
      <c r="AD93" s="299"/>
      <c r="AG93" s="300"/>
      <c r="AH93" s="390"/>
      <c r="AL93" s="299"/>
      <c r="AO93" s="300"/>
      <c r="AP93" s="299"/>
      <c r="AS93" s="300"/>
      <c r="AW93" s="300"/>
      <c r="BA93" s="301"/>
    </row>
    <row r="94" spans="1:53" s="292" customFormat="1">
      <c r="A94" s="292">
        <v>2003</v>
      </c>
      <c r="B94" s="836"/>
      <c r="C94" s="916" t="s">
        <v>287</v>
      </c>
      <c r="D94" s="916"/>
      <c r="E94" s="292">
        <v>142</v>
      </c>
      <c r="G94" s="366">
        <v>6</v>
      </c>
      <c r="H94" s="292">
        <v>6</v>
      </c>
      <c r="J94" s="377">
        <v>12</v>
      </c>
      <c r="K94" s="336">
        <f t="shared" si="5"/>
        <v>50</v>
      </c>
      <c r="L94" s="336">
        <f t="shared" si="5"/>
        <v>50</v>
      </c>
      <c r="M94" s="336">
        <f t="shared" si="5"/>
        <v>0</v>
      </c>
      <c r="N94" s="368">
        <f t="shared" si="6"/>
        <v>100</v>
      </c>
      <c r="O94" s="335">
        <v>41.3</v>
      </c>
      <c r="P94" s="336">
        <v>19</v>
      </c>
      <c r="Q94" s="336"/>
      <c r="R94" s="337">
        <f t="shared" si="7"/>
        <v>60.3</v>
      </c>
      <c r="S94" s="292">
        <v>2</v>
      </c>
      <c r="T94" s="838"/>
      <c r="U94" s="836"/>
      <c r="V94" s="299" t="s">
        <v>561</v>
      </c>
      <c r="W94" s="292" t="s">
        <v>74</v>
      </c>
      <c r="X94" s="292" t="s">
        <v>11</v>
      </c>
      <c r="Y94" s="300">
        <v>41.3</v>
      </c>
      <c r="Z94" s="299" t="s">
        <v>479</v>
      </c>
      <c r="AA94" s="292" t="s">
        <v>279</v>
      </c>
      <c r="AB94" s="292" t="s">
        <v>18</v>
      </c>
      <c r="AC94" s="292">
        <v>19</v>
      </c>
      <c r="AD94" s="299"/>
      <c r="AG94" s="300"/>
      <c r="AH94" s="390"/>
      <c r="AL94" s="299"/>
      <c r="AO94" s="300"/>
      <c r="AP94" s="299"/>
      <c r="AS94" s="300"/>
      <c r="AW94" s="300"/>
      <c r="BA94" s="301"/>
    </row>
    <row r="95" spans="1:53" s="73" customFormat="1">
      <c r="A95" s="73">
        <v>2003</v>
      </c>
      <c r="B95" s="852">
        <v>37764</v>
      </c>
      <c r="C95" s="917" t="s">
        <v>288</v>
      </c>
      <c r="D95" s="917"/>
      <c r="E95" s="73">
        <f>365-E94</f>
        <v>223</v>
      </c>
      <c r="F95" s="73">
        <v>1</v>
      </c>
      <c r="G95" s="119">
        <v>6</v>
      </c>
      <c r="H95" s="73">
        <v>6</v>
      </c>
      <c r="J95" s="126">
        <v>12</v>
      </c>
      <c r="K95" s="92">
        <f t="shared" si="5"/>
        <v>50</v>
      </c>
      <c r="L95" s="92">
        <f t="shared" si="5"/>
        <v>50</v>
      </c>
      <c r="M95" s="92">
        <f t="shared" si="5"/>
        <v>0</v>
      </c>
      <c r="N95" s="121">
        <f t="shared" si="6"/>
        <v>100</v>
      </c>
      <c r="O95" s="91">
        <v>34.9</v>
      </c>
      <c r="P95" s="92">
        <v>19</v>
      </c>
      <c r="Q95" s="92"/>
      <c r="R95" s="93">
        <f t="shared" si="7"/>
        <v>53.9</v>
      </c>
      <c r="S95" s="73">
        <v>2</v>
      </c>
      <c r="T95" s="839">
        <v>37751</v>
      </c>
      <c r="U95" s="852">
        <v>37764</v>
      </c>
      <c r="V95" s="82" t="s">
        <v>561</v>
      </c>
      <c r="W95" s="73" t="s">
        <v>74</v>
      </c>
      <c r="X95" s="73" t="s">
        <v>11</v>
      </c>
      <c r="Y95" s="83">
        <v>34.9</v>
      </c>
      <c r="Z95" s="82" t="s">
        <v>479</v>
      </c>
      <c r="AA95" s="73" t="s">
        <v>279</v>
      </c>
      <c r="AB95" s="73" t="s">
        <v>18</v>
      </c>
      <c r="AC95" s="73">
        <v>19</v>
      </c>
      <c r="AD95" s="82"/>
      <c r="AG95" s="83"/>
      <c r="AH95" s="150"/>
      <c r="AL95" s="82"/>
      <c r="AO95" s="83"/>
      <c r="AP95" s="82"/>
      <c r="AS95" s="83"/>
      <c r="AW95" s="83"/>
      <c r="BA95" s="84"/>
    </row>
    <row r="96" spans="1:53" s="73" customFormat="1">
      <c r="A96" s="73">
        <v>2004</v>
      </c>
      <c r="B96" s="852"/>
      <c r="C96" s="917" t="s">
        <v>288</v>
      </c>
      <c r="D96" s="917"/>
      <c r="E96" s="73">
        <v>258</v>
      </c>
      <c r="G96" s="119">
        <v>6</v>
      </c>
      <c r="H96" s="73">
        <v>6</v>
      </c>
      <c r="J96" s="126">
        <v>12</v>
      </c>
      <c r="K96" s="92">
        <f t="shared" si="5"/>
        <v>50</v>
      </c>
      <c r="L96" s="92">
        <f t="shared" si="5"/>
        <v>50</v>
      </c>
      <c r="M96" s="92">
        <f t="shared" si="5"/>
        <v>0</v>
      </c>
      <c r="N96" s="121">
        <f t="shared" si="6"/>
        <v>100</v>
      </c>
      <c r="O96" s="91">
        <v>34.9</v>
      </c>
      <c r="P96" s="92">
        <v>19</v>
      </c>
      <c r="Q96" s="92"/>
      <c r="R96" s="93">
        <f t="shared" si="7"/>
        <v>53.9</v>
      </c>
      <c r="S96" s="73">
        <v>2</v>
      </c>
      <c r="T96" s="839"/>
      <c r="U96" s="852"/>
      <c r="V96" s="82" t="s">
        <v>561</v>
      </c>
      <c r="W96" s="73" t="s">
        <v>74</v>
      </c>
      <c r="X96" s="73" t="s">
        <v>11</v>
      </c>
      <c r="Y96" s="83">
        <v>34.9</v>
      </c>
      <c r="Z96" s="82" t="s">
        <v>479</v>
      </c>
      <c r="AA96" s="73" t="s">
        <v>279</v>
      </c>
      <c r="AB96" s="73" t="s">
        <v>18</v>
      </c>
      <c r="AC96" s="73">
        <v>19</v>
      </c>
      <c r="AD96" s="82"/>
      <c r="AG96" s="83"/>
      <c r="AH96" s="150"/>
      <c r="AL96" s="82"/>
      <c r="AO96" s="83"/>
      <c r="AP96" s="82"/>
      <c r="AS96" s="83"/>
      <c r="AW96" s="83"/>
      <c r="BA96" s="84"/>
    </row>
    <row r="97" spans="1:53" s="292" customFormat="1">
      <c r="A97" s="292">
        <v>2004</v>
      </c>
      <c r="B97" s="836">
        <v>38245</v>
      </c>
      <c r="C97" s="916" t="s">
        <v>1174</v>
      </c>
      <c r="D97" s="916"/>
      <c r="E97" s="292">
        <f>366-E96</f>
        <v>108</v>
      </c>
      <c r="F97" s="292">
        <v>2</v>
      </c>
      <c r="G97" s="366">
        <v>7</v>
      </c>
      <c r="H97" s="292">
        <v>5</v>
      </c>
      <c r="J97" s="377">
        <v>12</v>
      </c>
      <c r="K97" s="336">
        <f t="shared" si="5"/>
        <v>58.333333333333336</v>
      </c>
      <c r="L97" s="336">
        <f t="shared" si="5"/>
        <v>41.666666666666671</v>
      </c>
      <c r="M97" s="336">
        <f t="shared" si="5"/>
        <v>0</v>
      </c>
      <c r="N97" s="368">
        <f t="shared" si="6"/>
        <v>100</v>
      </c>
      <c r="O97" s="335">
        <v>34.9</v>
      </c>
      <c r="P97" s="336">
        <v>19</v>
      </c>
      <c r="Q97" s="336"/>
      <c r="R97" s="337">
        <f t="shared" si="7"/>
        <v>53.9</v>
      </c>
      <c r="S97" s="292">
        <v>2</v>
      </c>
      <c r="T97" s="838"/>
      <c r="U97" s="836">
        <v>38245</v>
      </c>
      <c r="V97" s="299" t="s">
        <v>561</v>
      </c>
      <c r="W97" s="292" t="s">
        <v>74</v>
      </c>
      <c r="X97" s="292" t="s">
        <v>11</v>
      </c>
      <c r="Y97" s="300">
        <v>34.9</v>
      </c>
      <c r="Z97" s="299" t="s">
        <v>479</v>
      </c>
      <c r="AA97" s="292" t="s">
        <v>279</v>
      </c>
      <c r="AB97" s="292" t="s">
        <v>18</v>
      </c>
      <c r="AC97" s="292">
        <v>19</v>
      </c>
      <c r="AD97" s="299"/>
      <c r="AG97" s="300"/>
      <c r="AH97" s="390"/>
      <c r="AL97" s="299"/>
      <c r="AO97" s="300"/>
      <c r="AP97" s="299"/>
      <c r="AS97" s="300"/>
      <c r="AW97" s="300"/>
      <c r="BA97" s="301"/>
    </row>
    <row r="98" spans="1:53" s="292" customFormat="1">
      <c r="A98" s="292">
        <v>2005</v>
      </c>
      <c r="B98" s="836"/>
      <c r="C98" s="916" t="s">
        <v>1174</v>
      </c>
      <c r="D98" s="916"/>
      <c r="E98" s="292">
        <v>0</v>
      </c>
      <c r="G98" s="366">
        <v>7</v>
      </c>
      <c r="H98" s="292">
        <v>5</v>
      </c>
      <c r="J98" s="377">
        <v>12</v>
      </c>
      <c r="K98" s="336">
        <f t="shared" si="5"/>
        <v>58.333333333333336</v>
      </c>
      <c r="L98" s="336">
        <f t="shared" si="5"/>
        <v>41.666666666666671</v>
      </c>
      <c r="M98" s="336">
        <f t="shared" si="5"/>
        <v>0</v>
      </c>
      <c r="N98" s="368">
        <f t="shared" si="6"/>
        <v>100</v>
      </c>
      <c r="O98" s="335">
        <v>34.9</v>
      </c>
      <c r="P98" s="336">
        <v>19</v>
      </c>
      <c r="Q98" s="336"/>
      <c r="R98" s="337">
        <f t="shared" si="7"/>
        <v>53.9</v>
      </c>
      <c r="S98" s="292">
        <v>2</v>
      </c>
      <c r="T98" s="838"/>
      <c r="U98" s="836"/>
      <c r="V98" s="299" t="s">
        <v>561</v>
      </c>
      <c r="W98" s="292" t="s">
        <v>74</v>
      </c>
      <c r="X98" s="292" t="s">
        <v>11</v>
      </c>
      <c r="Y98" s="300">
        <v>34.9</v>
      </c>
      <c r="Z98" s="299" t="s">
        <v>479</v>
      </c>
      <c r="AA98" s="292" t="s">
        <v>279</v>
      </c>
      <c r="AB98" s="292" t="s">
        <v>18</v>
      </c>
      <c r="AC98" s="292">
        <v>19</v>
      </c>
      <c r="AD98" s="299"/>
      <c r="AG98" s="300"/>
      <c r="AH98" s="390"/>
      <c r="AL98" s="299"/>
      <c r="AO98" s="300"/>
      <c r="AP98" s="299"/>
      <c r="AS98" s="300"/>
      <c r="AW98" s="300"/>
      <c r="BA98" s="301"/>
    </row>
    <row r="99" spans="1:53" s="292" customFormat="1">
      <c r="A99" s="292">
        <v>2005</v>
      </c>
      <c r="B99" s="836"/>
      <c r="C99" s="916" t="s">
        <v>1174</v>
      </c>
      <c r="D99" s="916"/>
      <c r="E99" s="292">
        <v>365</v>
      </c>
      <c r="G99" s="366">
        <v>7</v>
      </c>
      <c r="H99" s="292">
        <v>5</v>
      </c>
      <c r="J99" s="377">
        <v>12</v>
      </c>
      <c r="K99" s="336">
        <f t="shared" si="5"/>
        <v>58.333333333333336</v>
      </c>
      <c r="L99" s="336">
        <f t="shared" si="5"/>
        <v>41.666666666666671</v>
      </c>
      <c r="M99" s="336">
        <f t="shared" si="5"/>
        <v>0</v>
      </c>
      <c r="N99" s="368">
        <f t="shared" si="6"/>
        <v>100</v>
      </c>
      <c r="O99" s="335">
        <v>34.9</v>
      </c>
      <c r="P99" s="336">
        <v>19</v>
      </c>
      <c r="Q99" s="336"/>
      <c r="R99" s="337">
        <f t="shared" si="7"/>
        <v>53.9</v>
      </c>
      <c r="S99" s="292">
        <v>2</v>
      </c>
      <c r="T99" s="838"/>
      <c r="U99" s="836"/>
      <c r="V99" s="299" t="s">
        <v>561</v>
      </c>
      <c r="W99" s="292" t="s">
        <v>74</v>
      </c>
      <c r="X99" s="292" t="s">
        <v>11</v>
      </c>
      <c r="Y99" s="300">
        <v>34.9</v>
      </c>
      <c r="Z99" s="299" t="s">
        <v>479</v>
      </c>
      <c r="AA99" s="292" t="s">
        <v>279</v>
      </c>
      <c r="AB99" s="292" t="s">
        <v>18</v>
      </c>
      <c r="AC99" s="292">
        <v>19</v>
      </c>
      <c r="AD99" s="299"/>
      <c r="AG99" s="300"/>
      <c r="AH99" s="390"/>
      <c r="AL99" s="299"/>
      <c r="AO99" s="300"/>
      <c r="AP99" s="299"/>
      <c r="AS99" s="300"/>
      <c r="AW99" s="300"/>
      <c r="BA99" s="301"/>
    </row>
    <row r="100" spans="1:53" s="292" customFormat="1">
      <c r="A100" s="292">
        <v>2006</v>
      </c>
      <c r="B100" s="836"/>
      <c r="C100" s="916" t="s">
        <v>1174</v>
      </c>
      <c r="D100" s="916"/>
      <c r="E100" s="292">
        <v>165</v>
      </c>
      <c r="G100" s="366">
        <v>7</v>
      </c>
      <c r="H100" s="292">
        <v>5</v>
      </c>
      <c r="J100" s="377">
        <v>12</v>
      </c>
      <c r="K100" s="336">
        <f t="shared" si="5"/>
        <v>58.333333333333336</v>
      </c>
      <c r="L100" s="336">
        <f t="shared" si="5"/>
        <v>41.666666666666671</v>
      </c>
      <c r="M100" s="336">
        <f t="shared" si="5"/>
        <v>0</v>
      </c>
      <c r="N100" s="368">
        <f t="shared" si="6"/>
        <v>100</v>
      </c>
      <c r="O100" s="335">
        <v>34.9</v>
      </c>
      <c r="P100" s="336">
        <v>19</v>
      </c>
      <c r="Q100" s="336"/>
      <c r="R100" s="337">
        <f t="shared" si="7"/>
        <v>53.9</v>
      </c>
      <c r="S100" s="292">
        <v>2</v>
      </c>
      <c r="T100" s="838"/>
      <c r="U100" s="836"/>
      <c r="V100" s="299" t="s">
        <v>561</v>
      </c>
      <c r="W100" s="292" t="s">
        <v>74</v>
      </c>
      <c r="X100" s="292" t="s">
        <v>11</v>
      </c>
      <c r="Y100" s="300">
        <v>34.9</v>
      </c>
      <c r="Z100" s="299" t="s">
        <v>479</v>
      </c>
      <c r="AA100" s="292" t="s">
        <v>279</v>
      </c>
      <c r="AB100" s="292" t="s">
        <v>18</v>
      </c>
      <c r="AC100" s="292">
        <v>19</v>
      </c>
      <c r="AD100" s="299"/>
      <c r="AG100" s="300"/>
      <c r="AH100" s="390"/>
      <c r="AL100" s="299"/>
      <c r="AO100" s="300"/>
      <c r="AP100" s="299"/>
      <c r="AS100" s="300"/>
      <c r="AW100" s="300"/>
      <c r="BA100" s="301"/>
    </row>
    <row r="101" spans="1:53" s="73" customFormat="1">
      <c r="A101" s="73">
        <v>2006</v>
      </c>
      <c r="B101" s="852">
        <v>38883</v>
      </c>
      <c r="C101" s="917" t="s">
        <v>289</v>
      </c>
      <c r="D101" s="917"/>
      <c r="E101" s="73">
        <f>365-E100</f>
        <v>200</v>
      </c>
      <c r="F101" s="73">
        <v>2</v>
      </c>
      <c r="G101" s="119">
        <v>6</v>
      </c>
      <c r="H101" s="73">
        <v>6</v>
      </c>
      <c r="J101" s="126">
        <v>12</v>
      </c>
      <c r="K101" s="92">
        <f t="shared" si="5"/>
        <v>50</v>
      </c>
      <c r="L101" s="92">
        <f t="shared" si="5"/>
        <v>50</v>
      </c>
      <c r="M101" s="92">
        <f t="shared" si="5"/>
        <v>0</v>
      </c>
      <c r="N101" s="121">
        <f t="shared" si="6"/>
        <v>100</v>
      </c>
      <c r="O101" s="91">
        <v>36.5</v>
      </c>
      <c r="P101" s="92">
        <v>19</v>
      </c>
      <c r="Q101" s="92"/>
      <c r="R101" s="93">
        <f t="shared" si="7"/>
        <v>55.5</v>
      </c>
      <c r="S101" s="73">
        <v>2</v>
      </c>
      <c r="T101" s="839"/>
      <c r="U101" s="852">
        <v>38883</v>
      </c>
      <c r="V101" s="82" t="s">
        <v>561</v>
      </c>
      <c r="W101" s="73" t="s">
        <v>74</v>
      </c>
      <c r="X101" s="73" t="s">
        <v>11</v>
      </c>
      <c r="Y101" s="83">
        <v>34.9</v>
      </c>
      <c r="Z101" s="82" t="s">
        <v>479</v>
      </c>
      <c r="AA101" s="73" t="s">
        <v>279</v>
      </c>
      <c r="AB101" s="73" t="s">
        <v>18</v>
      </c>
      <c r="AC101" s="73">
        <v>19</v>
      </c>
      <c r="AD101" s="82"/>
      <c r="AG101" s="83"/>
      <c r="AH101" s="150"/>
      <c r="AL101" s="82"/>
      <c r="AO101" s="83"/>
      <c r="AP101" s="82"/>
      <c r="AS101" s="83"/>
      <c r="AW101" s="83"/>
      <c r="BA101" s="84"/>
    </row>
    <row r="102" spans="1:53" s="73" customFormat="1">
      <c r="A102" s="73">
        <v>2007</v>
      </c>
      <c r="B102" s="852"/>
      <c r="C102" s="917" t="s">
        <v>289</v>
      </c>
      <c r="D102" s="917"/>
      <c r="E102" s="73">
        <v>143</v>
      </c>
      <c r="G102" s="119">
        <v>6</v>
      </c>
      <c r="H102" s="73">
        <v>6</v>
      </c>
      <c r="J102" s="126">
        <v>12</v>
      </c>
      <c r="K102" s="92">
        <f t="shared" si="5"/>
        <v>50</v>
      </c>
      <c r="L102" s="92">
        <f t="shared" si="5"/>
        <v>50</v>
      </c>
      <c r="M102" s="92">
        <f t="shared" si="5"/>
        <v>0</v>
      </c>
      <c r="N102" s="121">
        <f t="shared" si="6"/>
        <v>100</v>
      </c>
      <c r="O102" s="91">
        <v>36.5</v>
      </c>
      <c r="P102" s="92">
        <v>19</v>
      </c>
      <c r="Q102" s="92"/>
      <c r="R102" s="93">
        <f t="shared" si="7"/>
        <v>55.5</v>
      </c>
      <c r="S102" s="73">
        <v>2</v>
      </c>
      <c r="T102" s="839"/>
      <c r="U102" s="852"/>
      <c r="V102" s="82" t="s">
        <v>561</v>
      </c>
      <c r="W102" s="73" t="s">
        <v>74</v>
      </c>
      <c r="X102" s="73" t="s">
        <v>11</v>
      </c>
      <c r="Y102" s="83">
        <v>34.9</v>
      </c>
      <c r="Z102" s="82" t="s">
        <v>479</v>
      </c>
      <c r="AA102" s="73" t="s">
        <v>279</v>
      </c>
      <c r="AB102" s="73" t="s">
        <v>18</v>
      </c>
      <c r="AC102" s="73">
        <v>19</v>
      </c>
      <c r="AD102" s="82"/>
      <c r="AG102" s="83"/>
      <c r="AH102" s="150"/>
      <c r="AL102" s="82"/>
      <c r="AO102" s="83"/>
      <c r="AP102" s="82"/>
      <c r="AS102" s="83"/>
      <c r="AW102" s="83"/>
      <c r="BA102" s="84"/>
    </row>
    <row r="103" spans="1:53" s="292" customFormat="1">
      <c r="A103" s="292">
        <v>2007</v>
      </c>
      <c r="B103" s="836">
        <v>39226</v>
      </c>
      <c r="C103" s="916" t="s">
        <v>290</v>
      </c>
      <c r="D103" s="916"/>
      <c r="E103" s="292">
        <v>222</v>
      </c>
      <c r="F103" s="292">
        <v>1</v>
      </c>
      <c r="G103" s="366">
        <v>6</v>
      </c>
      <c r="I103" s="292">
        <v>6</v>
      </c>
      <c r="J103" s="377">
        <v>12</v>
      </c>
      <c r="K103" s="336">
        <f t="shared" si="5"/>
        <v>50</v>
      </c>
      <c r="L103" s="336">
        <f t="shared" si="5"/>
        <v>0</v>
      </c>
      <c r="M103" s="336">
        <f t="shared" si="5"/>
        <v>50</v>
      </c>
      <c r="N103" s="368">
        <f t="shared" si="6"/>
        <v>100</v>
      </c>
      <c r="O103" s="335">
        <v>39.700000000000003</v>
      </c>
      <c r="P103" s="336"/>
      <c r="Q103" s="336">
        <v>28.6</v>
      </c>
      <c r="R103" s="337">
        <f t="shared" si="7"/>
        <v>68.300000000000011</v>
      </c>
      <c r="S103" s="292">
        <v>2</v>
      </c>
      <c r="T103" s="838">
        <v>39214</v>
      </c>
      <c r="U103" s="836">
        <v>39226</v>
      </c>
      <c r="V103" s="299" t="s">
        <v>561</v>
      </c>
      <c r="W103" s="292" t="s">
        <v>74</v>
      </c>
      <c r="X103" s="292" t="s">
        <v>11</v>
      </c>
      <c r="Y103" s="300">
        <v>39.700000000000003</v>
      </c>
      <c r="Z103" s="299" t="s">
        <v>563</v>
      </c>
      <c r="AA103" s="292" t="s">
        <v>116</v>
      </c>
      <c r="AB103" s="292" t="s">
        <v>12</v>
      </c>
      <c r="AC103" s="292">
        <v>28.6</v>
      </c>
      <c r="AD103" s="299"/>
      <c r="AG103" s="300"/>
      <c r="AH103" s="390"/>
      <c r="AL103" s="299"/>
      <c r="AO103" s="300"/>
      <c r="AP103" s="299"/>
      <c r="AS103" s="300"/>
      <c r="AW103" s="300"/>
      <c r="BA103" s="301"/>
    </row>
    <row r="104" spans="1:53" s="292" customFormat="1">
      <c r="A104" s="292">
        <v>2008</v>
      </c>
      <c r="B104" s="836"/>
      <c r="C104" s="916" t="s">
        <v>290</v>
      </c>
      <c r="D104" s="916"/>
      <c r="E104" s="292">
        <v>0</v>
      </c>
      <c r="G104" s="366">
        <v>6</v>
      </c>
      <c r="I104" s="292">
        <v>6</v>
      </c>
      <c r="J104" s="377">
        <v>12</v>
      </c>
      <c r="K104" s="336">
        <f t="shared" si="5"/>
        <v>50</v>
      </c>
      <c r="L104" s="336">
        <f t="shared" si="5"/>
        <v>0</v>
      </c>
      <c r="M104" s="336">
        <f t="shared" si="5"/>
        <v>50</v>
      </c>
      <c r="N104" s="368">
        <f t="shared" si="6"/>
        <v>100</v>
      </c>
      <c r="O104" s="335">
        <v>39.700000000000003</v>
      </c>
      <c r="P104" s="336"/>
      <c r="Q104" s="336">
        <v>28.6</v>
      </c>
      <c r="R104" s="337">
        <f t="shared" si="7"/>
        <v>68.300000000000011</v>
      </c>
      <c r="S104" s="292">
        <v>2</v>
      </c>
      <c r="T104" s="838"/>
      <c r="U104" s="836"/>
      <c r="V104" s="299" t="s">
        <v>561</v>
      </c>
      <c r="W104" s="292" t="s">
        <v>74</v>
      </c>
      <c r="X104" s="292" t="s">
        <v>11</v>
      </c>
      <c r="Y104" s="300">
        <v>39.700000000000003</v>
      </c>
      <c r="Z104" s="292" t="s">
        <v>563</v>
      </c>
      <c r="AA104" s="292" t="s">
        <v>116</v>
      </c>
      <c r="AB104" s="292" t="s">
        <v>12</v>
      </c>
      <c r="AC104" s="292">
        <v>28.6</v>
      </c>
      <c r="AD104" s="299"/>
      <c r="AG104" s="300"/>
      <c r="AH104" s="390"/>
      <c r="AL104" s="299"/>
      <c r="AO104" s="300"/>
      <c r="AP104" s="299"/>
      <c r="AS104" s="300"/>
      <c r="AW104" s="300"/>
      <c r="BA104" s="301"/>
    </row>
    <row r="105" spans="1:53" s="292" customFormat="1">
      <c r="A105" s="292">
        <v>2008</v>
      </c>
      <c r="B105" s="836"/>
      <c r="C105" s="916" t="s">
        <v>290</v>
      </c>
      <c r="D105" s="916"/>
      <c r="E105" s="292">
        <v>366</v>
      </c>
      <c r="G105" s="366">
        <v>6</v>
      </c>
      <c r="I105" s="292">
        <v>6</v>
      </c>
      <c r="J105" s="377">
        <v>12</v>
      </c>
      <c r="K105" s="336">
        <f t="shared" si="5"/>
        <v>50</v>
      </c>
      <c r="L105" s="336">
        <f t="shared" si="5"/>
        <v>0</v>
      </c>
      <c r="M105" s="336">
        <f t="shared" si="5"/>
        <v>50</v>
      </c>
      <c r="N105" s="368">
        <f t="shared" si="6"/>
        <v>100</v>
      </c>
      <c r="O105" s="335">
        <v>39.700000000000003</v>
      </c>
      <c r="P105" s="336"/>
      <c r="Q105" s="336">
        <v>28.6</v>
      </c>
      <c r="R105" s="337">
        <f t="shared" si="7"/>
        <v>68.300000000000011</v>
      </c>
      <c r="S105" s="292">
        <v>2</v>
      </c>
      <c r="T105" s="838"/>
      <c r="U105" s="836"/>
      <c r="V105" s="299" t="s">
        <v>561</v>
      </c>
      <c r="W105" s="292" t="s">
        <v>74</v>
      </c>
      <c r="X105" s="292" t="s">
        <v>11</v>
      </c>
      <c r="Y105" s="300">
        <v>39.700000000000003</v>
      </c>
      <c r="Z105" s="292" t="s">
        <v>563</v>
      </c>
      <c r="AA105" s="292" t="s">
        <v>116</v>
      </c>
      <c r="AB105" s="292" t="s">
        <v>12</v>
      </c>
      <c r="AC105" s="292">
        <v>28.6</v>
      </c>
      <c r="AD105" s="299"/>
      <c r="AG105" s="300"/>
      <c r="AH105" s="390"/>
      <c r="AL105" s="299"/>
      <c r="AO105" s="300"/>
      <c r="AP105" s="299"/>
      <c r="AS105" s="300"/>
      <c r="AW105" s="300"/>
      <c r="BA105" s="301"/>
    </row>
    <row r="106" spans="1:53" s="292" customFormat="1">
      <c r="A106" s="292">
        <v>2009</v>
      </c>
      <c r="B106" s="836"/>
      <c r="C106" s="916" t="s">
        <v>290</v>
      </c>
      <c r="D106" s="916"/>
      <c r="E106" s="292">
        <v>31</v>
      </c>
      <c r="G106" s="366">
        <v>6</v>
      </c>
      <c r="I106" s="292">
        <v>6</v>
      </c>
      <c r="J106" s="377">
        <v>12</v>
      </c>
      <c r="K106" s="336">
        <f t="shared" si="5"/>
        <v>50</v>
      </c>
      <c r="L106" s="336">
        <f t="shared" si="5"/>
        <v>0</v>
      </c>
      <c r="M106" s="336">
        <f t="shared" si="5"/>
        <v>50</v>
      </c>
      <c r="N106" s="368">
        <f t="shared" si="6"/>
        <v>100</v>
      </c>
      <c r="O106" s="335">
        <v>39.700000000000003</v>
      </c>
      <c r="P106" s="336"/>
      <c r="Q106" s="336">
        <v>28.6</v>
      </c>
      <c r="R106" s="337">
        <f t="shared" si="7"/>
        <v>68.300000000000011</v>
      </c>
      <c r="S106" s="292">
        <v>2</v>
      </c>
      <c r="T106" s="838"/>
      <c r="U106" s="836"/>
      <c r="V106" s="299" t="s">
        <v>561</v>
      </c>
      <c r="W106" s="292" t="s">
        <v>74</v>
      </c>
      <c r="X106" s="292" t="s">
        <v>11</v>
      </c>
      <c r="Y106" s="300">
        <v>39.700000000000003</v>
      </c>
      <c r="Z106" s="292" t="s">
        <v>563</v>
      </c>
      <c r="AA106" s="292" t="s">
        <v>116</v>
      </c>
      <c r="AB106" s="292" t="s">
        <v>12</v>
      </c>
      <c r="AC106" s="292">
        <v>28.6</v>
      </c>
      <c r="AD106" s="299"/>
      <c r="AG106" s="300"/>
      <c r="AH106" s="390"/>
      <c r="AL106" s="299"/>
      <c r="AO106" s="300"/>
      <c r="AP106" s="299"/>
      <c r="AS106" s="300"/>
      <c r="AW106" s="300"/>
      <c r="BA106" s="301"/>
    </row>
    <row r="107" spans="1:53" s="73" customFormat="1">
      <c r="A107" s="73">
        <v>2009</v>
      </c>
      <c r="B107" s="852">
        <v>39845</v>
      </c>
      <c r="C107" s="917" t="s">
        <v>1175</v>
      </c>
      <c r="D107" s="917"/>
      <c r="E107" s="73">
        <v>98</v>
      </c>
      <c r="F107" s="73">
        <v>2</v>
      </c>
      <c r="G107" s="119"/>
      <c r="I107" s="73">
        <v>8</v>
      </c>
      <c r="J107" s="126">
        <v>10</v>
      </c>
      <c r="K107" s="92">
        <f t="shared" si="5"/>
        <v>0</v>
      </c>
      <c r="L107" s="92">
        <f t="shared" si="5"/>
        <v>0</v>
      </c>
      <c r="M107" s="92">
        <f t="shared" si="5"/>
        <v>80</v>
      </c>
      <c r="N107" s="121">
        <f t="shared" si="6"/>
        <v>80</v>
      </c>
      <c r="O107" s="91"/>
      <c r="P107" s="92"/>
      <c r="Q107" s="92">
        <v>42.9</v>
      </c>
      <c r="R107" s="93">
        <f t="shared" si="7"/>
        <v>42.9</v>
      </c>
      <c r="S107" s="73">
        <v>5</v>
      </c>
      <c r="T107" s="839"/>
      <c r="U107" s="852">
        <v>39845</v>
      </c>
      <c r="V107" s="82" t="s">
        <v>563</v>
      </c>
      <c r="W107" s="73" t="s">
        <v>116</v>
      </c>
      <c r="X107" s="73" t="s">
        <v>12</v>
      </c>
      <c r="Y107" s="83">
        <v>28.6</v>
      </c>
      <c r="Z107" s="73" t="s">
        <v>564</v>
      </c>
      <c r="AA107" s="73" t="s">
        <v>114</v>
      </c>
      <c r="AB107" s="73" t="s">
        <v>12</v>
      </c>
      <c r="AC107" s="73">
        <v>14.3</v>
      </c>
      <c r="AD107" s="82"/>
      <c r="AG107" s="83"/>
      <c r="AH107" s="150"/>
      <c r="AL107" s="82"/>
      <c r="AO107" s="83"/>
      <c r="AP107" s="82"/>
      <c r="AS107" s="83"/>
      <c r="AW107" s="83"/>
      <c r="BA107" s="84"/>
    </row>
    <row r="108" spans="1:53" s="292" customFormat="1">
      <c r="A108" s="292">
        <v>2009</v>
      </c>
      <c r="B108" s="836">
        <v>39943</v>
      </c>
      <c r="C108" s="916" t="s">
        <v>1176</v>
      </c>
      <c r="D108" s="916"/>
      <c r="E108" s="292">
        <f>365-E106-E107</f>
        <v>236</v>
      </c>
      <c r="F108" s="292">
        <v>1</v>
      </c>
      <c r="G108" s="366"/>
      <c r="I108" s="292">
        <v>10</v>
      </c>
      <c r="J108" s="377">
        <v>12</v>
      </c>
      <c r="K108" s="336">
        <f t="shared" si="5"/>
        <v>0</v>
      </c>
      <c r="L108" s="336">
        <f t="shared" si="5"/>
        <v>0</v>
      </c>
      <c r="M108" s="336">
        <f t="shared" si="5"/>
        <v>83.333333333333343</v>
      </c>
      <c r="N108" s="368">
        <f t="shared" si="6"/>
        <v>83.333333333333343</v>
      </c>
      <c r="O108" s="335"/>
      <c r="P108" s="336"/>
      <c r="Q108" s="336">
        <v>53.9</v>
      </c>
      <c r="R108" s="337">
        <f t="shared" si="7"/>
        <v>53.9</v>
      </c>
      <c r="S108" s="292">
        <v>2</v>
      </c>
      <c r="T108" s="838">
        <v>39928</v>
      </c>
      <c r="U108" s="836">
        <v>39943</v>
      </c>
      <c r="V108" s="299" t="s">
        <v>563</v>
      </c>
      <c r="W108" s="292" t="s">
        <v>116</v>
      </c>
      <c r="X108" s="292" t="s">
        <v>12</v>
      </c>
      <c r="Y108" s="300">
        <v>31.7</v>
      </c>
      <c r="Z108" s="292" t="s">
        <v>564</v>
      </c>
      <c r="AA108" s="292" t="s">
        <v>114</v>
      </c>
      <c r="AB108" s="292" t="s">
        <v>12</v>
      </c>
      <c r="AC108" s="292">
        <v>22.2</v>
      </c>
      <c r="AD108" s="299"/>
      <c r="AG108" s="300"/>
      <c r="AH108" s="390"/>
      <c r="AL108" s="299"/>
      <c r="AO108" s="300"/>
      <c r="AP108" s="299"/>
      <c r="AS108" s="300"/>
      <c r="AW108" s="300"/>
      <c r="BA108" s="301"/>
    </row>
    <row r="109" spans="1:53" s="292" customFormat="1">
      <c r="A109" s="292">
        <v>2010</v>
      </c>
      <c r="B109" s="836"/>
      <c r="C109" s="916" t="s">
        <v>1176</v>
      </c>
      <c r="D109" s="916"/>
      <c r="E109" s="292">
        <v>244</v>
      </c>
      <c r="G109" s="366"/>
      <c r="I109" s="292">
        <v>10</v>
      </c>
      <c r="J109" s="377">
        <v>12</v>
      </c>
      <c r="K109" s="336">
        <f t="shared" si="5"/>
        <v>0</v>
      </c>
      <c r="L109" s="336">
        <f t="shared" si="5"/>
        <v>0</v>
      </c>
      <c r="M109" s="336">
        <f t="shared" si="5"/>
        <v>83.333333333333343</v>
      </c>
      <c r="N109" s="368">
        <f t="shared" si="6"/>
        <v>83.333333333333343</v>
      </c>
      <c r="O109" s="335"/>
      <c r="P109" s="336"/>
      <c r="Q109" s="336">
        <v>53.9</v>
      </c>
      <c r="R109" s="337">
        <f t="shared" si="7"/>
        <v>53.9</v>
      </c>
      <c r="S109" s="292">
        <v>2</v>
      </c>
      <c r="T109" s="838"/>
      <c r="U109" s="836"/>
      <c r="V109" s="299" t="s">
        <v>563</v>
      </c>
      <c r="W109" s="292" t="s">
        <v>116</v>
      </c>
      <c r="X109" s="292" t="s">
        <v>12</v>
      </c>
      <c r="Y109" s="300">
        <v>31.7</v>
      </c>
      <c r="Z109" s="292" t="s">
        <v>564</v>
      </c>
      <c r="AA109" s="292" t="s">
        <v>114</v>
      </c>
      <c r="AB109" s="292" t="s">
        <v>12</v>
      </c>
      <c r="AC109" s="292">
        <v>22.2</v>
      </c>
      <c r="AD109" s="299"/>
      <c r="AG109" s="300"/>
      <c r="AH109" s="390"/>
      <c r="AL109" s="299"/>
      <c r="AO109" s="300"/>
      <c r="AP109" s="299"/>
      <c r="AS109" s="300"/>
      <c r="AW109" s="300"/>
      <c r="BA109" s="301"/>
    </row>
    <row r="110" spans="1:53" s="292" customFormat="1">
      <c r="A110" s="292">
        <v>2010</v>
      </c>
      <c r="B110" s="865">
        <v>40423</v>
      </c>
      <c r="C110" s="916" t="s">
        <v>1176</v>
      </c>
      <c r="D110" s="916"/>
      <c r="E110" s="292">
        <f>365-E109</f>
        <v>121</v>
      </c>
      <c r="F110" s="381">
        <v>0</v>
      </c>
      <c r="G110" s="366"/>
      <c r="I110" s="292">
        <v>10</v>
      </c>
      <c r="J110" s="377">
        <v>10</v>
      </c>
      <c r="K110" s="336">
        <f t="shared" si="5"/>
        <v>0</v>
      </c>
      <c r="L110" s="336">
        <f t="shared" si="5"/>
        <v>0</v>
      </c>
      <c r="M110" s="336">
        <f t="shared" si="5"/>
        <v>100</v>
      </c>
      <c r="N110" s="368">
        <f t="shared" si="6"/>
        <v>100</v>
      </c>
      <c r="O110" s="335"/>
      <c r="P110" s="336"/>
      <c r="Q110" s="336">
        <v>53.9</v>
      </c>
      <c r="R110" s="337">
        <f t="shared" si="7"/>
        <v>53.9</v>
      </c>
      <c r="S110" s="292">
        <v>2</v>
      </c>
      <c r="T110" s="838"/>
      <c r="U110" s="836"/>
      <c r="V110" s="299" t="s">
        <v>563</v>
      </c>
      <c r="W110" s="292" t="s">
        <v>116</v>
      </c>
      <c r="X110" s="292" t="s">
        <v>12</v>
      </c>
      <c r="Y110" s="300">
        <v>31.7</v>
      </c>
      <c r="Z110" s="292" t="s">
        <v>564</v>
      </c>
      <c r="AA110" s="292" t="s">
        <v>114</v>
      </c>
      <c r="AB110" s="292" t="s">
        <v>12</v>
      </c>
      <c r="AC110" s="292">
        <v>22.2</v>
      </c>
      <c r="AD110" s="299"/>
      <c r="AG110" s="300"/>
      <c r="AH110" s="390"/>
      <c r="AL110" s="299"/>
      <c r="AO110" s="300"/>
      <c r="AP110" s="299"/>
      <c r="AS110" s="300"/>
      <c r="AW110" s="300"/>
      <c r="BA110" s="301"/>
    </row>
    <row r="111" spans="1:53" s="292" customFormat="1">
      <c r="A111" s="292">
        <v>2011</v>
      </c>
      <c r="B111" s="865"/>
      <c r="C111" s="916" t="s">
        <v>1176</v>
      </c>
      <c r="D111" s="916"/>
      <c r="E111" s="292">
        <v>364</v>
      </c>
      <c r="F111" s="381"/>
      <c r="G111" s="366"/>
      <c r="I111" s="292">
        <v>10</v>
      </c>
      <c r="J111" s="377">
        <v>10</v>
      </c>
      <c r="K111" s="336">
        <f t="shared" si="5"/>
        <v>0</v>
      </c>
      <c r="L111" s="336">
        <f t="shared" si="5"/>
        <v>0</v>
      </c>
      <c r="M111" s="336">
        <f t="shared" si="5"/>
        <v>100</v>
      </c>
      <c r="N111" s="368">
        <f t="shared" si="6"/>
        <v>100</v>
      </c>
      <c r="O111" s="335"/>
      <c r="P111" s="336"/>
      <c r="Q111" s="336">
        <v>53.9</v>
      </c>
      <c r="R111" s="337">
        <f t="shared" si="7"/>
        <v>53.9</v>
      </c>
      <c r="S111" s="292">
        <v>2</v>
      </c>
      <c r="T111" s="838"/>
      <c r="U111" s="836"/>
      <c r="V111" s="299" t="s">
        <v>563</v>
      </c>
      <c r="W111" s="292" t="s">
        <v>116</v>
      </c>
      <c r="X111" s="292" t="s">
        <v>12</v>
      </c>
      <c r="Y111" s="300">
        <v>31.7</v>
      </c>
      <c r="Z111" s="292" t="s">
        <v>564</v>
      </c>
      <c r="AA111" s="292" t="s">
        <v>114</v>
      </c>
      <c r="AB111" s="292" t="s">
        <v>12</v>
      </c>
      <c r="AC111" s="292">
        <v>22.2</v>
      </c>
      <c r="AD111" s="299"/>
      <c r="AG111" s="300"/>
      <c r="AH111" s="390"/>
      <c r="AL111" s="299"/>
      <c r="AO111" s="300"/>
      <c r="AP111" s="299"/>
      <c r="AS111" s="300"/>
      <c r="AW111" s="300"/>
      <c r="BA111" s="301"/>
    </row>
    <row r="112" spans="1:53" s="292" customFormat="1">
      <c r="A112" s="292">
        <v>2011</v>
      </c>
      <c r="B112" s="865">
        <v>40908</v>
      </c>
      <c r="C112" s="916" t="s">
        <v>1176</v>
      </c>
      <c r="D112" s="916"/>
      <c r="E112" s="292">
        <f>365-E111</f>
        <v>1</v>
      </c>
      <c r="F112" s="381">
        <v>0</v>
      </c>
      <c r="G112" s="366"/>
      <c r="I112" s="292">
        <v>9</v>
      </c>
      <c r="J112" s="377">
        <v>9</v>
      </c>
      <c r="K112" s="336">
        <f t="shared" si="5"/>
        <v>0</v>
      </c>
      <c r="L112" s="336">
        <f t="shared" si="5"/>
        <v>0</v>
      </c>
      <c r="M112" s="336">
        <f t="shared" si="5"/>
        <v>100</v>
      </c>
      <c r="N112" s="368">
        <f t="shared" si="6"/>
        <v>100</v>
      </c>
      <c r="O112" s="335"/>
      <c r="P112" s="336"/>
      <c r="Q112" s="336">
        <v>53.9</v>
      </c>
      <c r="R112" s="337">
        <f t="shared" si="7"/>
        <v>53.9</v>
      </c>
      <c r="S112" s="292">
        <v>2</v>
      </c>
      <c r="T112" s="838"/>
      <c r="U112" s="836"/>
      <c r="V112" s="299" t="s">
        <v>563</v>
      </c>
      <c r="W112" s="292" t="s">
        <v>116</v>
      </c>
      <c r="X112" s="292" t="s">
        <v>12</v>
      </c>
      <c r="Y112" s="300">
        <v>31.7</v>
      </c>
      <c r="Z112" s="292" t="s">
        <v>564</v>
      </c>
      <c r="AA112" s="292" t="s">
        <v>114</v>
      </c>
      <c r="AB112" s="292" t="s">
        <v>12</v>
      </c>
      <c r="AC112" s="292">
        <v>22.2</v>
      </c>
      <c r="AD112" s="299"/>
      <c r="AG112" s="300"/>
      <c r="AH112" s="390"/>
      <c r="AL112" s="299"/>
      <c r="AO112" s="300"/>
      <c r="AP112" s="299"/>
      <c r="AS112" s="300"/>
      <c r="AW112" s="300"/>
      <c r="BA112" s="301"/>
    </row>
    <row r="113" spans="1:53" s="292" customFormat="1">
      <c r="A113" s="292">
        <v>2012</v>
      </c>
      <c r="B113" s="836"/>
      <c r="C113" s="916" t="s">
        <v>1176</v>
      </c>
      <c r="D113" s="916"/>
      <c r="E113" s="292">
        <v>0</v>
      </c>
      <c r="G113" s="366"/>
      <c r="I113" s="292">
        <v>9</v>
      </c>
      <c r="J113" s="377">
        <v>9</v>
      </c>
      <c r="K113" s="336">
        <f t="shared" si="5"/>
        <v>0</v>
      </c>
      <c r="L113" s="336">
        <f t="shared" si="5"/>
        <v>0</v>
      </c>
      <c r="M113" s="336">
        <f t="shared" si="5"/>
        <v>100</v>
      </c>
      <c r="N113" s="368">
        <f t="shared" si="6"/>
        <v>100</v>
      </c>
      <c r="O113" s="335"/>
      <c r="P113" s="336"/>
      <c r="Q113" s="336">
        <v>53.9</v>
      </c>
      <c r="R113" s="337">
        <f t="shared" si="7"/>
        <v>53.9</v>
      </c>
      <c r="S113" s="292">
        <v>2</v>
      </c>
      <c r="T113" s="838"/>
      <c r="U113" s="836"/>
      <c r="V113" s="299" t="s">
        <v>563</v>
      </c>
      <c r="W113" s="292" t="s">
        <v>116</v>
      </c>
      <c r="X113" s="292" t="s">
        <v>12</v>
      </c>
      <c r="Y113" s="300">
        <v>31.7</v>
      </c>
      <c r="Z113" s="292" t="s">
        <v>564</v>
      </c>
      <c r="AA113" s="292" t="s">
        <v>114</v>
      </c>
      <c r="AB113" s="292" t="s">
        <v>12</v>
      </c>
      <c r="AC113" s="292">
        <v>22.2</v>
      </c>
      <c r="AD113" s="299"/>
      <c r="AG113" s="300"/>
      <c r="AH113" s="390"/>
      <c r="AL113" s="299"/>
      <c r="AO113" s="300"/>
      <c r="AP113" s="299"/>
      <c r="AS113" s="300"/>
      <c r="AW113" s="300"/>
      <c r="BA113" s="301"/>
    </row>
    <row r="114" spans="1:53" s="292" customFormat="1">
      <c r="A114" s="292">
        <v>2012</v>
      </c>
      <c r="B114" s="836"/>
      <c r="C114" s="916" t="s">
        <v>1176</v>
      </c>
      <c r="D114" s="916"/>
      <c r="E114" s="292">
        <v>366</v>
      </c>
      <c r="G114" s="366"/>
      <c r="I114" s="292">
        <v>9</v>
      </c>
      <c r="J114" s="377">
        <v>9</v>
      </c>
      <c r="K114" s="336">
        <f t="shared" si="5"/>
        <v>0</v>
      </c>
      <c r="L114" s="336">
        <f t="shared" si="5"/>
        <v>0</v>
      </c>
      <c r="M114" s="336">
        <f t="shared" si="5"/>
        <v>100</v>
      </c>
      <c r="N114" s="368">
        <f t="shared" si="6"/>
        <v>100</v>
      </c>
      <c r="O114" s="335"/>
      <c r="P114" s="336"/>
      <c r="Q114" s="336">
        <v>53.9</v>
      </c>
      <c r="R114" s="337">
        <f t="shared" si="7"/>
        <v>53.9</v>
      </c>
      <c r="S114" s="292">
        <v>2</v>
      </c>
      <c r="T114" s="838"/>
      <c r="U114" s="836"/>
      <c r="V114" s="299" t="s">
        <v>563</v>
      </c>
      <c r="W114" s="292" t="s">
        <v>116</v>
      </c>
      <c r="X114" s="292" t="s">
        <v>12</v>
      </c>
      <c r="Y114" s="300">
        <v>31.7</v>
      </c>
      <c r="Z114" s="292" t="s">
        <v>564</v>
      </c>
      <c r="AA114" s="292" t="s">
        <v>114</v>
      </c>
      <c r="AB114" s="292" t="s">
        <v>12</v>
      </c>
      <c r="AC114" s="292">
        <v>22.2</v>
      </c>
      <c r="AD114" s="299"/>
      <c r="AG114" s="300"/>
      <c r="AH114" s="390"/>
      <c r="AL114" s="299"/>
      <c r="AO114" s="300"/>
      <c r="AP114" s="299"/>
      <c r="AS114" s="300"/>
      <c r="AW114" s="300"/>
      <c r="BA114" s="301"/>
    </row>
    <row r="115" spans="1:53" s="292" customFormat="1">
      <c r="A115" s="292">
        <v>2013</v>
      </c>
      <c r="B115" s="836"/>
      <c r="C115" s="916" t="s">
        <v>1176</v>
      </c>
      <c r="D115" s="916"/>
      <c r="E115" s="292">
        <v>142</v>
      </c>
      <c r="G115" s="366"/>
      <c r="I115" s="292">
        <v>9</v>
      </c>
      <c r="J115" s="377">
        <v>9</v>
      </c>
      <c r="K115" s="336">
        <f t="shared" si="5"/>
        <v>0</v>
      </c>
      <c r="L115" s="336">
        <f t="shared" si="5"/>
        <v>0</v>
      </c>
      <c r="M115" s="336">
        <f t="shared" si="5"/>
        <v>100</v>
      </c>
      <c r="N115" s="368">
        <f t="shared" si="6"/>
        <v>100</v>
      </c>
      <c r="O115" s="335"/>
      <c r="P115" s="336"/>
      <c r="Q115" s="336">
        <v>53.9</v>
      </c>
      <c r="R115" s="337">
        <f>O115+P115+Q115</f>
        <v>53.9</v>
      </c>
      <c r="S115" s="292">
        <v>2</v>
      </c>
      <c r="T115" s="838"/>
      <c r="U115" s="836"/>
      <c r="V115" s="299" t="s">
        <v>563</v>
      </c>
      <c r="W115" s="292" t="s">
        <v>300</v>
      </c>
      <c r="X115" s="292" t="s">
        <v>12</v>
      </c>
      <c r="Y115" s="300">
        <v>31.7</v>
      </c>
      <c r="Z115" s="292" t="s">
        <v>564</v>
      </c>
      <c r="AA115" s="292" t="s">
        <v>114</v>
      </c>
      <c r="AB115" s="292" t="s">
        <v>12</v>
      </c>
      <c r="AC115" s="292">
        <v>22.2</v>
      </c>
      <c r="AD115" s="299"/>
      <c r="AG115" s="300"/>
      <c r="AH115" s="390"/>
      <c r="AL115" s="299"/>
      <c r="AO115" s="300"/>
      <c r="AP115" s="299"/>
      <c r="AS115" s="300"/>
      <c r="AW115" s="300"/>
      <c r="BA115" s="301"/>
    </row>
    <row r="116" spans="1:53" s="281" customFormat="1">
      <c r="A116" s="281">
        <v>2013</v>
      </c>
      <c r="B116" s="852">
        <v>41417</v>
      </c>
      <c r="C116" s="917" t="s">
        <v>1247</v>
      </c>
      <c r="D116" s="917"/>
      <c r="E116" s="281">
        <f>365-E115</f>
        <v>223</v>
      </c>
      <c r="F116" s="281">
        <v>1</v>
      </c>
      <c r="G116" s="119">
        <v>5</v>
      </c>
      <c r="H116" s="281">
        <v>4</v>
      </c>
      <c r="J116" s="126">
        <v>9</v>
      </c>
      <c r="K116" s="92">
        <f t="shared" ref="K116:M118" si="8">G116/$J116*100</f>
        <v>55.555555555555557</v>
      </c>
      <c r="L116" s="92">
        <f t="shared" si="8"/>
        <v>44.444444444444443</v>
      </c>
      <c r="M116" s="92">
        <f t="shared" si="8"/>
        <v>0</v>
      </c>
      <c r="N116" s="121">
        <f>K116+L116+M116</f>
        <v>100</v>
      </c>
      <c r="O116" s="91">
        <v>30.2</v>
      </c>
      <c r="P116" s="92">
        <v>30.2</v>
      </c>
      <c r="Q116" s="92"/>
      <c r="R116" s="93">
        <f>O116+P116+Q116</f>
        <v>60.4</v>
      </c>
      <c r="S116" s="281">
        <v>2</v>
      </c>
      <c r="T116" s="839">
        <v>41391</v>
      </c>
      <c r="U116" s="852">
        <v>41417</v>
      </c>
      <c r="V116" s="82" t="s">
        <v>479</v>
      </c>
      <c r="W116" s="281" t="s">
        <v>279</v>
      </c>
      <c r="X116" s="281" t="s">
        <v>18</v>
      </c>
      <c r="Y116" s="83">
        <v>30.2</v>
      </c>
      <c r="Z116" s="281" t="s">
        <v>561</v>
      </c>
      <c r="AA116" s="281" t="s">
        <v>74</v>
      </c>
      <c r="AB116" s="281" t="s">
        <v>11</v>
      </c>
      <c r="AC116" s="281">
        <v>30.2</v>
      </c>
      <c r="AD116" s="82"/>
      <c r="AG116" s="83"/>
      <c r="AH116" s="150"/>
      <c r="AL116" s="82"/>
      <c r="AO116" s="83"/>
      <c r="AP116" s="82"/>
      <c r="AS116" s="83"/>
      <c r="AW116" s="83"/>
      <c r="BA116" s="84"/>
    </row>
    <row r="117" spans="1:53" s="452" customFormat="1">
      <c r="A117" s="452">
        <v>2014</v>
      </c>
      <c r="B117" s="860"/>
      <c r="C117" s="917" t="s">
        <v>1247</v>
      </c>
      <c r="D117" s="917"/>
      <c r="E117" s="452">
        <v>364</v>
      </c>
      <c r="F117" s="414"/>
      <c r="G117" s="411">
        <v>5</v>
      </c>
      <c r="H117" s="452">
        <v>4</v>
      </c>
      <c r="J117" s="413">
        <v>9</v>
      </c>
      <c r="K117" s="409">
        <f t="shared" si="8"/>
        <v>55.555555555555557</v>
      </c>
      <c r="L117" s="409">
        <f t="shared" si="8"/>
        <v>44.444444444444443</v>
      </c>
      <c r="M117" s="409">
        <f t="shared" si="8"/>
        <v>0</v>
      </c>
      <c r="N117" s="412">
        <f>K117+L117+M117</f>
        <v>100</v>
      </c>
      <c r="O117" s="408">
        <v>30.2</v>
      </c>
      <c r="P117" s="409">
        <v>30.2</v>
      </c>
      <c r="Q117" s="409"/>
      <c r="R117" s="410">
        <f>O117+P117+Q117</f>
        <v>60.4</v>
      </c>
      <c r="S117" s="452">
        <v>2</v>
      </c>
      <c r="T117" s="839"/>
      <c r="U117" s="852"/>
      <c r="V117" s="405" t="s">
        <v>479</v>
      </c>
      <c r="W117" s="452" t="s">
        <v>279</v>
      </c>
      <c r="X117" s="452" t="s">
        <v>18</v>
      </c>
      <c r="Y117" s="406">
        <v>30.2</v>
      </c>
      <c r="Z117" s="452" t="s">
        <v>561</v>
      </c>
      <c r="AA117" s="452" t="s">
        <v>74</v>
      </c>
      <c r="AB117" s="452" t="s">
        <v>11</v>
      </c>
      <c r="AC117" s="452">
        <v>30.2</v>
      </c>
      <c r="AD117" s="405"/>
      <c r="AG117" s="406"/>
      <c r="AH117" s="150"/>
      <c r="AL117" s="405"/>
      <c r="AO117" s="406"/>
      <c r="AP117" s="405"/>
      <c r="AS117" s="406"/>
      <c r="AW117" s="406"/>
      <c r="BA117" s="407"/>
    </row>
    <row r="118" spans="1:53" s="452" customFormat="1">
      <c r="A118" s="452">
        <v>2014</v>
      </c>
      <c r="B118" s="860">
        <v>42004</v>
      </c>
      <c r="C118" s="917" t="s">
        <v>1247</v>
      </c>
      <c r="D118" s="917"/>
      <c r="E118" s="452">
        <v>1</v>
      </c>
      <c r="F118" s="414">
        <v>0</v>
      </c>
      <c r="G118" s="411">
        <v>5</v>
      </c>
      <c r="H118" s="452">
        <v>5</v>
      </c>
      <c r="J118" s="413">
        <v>10</v>
      </c>
      <c r="K118" s="409">
        <f t="shared" si="8"/>
        <v>50</v>
      </c>
      <c r="L118" s="409">
        <f t="shared" si="8"/>
        <v>50</v>
      </c>
      <c r="M118" s="409">
        <f t="shared" si="8"/>
        <v>0</v>
      </c>
      <c r="N118" s="412">
        <f>K118+L118+M118</f>
        <v>100</v>
      </c>
      <c r="O118" s="408">
        <v>30.2</v>
      </c>
      <c r="P118" s="409">
        <v>30.2</v>
      </c>
      <c r="Q118" s="409"/>
      <c r="R118" s="410">
        <f>O118+P118+Q118</f>
        <v>60.4</v>
      </c>
      <c r="S118" s="452">
        <v>2</v>
      </c>
      <c r="T118" s="839"/>
      <c r="U118" s="852"/>
      <c r="V118" s="405" t="s">
        <v>479</v>
      </c>
      <c r="W118" s="452" t="s">
        <v>279</v>
      </c>
      <c r="X118" s="452" t="s">
        <v>18</v>
      </c>
      <c r="Y118" s="406">
        <v>30.2</v>
      </c>
      <c r="Z118" s="452" t="s">
        <v>561</v>
      </c>
      <c r="AA118" s="452" t="s">
        <v>74</v>
      </c>
      <c r="AB118" s="452" t="s">
        <v>11</v>
      </c>
      <c r="AC118" s="452">
        <v>30.2</v>
      </c>
      <c r="AD118" s="405"/>
      <c r="AG118" s="406"/>
      <c r="AH118" s="150"/>
      <c r="AL118" s="405"/>
      <c r="AO118" s="406"/>
      <c r="AP118" s="405"/>
      <c r="AS118" s="406"/>
      <c r="AW118" s="406"/>
      <c r="BA118" s="407"/>
    </row>
    <row r="119" spans="1:53" s="597" customFormat="1">
      <c r="A119" s="597">
        <v>2015</v>
      </c>
      <c r="B119" s="860"/>
      <c r="C119" s="917" t="s">
        <v>1247</v>
      </c>
      <c r="D119" s="917"/>
      <c r="E119" s="597">
        <v>0</v>
      </c>
      <c r="F119" s="502"/>
      <c r="G119" s="498">
        <v>5</v>
      </c>
      <c r="H119" s="597">
        <v>5</v>
      </c>
      <c r="J119" s="500">
        <v>10</v>
      </c>
      <c r="K119" s="496">
        <f t="shared" ref="K119:K121" si="9">G119/$J119*100</f>
        <v>50</v>
      </c>
      <c r="L119" s="496">
        <f t="shared" ref="L119:L121" si="10">H119/$J119*100</f>
        <v>50</v>
      </c>
      <c r="M119" s="496">
        <f t="shared" ref="M119:M121" si="11">I119/$J119*100</f>
        <v>0</v>
      </c>
      <c r="N119" s="499">
        <f t="shared" ref="N119:N121" si="12">K119+L119+M119</f>
        <v>100</v>
      </c>
      <c r="O119" s="495">
        <v>30.2</v>
      </c>
      <c r="P119" s="496">
        <v>30.2</v>
      </c>
      <c r="Q119" s="496"/>
      <c r="R119" s="497">
        <f t="shared" ref="R119:R120" si="13">O119+P119+Q119</f>
        <v>60.4</v>
      </c>
      <c r="S119" s="597">
        <v>2</v>
      </c>
      <c r="T119" s="839"/>
      <c r="U119" s="852"/>
      <c r="V119" s="492" t="s">
        <v>479</v>
      </c>
      <c r="W119" s="597" t="s">
        <v>279</v>
      </c>
      <c r="X119" s="597" t="s">
        <v>18</v>
      </c>
      <c r="Y119" s="493">
        <v>30.2</v>
      </c>
      <c r="Z119" s="597" t="s">
        <v>561</v>
      </c>
      <c r="AA119" s="597" t="s">
        <v>74</v>
      </c>
      <c r="AB119" s="597" t="s">
        <v>11</v>
      </c>
      <c r="AC119" s="597">
        <v>30.2</v>
      </c>
      <c r="AD119" s="492"/>
      <c r="AG119" s="493"/>
      <c r="AH119" s="150"/>
      <c r="AL119" s="492"/>
      <c r="AO119" s="493"/>
      <c r="AP119" s="492"/>
      <c r="AS119" s="493"/>
      <c r="AW119" s="493"/>
      <c r="BA119" s="494"/>
    </row>
    <row r="120" spans="1:53" s="597" customFormat="1">
      <c r="A120" s="597">
        <v>2015</v>
      </c>
      <c r="B120" s="860"/>
      <c r="C120" s="917" t="s">
        <v>1247</v>
      </c>
      <c r="D120" s="917"/>
      <c r="E120" s="597">
        <v>365</v>
      </c>
      <c r="F120" s="502"/>
      <c r="G120" s="498">
        <v>5</v>
      </c>
      <c r="H120" s="597">
        <v>5</v>
      </c>
      <c r="J120" s="500">
        <v>10</v>
      </c>
      <c r="K120" s="496">
        <f t="shared" si="9"/>
        <v>50</v>
      </c>
      <c r="L120" s="496">
        <f t="shared" si="10"/>
        <v>50</v>
      </c>
      <c r="M120" s="496">
        <f t="shared" si="11"/>
        <v>0</v>
      </c>
      <c r="N120" s="499">
        <f t="shared" si="12"/>
        <v>100</v>
      </c>
      <c r="O120" s="495">
        <v>30.2</v>
      </c>
      <c r="P120" s="496">
        <v>30.2</v>
      </c>
      <c r="Q120" s="496"/>
      <c r="R120" s="497">
        <f t="shared" si="13"/>
        <v>60.4</v>
      </c>
      <c r="S120" s="597">
        <v>2</v>
      </c>
      <c r="T120" s="839"/>
      <c r="U120" s="852"/>
      <c r="V120" s="492" t="s">
        <v>479</v>
      </c>
      <c r="W120" s="597" t="s">
        <v>279</v>
      </c>
      <c r="X120" s="597" t="s">
        <v>18</v>
      </c>
      <c r="Y120" s="493">
        <v>30.2</v>
      </c>
      <c r="Z120" s="597" t="s">
        <v>561</v>
      </c>
      <c r="AA120" s="597" t="s">
        <v>74</v>
      </c>
      <c r="AB120" s="597" t="s">
        <v>11</v>
      </c>
      <c r="AC120" s="597">
        <v>30.2</v>
      </c>
      <c r="AD120" s="492"/>
      <c r="AG120" s="493"/>
      <c r="AH120" s="150"/>
      <c r="AL120" s="492"/>
      <c r="AO120" s="493"/>
      <c r="AP120" s="492"/>
      <c r="AS120" s="493"/>
      <c r="AW120" s="493"/>
      <c r="BA120" s="494"/>
    </row>
    <row r="121" spans="1:53" s="665" customFormat="1">
      <c r="A121" s="665">
        <v>2016</v>
      </c>
      <c r="B121" s="860"/>
      <c r="C121" s="917" t="s">
        <v>1247</v>
      </c>
      <c r="D121" s="917"/>
      <c r="E121" s="665">
        <v>97</v>
      </c>
      <c r="F121" s="502"/>
      <c r="G121" s="498">
        <v>5</v>
      </c>
      <c r="H121" s="665">
        <v>5</v>
      </c>
      <c r="J121" s="500">
        <v>10</v>
      </c>
      <c r="K121" s="496">
        <f t="shared" si="9"/>
        <v>50</v>
      </c>
      <c r="L121" s="496">
        <f t="shared" si="10"/>
        <v>50</v>
      </c>
      <c r="M121" s="496">
        <f t="shared" si="11"/>
        <v>0</v>
      </c>
      <c r="N121" s="499">
        <f t="shared" si="12"/>
        <v>100</v>
      </c>
      <c r="O121" s="495">
        <v>30.2</v>
      </c>
      <c r="P121" s="496">
        <v>30.2</v>
      </c>
      <c r="Q121" s="496"/>
      <c r="R121" s="497">
        <f t="shared" ref="R121" si="14">O121+P121+Q121</f>
        <v>60.4</v>
      </c>
      <c r="S121" s="481">
        <v>2</v>
      </c>
      <c r="T121" s="839"/>
      <c r="U121" s="852"/>
      <c r="V121" s="492" t="s">
        <v>479</v>
      </c>
      <c r="W121" s="665" t="s">
        <v>279</v>
      </c>
      <c r="X121" s="665" t="s">
        <v>18</v>
      </c>
      <c r="Y121" s="493">
        <v>30.2</v>
      </c>
      <c r="Z121" s="665" t="s">
        <v>561</v>
      </c>
      <c r="AA121" s="665" t="s">
        <v>74</v>
      </c>
      <c r="AB121" s="665" t="s">
        <v>11</v>
      </c>
      <c r="AC121" s="665">
        <v>30.2</v>
      </c>
      <c r="AD121" s="492"/>
      <c r="AG121" s="493"/>
      <c r="AH121" s="150"/>
      <c r="AL121" s="492"/>
      <c r="AO121" s="493"/>
      <c r="AP121" s="492"/>
      <c r="AS121" s="493"/>
      <c r="AW121" s="493"/>
      <c r="BA121" s="494"/>
    </row>
    <row r="122" spans="1:53" s="664" customFormat="1">
      <c r="A122" s="664">
        <v>2016</v>
      </c>
      <c r="B122" s="836">
        <v>42467</v>
      </c>
      <c r="C122" s="916" t="s">
        <v>1346</v>
      </c>
      <c r="D122" s="916"/>
      <c r="E122" s="664">
        <v>269</v>
      </c>
      <c r="F122" s="534">
        <v>1</v>
      </c>
      <c r="G122" s="664">
        <v>5</v>
      </c>
      <c r="H122" s="664">
        <v>5</v>
      </c>
      <c r="J122" s="541">
        <v>10</v>
      </c>
      <c r="K122" s="537">
        <f t="shared" ref="K122:K125" si="15">G122/$J122*100</f>
        <v>50</v>
      </c>
      <c r="L122" s="537">
        <f t="shared" ref="L122:L125" si="16">H122/$J122*100</f>
        <v>50</v>
      </c>
      <c r="M122" s="537">
        <f t="shared" ref="M122:M124" si="17">I122/$J122*100</f>
        <v>0</v>
      </c>
      <c r="N122" s="540">
        <f t="shared" ref="N122:N124" si="18">K122+L122+M122</f>
        <v>100</v>
      </c>
      <c r="O122" s="536">
        <v>33.299999999999997</v>
      </c>
      <c r="P122" s="537">
        <v>12.7</v>
      </c>
      <c r="Q122" s="537"/>
      <c r="R122" s="538">
        <f t="shared" ref="R122:R125" si="19">O122+P122+Q122</f>
        <v>46</v>
      </c>
      <c r="S122" s="664">
        <v>6</v>
      </c>
      <c r="T122" s="838"/>
      <c r="U122" s="836">
        <v>42467</v>
      </c>
      <c r="V122" s="532" t="s">
        <v>479</v>
      </c>
      <c r="W122" s="664" t="s">
        <v>279</v>
      </c>
      <c r="X122" s="664" t="s">
        <v>18</v>
      </c>
      <c r="Y122" s="533">
        <v>30.2</v>
      </c>
      <c r="Z122" s="664" t="s">
        <v>561</v>
      </c>
      <c r="AA122" s="664" t="s">
        <v>74</v>
      </c>
      <c r="AB122" s="664" t="s">
        <v>11</v>
      </c>
      <c r="AC122" s="664">
        <v>30.2</v>
      </c>
      <c r="AD122" s="532"/>
      <c r="AG122" s="533"/>
      <c r="AH122" s="390"/>
    </row>
    <row r="123" spans="1:53" s="726" customFormat="1">
      <c r="A123" s="726">
        <v>2017</v>
      </c>
      <c r="B123" s="836"/>
      <c r="C123" s="916" t="s">
        <v>1346</v>
      </c>
      <c r="D123" s="916"/>
      <c r="E123" s="726">
        <v>10</v>
      </c>
      <c r="F123" s="534"/>
      <c r="G123" s="726">
        <v>5</v>
      </c>
      <c r="H123" s="726">
        <v>5</v>
      </c>
      <c r="J123" s="541">
        <v>10</v>
      </c>
      <c r="K123" s="537">
        <f t="shared" si="15"/>
        <v>50</v>
      </c>
      <c r="L123" s="537">
        <f t="shared" si="16"/>
        <v>50</v>
      </c>
      <c r="M123" s="537">
        <f t="shared" si="17"/>
        <v>0</v>
      </c>
      <c r="N123" s="540">
        <f t="shared" si="18"/>
        <v>100</v>
      </c>
      <c r="O123" s="536">
        <v>33.299999999999997</v>
      </c>
      <c r="P123" s="537">
        <v>12.7</v>
      </c>
      <c r="Q123" s="537"/>
      <c r="R123" s="538">
        <f t="shared" si="19"/>
        <v>46</v>
      </c>
      <c r="S123" s="726">
        <v>6</v>
      </c>
      <c r="T123" s="838"/>
      <c r="U123" s="836"/>
      <c r="V123" s="532" t="s">
        <v>479</v>
      </c>
      <c r="W123" s="726" t="s">
        <v>279</v>
      </c>
      <c r="X123" s="726" t="s">
        <v>18</v>
      </c>
      <c r="Y123" s="533">
        <v>30.2</v>
      </c>
      <c r="Z123" s="726" t="s">
        <v>561</v>
      </c>
      <c r="AA123" s="726" t="s">
        <v>74</v>
      </c>
      <c r="AB123" s="726" t="s">
        <v>11</v>
      </c>
      <c r="AC123" s="726">
        <v>30.2</v>
      </c>
      <c r="AD123" s="532"/>
      <c r="AG123" s="533"/>
      <c r="AH123" s="390"/>
    </row>
    <row r="124" spans="1:53" s="727" customFormat="1">
      <c r="A124" s="727">
        <v>2017</v>
      </c>
      <c r="B124" s="852">
        <v>42746</v>
      </c>
      <c r="C124" s="917" t="s">
        <v>1455</v>
      </c>
      <c r="D124" s="917"/>
      <c r="E124" s="727">
        <v>323</v>
      </c>
      <c r="F124" s="494">
        <v>1</v>
      </c>
      <c r="G124" s="727">
        <v>11</v>
      </c>
      <c r="J124" s="500">
        <v>11</v>
      </c>
      <c r="K124" s="496">
        <f t="shared" si="15"/>
        <v>100</v>
      </c>
      <c r="L124" s="496">
        <f t="shared" si="16"/>
        <v>0</v>
      </c>
      <c r="M124" s="496">
        <f t="shared" si="17"/>
        <v>0</v>
      </c>
      <c r="N124" s="499">
        <f t="shared" si="18"/>
        <v>100</v>
      </c>
      <c r="O124" s="495">
        <v>50.7</v>
      </c>
      <c r="P124" s="496"/>
      <c r="Q124" s="496"/>
      <c r="R124" s="497">
        <f t="shared" si="19"/>
        <v>50.7</v>
      </c>
      <c r="S124" s="727">
        <v>3</v>
      </c>
      <c r="T124" s="839">
        <v>42672</v>
      </c>
      <c r="U124" s="852">
        <v>42746</v>
      </c>
      <c r="V124" s="492" t="s">
        <v>561</v>
      </c>
      <c r="W124" s="727" t="s">
        <v>74</v>
      </c>
      <c r="X124" s="727" t="s">
        <v>11</v>
      </c>
      <c r="Y124" s="493">
        <v>33.299999999999997</v>
      </c>
      <c r="Z124" s="727" t="s">
        <v>407</v>
      </c>
      <c r="AA124" s="727" t="s">
        <v>76</v>
      </c>
      <c r="AB124" s="752" t="s">
        <v>11</v>
      </c>
      <c r="AC124" s="727">
        <v>11.1</v>
      </c>
      <c r="AD124" s="492" t="s">
        <v>1378</v>
      </c>
      <c r="AE124" s="727" t="s">
        <v>88</v>
      </c>
      <c r="AF124" s="752" t="s">
        <v>11</v>
      </c>
      <c r="AG124" s="493">
        <v>6.3</v>
      </c>
      <c r="AH124" s="150"/>
    </row>
    <row r="125" spans="1:53" s="726" customFormat="1">
      <c r="A125" s="726">
        <v>2017</v>
      </c>
      <c r="B125" s="836">
        <v>43069</v>
      </c>
      <c r="C125" s="916" t="s">
        <v>1379</v>
      </c>
      <c r="D125" s="916"/>
      <c r="E125" s="726">
        <v>32</v>
      </c>
      <c r="F125" s="534">
        <v>1</v>
      </c>
      <c r="G125" s="726">
        <v>5</v>
      </c>
      <c r="H125" s="726">
        <v>3</v>
      </c>
      <c r="I125" s="726">
        <v>3</v>
      </c>
      <c r="J125" s="541">
        <v>11</v>
      </c>
      <c r="K125" s="537">
        <f t="shared" si="15"/>
        <v>45.454545454545453</v>
      </c>
      <c r="L125" s="537">
        <f t="shared" si="16"/>
        <v>27.27272727272727</v>
      </c>
      <c r="M125" s="537">
        <f t="shared" ref="M125" si="20">I125/$J125*100</f>
        <v>27.27272727272727</v>
      </c>
      <c r="N125" s="540">
        <f t="shared" ref="N125" si="21">K125+L125+M125</f>
        <v>99.999999999999986</v>
      </c>
      <c r="O125" s="536">
        <v>25.4</v>
      </c>
      <c r="P125" s="537">
        <v>12.7</v>
      </c>
      <c r="Q125" s="537">
        <v>17.5</v>
      </c>
      <c r="R125" s="538">
        <f t="shared" si="19"/>
        <v>55.599999999999994</v>
      </c>
      <c r="S125" s="726">
        <v>2</v>
      </c>
      <c r="T125" s="838">
        <v>43036</v>
      </c>
      <c r="U125" s="836">
        <v>43069</v>
      </c>
      <c r="V125" s="532" t="s">
        <v>561</v>
      </c>
      <c r="W125" s="726" t="s">
        <v>74</v>
      </c>
      <c r="X125" s="726" t="s">
        <v>11</v>
      </c>
      <c r="Y125" s="533">
        <v>25.4</v>
      </c>
      <c r="Z125" s="726" t="s">
        <v>564</v>
      </c>
      <c r="AA125" s="726" t="s">
        <v>114</v>
      </c>
      <c r="AB125" s="726" t="s">
        <v>12</v>
      </c>
      <c r="AC125" s="726">
        <v>17.5</v>
      </c>
      <c r="AD125" s="532" t="s">
        <v>479</v>
      </c>
      <c r="AE125" s="726" t="s">
        <v>75</v>
      </c>
      <c r="AF125" s="726" t="s">
        <v>18</v>
      </c>
      <c r="AG125" s="533">
        <v>12.7</v>
      </c>
      <c r="AH125" s="390"/>
    </row>
    <row r="126" spans="1:53" s="759" customFormat="1">
      <c r="A126" s="759">
        <v>2018</v>
      </c>
      <c r="B126" s="836"/>
      <c r="C126" s="916" t="s">
        <v>1379</v>
      </c>
      <c r="D126" s="916"/>
      <c r="E126" s="759">
        <v>0</v>
      </c>
      <c r="F126" s="534"/>
      <c r="G126" s="759">
        <v>5</v>
      </c>
      <c r="H126" s="759">
        <v>3</v>
      </c>
      <c r="I126" s="759">
        <v>3</v>
      </c>
      <c r="J126" s="541">
        <v>11</v>
      </c>
      <c r="K126" s="537">
        <f t="shared" ref="K126:K127" si="22">G126/$J126*100</f>
        <v>45.454545454545453</v>
      </c>
      <c r="L126" s="537">
        <f t="shared" ref="L126:L127" si="23">H126/$J126*100</f>
        <v>27.27272727272727</v>
      </c>
      <c r="M126" s="537">
        <f t="shared" ref="M126:M127" si="24">I126/$J126*100</f>
        <v>27.27272727272727</v>
      </c>
      <c r="N126" s="540">
        <f t="shared" ref="N126:N127" si="25">K126+L126+M126</f>
        <v>99.999999999999986</v>
      </c>
      <c r="O126" s="536">
        <v>25.4</v>
      </c>
      <c r="P126" s="537">
        <v>12.7</v>
      </c>
      <c r="Q126" s="537">
        <v>17.5</v>
      </c>
      <c r="R126" s="538">
        <f t="shared" ref="R126:R127" si="26">O126+P126+Q126</f>
        <v>55.599999999999994</v>
      </c>
      <c r="S126" s="759">
        <v>2</v>
      </c>
      <c r="T126" s="838"/>
      <c r="U126" s="836"/>
      <c r="V126" s="532" t="s">
        <v>561</v>
      </c>
      <c r="W126" s="759" t="s">
        <v>74</v>
      </c>
      <c r="X126" s="759" t="s">
        <v>11</v>
      </c>
      <c r="Y126" s="533">
        <v>25.4</v>
      </c>
      <c r="Z126" s="759" t="s">
        <v>564</v>
      </c>
      <c r="AA126" s="759" t="s">
        <v>114</v>
      </c>
      <c r="AB126" s="759" t="s">
        <v>12</v>
      </c>
      <c r="AC126" s="759">
        <v>17.5</v>
      </c>
      <c r="AD126" s="532" t="s">
        <v>479</v>
      </c>
      <c r="AE126" s="759" t="s">
        <v>75</v>
      </c>
      <c r="AF126" s="759" t="s">
        <v>18</v>
      </c>
      <c r="AG126" s="533">
        <v>12.7</v>
      </c>
      <c r="AH126" s="390"/>
    </row>
    <row r="127" spans="1:53" s="759" customFormat="1">
      <c r="A127" s="759">
        <v>2018</v>
      </c>
      <c r="B127" s="836"/>
      <c r="C127" s="916" t="s">
        <v>1379</v>
      </c>
      <c r="D127" s="916"/>
      <c r="E127" s="759">
        <v>365</v>
      </c>
      <c r="F127" s="534"/>
      <c r="G127" s="759">
        <v>5</v>
      </c>
      <c r="H127" s="759">
        <v>3</v>
      </c>
      <c r="I127" s="759">
        <v>3</v>
      </c>
      <c r="J127" s="541">
        <v>11</v>
      </c>
      <c r="K127" s="537">
        <f t="shared" si="22"/>
        <v>45.454545454545453</v>
      </c>
      <c r="L127" s="537">
        <f t="shared" si="23"/>
        <v>27.27272727272727</v>
      </c>
      <c r="M127" s="537">
        <f t="shared" si="24"/>
        <v>27.27272727272727</v>
      </c>
      <c r="N127" s="540">
        <f t="shared" si="25"/>
        <v>99.999999999999986</v>
      </c>
      <c r="O127" s="536">
        <v>25.4</v>
      </c>
      <c r="P127" s="537">
        <v>12.7</v>
      </c>
      <c r="Q127" s="537">
        <v>17.5</v>
      </c>
      <c r="R127" s="538">
        <f t="shared" si="26"/>
        <v>55.599999999999994</v>
      </c>
      <c r="S127" s="759">
        <v>2</v>
      </c>
      <c r="T127" s="838"/>
      <c r="U127" s="836"/>
      <c r="V127" s="532" t="s">
        <v>561</v>
      </c>
      <c r="W127" s="759" t="s">
        <v>74</v>
      </c>
      <c r="X127" s="759" t="s">
        <v>11</v>
      </c>
      <c r="Y127" s="533">
        <v>25.4</v>
      </c>
      <c r="Z127" s="759" t="s">
        <v>564</v>
      </c>
      <c r="AA127" s="759" t="s">
        <v>114</v>
      </c>
      <c r="AB127" s="759" t="s">
        <v>12</v>
      </c>
      <c r="AC127" s="759">
        <v>17.5</v>
      </c>
      <c r="AD127" s="532" t="s">
        <v>479</v>
      </c>
      <c r="AE127" s="759" t="s">
        <v>75</v>
      </c>
      <c r="AF127" s="759" t="s">
        <v>18</v>
      </c>
      <c r="AG127" s="533">
        <v>12.7</v>
      </c>
      <c r="AH127" s="390"/>
    </row>
    <row r="128" spans="1:53" s="786" customFormat="1">
      <c r="A128" s="786">
        <v>2019</v>
      </c>
      <c r="B128" s="836"/>
      <c r="C128" s="916" t="s">
        <v>1379</v>
      </c>
      <c r="D128" s="916"/>
      <c r="E128" s="786">
        <v>0</v>
      </c>
      <c r="F128" s="534"/>
      <c r="G128" s="786">
        <v>5</v>
      </c>
      <c r="H128" s="786">
        <v>3</v>
      </c>
      <c r="I128" s="786">
        <v>3</v>
      </c>
      <c r="J128" s="541">
        <v>11</v>
      </c>
      <c r="K128" s="537">
        <f t="shared" ref="K128:K129" si="27">G128/$J128*100</f>
        <v>45.454545454545453</v>
      </c>
      <c r="L128" s="537">
        <f t="shared" ref="L128:L129" si="28">H128/$J128*100</f>
        <v>27.27272727272727</v>
      </c>
      <c r="M128" s="537">
        <f t="shared" ref="M128:M129" si="29">I128/$J128*100</f>
        <v>27.27272727272727</v>
      </c>
      <c r="N128" s="540">
        <f t="shared" ref="N128:N129" si="30">K128+L128+M128</f>
        <v>99.999999999999986</v>
      </c>
      <c r="O128" s="536">
        <v>25.4</v>
      </c>
      <c r="P128" s="537">
        <v>12.7</v>
      </c>
      <c r="Q128" s="537">
        <v>17.5</v>
      </c>
      <c r="R128" s="538">
        <f t="shared" ref="R128:R129" si="31">O128+P128+Q128</f>
        <v>55.599999999999994</v>
      </c>
      <c r="S128" s="786">
        <v>2</v>
      </c>
      <c r="T128" s="838"/>
      <c r="U128" s="836"/>
      <c r="V128" s="532" t="s">
        <v>561</v>
      </c>
      <c r="W128" s="786" t="s">
        <v>74</v>
      </c>
      <c r="X128" s="786" t="s">
        <v>11</v>
      </c>
      <c r="Y128" s="533">
        <v>25.4</v>
      </c>
      <c r="Z128" s="786" t="s">
        <v>564</v>
      </c>
      <c r="AA128" s="786" t="s">
        <v>114</v>
      </c>
      <c r="AB128" s="786" t="s">
        <v>12</v>
      </c>
      <c r="AC128" s="786">
        <v>17.5</v>
      </c>
      <c r="AD128" s="532" t="s">
        <v>479</v>
      </c>
      <c r="AE128" s="786" t="s">
        <v>75</v>
      </c>
      <c r="AF128" s="786" t="s">
        <v>18</v>
      </c>
      <c r="AG128" s="533">
        <v>12.7</v>
      </c>
      <c r="AH128" s="390"/>
    </row>
    <row r="129" spans="1:34" s="786" customFormat="1">
      <c r="A129" s="786">
        <v>2019</v>
      </c>
      <c r="B129" s="836"/>
      <c r="C129" s="916" t="s">
        <v>1379</v>
      </c>
      <c r="D129" s="916"/>
      <c r="E129" s="786">
        <v>365</v>
      </c>
      <c r="F129" s="534"/>
      <c r="G129" s="786">
        <v>5</v>
      </c>
      <c r="H129" s="786">
        <v>3</v>
      </c>
      <c r="I129" s="786">
        <v>3</v>
      </c>
      <c r="J129" s="541">
        <v>11</v>
      </c>
      <c r="K129" s="537">
        <f t="shared" si="27"/>
        <v>45.454545454545453</v>
      </c>
      <c r="L129" s="537">
        <f t="shared" si="28"/>
        <v>27.27272727272727</v>
      </c>
      <c r="M129" s="537">
        <f t="shared" si="29"/>
        <v>27.27272727272727</v>
      </c>
      <c r="N129" s="540">
        <f t="shared" si="30"/>
        <v>99.999999999999986</v>
      </c>
      <c r="O129" s="536">
        <v>25.4</v>
      </c>
      <c r="P129" s="537">
        <v>12.7</v>
      </c>
      <c r="Q129" s="537">
        <v>17.5</v>
      </c>
      <c r="R129" s="538">
        <f t="shared" si="31"/>
        <v>55.599999999999994</v>
      </c>
      <c r="S129" s="786">
        <v>2</v>
      </c>
      <c r="T129" s="838"/>
      <c r="U129" s="836"/>
      <c r="V129" s="532" t="s">
        <v>561</v>
      </c>
      <c r="W129" s="786" t="s">
        <v>74</v>
      </c>
      <c r="X129" s="786" t="s">
        <v>11</v>
      </c>
      <c r="Y129" s="533">
        <v>25.4</v>
      </c>
      <c r="Z129" s="786" t="s">
        <v>564</v>
      </c>
      <c r="AA129" s="786" t="s">
        <v>114</v>
      </c>
      <c r="AB129" s="786" t="s">
        <v>12</v>
      </c>
      <c r="AC129" s="786">
        <v>17.5</v>
      </c>
      <c r="AD129" s="532" t="s">
        <v>479</v>
      </c>
      <c r="AE129" s="786" t="s">
        <v>75</v>
      </c>
      <c r="AF129" s="786" t="s">
        <v>18</v>
      </c>
      <c r="AG129" s="533">
        <v>12.7</v>
      </c>
      <c r="AH129" s="390"/>
    </row>
    <row r="130" spans="1:34">
      <c r="C130" s="955"/>
      <c r="D130" s="955"/>
      <c r="I130" s="17"/>
    </row>
    <row r="131" spans="1:34">
      <c r="C131" s="955"/>
      <c r="D131" s="955"/>
      <c r="I131" s="17"/>
    </row>
    <row r="132" spans="1:34" s="2" customFormat="1" ht="18" customHeight="1">
      <c r="B132" s="22" t="s">
        <v>1269</v>
      </c>
    </row>
    <row r="133" spans="1:34" s="2" customFormat="1" ht="8.25" customHeight="1">
      <c r="B133" s="22"/>
    </row>
    <row r="134" spans="1:34" s="317" customFormat="1" ht="9" customHeight="1">
      <c r="A134" s="315"/>
      <c r="B134" s="316" t="s">
        <v>1220</v>
      </c>
      <c r="C134" s="316"/>
      <c r="D134" s="316"/>
      <c r="E134" s="316"/>
      <c r="F134" s="316"/>
      <c r="G134" s="316" t="s">
        <v>1221</v>
      </c>
      <c r="H134" s="316"/>
      <c r="I134" s="316"/>
      <c r="J134" s="316"/>
      <c r="K134" s="316"/>
      <c r="L134" s="316"/>
      <c r="M134" s="316"/>
      <c r="N134" s="316"/>
      <c r="R134" s="895" t="s">
        <v>1222</v>
      </c>
      <c r="S134" s="895"/>
      <c r="T134" s="895"/>
      <c r="U134" s="895"/>
      <c r="V134" s="895"/>
      <c r="W134" s="895"/>
      <c r="X134" s="318"/>
      <c r="Y134" s="318"/>
      <c r="AA134" s="318"/>
      <c r="AB134" s="318"/>
      <c r="AC134" s="318"/>
      <c r="AD134" s="318"/>
    </row>
    <row r="135" spans="1:34" s="322" customFormat="1" ht="9" customHeight="1">
      <c r="A135" s="319"/>
      <c r="B135" s="320" t="s">
        <v>1224</v>
      </c>
      <c r="C135" s="321"/>
      <c r="D135" s="321"/>
      <c r="E135" s="321"/>
      <c r="F135" s="321"/>
      <c r="G135" s="320" t="s">
        <v>1223</v>
      </c>
      <c r="H135" s="321"/>
      <c r="I135" s="321"/>
      <c r="J135" s="321"/>
      <c r="K135" s="321"/>
      <c r="L135" s="321"/>
      <c r="M135" s="321"/>
      <c r="N135" s="321"/>
      <c r="R135" s="323" t="s">
        <v>1225</v>
      </c>
      <c r="S135" s="324"/>
      <c r="T135" s="325"/>
      <c r="U135" s="325"/>
      <c r="V135" s="325"/>
      <c r="W135" s="323" t="s">
        <v>1226</v>
      </c>
      <c r="X135" s="325"/>
      <c r="Y135" s="325"/>
      <c r="AA135" s="325"/>
      <c r="AB135" s="325"/>
      <c r="AC135" s="325"/>
      <c r="AD135" s="325"/>
    </row>
    <row r="136" spans="1:34" s="307" customFormat="1" ht="12" customHeight="1">
      <c r="A136" s="326" t="s">
        <v>3</v>
      </c>
      <c r="B136" s="327" t="s">
        <v>8</v>
      </c>
      <c r="C136" s="327" t="s">
        <v>9</v>
      </c>
      <c r="D136" s="327" t="s">
        <v>10</v>
      </c>
      <c r="E136" s="328" t="s">
        <v>1200</v>
      </c>
      <c r="F136" s="327"/>
      <c r="G136" s="307" t="s">
        <v>3</v>
      </c>
      <c r="H136" s="896" t="s">
        <v>0</v>
      </c>
      <c r="I136" s="896"/>
      <c r="J136" s="896" t="s">
        <v>1</v>
      </c>
      <c r="K136" s="896"/>
      <c r="L136" s="896" t="s">
        <v>2</v>
      </c>
      <c r="M136" s="896"/>
      <c r="N136" s="897" t="s">
        <v>1200</v>
      </c>
      <c r="O136" s="897"/>
      <c r="P136" s="329"/>
      <c r="Q136" s="329"/>
      <c r="R136" s="330" t="s">
        <v>3</v>
      </c>
      <c r="S136" s="331" t="s">
        <v>136</v>
      </c>
      <c r="T136" s="329" t="s">
        <v>134</v>
      </c>
      <c r="U136" s="327" t="s">
        <v>135</v>
      </c>
      <c r="V136" s="329"/>
      <c r="W136" s="332" t="s">
        <v>26</v>
      </c>
    </row>
    <row r="137" spans="1:34" s="243" customFormat="1">
      <c r="A137" s="243">
        <v>1959</v>
      </c>
      <c r="B137" s="244">
        <f>K6*($E6/365)+K7*($E7/365)</f>
        <v>7.6712328767123275</v>
      </c>
      <c r="C137" s="244">
        <f>L6*($E6/365)+L7*($E7/365)</f>
        <v>0</v>
      </c>
      <c r="D137" s="244">
        <f>M6*($E6/365)+M7*($E7/365)</f>
        <v>92.328767123287676</v>
      </c>
      <c r="E137" s="246">
        <f>B137+C137+D137</f>
        <v>100</v>
      </c>
      <c r="G137" s="243">
        <v>1959</v>
      </c>
      <c r="H137" s="927">
        <f>(O6/$R6*100*($E6/365))+(O7/$R7*100*($E7/365))</f>
        <v>8.3686176836861783</v>
      </c>
      <c r="I137" s="927"/>
      <c r="J137" s="927">
        <f>(P6/$R6*100*($E6/365))+(P7/$R7*100*($E7/365))</f>
        <v>0</v>
      </c>
      <c r="K137" s="927"/>
      <c r="L137" s="927">
        <f>(Q6/$R6*100*($E6/365))+(Q7/$R7*100*($E7/365))</f>
        <v>91.631382316313818</v>
      </c>
      <c r="M137" s="927"/>
      <c r="N137" s="926">
        <f>H137+J137+L137</f>
        <v>100</v>
      </c>
      <c r="O137" s="926"/>
      <c r="R137" s="243">
        <v>1959</v>
      </c>
      <c r="S137" s="244">
        <f>(O6*($E6/365)) + (O7*($E7/365))</f>
        <v>4.602739726027397</v>
      </c>
      <c r="T137" s="244">
        <f>(P6*($E6/365)) + (P7*($E7/365))</f>
        <v>0</v>
      </c>
      <c r="U137" s="244">
        <f>(Q6*($E6/365)) + (Q7*($E7/365))</f>
        <v>15.000000000000002</v>
      </c>
      <c r="V137" s="244"/>
      <c r="W137" s="244">
        <f>S137+T137+U137</f>
        <v>19.602739726027398</v>
      </c>
      <c r="AH137" s="250"/>
    </row>
    <row r="138" spans="1:34">
      <c r="A138" s="1">
        <v>1960</v>
      </c>
      <c r="B138" s="7">
        <f>K8*($E8/366)+K9*($E9/366)</f>
        <v>66.666666666666657</v>
      </c>
      <c r="C138" s="7">
        <f>L8*($E8/366)+L9*($E9/366)</f>
        <v>0</v>
      </c>
      <c r="D138" s="7">
        <f>M8*($E8/366)+M9*($E9/366)</f>
        <v>33.333333333333329</v>
      </c>
      <c r="E138" s="51">
        <f>B138+C138+D138</f>
        <v>99.999999999999986</v>
      </c>
      <c r="G138" s="1">
        <v>1960</v>
      </c>
      <c r="H138" s="918">
        <f>(O8*100*($E8/366)/($O8+$P8+$Q8))+(O9*100*($E9/366)/($O9+$P9+$Q9))</f>
        <v>72.727272727272734</v>
      </c>
      <c r="I138" s="918"/>
      <c r="J138" s="918">
        <f>(P8*100*($E8/366)/($O8+$P8+$Q8))+(P9*100*($E9/366)/($O9+$P9+$Q9))</f>
        <v>0</v>
      </c>
      <c r="K138" s="918"/>
      <c r="L138" s="918">
        <f>(Q8*100*($E8/366)/($O8+$P8+$Q8))+(Q9*100*($E9/366)/($O9+$P9+$Q9))</f>
        <v>27.272727272727273</v>
      </c>
      <c r="M138" s="918"/>
      <c r="N138" s="919">
        <f>H138+J138+L138</f>
        <v>100</v>
      </c>
      <c r="O138" s="919"/>
      <c r="R138" s="1">
        <v>1960</v>
      </c>
      <c r="S138" s="7">
        <f>(O8*($E8/366)) + (O9*($E9/366))</f>
        <v>40</v>
      </c>
      <c r="T138" s="7">
        <f>(P8*($E8/366)) + (P9*($E9/366))</f>
        <v>0</v>
      </c>
      <c r="U138" s="7">
        <f>(Q8*($E8/366)) + (Q9*($E9/366))</f>
        <v>15</v>
      </c>
      <c r="V138" s="7"/>
      <c r="W138" s="7">
        <f>S138+T138+U138</f>
        <v>55</v>
      </c>
    </row>
    <row r="139" spans="1:34">
      <c r="A139" s="1">
        <v>1961</v>
      </c>
      <c r="B139" s="7">
        <f>K10*($E10/365)+K11*($E11/365)</f>
        <v>66.666666666666657</v>
      </c>
      <c r="C139" s="7">
        <f>L10*($E10/365)+L11*($E11/365)</f>
        <v>0</v>
      </c>
      <c r="D139" s="7">
        <f>M10*($E10/365)+M11*($E11/365)</f>
        <v>33.333333333333329</v>
      </c>
      <c r="E139" s="51">
        <f t="shared" ref="E139:E191" si="32">B139+C139+D139</f>
        <v>99.999999999999986</v>
      </c>
      <c r="G139" s="1">
        <v>1961</v>
      </c>
      <c r="H139" s="918">
        <f>(O10*100*($E10/365)/($O10+$P10+$Q10))+(O11*100*($E11/365)/($O11+$P11+$Q11))</f>
        <v>72.727272727272734</v>
      </c>
      <c r="I139" s="918"/>
      <c r="J139" s="918">
        <f>(P10*100*($E10/365)/($O10+$P10+$Q10))+(P11*100*($E11/365)/($O11+$P11+$Q11))</f>
        <v>0</v>
      </c>
      <c r="K139" s="918"/>
      <c r="L139" s="918">
        <f>(Q10*100*($E10/365)/($O10+$P10+$Q10))+(Q11*100*($E11/365)/($O11+$P11+$Q11))</f>
        <v>27.272727272727273</v>
      </c>
      <c r="M139" s="918"/>
      <c r="N139" s="919">
        <f>H139+J139+L139</f>
        <v>100</v>
      </c>
      <c r="O139" s="919"/>
      <c r="R139" s="1">
        <v>1961</v>
      </c>
      <c r="S139" s="7">
        <f>(O10*($E10/365)) + (O11*($E11/365))</f>
        <v>40</v>
      </c>
      <c r="T139" s="7">
        <f>(P10*($E10/365)) + (P11*($E11/365))</f>
        <v>0</v>
      </c>
      <c r="U139" s="7">
        <f>(Q10*($E10/365)) + (Q11*($E11/365))</f>
        <v>15</v>
      </c>
      <c r="V139" s="7"/>
      <c r="W139" s="7">
        <f t="shared" ref="W139:W191" si="33">S139+T139+U139</f>
        <v>55</v>
      </c>
    </row>
    <row r="140" spans="1:34">
      <c r="A140" s="1">
        <v>1962</v>
      </c>
      <c r="B140" s="7">
        <f>K12*($E12/365)+K13*($E13/365)</f>
        <v>66.666666666666657</v>
      </c>
      <c r="C140" s="7">
        <f>L12*($E12/365)+L13*($E13/365)</f>
        <v>0</v>
      </c>
      <c r="D140" s="7">
        <f>M12*($E12/365)+M13*($E13/365)</f>
        <v>33.333333333333329</v>
      </c>
      <c r="E140" s="51">
        <f t="shared" si="32"/>
        <v>99.999999999999986</v>
      </c>
      <c r="F140" s="2"/>
      <c r="G140" s="2">
        <v>1962</v>
      </c>
      <c r="H140" s="918">
        <f>(O12*100*($E12/365)/($O12+$P12+$Q12))+(O13*100*($E13/365)/($O13+$P13+$Q13))</f>
        <v>72.727272727272734</v>
      </c>
      <c r="I140" s="918"/>
      <c r="J140" s="918">
        <f>(P12*100*($E12/365)/($O12+$P12+$Q12))+(P13*100*($E13/365)/($O13+$P13+$Q13))</f>
        <v>0</v>
      </c>
      <c r="K140" s="918"/>
      <c r="L140" s="918">
        <f>(Q12*100*($E12/365)/($O12+$P12+$Q12))+(Q13*100*($E13/365)/($O13+$P13+$Q13))</f>
        <v>27.272727272727273</v>
      </c>
      <c r="M140" s="918"/>
      <c r="N140" s="919">
        <f t="shared" ref="N140:N190" si="34">H140+J140+L140</f>
        <v>100</v>
      </c>
      <c r="O140" s="919"/>
      <c r="R140" s="2">
        <v>1962</v>
      </c>
      <c r="S140" s="7">
        <f>(O12*($E12/365)) + (O13*($E13/365))</f>
        <v>40</v>
      </c>
      <c r="T140" s="7">
        <f>(P12*($E12/365)) + (P13*($E13/365))</f>
        <v>0</v>
      </c>
      <c r="U140" s="7">
        <f>(Q12*($E12/365)) + (Q13*($E13/365))</f>
        <v>15</v>
      </c>
      <c r="V140" s="7"/>
      <c r="W140" s="7">
        <f t="shared" si="33"/>
        <v>55</v>
      </c>
    </row>
    <row r="141" spans="1:34">
      <c r="A141" s="1">
        <v>1963</v>
      </c>
      <c r="B141" s="7">
        <f>K14*($E14/365)+K15*($E15/365)</f>
        <v>65.414220482713617</v>
      </c>
      <c r="C141" s="7">
        <f>L14*($E14/365)+L15*($E15/365)</f>
        <v>0</v>
      </c>
      <c r="D141" s="7">
        <f>M14*($E14/365)+M15*($E15/365)</f>
        <v>34.585779517286362</v>
      </c>
      <c r="E141" s="51">
        <f t="shared" si="32"/>
        <v>99.999999999999972</v>
      </c>
      <c r="F141" s="6"/>
      <c r="G141" s="2">
        <v>1963</v>
      </c>
      <c r="H141" s="918">
        <f>(O14*100*($E14/365)/($O14+$P14+$Q14))+(O15*100*($E15/365)/($O15+$P15+$Q15))</f>
        <v>73.032320168972348</v>
      </c>
      <c r="I141" s="918"/>
      <c r="J141" s="918">
        <f>(P14*100*($E14/365)/($O14+$P14+$Q14))+(P15*100*($E15/365)/($O15+$P15+$Q15))</f>
        <v>0</v>
      </c>
      <c r="K141" s="918"/>
      <c r="L141" s="918">
        <f>(Q14*100*($E14/365)/($O14+$P14+$Q14))+(Q15*100*($E15/365)/($O15+$P15+$Q15))</f>
        <v>26.967679831027638</v>
      </c>
      <c r="M141" s="918"/>
      <c r="N141" s="919">
        <f t="shared" si="34"/>
        <v>99.999999999999986</v>
      </c>
      <c r="O141" s="919"/>
      <c r="P141" s="5"/>
      <c r="Q141" s="5"/>
      <c r="R141" s="2">
        <v>1963</v>
      </c>
      <c r="S141" s="7">
        <f>(O14*($E14/365)) + (O15*($E15/365))</f>
        <v>40</v>
      </c>
      <c r="T141" s="7">
        <f>(P14*($E14/365)) + (P15*($E15/365))</f>
        <v>0</v>
      </c>
      <c r="U141" s="7">
        <f>(Q14*($E14/365)) + (Q15*($E15/365))</f>
        <v>14.776438356164382</v>
      </c>
      <c r="V141" s="7"/>
      <c r="W141" s="7">
        <f t="shared" si="33"/>
        <v>54.776438356164384</v>
      </c>
    </row>
    <row r="142" spans="1:34">
      <c r="A142" s="1">
        <v>1964</v>
      </c>
      <c r="B142" s="7">
        <f>K16*($E16/366)+K17*($E17/366)</f>
        <v>57.142857142857139</v>
      </c>
      <c r="C142" s="7">
        <f>L16*($E16/366)+L17*($E17/366)</f>
        <v>0</v>
      </c>
      <c r="D142" s="7">
        <f>M16*($E16/366)+M17*($E17/366)</f>
        <v>42.857142857142854</v>
      </c>
      <c r="E142" s="51">
        <f t="shared" si="32"/>
        <v>100</v>
      </c>
      <c r="F142" s="6"/>
      <c r="G142" s="2">
        <v>1964</v>
      </c>
      <c r="H142" s="918">
        <f>(O16*100*($E16/366)/($O16+$P16+$Q16))+(O17*100*($E17/366)/($O17+$P17+$Q17))</f>
        <v>75.046904315196997</v>
      </c>
      <c r="I142" s="918"/>
      <c r="J142" s="918">
        <f>(P16*100*($E16/366)/($O16+$P16+$Q16))+(P17*100*($E17/366)/($O17+$P17+$Q17))</f>
        <v>0</v>
      </c>
      <c r="K142" s="918"/>
      <c r="L142" s="918">
        <f>(Q16*100*($E16/366)/($O16+$P16+$Q16))+(Q17*100*($E17/366)/($O17+$P17+$Q17))</f>
        <v>24.953095684803003</v>
      </c>
      <c r="M142" s="918"/>
      <c r="N142" s="919">
        <f t="shared" si="34"/>
        <v>100</v>
      </c>
      <c r="O142" s="919"/>
      <c r="P142" s="5"/>
      <c r="Q142" s="5"/>
      <c r="R142" s="2">
        <v>1964</v>
      </c>
      <c r="S142" s="7">
        <f>(O16*($E16/366)) + (O17*($E17/366))</f>
        <v>40</v>
      </c>
      <c r="T142" s="7">
        <f>(P16*($E16/366)) + (P17*($E17/366))</f>
        <v>0</v>
      </c>
      <c r="U142" s="7">
        <f>(Q16*($E16/366)) + (Q17*($E17/366))</f>
        <v>13.3</v>
      </c>
      <c r="V142" s="7"/>
      <c r="W142" s="7">
        <f t="shared" si="33"/>
        <v>53.3</v>
      </c>
    </row>
    <row r="143" spans="1:34">
      <c r="A143" s="1">
        <v>1965</v>
      </c>
      <c r="B143" s="7">
        <f>K18*($E18/365)+K19*($E19/365)</f>
        <v>57.142857142857139</v>
      </c>
      <c r="C143" s="7">
        <f>L18*($E18/365)+L19*($E19/365)</f>
        <v>0</v>
      </c>
      <c r="D143" s="7">
        <f>M18*($E18/365)+M19*($E19/365)</f>
        <v>42.857142857142854</v>
      </c>
      <c r="E143" s="51">
        <f t="shared" si="32"/>
        <v>100</v>
      </c>
      <c r="F143" s="6"/>
      <c r="G143" s="2">
        <v>1965</v>
      </c>
      <c r="H143" s="918">
        <f>(O18*100*($E18/365)/($O18+$P18+$Q18))+(O19*100*($E19/365)/($O19+$P19+$Q19))</f>
        <v>75.046904315196997</v>
      </c>
      <c r="I143" s="918"/>
      <c r="J143" s="918">
        <f>(P18*100*($E18/366)/($O18+$P18+$Q18))+(P19*100*($E19/366)/($O19+$P19+$Q19))</f>
        <v>0</v>
      </c>
      <c r="K143" s="918"/>
      <c r="L143" s="918">
        <f>(Q18*100*($E18/365)/($O18+$P18+$Q18))+(Q19*100*($E19/365)/($O19+$P19+$Q19))</f>
        <v>24.953095684803003</v>
      </c>
      <c r="M143" s="918"/>
      <c r="N143" s="919">
        <f>H143+J143+L143</f>
        <v>100</v>
      </c>
      <c r="O143" s="919"/>
      <c r="P143" s="5"/>
      <c r="Q143" s="5"/>
      <c r="R143" s="2">
        <v>1965</v>
      </c>
      <c r="S143" s="7">
        <f>(O18*($E18/365)) + (O19*($E19/365))</f>
        <v>40</v>
      </c>
      <c r="T143" s="7">
        <f>(P18*($E18/365)) + (P19*($E19/365))</f>
        <v>0</v>
      </c>
      <c r="U143" s="7">
        <f>(Q18*($E18/365)) + (Q19*($E19/365))</f>
        <v>13.3</v>
      </c>
      <c r="V143" s="7"/>
      <c r="W143" s="7">
        <f t="shared" si="33"/>
        <v>53.3</v>
      </c>
    </row>
    <row r="144" spans="1:34">
      <c r="A144" s="1">
        <v>1966</v>
      </c>
      <c r="B144" s="7">
        <f>K20*($E20/365)+K21*($E21/365)</f>
        <v>57.142857142857139</v>
      </c>
      <c r="C144" s="7">
        <f>L20*($E20/365)+L21*($E21/365)</f>
        <v>0</v>
      </c>
      <c r="D144" s="7">
        <f>M20*($E20/365)+M21*($E21/365)</f>
        <v>42.857142857142854</v>
      </c>
      <c r="E144" s="51">
        <f t="shared" si="32"/>
        <v>100</v>
      </c>
      <c r="F144" s="6"/>
      <c r="G144" s="2">
        <v>1966</v>
      </c>
      <c r="H144" s="918">
        <f>(O20*100*($E20/365)/($O20+$P20+$Q20))+(O21*100*($E21/365)/($O21+$P21+$Q21))</f>
        <v>75.046904315196997</v>
      </c>
      <c r="I144" s="918"/>
      <c r="J144" s="918">
        <f>(P20*100*($E20/365)/($O20+$P20+$Q20))+(P21*100*($E21/365)/($O21+$P21+$Q21))</f>
        <v>0</v>
      </c>
      <c r="K144" s="918"/>
      <c r="L144" s="918">
        <f>(Q20*100*($E20/365)/($O20+$P20+$Q20))+(Q21*100*($E21/365)/($O21+$P21+$Q21))</f>
        <v>24.953095684803003</v>
      </c>
      <c r="M144" s="918"/>
      <c r="N144" s="919">
        <f>H144+J144+L144</f>
        <v>100</v>
      </c>
      <c r="O144" s="919"/>
      <c r="P144" s="5"/>
      <c r="Q144" s="5"/>
      <c r="R144" s="2">
        <v>1966</v>
      </c>
      <c r="S144" s="7">
        <f>(O20*($E20/365)) + (O21*($E21/365))</f>
        <v>40</v>
      </c>
      <c r="T144" s="7">
        <f>(P20*($E20/365)) + (P21*($E21/365))</f>
        <v>0</v>
      </c>
      <c r="U144" s="7">
        <f>(Q20*($E20/365)) + (Q21*($E21/365))</f>
        <v>13.3</v>
      </c>
      <c r="V144" s="7"/>
      <c r="W144" s="7">
        <f t="shared" si="33"/>
        <v>53.3</v>
      </c>
    </row>
    <row r="145" spans="1:23">
      <c r="A145" s="1">
        <v>1967</v>
      </c>
      <c r="B145" s="7">
        <f>K22*($E22/365)+K23*($E23/365)</f>
        <v>57.142857142857139</v>
      </c>
      <c r="C145" s="7">
        <f>L22*($E22/365)+L23*($E23/365)</f>
        <v>0</v>
      </c>
      <c r="D145" s="7">
        <f>M22*($E22/365)+M23*($E23/365)</f>
        <v>42.857142857142861</v>
      </c>
      <c r="E145" s="51">
        <f t="shared" si="32"/>
        <v>100</v>
      </c>
      <c r="F145" s="6"/>
      <c r="G145" s="2">
        <v>1967</v>
      </c>
      <c r="H145" s="918">
        <f>(O22*100*($E22/365)/($O22+$P22+$Q22))+(O23*100*($E23/365)/($O23+$P23+$Q23))</f>
        <v>73.273021665938472</v>
      </c>
      <c r="I145" s="918"/>
      <c r="J145" s="918">
        <f>(P22*100*($E22/365)/($O22+$P22+$Q22))+(P23*100*($E23/365)/($O23+$P23+$Q23))</f>
        <v>0</v>
      </c>
      <c r="K145" s="918"/>
      <c r="L145" s="918">
        <f>(Q22*100*($E22/365)/($O22+$P22+$Q22))+(Q23*100*($E23/365)/($O23+$P23+$Q23))</f>
        <v>26.726978334061531</v>
      </c>
      <c r="M145" s="918"/>
      <c r="N145" s="919">
        <f t="shared" si="34"/>
        <v>100</v>
      </c>
      <c r="O145" s="919"/>
      <c r="P145" s="5"/>
      <c r="Q145" s="5"/>
      <c r="R145" s="2">
        <v>1967</v>
      </c>
      <c r="S145" s="7">
        <f>(O22*($E22/365)) + (O23*($E23/365))</f>
        <v>39.054520547945202</v>
      </c>
      <c r="T145" s="7">
        <f>(P22*($E22/365)) + (P23*($E23/365))</f>
        <v>0</v>
      </c>
      <c r="U145" s="7">
        <f>(Q22*($E22/365)) + (Q23*($E23/365))</f>
        <v>14.245479452054795</v>
      </c>
      <c r="V145" s="7"/>
      <c r="W145" s="7">
        <f t="shared" si="33"/>
        <v>53.3</v>
      </c>
    </row>
    <row r="146" spans="1:23">
      <c r="A146" s="1">
        <v>1968</v>
      </c>
      <c r="B146" s="7">
        <f>K24*($E24/366)+K25*($E25/366)</f>
        <v>57.142857142857139</v>
      </c>
      <c r="C146" s="7">
        <f>L24*($E24/366)+L25*($E25/366)</f>
        <v>0</v>
      </c>
      <c r="D146" s="7">
        <f>M24*($E24/366)+M25*($E25/366)</f>
        <v>42.857142857142854</v>
      </c>
      <c r="E146" s="51">
        <f t="shared" si="32"/>
        <v>100</v>
      </c>
      <c r="F146" s="6"/>
      <c r="G146" s="2">
        <v>1968</v>
      </c>
      <c r="H146" s="918">
        <f>(O24*100*($E24/366)/($O24+$P24+$Q24))+(O25*100*($E25/366)/($O25+$P25+$Q25))</f>
        <v>71.857410881801115</v>
      </c>
      <c r="I146" s="918"/>
      <c r="J146" s="918">
        <f>(P24*100*($E24/366)/($O24+$P24+$Q24))+(P25*100*($E25/366)/($O25+$P25+$Q25))</f>
        <v>0</v>
      </c>
      <c r="K146" s="918"/>
      <c r="L146" s="918">
        <f>(Q24*100*($E24/366)/($O24+$P24+$Q24))+(Q25*100*($E25/366)/($O25+$P25+$Q25))</f>
        <v>28.142589118198877</v>
      </c>
      <c r="M146" s="918"/>
      <c r="N146" s="919">
        <f t="shared" si="34"/>
        <v>100</v>
      </c>
      <c r="O146" s="919"/>
      <c r="P146" s="5"/>
      <c r="Q146" s="5"/>
      <c r="R146" s="2">
        <v>1968</v>
      </c>
      <c r="S146" s="7">
        <f>(O24*($E24/366)) + (O25*($E25/366))</f>
        <v>38.299999999999997</v>
      </c>
      <c r="T146" s="7">
        <f>(P24*($E24/366)) + (P25*($E25/366))</f>
        <v>0</v>
      </c>
      <c r="U146" s="7">
        <f>(Q24*($E24/366)) + (Q25*($E25/366))</f>
        <v>15</v>
      </c>
      <c r="V146" s="7"/>
      <c r="W146" s="7">
        <f t="shared" si="33"/>
        <v>53.3</v>
      </c>
    </row>
    <row r="147" spans="1:23">
      <c r="A147" s="1">
        <v>1969</v>
      </c>
      <c r="B147" s="7">
        <f>K26*($E26/365)+K27*($E27/365)</f>
        <v>57.142857142857139</v>
      </c>
      <c r="C147" s="7">
        <f>L26*($E26/365)+L27*($E27/365)</f>
        <v>0</v>
      </c>
      <c r="D147" s="7">
        <f>M26*($E26/365)+M27*($E27/365)</f>
        <v>42.857142857142854</v>
      </c>
      <c r="E147" s="51">
        <f t="shared" si="32"/>
        <v>100</v>
      </c>
      <c r="F147" s="6"/>
      <c r="G147" s="2">
        <v>1969</v>
      </c>
      <c r="H147" s="918">
        <f>(O26*100*($E26/365)/($O26+$P26+$Q26))+(O27*100*($E27/365)/($O27+$P27+$Q27))</f>
        <v>71.857410881801115</v>
      </c>
      <c r="I147" s="918"/>
      <c r="J147" s="918">
        <f>(P26*100*($E26/365)/($O26+$P26+$Q26))+(P27*100*($E27/365)/($O27+$P27+$Q27))</f>
        <v>0</v>
      </c>
      <c r="K147" s="918"/>
      <c r="L147" s="918">
        <f>(Q26*100*($E26/365)/($O26+$P26+$Q26))+(Q27*100*($E27/365)/($O27+$P27+$Q27))</f>
        <v>28.142589118198877</v>
      </c>
      <c r="M147" s="918"/>
      <c r="N147" s="919">
        <f t="shared" si="34"/>
        <v>100</v>
      </c>
      <c r="O147" s="919"/>
      <c r="P147" s="5"/>
      <c r="Q147" s="5"/>
      <c r="R147" s="2">
        <v>1969</v>
      </c>
      <c r="S147" s="7">
        <f>(O26*($E26/365)) + (O27*($E27/365))</f>
        <v>38.299999999999997</v>
      </c>
      <c r="T147" s="7">
        <f>(P26*($E26/365)) + (P27*($E27/365))</f>
        <v>0</v>
      </c>
      <c r="U147" s="7">
        <f>(Q26*($E26/365)) + (Q27*($E27/365))</f>
        <v>15</v>
      </c>
      <c r="V147" s="7"/>
      <c r="W147" s="7">
        <f t="shared" si="33"/>
        <v>53.3</v>
      </c>
    </row>
    <row r="148" spans="1:23">
      <c r="A148" s="1">
        <v>1970</v>
      </c>
      <c r="B148" s="7">
        <f>K28*($E28/365)+K29*($E29/365)</f>
        <v>57.142857142857146</v>
      </c>
      <c r="C148" s="7">
        <f>L28*($E28/365)+L29*($E29/365)</f>
        <v>0</v>
      </c>
      <c r="D148" s="7">
        <f>M28*($E28/365)+M29*($E29/365)</f>
        <v>42.857142857142854</v>
      </c>
      <c r="E148" s="51">
        <f t="shared" si="32"/>
        <v>100</v>
      </c>
      <c r="F148" s="6"/>
      <c r="G148" s="2">
        <v>1970</v>
      </c>
      <c r="H148" s="918">
        <f>(O28*100*($E28/365)/($O28+$P28+$Q28))+(O29*100*($E29/365)/($O29+$P29+$Q29))</f>
        <v>71.85741088180113</v>
      </c>
      <c r="I148" s="918"/>
      <c r="J148" s="918">
        <f>(P28*100*($E28/365)/($O28+$P28+$Q28))+(P29*100*($E29/365)/($O29+$P29+$Q29))</f>
        <v>0</v>
      </c>
      <c r="K148" s="918"/>
      <c r="L148" s="918">
        <f>(Q28*100*($E28/365)/($O28+$P28+$Q28))+(Q29*100*($E29/365)/($O29+$P29+$Q29))</f>
        <v>28.142589118198877</v>
      </c>
      <c r="M148" s="918"/>
      <c r="N148" s="919">
        <f t="shared" si="34"/>
        <v>100</v>
      </c>
      <c r="O148" s="919"/>
      <c r="P148" s="5"/>
      <c r="Q148" s="5"/>
      <c r="R148" s="2">
        <v>1970</v>
      </c>
      <c r="S148" s="7">
        <f>(O28*($E28/365)) + (O29*($E29/365))</f>
        <v>38.299999999999997</v>
      </c>
      <c r="T148" s="7">
        <f>(P28*($E28/365)) + (P29*($E29/365))</f>
        <v>0</v>
      </c>
      <c r="U148" s="7">
        <f>(Q28*($E28/365)) + (Q29*($E29/365))</f>
        <v>15.000000000000002</v>
      </c>
      <c r="V148" s="7"/>
      <c r="W148" s="7">
        <f t="shared" si="33"/>
        <v>53.3</v>
      </c>
    </row>
    <row r="149" spans="1:23">
      <c r="A149" s="1">
        <v>1971</v>
      </c>
      <c r="B149" s="7">
        <f>K30*($E30/365)+K31*($E31/365)</f>
        <v>25.675146771037181</v>
      </c>
      <c r="C149" s="7">
        <f>L30*($E30/365)+L31*($E31/365)</f>
        <v>39.334637964774949</v>
      </c>
      <c r="D149" s="7">
        <f>M30*($E30/365)+M31*($E31/365)</f>
        <v>34.99021526418786</v>
      </c>
      <c r="E149" s="51">
        <f t="shared" si="32"/>
        <v>100</v>
      </c>
      <c r="F149" s="6"/>
      <c r="G149" s="2">
        <v>1971</v>
      </c>
      <c r="H149" s="918">
        <f>(O30*100*($E30/365)/($O30+$P30+$Q30))+(O31*100*($E31/365)/($O31+$P31+$Q31))</f>
        <v>32.286617492096944</v>
      </c>
      <c r="I149" s="918"/>
      <c r="J149" s="918">
        <f>(P30*100*($E30/365)/($O30+$P30+$Q30))+(P31*100*($E31/365)/($O31+$P31+$Q31))</f>
        <v>37.814387416793032</v>
      </c>
      <c r="K149" s="918"/>
      <c r="L149" s="918">
        <f>(Q30*100*($E30/365)/($O30+$P30+$Q30))+(Q31*100*($E31/365)/($O31+$P31+$Q31))</f>
        <v>29.898995091110024</v>
      </c>
      <c r="M149" s="918"/>
      <c r="N149" s="919">
        <f t="shared" si="34"/>
        <v>100</v>
      </c>
      <c r="O149" s="919"/>
      <c r="P149" s="5"/>
      <c r="Q149" s="5"/>
      <c r="R149" s="2">
        <v>1971</v>
      </c>
      <c r="S149" s="7">
        <f>(O30*($E30/365)) + (O31*($E31/365))</f>
        <v>17.208767123287668</v>
      </c>
      <c r="T149" s="7">
        <f>(P30*($E30/365)) + (P31*($E31/365))</f>
        <v>20.155068493150683</v>
      </c>
      <c r="U149" s="7">
        <f>(Q30*($E30/365)) + (Q31*($E31/365))</f>
        <v>15.936164383561643</v>
      </c>
      <c r="V149" s="7"/>
      <c r="W149" s="7">
        <f t="shared" si="33"/>
        <v>53.3</v>
      </c>
    </row>
    <row r="150" spans="1:23">
      <c r="A150" s="1">
        <v>1972</v>
      </c>
      <c r="B150" s="7">
        <f>K32*($E32/366)+K33*($E33/366)</f>
        <v>0</v>
      </c>
      <c r="C150" s="7">
        <f>L32*($E32/366)+L33*($E33/366)</f>
        <v>71.428571428571431</v>
      </c>
      <c r="D150" s="7">
        <f>M32*($E32/366)+M33*($E33/366)</f>
        <v>28.571428571428569</v>
      </c>
      <c r="E150" s="51">
        <f t="shared" si="32"/>
        <v>100</v>
      </c>
      <c r="F150" s="6"/>
      <c r="G150" s="2">
        <v>1972</v>
      </c>
      <c r="H150" s="918">
        <f>(O32*100*($E32/366)/($O32+$P32+$Q32))+(O33*100*($E33/366)/($O33+$P33+$Q33))</f>
        <v>0</v>
      </c>
      <c r="I150" s="918"/>
      <c r="J150" s="918">
        <f>(P32*100*($E32/366)/($O32+$P32+$Q32))+(P33*100*($E33/366)/($O33+$P33+$Q33))</f>
        <v>68.667917448405262</v>
      </c>
      <c r="K150" s="918"/>
      <c r="L150" s="918">
        <f>(Q32*100*($E32/366)/($O32+$P32+$Q32))+(Q33*100*($E33/366)/($O33+$P33+$Q33))</f>
        <v>31.332082551594748</v>
      </c>
      <c r="M150" s="918"/>
      <c r="N150" s="919">
        <f t="shared" si="34"/>
        <v>100.00000000000001</v>
      </c>
      <c r="O150" s="919"/>
      <c r="P150" s="5"/>
      <c r="Q150" s="5"/>
      <c r="R150" s="2">
        <v>1972</v>
      </c>
      <c r="S150" s="7">
        <f>(O32*($E32/366)) + (O33*($E33/366))</f>
        <v>0</v>
      </c>
      <c r="T150" s="7">
        <f>(P32*($E32/366)) + (P33*($E33/366))</f>
        <v>36.6</v>
      </c>
      <c r="U150" s="7">
        <f>(Q32*($E32/366)) + (Q33*($E33/366))</f>
        <v>16.7</v>
      </c>
      <c r="V150" s="7"/>
      <c r="W150" s="7">
        <f t="shared" si="33"/>
        <v>53.3</v>
      </c>
    </row>
    <row r="151" spans="1:23">
      <c r="A151" s="1">
        <v>1973</v>
      </c>
      <c r="B151" s="7">
        <f>K34*($E34/365)+K35*($E35/365)</f>
        <v>0</v>
      </c>
      <c r="C151" s="7">
        <f>L34*($E34/365)+L35*($E35/365)</f>
        <v>71.428571428571431</v>
      </c>
      <c r="D151" s="7">
        <f>M34*($E34/365)+M35*($E35/365)</f>
        <v>28.571428571428569</v>
      </c>
      <c r="E151" s="51">
        <f t="shared" si="32"/>
        <v>100</v>
      </c>
      <c r="F151" s="6"/>
      <c r="G151" s="2">
        <v>1973</v>
      </c>
      <c r="H151" s="918">
        <f>(O34*100*($E34/365)/($O34+$P34+$Q34))+(O35*100*($E35/365)/($O35+$P35+$Q35))</f>
        <v>0</v>
      </c>
      <c r="I151" s="918"/>
      <c r="J151" s="918">
        <f>(P34*100*($E34/365)/($O34+$P34+$Q34))+(P35*100*($E35/365)/($O35+$P35+$Q35))</f>
        <v>68.667917448405262</v>
      </c>
      <c r="K151" s="918"/>
      <c r="L151" s="918">
        <f>(Q34*100*($E34/365)/($O34+$P34+$Q34))+(Q35*100*($E35/365)/($O35+$P35+$Q35))</f>
        <v>31.332082551594748</v>
      </c>
      <c r="M151" s="918"/>
      <c r="N151" s="919">
        <f t="shared" si="34"/>
        <v>100.00000000000001</v>
      </c>
      <c r="O151" s="919"/>
      <c r="P151" s="5"/>
      <c r="Q151" s="5"/>
      <c r="R151" s="2">
        <v>1973</v>
      </c>
      <c r="S151" s="7">
        <f>(O34*($E34/365)) + (O35*($E35/365))</f>
        <v>0</v>
      </c>
      <c r="T151" s="7">
        <f>(P34*($E34/365)) + (P35*($E35/365))</f>
        <v>36.6</v>
      </c>
      <c r="U151" s="7">
        <f>(Q34*($E34/365)) + (Q35*($E35/365))</f>
        <v>16.7</v>
      </c>
      <c r="V151" s="7"/>
      <c r="W151" s="7">
        <f t="shared" si="33"/>
        <v>53.3</v>
      </c>
    </row>
    <row r="152" spans="1:23">
      <c r="A152" s="1">
        <v>1974</v>
      </c>
      <c r="B152" s="7">
        <f>K36*($E36/365)+K37*($E37/365)</f>
        <v>17.123287671232877</v>
      </c>
      <c r="C152" s="7">
        <f>L36*($E36/365)+L37*($E37/365)</f>
        <v>64.090019569471622</v>
      </c>
      <c r="D152" s="7">
        <f>M36*($E36/365)+M37*($E37/365)</f>
        <v>18.786692759295498</v>
      </c>
      <c r="E152" s="51">
        <f t="shared" si="32"/>
        <v>100</v>
      </c>
      <c r="F152" s="6"/>
      <c r="G152" s="2">
        <v>1974</v>
      </c>
      <c r="H152" s="918">
        <f>(O36*100*($E36/365)/($O36+$P36+$Q36))+(O37*100*($E37/365)/($O37+$P37+$Q37))</f>
        <v>20.401174168297455</v>
      </c>
      <c r="I152" s="918"/>
      <c r="J152" s="918">
        <f>(P36*100*($E36/365)/($O36+$P36+$Q36))+(P37*100*($E37/365)/($O37+$P37+$Q37))</f>
        <v>58.996908537503252</v>
      </c>
      <c r="K152" s="918"/>
      <c r="L152" s="918">
        <f>(Q36*100*($E36/365)/($O36+$P36+$Q36))+(Q37*100*($E37/365)/($O37+$P37+$Q37))</f>
        <v>20.601917294199286</v>
      </c>
      <c r="M152" s="918"/>
      <c r="N152" s="919">
        <f t="shared" si="34"/>
        <v>99.999999999999986</v>
      </c>
      <c r="O152" s="919"/>
      <c r="P152" s="5"/>
      <c r="Q152" s="5"/>
      <c r="R152" s="2">
        <v>1974</v>
      </c>
      <c r="S152" s="7">
        <f>(O36*($E36/365)) + (O37*($E37/365))</f>
        <v>14.28082191780822</v>
      </c>
      <c r="T152" s="7">
        <f>(P36*($E36/365)) + (P37*($E37/365))</f>
        <v>33.757534246575339</v>
      </c>
      <c r="U152" s="7">
        <f>(Q36*($E36/365)) + (Q37*($E37/365))</f>
        <v>10.980821917808218</v>
      </c>
      <c r="V152" s="7"/>
      <c r="W152" s="7">
        <f t="shared" si="33"/>
        <v>59.019178082191772</v>
      </c>
    </row>
    <row r="153" spans="1:23">
      <c r="A153" s="1">
        <v>1975</v>
      </c>
      <c r="B153" s="7">
        <f>K38*($E38/365)+K39*($E39/365)</f>
        <v>50</v>
      </c>
      <c r="C153" s="7">
        <f>L38*($E38/365)+L39*($E39/365)</f>
        <v>50</v>
      </c>
      <c r="D153" s="7">
        <f>M38*($E38/365)+M39*($E39/365)</f>
        <v>0</v>
      </c>
      <c r="E153" s="51">
        <f t="shared" si="32"/>
        <v>100</v>
      </c>
      <c r="F153" s="6"/>
      <c r="G153" s="2">
        <v>1975</v>
      </c>
      <c r="H153" s="918">
        <f>(O38*100*($E38/365)/($O38+$P38+$Q38))+(O39*100*($E39/365)/($O39+$P39+$Q39))</f>
        <v>59.571428571428569</v>
      </c>
      <c r="I153" s="918"/>
      <c r="J153" s="918">
        <f>(P38*100*($E38/365)/($O38+$P38+$Q38))+(P39*100*($E39/365)/($O39+$P39+$Q39))</f>
        <v>40.428571428571431</v>
      </c>
      <c r="K153" s="918"/>
      <c r="L153" s="918">
        <f>(Q38*100*($E38/365)/($O38+$P38+$Q38))+(Q39*100*($E39/365)/($O39+$P39+$Q39))</f>
        <v>0</v>
      </c>
      <c r="M153" s="918"/>
      <c r="N153" s="919">
        <f t="shared" si="34"/>
        <v>100</v>
      </c>
      <c r="O153" s="919"/>
      <c r="P153" s="5"/>
      <c r="Q153" s="5"/>
      <c r="R153" s="2">
        <v>1975</v>
      </c>
      <c r="S153" s="7">
        <f>(O38*($E38/365)) + (O39*($E39/365))</f>
        <v>41.7</v>
      </c>
      <c r="T153" s="7">
        <f>(P38*($E38/365)) + (P39*($E39/365))</f>
        <v>28.3</v>
      </c>
      <c r="U153" s="7">
        <f>(Q38*($E38/365)) + (Q39*($E39/365))</f>
        <v>0</v>
      </c>
      <c r="V153" s="7"/>
      <c r="W153" s="7">
        <f t="shared" si="33"/>
        <v>70</v>
      </c>
    </row>
    <row r="154" spans="1:23">
      <c r="A154" s="1">
        <v>1976</v>
      </c>
      <c r="B154" s="7">
        <f>K40*($E40/366)+K41*($E41/366)</f>
        <v>50</v>
      </c>
      <c r="C154" s="7">
        <f>L40*($E40/366)+L41*($E41/366)</f>
        <v>50</v>
      </c>
      <c r="D154" s="7">
        <f>M40*($E40/366)+M41*($E41/366)</f>
        <v>0</v>
      </c>
      <c r="E154" s="51">
        <f t="shared" si="32"/>
        <v>100</v>
      </c>
      <c r="F154" s="6"/>
      <c r="G154" s="2">
        <v>1976</v>
      </c>
      <c r="H154" s="918">
        <f>(O40*100*($E40/366)/($O40+$P40+$Q40))+(O41*100*($E41/366)/($O41+$P41+$Q41))</f>
        <v>59.571428571428569</v>
      </c>
      <c r="I154" s="918"/>
      <c r="J154" s="918">
        <f>(P40*100*($E40/366)/($O40+$P40+$Q40))+(P41*100*($E41/366)/($O41+$P41+$Q41))</f>
        <v>40.428571428571431</v>
      </c>
      <c r="K154" s="918"/>
      <c r="L154" s="918">
        <f>(Q40*100*($E40/366)/($O40+$P40+$Q40))+(Q41*100*($E41/366)/($O41+$P41+$Q41))</f>
        <v>0</v>
      </c>
      <c r="M154" s="918"/>
      <c r="N154" s="919">
        <f t="shared" si="34"/>
        <v>100</v>
      </c>
      <c r="O154" s="919"/>
      <c r="P154" s="5"/>
      <c r="Q154" s="5"/>
      <c r="R154" s="2">
        <v>1976</v>
      </c>
      <c r="S154" s="7">
        <f>(O40*($E40/366)) + (O41*($E41/366))</f>
        <v>41.7</v>
      </c>
      <c r="T154" s="7">
        <f>(P40*($E40/366)) + (P41*($E41/366))</f>
        <v>28.3</v>
      </c>
      <c r="U154" s="7">
        <f>(Q40*($E40/366)) + (Q41*($E41/366))</f>
        <v>0</v>
      </c>
      <c r="V154" s="7"/>
      <c r="W154" s="7">
        <f t="shared" si="33"/>
        <v>70</v>
      </c>
    </row>
    <row r="155" spans="1:23">
      <c r="A155" s="1">
        <v>1977</v>
      </c>
      <c r="B155" s="7">
        <f>K42*($E42/365)+K43*($E43/365)</f>
        <v>50</v>
      </c>
      <c r="C155" s="7">
        <f>L42*($E42/365)+L43*($E43/365)</f>
        <v>50</v>
      </c>
      <c r="D155" s="7">
        <f>M42*($E42/365)+M43*($E43/365)</f>
        <v>0</v>
      </c>
      <c r="E155" s="51">
        <f t="shared" si="32"/>
        <v>100</v>
      </c>
      <c r="F155" s="6"/>
      <c r="G155" s="2">
        <v>1977</v>
      </c>
      <c r="H155" s="918">
        <f>(O42*100*($E42/365)/($O42+$P42+$Q42))+(O43*100*($E43/365)/($O43+$P43+$Q43))</f>
        <v>59.571428571428569</v>
      </c>
      <c r="I155" s="918"/>
      <c r="J155" s="918">
        <f>(P42*100*($E42/365)/($O42+$P42+$Q42))+(P43*100*($E43/365)/($O43+$P43+$Q43))</f>
        <v>40.428571428571431</v>
      </c>
      <c r="K155" s="918"/>
      <c r="L155" s="918">
        <f>(Q42*100*($E42/365)/($O42+$P42+$Q42))+(Q43*100*($E43/365)/($O43+$P43+$Q43))</f>
        <v>0</v>
      </c>
      <c r="M155" s="918"/>
      <c r="N155" s="919">
        <f t="shared" si="34"/>
        <v>100</v>
      </c>
      <c r="O155" s="919"/>
      <c r="P155" s="5"/>
      <c r="Q155" s="5"/>
      <c r="R155" s="2">
        <v>1977</v>
      </c>
      <c r="S155" s="7">
        <f>(O42*($E42/365)) + (O43*($E43/365))</f>
        <v>41.7</v>
      </c>
      <c r="T155" s="7">
        <f>(P42*($E42/365)) + (P43*($E43/365))</f>
        <v>28.3</v>
      </c>
      <c r="U155" s="7">
        <f>(Q42*($E42/365)) + (Q43*($E43/365))</f>
        <v>0</v>
      </c>
      <c r="V155" s="7"/>
      <c r="W155" s="7">
        <f t="shared" si="33"/>
        <v>70</v>
      </c>
    </row>
    <row r="156" spans="1:23">
      <c r="A156" s="1">
        <v>1978</v>
      </c>
      <c r="B156" s="7">
        <f>K44*($E44/365)+K45*($E45/365)</f>
        <v>33.150684931506852</v>
      </c>
      <c r="C156" s="7">
        <f>L44*($E44/365)+L45*($E45/365)</f>
        <v>44.38356164383562</v>
      </c>
      <c r="D156" s="7">
        <f>M44*($E44/365)+M45*($E45/365)</f>
        <v>22.465753424657532</v>
      </c>
      <c r="E156" s="51">
        <f t="shared" si="32"/>
        <v>100.00000000000001</v>
      </c>
      <c r="F156" s="6"/>
      <c r="G156" s="2">
        <v>1978</v>
      </c>
      <c r="H156" s="918">
        <f>(O44*100*($E44/365)/($O44+$P44+$Q44))+(O45*100*($E45/365)/($O45+$P45+$Q45))</f>
        <v>39.496673189823881</v>
      </c>
      <c r="I156" s="918"/>
      <c r="J156" s="918">
        <f>(P44*100*($E44/365)/($O44+$P44+$Q44))+(P45*100*($E45/365)/($O45+$P45+$Q45))</f>
        <v>36.924405423035566</v>
      </c>
      <c r="K156" s="918"/>
      <c r="L156" s="918">
        <f>(Q44*100*($E44/365)/($O44+$P44+$Q44))+(Q45*100*($E45/365)/($O45+$P45+$Q45))</f>
        <v>23.578921387140568</v>
      </c>
      <c r="M156" s="918"/>
      <c r="N156" s="919">
        <f t="shared" si="34"/>
        <v>100.00000000000001</v>
      </c>
      <c r="O156" s="919"/>
      <c r="P156" s="5"/>
      <c r="Q156" s="5"/>
      <c r="R156" s="2">
        <v>1978</v>
      </c>
      <c r="S156" s="7">
        <f>(O44*($E44/365)) + (O45*($E45/365))</f>
        <v>27.647671232876718</v>
      </c>
      <c r="T156" s="7">
        <f>(P44*($E44/365)) + (P45*($E45/365))</f>
        <v>25.503013698630138</v>
      </c>
      <c r="U156" s="7">
        <f>(Q44*($E44/365)) + (Q45*($E45/365))</f>
        <v>15.703561643835616</v>
      </c>
      <c r="V156" s="7"/>
      <c r="W156" s="7">
        <f t="shared" si="33"/>
        <v>68.854246575342472</v>
      </c>
    </row>
    <row r="157" spans="1:23">
      <c r="A157" s="1">
        <v>1979</v>
      </c>
      <c r="B157" s="7">
        <f>K46*($E46/365)+K47*($E47/365)</f>
        <v>0</v>
      </c>
      <c r="C157" s="7">
        <f>L46*($E46/365)+L47*($E47/365)</f>
        <v>26.210045662100452</v>
      </c>
      <c r="D157" s="7">
        <f>M46*($E46/365)+M47*($E47/365)</f>
        <v>73.78995433789953</v>
      </c>
      <c r="E157" s="51">
        <f t="shared" si="32"/>
        <v>99.999999999999986</v>
      </c>
      <c r="F157" s="6"/>
      <c r="G157" s="2">
        <v>1979</v>
      </c>
      <c r="H157" s="918">
        <f>(O46*100*($E46/365)/($O46+$P46+$Q46))+(O47*100*($E47/365)/($O47+$P47+$Q47))</f>
        <v>0</v>
      </c>
      <c r="I157" s="918"/>
      <c r="J157" s="918">
        <f>(P46*100*($E46/365)/($O46+$P46+$Q46))+(P47*100*($E47/365)/($O47+$P47+$Q47))</f>
        <v>23.612653749640049</v>
      </c>
      <c r="K157" s="918"/>
      <c r="L157" s="918">
        <f>(Q46*100*($E46/365)/($O46+$P46+$Q46))+(Q47*100*($E47/365)/($O47+$P47+$Q47))</f>
        <v>76.387346250359954</v>
      </c>
      <c r="M157" s="918"/>
      <c r="N157" s="919">
        <f t="shared" si="34"/>
        <v>100</v>
      </c>
      <c r="O157" s="919"/>
      <c r="P157" s="5"/>
      <c r="Q157" s="5"/>
      <c r="R157" s="2">
        <v>1979</v>
      </c>
      <c r="S157" s="7">
        <f>(O46*($E46/365)) + (O47*($E47/365))</f>
        <v>0</v>
      </c>
      <c r="T157" s="7">
        <f>(P46*($E46/365)) + (P47*($E47/365))</f>
        <v>15.726027397260275</v>
      </c>
      <c r="U157" s="7">
        <f>(Q46*($E46/365)) + (Q47*($E47/365))</f>
        <v>41.620821917808222</v>
      </c>
      <c r="V157" s="7"/>
      <c r="W157" s="7">
        <f t="shared" si="33"/>
        <v>57.346849315068496</v>
      </c>
    </row>
    <row r="158" spans="1:23">
      <c r="A158" s="1">
        <v>1980</v>
      </c>
      <c r="B158" s="7">
        <f>K48*($E48/366)+K49*($E49/366)</f>
        <v>35.846994535519123</v>
      </c>
      <c r="C158" s="7">
        <f>L48*($E48/366)+L49*($E49/366)</f>
        <v>26.885245901639344</v>
      </c>
      <c r="D158" s="7">
        <f>M48*($E48/366)+M49*($E49/366)</f>
        <v>37.267759562841533</v>
      </c>
      <c r="E158" s="51">
        <f t="shared" si="32"/>
        <v>100</v>
      </c>
      <c r="F158" s="6"/>
      <c r="G158" s="2">
        <v>1980</v>
      </c>
      <c r="H158" s="918">
        <f>(O48*100*($E48/366)/($O48+$P48+$Q48))+(O49*100*($E49/366)/($O49+$P49+$Q49))</f>
        <v>38.438872816886324</v>
      </c>
      <c r="I158" s="918"/>
      <c r="J158" s="918">
        <f>(P48*100*($E48/366)/($O48+$P48+$Q48))+(P49*100*($E49/366)/($O49+$P49+$Q49))</f>
        <v>31.080574306225227</v>
      </c>
      <c r="K158" s="918"/>
      <c r="L158" s="918">
        <f>(Q48*100*($E48/366)/($O48+$P48+$Q48))+(Q49*100*($E49/366)/($O49+$P49+$Q49))</f>
        <v>30.48055287688846</v>
      </c>
      <c r="M158" s="918"/>
      <c r="N158" s="919">
        <f t="shared" si="34"/>
        <v>100</v>
      </c>
      <c r="O158" s="919"/>
      <c r="P158" s="5"/>
      <c r="Q158" s="5"/>
      <c r="R158" s="2">
        <v>1980</v>
      </c>
      <c r="S158" s="7">
        <f>(O48*($E48/366)) + (O49*($E49/366))</f>
        <v>31.366120218579233</v>
      </c>
      <c r="T158" s="7">
        <f>(P48*($E48/366)) + (P49*($E49/366))</f>
        <v>25.361748633879781</v>
      </c>
      <c r="U158" s="7">
        <f>(Q48*($E48/366)) + (Q49*($E49/366))</f>
        <v>18.819125683060111</v>
      </c>
      <c r="V158" s="7"/>
      <c r="W158" s="7">
        <f t="shared" si="33"/>
        <v>75.546994535519119</v>
      </c>
    </row>
    <row r="159" spans="1:23">
      <c r="A159" s="1">
        <v>1981</v>
      </c>
      <c r="B159" s="7">
        <f>K50*($E50/365)+K51*($E51/365)</f>
        <v>40</v>
      </c>
      <c r="C159" s="7">
        <f>L50*($E50/365)+L51*($E51/365)</f>
        <v>30</v>
      </c>
      <c r="D159" s="7">
        <f>M50*($E50/365)+M51*($E51/365)</f>
        <v>30</v>
      </c>
      <c r="E159" s="51">
        <f t="shared" si="32"/>
        <v>100</v>
      </c>
      <c r="F159" s="6"/>
      <c r="G159" s="2">
        <v>1981</v>
      </c>
      <c r="H159" s="918">
        <f>(O50*100*($E50/365)/($O50+$P50+$Q50))+(O51*100*($E51/365)/($O51+$P51+$Q51))</f>
        <v>42.892156862745104</v>
      </c>
      <c r="I159" s="918"/>
      <c r="J159" s="918">
        <f>(P50*100*($E50/365)/($O50+$P50+$Q50))+(P51*100*($E51/365)/($O51+$P51+$Q51))</f>
        <v>34.681372549019613</v>
      </c>
      <c r="K159" s="918"/>
      <c r="L159" s="918">
        <f>(Q50*100*($E50/365)/($O50+$P50+$Q50))+(Q51*100*($E51/365)/($O51+$P51+$Q51))</f>
        <v>22.426470588235297</v>
      </c>
      <c r="M159" s="918"/>
      <c r="N159" s="919">
        <f t="shared" si="34"/>
        <v>100.00000000000003</v>
      </c>
      <c r="O159" s="919"/>
      <c r="P159" s="5"/>
      <c r="Q159" s="5"/>
      <c r="R159" s="2">
        <v>1981</v>
      </c>
      <c r="S159" s="7">
        <f>(O50*($E50/365)) + (O51*($E51/365))</f>
        <v>35</v>
      </c>
      <c r="T159" s="7">
        <f>(P50*($E50/365)) + (P51*($E51/365))</f>
        <v>28.3</v>
      </c>
      <c r="U159" s="7">
        <f>(Q50*($E50/365)) + (Q51*($E51/365))</f>
        <v>18.3</v>
      </c>
      <c r="V159" s="7"/>
      <c r="W159" s="7">
        <f t="shared" si="33"/>
        <v>81.599999999999994</v>
      </c>
    </row>
    <row r="160" spans="1:23">
      <c r="A160" s="1">
        <v>1982</v>
      </c>
      <c r="B160" s="7">
        <f>K52*($E52/365)+K53*($E53/365)</f>
        <v>40</v>
      </c>
      <c r="C160" s="7">
        <f>L52*($E52/365)+L53*($E53/365)</f>
        <v>30</v>
      </c>
      <c r="D160" s="7">
        <f>M52*($E52/365)+M53*($E53/365)</f>
        <v>30</v>
      </c>
      <c r="E160" s="51">
        <f t="shared" si="32"/>
        <v>100</v>
      </c>
      <c r="F160" s="6"/>
      <c r="G160" s="2">
        <v>1982</v>
      </c>
      <c r="H160" s="918">
        <f>(O52*100*($E52/365)/($O52+$P52+$Q52))+(O53*100*($E53/365)/($O53+$P53+$Q53))</f>
        <v>42.892156862745104</v>
      </c>
      <c r="I160" s="918"/>
      <c r="J160" s="918">
        <f>(P52*100*($E52/365)/($O52+$P52+$Q52))+(P53*100*($E53/365)/($O53+$P53+$Q53))</f>
        <v>34.681372549019613</v>
      </c>
      <c r="K160" s="918"/>
      <c r="L160" s="918">
        <f>(Q52*100*($E52/365)/($O52+$P52+$Q52))+(Q53*100*($E53/365)/($O53+$P53+$Q53))</f>
        <v>22.426470588235297</v>
      </c>
      <c r="M160" s="918"/>
      <c r="N160" s="919">
        <f t="shared" si="34"/>
        <v>100.00000000000003</v>
      </c>
      <c r="O160" s="919"/>
      <c r="P160" s="5"/>
      <c r="Q160" s="5"/>
      <c r="R160" s="2">
        <v>1982</v>
      </c>
      <c r="S160" s="7">
        <f>(O52*($E52/365)) + (O53*($E53/365))</f>
        <v>35</v>
      </c>
      <c r="T160" s="7">
        <f>(P52*($E52/365)) + (P53*($E53/365))</f>
        <v>28.3</v>
      </c>
      <c r="U160" s="7">
        <f>(Q52*($E52/365)) + (Q53*($E53/365))</f>
        <v>18.3</v>
      </c>
      <c r="V160" s="7"/>
      <c r="W160" s="7">
        <f t="shared" si="33"/>
        <v>81.599999999999994</v>
      </c>
    </row>
    <row r="161" spans="1:23">
      <c r="A161" s="1">
        <v>1983</v>
      </c>
      <c r="B161" s="7">
        <f>K54*($E54/365)+K55*($E55/365)</f>
        <v>52.054794520547944</v>
      </c>
      <c r="C161" s="7">
        <f>L54*($E54/365)+L55*($E55/365)</f>
        <v>36.027397260273972</v>
      </c>
      <c r="D161" s="7">
        <f>M54*($E54/365)+M55*($E55/365)</f>
        <v>11.917808219178081</v>
      </c>
      <c r="E161" s="51">
        <f t="shared" si="32"/>
        <v>100</v>
      </c>
      <c r="F161" s="5"/>
      <c r="G161" s="2">
        <v>1983</v>
      </c>
      <c r="H161" s="918">
        <f>(O54*100*($E54/365)/($O54+$P54+$Q54))+(O55*100*($E55/365)/($O55+$P55+$Q55))</f>
        <v>54.514888147039642</v>
      </c>
      <c r="I161" s="918"/>
      <c r="J161" s="918">
        <f>(P54*100*($E54/365)/($O54+$P54+$Q54))+(P55*100*($E55/365)/($O55+$P55+$Q55))</f>
        <v>36.575966002839493</v>
      </c>
      <c r="K161" s="918"/>
      <c r="L161" s="918">
        <f>(Q54*100*($E54/365)/($O54+$P54+$Q54))+(Q55*100*($E55/365)/($O55+$P55+$Q55))</f>
        <v>8.9091458501208702</v>
      </c>
      <c r="M161" s="918"/>
      <c r="N161" s="919">
        <f t="shared" si="34"/>
        <v>100</v>
      </c>
      <c r="O161" s="919"/>
      <c r="Q161" s="5"/>
      <c r="R161" s="2">
        <v>1983</v>
      </c>
      <c r="S161" s="7">
        <f>(O54*($E54/365)) + (O55*($E55/365))</f>
        <v>36.989041095890407</v>
      </c>
      <c r="T161" s="7">
        <f>(P54*($E54/365)) + (P55*($E55/365))</f>
        <v>25.286301369863011</v>
      </c>
      <c r="U161" s="7">
        <f>(Q54*($E54/365)) + (Q55*($E55/365))</f>
        <v>7.2698630136986298</v>
      </c>
      <c r="V161" s="7"/>
      <c r="W161" s="7">
        <f t="shared" si="33"/>
        <v>69.545205479452051</v>
      </c>
    </row>
    <row r="162" spans="1:23">
      <c r="A162" s="1">
        <v>1984</v>
      </c>
      <c r="B162" s="7">
        <f>K56*($E56/366)+K57*($E57/366)</f>
        <v>60</v>
      </c>
      <c r="C162" s="7">
        <f>L56*($E56/366)+L57*($E57/366)</f>
        <v>40</v>
      </c>
      <c r="D162" s="7">
        <f>M56*($E56/366)+M57*($E57/366)</f>
        <v>0</v>
      </c>
      <c r="E162" s="51">
        <f t="shared" si="32"/>
        <v>100</v>
      </c>
      <c r="F162" s="6"/>
      <c r="G162" s="2">
        <v>1984</v>
      </c>
      <c r="H162" s="918">
        <f>(O56*100*($E56/366)/($O56+$P56+$Q56))+(O57*100*($E57/366)/($O57+$P57+$Q57))</f>
        <v>62.175324675324674</v>
      </c>
      <c r="I162" s="918"/>
      <c r="J162" s="918">
        <f>(P56*100*($E56/366)/($O56+$P56+$Q56))+(P57*100*($E57/366)/($O57+$P57+$Q57))</f>
        <v>37.824675324675326</v>
      </c>
      <c r="K162" s="918"/>
      <c r="L162" s="918">
        <f>(Q56*100*($E56/366)/($O56+$P56+$Q56))+(Q57*100*($E57/366)/($O57+$P57+$Q57))</f>
        <v>0</v>
      </c>
      <c r="M162" s="918"/>
      <c r="N162" s="919">
        <f t="shared" si="34"/>
        <v>100</v>
      </c>
      <c r="O162" s="919"/>
      <c r="Q162" s="5"/>
      <c r="R162" s="2">
        <v>1984</v>
      </c>
      <c r="S162" s="7">
        <f>(O56*($E56/366)) + (O57*($E57/366))</f>
        <v>38.299999999999997</v>
      </c>
      <c r="T162" s="7">
        <f>(P56*($E56/366)) + (P57*($E57/366))</f>
        <v>23.3</v>
      </c>
      <c r="U162" s="7">
        <f>(Q56*($E56/366)) + (Q57*($E57/366))</f>
        <v>0</v>
      </c>
      <c r="V162" s="7"/>
      <c r="W162" s="7">
        <f t="shared" si="33"/>
        <v>61.599999999999994</v>
      </c>
    </row>
    <row r="163" spans="1:23">
      <c r="A163" s="1">
        <v>1985</v>
      </c>
      <c r="B163" s="7">
        <f>K58*($E58/365)+K59*($E59/365)</f>
        <v>60</v>
      </c>
      <c r="C163" s="7">
        <f>L58*($E58/365)+L59*($E59/365)</f>
        <v>40</v>
      </c>
      <c r="D163" s="7">
        <f>M58*($E58/365)+M59*($E59/365)</f>
        <v>0</v>
      </c>
      <c r="E163" s="51">
        <f t="shared" si="32"/>
        <v>100</v>
      </c>
      <c r="G163" s="2">
        <v>1985</v>
      </c>
      <c r="H163" s="918">
        <f>(O58*100*($E58/365)/($O58+$P58+$Q58))+(O59*100*($E59/365)/($O59+$P59+$Q59))</f>
        <v>62.175324675324674</v>
      </c>
      <c r="I163" s="918"/>
      <c r="J163" s="918">
        <f>(P58*100*($E58/365)/($O58+$P58+$Q58))+(P59*100*($E59/365)/($O59+$P59+$Q59))</f>
        <v>37.824675324675326</v>
      </c>
      <c r="K163" s="918"/>
      <c r="L163" s="918">
        <f>(Q58*100*($E58/365)/($O58+$P58+$Q58))+(Q59*100*($E59/365)/($O59+$P59+$Q59))</f>
        <v>0</v>
      </c>
      <c r="M163" s="918"/>
      <c r="N163" s="919">
        <f t="shared" si="34"/>
        <v>100</v>
      </c>
      <c r="O163" s="919"/>
      <c r="R163" s="2">
        <v>1985</v>
      </c>
      <c r="S163" s="7">
        <f>(O58*($E58/365)) + (O59*($E59/365))</f>
        <v>38.299999999999997</v>
      </c>
      <c r="T163" s="7">
        <f>(P58*($E58/365)) + (P59*($E59/365))</f>
        <v>23.3</v>
      </c>
      <c r="U163" s="7">
        <f>(Q58*($E58/365)) + (Q59*($E59/365))</f>
        <v>0</v>
      </c>
      <c r="V163" s="7"/>
      <c r="W163" s="7">
        <f t="shared" si="33"/>
        <v>61.599999999999994</v>
      </c>
    </row>
    <row r="164" spans="1:23">
      <c r="A164" s="1">
        <v>1986</v>
      </c>
      <c r="B164" s="7">
        <f>K60*($E60/365)+K61*($E61/365)</f>
        <v>60</v>
      </c>
      <c r="C164" s="7">
        <f>L60*($E60/365)+L61*($E61/365)</f>
        <v>40</v>
      </c>
      <c r="D164" s="7">
        <f>M60*($E60/365)+M61*($E61/365)</f>
        <v>0</v>
      </c>
      <c r="E164" s="51">
        <f t="shared" si="32"/>
        <v>100</v>
      </c>
      <c r="G164" s="2">
        <v>1986</v>
      </c>
      <c r="H164" s="918">
        <f>(O60*100*($E60/365)/($O60+$P60+$Q60))+(O61*100*($E61/365)/($O61+$P61+$Q61))</f>
        <v>62.175324675324674</v>
      </c>
      <c r="I164" s="918"/>
      <c r="J164" s="918">
        <f>(P60*100*($E60/365)/($O60+$P60+$Q60))+(P61*100*($E61/365)/($O61+$P61+$Q61))</f>
        <v>37.824675324675326</v>
      </c>
      <c r="K164" s="918"/>
      <c r="L164" s="918">
        <f>(Q60*100*($E60/365)/($O60+$P60+$Q60))+(Q61*100*($E61/365)/($O61+$P61+$Q61))</f>
        <v>0</v>
      </c>
      <c r="M164" s="918"/>
      <c r="N164" s="919">
        <f t="shared" si="34"/>
        <v>100</v>
      </c>
      <c r="O164" s="919"/>
      <c r="R164" s="2">
        <v>1986</v>
      </c>
      <c r="S164" s="7">
        <f>(O60*($E60/365)) + (O61*($E61/365))</f>
        <v>38.299999999999997</v>
      </c>
      <c r="T164" s="7">
        <f>(P60*($E60/365)) + (P61*($E61/365))</f>
        <v>23.3</v>
      </c>
      <c r="U164" s="7">
        <f>(Q60*($E60/365)) + (Q61*($E61/365))</f>
        <v>0</v>
      </c>
      <c r="V164" s="7"/>
      <c r="W164" s="7">
        <f t="shared" si="33"/>
        <v>61.599999999999994</v>
      </c>
    </row>
    <row r="165" spans="1:23">
      <c r="A165" s="1">
        <v>1987</v>
      </c>
      <c r="B165" s="7">
        <f>K62*($E62/365)+K63*($E63/365)</f>
        <v>48.537982565379828</v>
      </c>
      <c r="C165" s="7">
        <f>L62*($E62/365)+L63*($E63/365)</f>
        <v>38.236612702366131</v>
      </c>
      <c r="D165" s="7">
        <f>M62*($E62/365)+M63*($E63/365)</f>
        <v>13.225404732254047</v>
      </c>
      <c r="E165" s="51">
        <f t="shared" si="32"/>
        <v>100</v>
      </c>
      <c r="G165" s="1">
        <v>1987</v>
      </c>
      <c r="H165" s="918">
        <f>(O62*100*($E62/365)/($O62+$P62+$Q62))+(O63*100*($E63/365)/($O63+$P63+$Q63))</f>
        <v>53.361537093043935</v>
      </c>
      <c r="I165" s="918"/>
      <c r="J165" s="918">
        <f>(P62*100*($E62/365)/($O62+$P62+$Q62))+(P63*100*($E63/365)/($O63+$P63+$Q63))</f>
        <v>34.850897048157321</v>
      </c>
      <c r="K165" s="918"/>
      <c r="L165" s="918">
        <f>(Q62*100*($E62/365)/($O62+$P62+$Q62))+(Q63*100*($E63/365)/($O63+$P63+$Q63))</f>
        <v>11.787565858798736</v>
      </c>
      <c r="M165" s="918"/>
      <c r="N165" s="919">
        <f t="shared" si="34"/>
        <v>100</v>
      </c>
      <c r="O165" s="919"/>
      <c r="R165" s="1">
        <v>1987</v>
      </c>
      <c r="S165" s="7">
        <f>(O62*($E62/365)) + (O63*($E63/365))</f>
        <v>33.596164383561643</v>
      </c>
      <c r="T165" s="7">
        <f>(P62*($E62/365)) + (P63*($E63/365))</f>
        <v>21.990684931506848</v>
      </c>
      <c r="U165" s="7">
        <f>(Q62*($E62/365)) + (Q63*($E63/365))</f>
        <v>7.6619178082191786</v>
      </c>
      <c r="V165" s="7"/>
      <c r="W165" s="7">
        <f t="shared" si="33"/>
        <v>63.248767123287671</v>
      </c>
    </row>
    <row r="166" spans="1:23">
      <c r="A166" s="1">
        <v>1988</v>
      </c>
      <c r="B166" s="7">
        <f>K64*($E64/366)+K65*($E65/366)</f>
        <v>27.024341778440142</v>
      </c>
      <c r="C166" s="7">
        <f>L64*($E64/366)+L65*($E65/366)</f>
        <v>35.585361814870012</v>
      </c>
      <c r="D166" s="7">
        <f>M64*($E64/366)+M65*($E65/366)</f>
        <v>37.390296406689842</v>
      </c>
      <c r="E166" s="51">
        <f t="shared" si="32"/>
        <v>100</v>
      </c>
      <c r="G166" s="1">
        <v>1988</v>
      </c>
      <c r="H166" s="918">
        <f>(O64*100*($E64/366)/($O64+$P64+$Q64))+(O65*100*($E65/366)/($O65+$P65+$Q65))</f>
        <v>32.699453551912569</v>
      </c>
      <c r="I166" s="918"/>
      <c r="J166" s="918">
        <f>(P64*100*($E64/366)/($O64+$P64+$Q64))+(P65*100*($E65/366)/($O65+$P65+$Q65))</f>
        <v>34.328130818798911</v>
      </c>
      <c r="K166" s="918"/>
      <c r="L166" s="918">
        <f>(Q64*100*($E64/366)/($O64+$P64+$Q64))+(Q65*100*($E65/366)/($O65+$P65+$Q65))</f>
        <v>32.97241562928852</v>
      </c>
      <c r="M166" s="918"/>
      <c r="N166" s="919">
        <f t="shared" si="34"/>
        <v>100</v>
      </c>
      <c r="O166" s="919"/>
      <c r="R166" s="1">
        <v>1988</v>
      </c>
      <c r="S166" s="7">
        <f>(O64*($E64/366)) + (O65*($E65/366))</f>
        <v>21.254644808743173</v>
      </c>
      <c r="T166" s="7">
        <f>(P64*($E64/366)) + (P65*($E65/366))</f>
        <v>20.6</v>
      </c>
      <c r="U166" s="7">
        <f>(Q64*($E64/366)) + (Q65*($E65/366))</f>
        <v>19.061748633879784</v>
      </c>
      <c r="V166" s="7"/>
      <c r="W166" s="7">
        <f t="shared" si="33"/>
        <v>60.916393442622962</v>
      </c>
    </row>
    <row r="167" spans="1:23">
      <c r="A167" s="1">
        <v>1989</v>
      </c>
      <c r="B167" s="7">
        <f>K66*($E66/365)+K67*($E67/365)</f>
        <v>4.7322540473225407</v>
      </c>
      <c r="C167" s="7">
        <f>L66*($E66/365)+L67*($E67/365)</f>
        <v>31.755915317559147</v>
      </c>
      <c r="D167" s="7">
        <f>M66*($E66/365)+M67*($E67/365)</f>
        <v>63.511830635118294</v>
      </c>
      <c r="E167" s="51">
        <f t="shared" si="32"/>
        <v>99.999999999999972</v>
      </c>
      <c r="G167" s="1">
        <v>1989</v>
      </c>
      <c r="H167" s="918">
        <f>(O66*100*($E66/365)/($O66+$P66+$Q66))+(O67*100*($E67/365)/($O67+$P67+$Q67))</f>
        <v>4.7990715878578252</v>
      </c>
      <c r="I167" s="918"/>
      <c r="J167" s="918">
        <f>(P66*100*($E66/365)/($O66+$P66+$Q66))+(P67*100*($E67/365)/($O67+$P67+$Q67))</f>
        <v>39.941733712629912</v>
      </c>
      <c r="K167" s="918"/>
      <c r="L167" s="918">
        <f>(Q66*100*($E66/365)/($O66+$P66+$Q66))+(Q67*100*($E67/365)/($O67+$P67+$Q67))</f>
        <v>55.259194699512257</v>
      </c>
      <c r="M167" s="918"/>
      <c r="N167" s="919">
        <f t="shared" si="34"/>
        <v>100</v>
      </c>
      <c r="O167" s="919"/>
      <c r="R167" s="1">
        <v>1989</v>
      </c>
      <c r="S167" s="7">
        <f>(O66*($E66/365)) + (O67*($E67/365))</f>
        <v>2.8890410958904109</v>
      </c>
      <c r="T167" s="7">
        <f>(P66*($E66/365)) + (P67*($E67/365))</f>
        <v>20.6</v>
      </c>
      <c r="U167" s="7">
        <f>(Q66*($E66/365)) + (Q67*($E67/365))</f>
        <v>28.499999999999996</v>
      </c>
      <c r="V167" s="7"/>
      <c r="W167" s="7">
        <f t="shared" si="33"/>
        <v>51.989041095890414</v>
      </c>
    </row>
    <row r="168" spans="1:23">
      <c r="A168" s="1">
        <v>1990</v>
      </c>
      <c r="B168" s="7">
        <f>K68*($E68/365)+K69*($E69/365)</f>
        <v>18.181818181818183</v>
      </c>
      <c r="C168" s="7">
        <f>L68*($E68/365)+L69*($E69/365)</f>
        <v>27.27272727272727</v>
      </c>
      <c r="D168" s="7">
        <f>M68*($E68/365)+M69*($E69/365)</f>
        <v>54.54545454545454</v>
      </c>
      <c r="E168" s="51">
        <f t="shared" si="32"/>
        <v>100</v>
      </c>
      <c r="G168" s="1">
        <v>1990</v>
      </c>
      <c r="H168" s="918">
        <f>(O68*100*($E68/365)/($O68+$P68+$Q68))+(O69*100*($E69/365)/($O69+$P69+$Q69))</f>
        <v>18.438538205980066</v>
      </c>
      <c r="I168" s="918"/>
      <c r="J168" s="918">
        <f>(P68*100*($E68/365)/($O68+$P68+$Q68))+(P69*100*($E69/365)/($O69+$P69+$Q69))</f>
        <v>34.219269102990033</v>
      </c>
      <c r="K168" s="918"/>
      <c r="L168" s="918">
        <f>(Q68*100*($E68/365)/($O68+$P68+$Q68))+(Q69*100*($E69/365)/($O69+$P69+$Q69))</f>
        <v>47.342192691029901</v>
      </c>
      <c r="M168" s="918"/>
      <c r="N168" s="919">
        <f t="shared" si="34"/>
        <v>100</v>
      </c>
      <c r="O168" s="919"/>
      <c r="R168" s="1">
        <v>1990</v>
      </c>
      <c r="S168" s="7">
        <f>(O68*($E68/365)) + (O69*($E69/365))</f>
        <v>11.1</v>
      </c>
      <c r="T168" s="7">
        <f>(P68*($E68/365)) + (P69*($E69/365))</f>
        <v>20.6</v>
      </c>
      <c r="U168" s="7">
        <f>(Q68*($E68/365)) + (Q69*($E69/365))</f>
        <v>28.5</v>
      </c>
      <c r="V168" s="7"/>
      <c r="W168" s="7">
        <f t="shared" si="33"/>
        <v>60.2</v>
      </c>
    </row>
    <row r="169" spans="1:23">
      <c r="A169" s="1">
        <v>1991</v>
      </c>
      <c r="B169" s="7">
        <f>K70*($E70/365)+K71*($E71/365)</f>
        <v>39.62640099626401</v>
      </c>
      <c r="C169" s="7">
        <f>L70*($E70/365)+L71*($E71/365)</f>
        <v>8.8916562889165611</v>
      </c>
      <c r="D169" s="7">
        <f>M70*($E70/365)+M71*($E71/365)</f>
        <v>51.481942714819425</v>
      </c>
      <c r="E169" s="51">
        <f t="shared" si="32"/>
        <v>100</v>
      </c>
      <c r="G169" s="1">
        <v>1991</v>
      </c>
      <c r="H169" s="918">
        <f>(O70*100*($E70/365)/($O70+$P70+$Q70))+(O71*100*($E71/365)/($O71+$P71+$Q71))</f>
        <v>54.67417577643765</v>
      </c>
      <c r="I169" s="918"/>
      <c r="J169" s="918">
        <f>(P70*100*($E70/365)/($O70+$P70+$Q70))+(P71*100*($E71/365)/($O71+$P71+$Q71))</f>
        <v>11.156419241796749</v>
      </c>
      <c r="K169" s="918"/>
      <c r="L169" s="918">
        <f>(Q70*100*($E70/365)/($O70+$P70+$Q70))+(Q71*100*($E71/365)/($O71+$P71+$Q71))</f>
        <v>34.169404981765609</v>
      </c>
      <c r="M169" s="918"/>
      <c r="N169" s="919">
        <f t="shared" si="34"/>
        <v>100.00000000000001</v>
      </c>
      <c r="O169" s="919"/>
      <c r="R169" s="1">
        <v>1991</v>
      </c>
      <c r="S169" s="7">
        <f>(O70*($E70/365)) + (O71*($E71/365))</f>
        <v>31.453972602739725</v>
      </c>
      <c r="T169" s="7">
        <f>(P70*($E70/365)) + (P71*($E71/365))</f>
        <v>6.7161643835616438</v>
      </c>
      <c r="U169" s="7">
        <f>(Q70*($E70/365)) + (Q71*($E71/365))</f>
        <v>20.007945205479452</v>
      </c>
      <c r="V169" s="7"/>
      <c r="W169" s="7">
        <f t="shared" si="33"/>
        <v>58.178082191780824</v>
      </c>
    </row>
    <row r="170" spans="1:23">
      <c r="A170" s="1">
        <v>1992</v>
      </c>
      <c r="B170" s="7">
        <f>K72*($E72/366)+K73*($E73/366)</f>
        <v>50</v>
      </c>
      <c r="C170" s="7">
        <f>L72*($E72/366)+L73*($E73/366)</f>
        <v>0</v>
      </c>
      <c r="D170" s="7">
        <f>M72*($E72/366)+M73*($E73/366)</f>
        <v>50</v>
      </c>
      <c r="E170" s="51">
        <f t="shared" si="32"/>
        <v>100</v>
      </c>
      <c r="G170" s="1">
        <v>1992</v>
      </c>
      <c r="H170" s="918">
        <f>(O72*100*($E72/366)/($O72+$P72+$Q72))+(O73*100*($E73/366)/($O73+$P73+$Q73))</f>
        <v>72.202797202797214</v>
      </c>
      <c r="I170" s="918"/>
      <c r="J170" s="918">
        <f>(P72*100*($E72/366)/($O72+$P72+$Q72))+(P73*100*($E73/366)/($O73+$P73+$Q73))</f>
        <v>0</v>
      </c>
      <c r="K170" s="918"/>
      <c r="L170" s="918">
        <f>(Q72*100*($E72/366)/($O72+$P72+$Q72))+(Q73*100*($E73/366)/($O73+$P73+$Q73))</f>
        <v>27.7972027972028</v>
      </c>
      <c r="M170" s="918"/>
      <c r="N170" s="919">
        <f t="shared" si="34"/>
        <v>100.00000000000001</v>
      </c>
      <c r="O170" s="919"/>
      <c r="R170" s="1">
        <v>1992</v>
      </c>
      <c r="S170" s="7">
        <f>(O72*($E72/366)) + (O73*($E73/366))</f>
        <v>41.3</v>
      </c>
      <c r="T170" s="7">
        <f>(P72*($E72/366)) + (P73*($E73/366))</f>
        <v>0</v>
      </c>
      <c r="U170" s="7">
        <f>(Q72*($E72/366)) + (Q73*($E73/366))</f>
        <v>15.9</v>
      </c>
      <c r="V170" s="7"/>
      <c r="W170" s="7">
        <f t="shared" si="33"/>
        <v>57.199999999999996</v>
      </c>
    </row>
    <row r="171" spans="1:23">
      <c r="A171" s="1">
        <v>1993</v>
      </c>
      <c r="B171" s="7">
        <f>K74*($E74/365)+K75*($E75/365)</f>
        <v>50</v>
      </c>
      <c r="C171" s="7">
        <f>L74*($E74/365)+L75*($E75/365)</f>
        <v>0</v>
      </c>
      <c r="D171" s="7">
        <f>M74*($E74/365)+M75*($E75/365)</f>
        <v>50</v>
      </c>
      <c r="E171" s="51">
        <f t="shared" si="32"/>
        <v>100</v>
      </c>
      <c r="G171" s="1">
        <v>1993</v>
      </c>
      <c r="H171" s="918">
        <f>(O74*100*($E74/365)/($O74+$P74+$Q74))+(O75*100*($E75/365)/($O75+$P75+$Q75))</f>
        <v>72.202797202797214</v>
      </c>
      <c r="I171" s="918"/>
      <c r="J171" s="918">
        <f>(P74*100*($E74/365)/($O74+$P74+$Q74))+(P75*100*($E75/365)/($O75+$P75+$Q75))</f>
        <v>0</v>
      </c>
      <c r="K171" s="918"/>
      <c r="L171" s="918">
        <f>(Q74*100*($E74/365)/($O74+$P74+$Q74))+(Q75*100*($E75/365)/($O75+$P75+$Q75))</f>
        <v>27.7972027972028</v>
      </c>
      <c r="M171" s="918"/>
      <c r="N171" s="919">
        <f t="shared" si="34"/>
        <v>100.00000000000001</v>
      </c>
      <c r="O171" s="919"/>
      <c r="R171" s="1">
        <v>1993</v>
      </c>
      <c r="S171" s="7">
        <f>(O74*($E74/365)) + (O75*($E75/365))</f>
        <v>41.3</v>
      </c>
      <c r="T171" s="7">
        <f>(P74*($E74/365)) + (P75*($E75/365))</f>
        <v>0</v>
      </c>
      <c r="U171" s="7">
        <f>(Q74*($E74/365)) + (Q75*($E75/365))</f>
        <v>15.9</v>
      </c>
      <c r="V171" s="7"/>
      <c r="W171" s="7">
        <f t="shared" si="33"/>
        <v>57.199999999999996</v>
      </c>
    </row>
    <row r="172" spans="1:23">
      <c r="A172" s="1">
        <v>1994</v>
      </c>
      <c r="B172" s="7">
        <f>K76*($E76/365)+K77*($E77/365)</f>
        <v>52.907153729071538</v>
      </c>
      <c r="C172" s="7">
        <f>L76*($E76/365)+L77*($E77/365)</f>
        <v>0</v>
      </c>
      <c r="D172" s="7">
        <f>M76*($E76/365)+M77*($E77/365)</f>
        <v>47.092846270928462</v>
      </c>
      <c r="E172" s="51">
        <f t="shared" si="32"/>
        <v>100</v>
      </c>
      <c r="G172" s="1">
        <v>1994</v>
      </c>
      <c r="H172" s="918">
        <f>(O76*100*($E76/365)/($O76+$P76+$Q76))+(O77*100*($E77/365)/($O77+$P77+$Q77))</f>
        <v>72.2027972027972</v>
      </c>
      <c r="I172" s="918"/>
      <c r="J172" s="918">
        <f>(P76*100*($E76/365)/($O76+$P76+$Q76))+(P77*100*($E77/365)/($O77+$P77+$Q77))</f>
        <v>0</v>
      </c>
      <c r="K172" s="918"/>
      <c r="L172" s="918">
        <f>(Q76*100*($E76/365)/($O76+$P76+$Q76))+(Q77*100*($E77/365)/($O77+$P77+$Q77))</f>
        <v>27.7972027972028</v>
      </c>
      <c r="M172" s="918"/>
      <c r="N172" s="919">
        <f t="shared" si="34"/>
        <v>100</v>
      </c>
      <c r="O172" s="919"/>
      <c r="R172" s="1">
        <v>1994</v>
      </c>
      <c r="S172" s="7">
        <f>(O76*($E76/365)) + (O77*($E77/365))</f>
        <v>41.3</v>
      </c>
      <c r="T172" s="7">
        <f>(P76*($E76/365)) + (P77*($E77/365))</f>
        <v>0</v>
      </c>
      <c r="U172" s="7">
        <f>(Q76*($E76/365)) + (Q77*($E77/365))</f>
        <v>15.9</v>
      </c>
      <c r="V172" s="7"/>
      <c r="W172" s="7">
        <f t="shared" si="33"/>
        <v>57.199999999999996</v>
      </c>
    </row>
    <row r="173" spans="1:23">
      <c r="A173" s="1">
        <v>1995</v>
      </c>
      <c r="B173" s="7">
        <f>K78*($E78/365)+K79*($E79/365)</f>
        <v>51.704718417047189</v>
      </c>
      <c r="C173" s="7">
        <f>L78*($E78/365)+L79*($E79/365)</f>
        <v>34.657534246575345</v>
      </c>
      <c r="D173" s="7">
        <f>M78*($E78/365)+M79*($E79/365)</f>
        <v>13.637747336377474</v>
      </c>
      <c r="E173" s="51">
        <f t="shared" si="32"/>
        <v>100.00000000000001</v>
      </c>
      <c r="G173" s="1">
        <v>1995</v>
      </c>
      <c r="H173" s="918">
        <f>(O78*100*($E78/365)/($O78+$P78+$Q78))+(O79*100*($E79/365)/($O79+$P79+$Q79))</f>
        <v>65.490941374449108</v>
      </c>
      <c r="I173" s="918"/>
      <c r="J173" s="918">
        <f>(P78*100*($E78/365)/($O78+$P78+$Q78))+(P79*100*($E79/365)/($O79+$P79+$Q79))</f>
        <v>25.979505986409233</v>
      </c>
      <c r="K173" s="918"/>
      <c r="L173" s="918">
        <f>(Q78*100*($E78/365)/($O78+$P78+$Q78))+(Q79*100*($E79/365)/($O79+$P79+$Q79))</f>
        <v>8.5295526391416807</v>
      </c>
      <c r="M173" s="918"/>
      <c r="N173" s="919">
        <f t="shared" si="34"/>
        <v>100.00000000000003</v>
      </c>
      <c r="O173" s="919"/>
      <c r="R173" s="1">
        <v>1995</v>
      </c>
      <c r="S173" s="7">
        <f>(O78*($E78/365)) + (O79*($E79/365))</f>
        <v>40.190958904109593</v>
      </c>
      <c r="T173" s="7">
        <f>(P78*($E78/365)) + (P79*($E79/365))</f>
        <v>16.496986301369866</v>
      </c>
      <c r="U173" s="7">
        <f>(Q78*($E78/365)) + (Q79*($E79/365))</f>
        <v>4.8789041095890413</v>
      </c>
      <c r="V173" s="7"/>
      <c r="W173" s="7">
        <f t="shared" si="33"/>
        <v>61.566849315068502</v>
      </c>
    </row>
    <row r="174" spans="1:23">
      <c r="A174" s="1">
        <v>1996</v>
      </c>
      <c r="B174" s="7">
        <f>K80*($E80/366)+K81*($E81/366)</f>
        <v>50</v>
      </c>
      <c r="C174" s="7">
        <f>L80*($E80/366)+L81*($E81/366)</f>
        <v>50</v>
      </c>
      <c r="D174" s="7">
        <f>M80*($E80/366)+M81*($E81/366)</f>
        <v>0</v>
      </c>
      <c r="E174" s="51">
        <f t="shared" si="32"/>
        <v>100</v>
      </c>
      <c r="G174" s="1">
        <v>1996</v>
      </c>
      <c r="H174" s="918">
        <f>(O80*100*($E80/366)/($O80+$P80+$Q80))+(O81*100*($E81/366)/($O81+$P81+$Q81))</f>
        <v>62.519685039370088</v>
      </c>
      <c r="I174" s="918"/>
      <c r="J174" s="918">
        <f>(P80*100*($E80/366)/($O80+$P80+$Q80))+(P81*100*($E81/366)/($O81+$P81+$Q81))</f>
        <v>37.480314960629919</v>
      </c>
      <c r="K174" s="918"/>
      <c r="L174" s="918">
        <f>(Q80*100*($E80/366)/($O80+$P80+$Q80))+(Q81*100*($E81/366)/($O81+$P81+$Q81))</f>
        <v>0</v>
      </c>
      <c r="M174" s="918"/>
      <c r="N174" s="919">
        <f t="shared" si="34"/>
        <v>100</v>
      </c>
      <c r="O174" s="919"/>
      <c r="R174" s="1">
        <v>1996</v>
      </c>
      <c r="S174" s="7">
        <f>(O80*($E80/366)) + (O81*($E81/366))</f>
        <v>39.700000000000003</v>
      </c>
      <c r="T174" s="7">
        <f>(P80*($E80/366)) + (P81*($E81/366))</f>
        <v>23.8</v>
      </c>
      <c r="U174" s="7">
        <f>(Q80*($E80/366)) + (Q81*($E81/366))</f>
        <v>0</v>
      </c>
      <c r="V174" s="7"/>
      <c r="W174" s="7">
        <f t="shared" si="33"/>
        <v>63.5</v>
      </c>
    </row>
    <row r="175" spans="1:23">
      <c r="A175" s="1">
        <v>1997</v>
      </c>
      <c r="B175" s="7">
        <f>K82*($E82/365)+K83*($E83/365)</f>
        <v>50</v>
      </c>
      <c r="C175" s="7">
        <f>L82*($E82/365)+L83*($E83/365)</f>
        <v>50</v>
      </c>
      <c r="D175" s="7">
        <f>M82*($E82/365)+M83*($E83/365)</f>
        <v>0</v>
      </c>
      <c r="E175" s="51">
        <f t="shared" si="32"/>
        <v>100</v>
      </c>
      <c r="G175" s="1">
        <v>1997</v>
      </c>
      <c r="H175" s="918">
        <f>(O82*100*($E82/365)/($O82+$P82+$Q82))+(O83*100*($E83/365)/($O83+$P83+$Q83))</f>
        <v>62.519685039370088</v>
      </c>
      <c r="I175" s="918"/>
      <c r="J175" s="918">
        <f>(P82*100*($E82/365)/($O82+$P82+$Q82))+(P83*100*($E83/365)/($O83+$P83+$Q83))</f>
        <v>37.480314960629919</v>
      </c>
      <c r="K175" s="918"/>
      <c r="L175" s="918">
        <f>(Q82*100*($E82/365)/($O82+$P82+$Q82))+(Q83*100*($E83/365)/($O83+$P83+$Q83))</f>
        <v>0</v>
      </c>
      <c r="M175" s="918"/>
      <c r="N175" s="919">
        <f t="shared" si="34"/>
        <v>100</v>
      </c>
      <c r="O175" s="919"/>
      <c r="R175" s="1">
        <v>1997</v>
      </c>
      <c r="S175" s="7">
        <f>(O82*($E82/365)) + (O83*($E83/365))</f>
        <v>39.700000000000003</v>
      </c>
      <c r="T175" s="7">
        <f>(P82*($E82/365)) + (P83*($E83/365))</f>
        <v>23.8</v>
      </c>
      <c r="U175" s="7">
        <f>(Q82*($E82/365)) + (Q83*($E83/365))</f>
        <v>0</v>
      </c>
      <c r="V175" s="7"/>
      <c r="W175" s="7">
        <f t="shared" si="33"/>
        <v>63.5</v>
      </c>
    </row>
    <row r="176" spans="1:23">
      <c r="A176" s="1">
        <v>1998</v>
      </c>
      <c r="B176" s="7">
        <f>K84*($E84/365)+K85*($E85/365)</f>
        <v>50</v>
      </c>
      <c r="C176" s="7">
        <f>L84*($E84/365)+L85*($E85/365)</f>
        <v>50</v>
      </c>
      <c r="D176" s="7">
        <f>M84*($E84/365)+M85*($E85/365)</f>
        <v>0</v>
      </c>
      <c r="E176" s="51">
        <f t="shared" si="32"/>
        <v>100</v>
      </c>
      <c r="G176" s="1">
        <v>1998</v>
      </c>
      <c r="H176" s="918">
        <f>(O84*100*($E84/365)/($O84+$P84+$Q84))+(O85*100*($E85/365)/($O85+$P85+$Q85))</f>
        <v>62.519685039370088</v>
      </c>
      <c r="I176" s="918"/>
      <c r="J176" s="918">
        <f>(P84*100*($E84/365)/($O84+$P84+$Q84))+(P85*100*($E85/365)/($O85+$P85+$Q85))</f>
        <v>37.480314960629919</v>
      </c>
      <c r="K176" s="918"/>
      <c r="L176" s="918">
        <f>(Q84*100*($E84/365)/($O84+$P84+$Q84))+(Q85*100*($E85/365)/($O85+$P85+$Q85))</f>
        <v>0</v>
      </c>
      <c r="M176" s="918"/>
      <c r="N176" s="919">
        <f t="shared" si="34"/>
        <v>100</v>
      </c>
      <c r="O176" s="919"/>
      <c r="R176" s="1">
        <v>1998</v>
      </c>
      <c r="S176" s="7">
        <f>(O84*($E84/365)) + (O85*($E85/365))</f>
        <v>39.700000000000003</v>
      </c>
      <c r="T176" s="7">
        <f>(P84*($E84/365)) + (P85*($E85/365))</f>
        <v>23.8</v>
      </c>
      <c r="U176" s="7">
        <f>(Q84*($E84/365)) + (Q85*($E85/365))</f>
        <v>0</v>
      </c>
      <c r="V176" s="7"/>
      <c r="W176" s="7">
        <f t="shared" si="33"/>
        <v>63.5</v>
      </c>
    </row>
    <row r="177" spans="1:23">
      <c r="A177" s="1">
        <v>1999</v>
      </c>
      <c r="B177" s="7">
        <f>K86*($E86/365)+K87*($E87/365)</f>
        <v>50</v>
      </c>
      <c r="C177" s="7">
        <f>L86*($E86/365)+L87*($E87/365)</f>
        <v>50</v>
      </c>
      <c r="D177" s="7">
        <f>M86*($E86/365)+M87*($E87/365)</f>
        <v>0</v>
      </c>
      <c r="E177" s="51">
        <f t="shared" si="32"/>
        <v>100</v>
      </c>
      <c r="G177" s="1">
        <v>1999</v>
      </c>
      <c r="H177" s="918">
        <f>(O86*100*($E86/365)/($O86+$P86+$Q86))+(O87*100*($E87/365)/($O87+$P87+$Q87))</f>
        <v>66.086041943591653</v>
      </c>
      <c r="I177" s="918"/>
      <c r="J177" s="918">
        <f>(P86*100*($E86/365)/($O86+$P86+$Q86))+(P87*100*($E87/365)/($O87+$P87+$Q87))</f>
        <v>33.913958056408354</v>
      </c>
      <c r="K177" s="918"/>
      <c r="L177" s="918">
        <f>(Q86*100*($E86/365)/($O86+$P86+$Q86))+(Q87*100*($E87/365)/($O87+$P87+$Q87))</f>
        <v>0</v>
      </c>
      <c r="M177" s="918"/>
      <c r="N177" s="919">
        <f t="shared" si="34"/>
        <v>100</v>
      </c>
      <c r="O177" s="919"/>
      <c r="R177" s="1">
        <v>1999</v>
      </c>
      <c r="S177" s="7">
        <f>(O86*($E86/365)) + (O87*($E87/365))</f>
        <v>40.655616438356162</v>
      </c>
      <c r="T177" s="7">
        <f>(P86*($E86/365)) + (P87*($E87/365))</f>
        <v>20.933150684931505</v>
      </c>
      <c r="U177" s="7">
        <f>(Q86*($E86/365)) + (Q87*($E87/365))</f>
        <v>0</v>
      </c>
      <c r="V177" s="7"/>
      <c r="W177" s="7">
        <f t="shared" si="33"/>
        <v>61.588767123287667</v>
      </c>
    </row>
    <row r="178" spans="1:23">
      <c r="A178" s="1">
        <v>2000</v>
      </c>
      <c r="B178" s="7">
        <f>K88*($E88/366)+K89*($E89/366)</f>
        <v>50</v>
      </c>
      <c r="C178" s="7">
        <f>L88*($E88/366)+L89*($E89/366)</f>
        <v>50</v>
      </c>
      <c r="D178" s="7">
        <f>M88*($E88/366)+M89*($E89/366)</f>
        <v>0</v>
      </c>
      <c r="E178" s="51">
        <f t="shared" si="32"/>
        <v>100</v>
      </c>
      <c r="G178" s="1">
        <v>2000</v>
      </c>
      <c r="H178" s="918">
        <f>(O88*100*($E88/366)/($O88+$P88+$Q88))+(O89*100*($E89/366)/($O89+$P89+$Q89))</f>
        <v>68.490878938640137</v>
      </c>
      <c r="I178" s="918"/>
      <c r="J178" s="918">
        <f>(P88*100*($E88/3656)/($O88+$P88+$Q88))+(P89*100*($E89/366)/($O89+$P89+$Q89))</f>
        <v>31.50912106135987</v>
      </c>
      <c r="K178" s="918"/>
      <c r="L178" s="918">
        <f>(Q88*100*($E88/366)/($O88+$P88+$Q88))+(Q89*100*($E89/366)/($O89+$P89+$Q89))</f>
        <v>0</v>
      </c>
      <c r="M178" s="918"/>
      <c r="N178" s="919">
        <f t="shared" si="34"/>
        <v>100</v>
      </c>
      <c r="O178" s="919"/>
      <c r="R178" s="1">
        <v>2000</v>
      </c>
      <c r="S178" s="7">
        <f>(O88*($E88/366)) + (O89*($E89/366))</f>
        <v>41.3</v>
      </c>
      <c r="T178" s="7">
        <f>(P88*($E88/366)) + (P89*($E89/366))</f>
        <v>19</v>
      </c>
      <c r="U178" s="7">
        <f>(Q88*($E88/366)) + (Q89*($E89/366))</f>
        <v>0</v>
      </c>
      <c r="V178" s="7"/>
      <c r="W178" s="7">
        <f t="shared" si="33"/>
        <v>60.3</v>
      </c>
    </row>
    <row r="179" spans="1:23">
      <c r="A179" s="1">
        <v>2001</v>
      </c>
      <c r="B179" s="7">
        <f>K90*($E90/365)+K91*($E91/365)</f>
        <v>50</v>
      </c>
      <c r="C179" s="7">
        <f>L90*($E90/365)+L91*($E91/365)</f>
        <v>50</v>
      </c>
      <c r="D179" s="7">
        <f>M90*($E90/365)+M91*($E91/365)</f>
        <v>0</v>
      </c>
      <c r="E179" s="51">
        <f t="shared" si="32"/>
        <v>100</v>
      </c>
      <c r="G179" s="1">
        <v>2001</v>
      </c>
      <c r="H179" s="918">
        <f>(O90*100*($E90/365)/($O90+$P90+$Q90))+(O91*100*($E91/365)/($O91+$P91+$Q91))</f>
        <v>68.490878938640137</v>
      </c>
      <c r="I179" s="918"/>
      <c r="J179" s="918">
        <f>(P90*100*($E90/365)/($O90+$P90+$Q90))+(P91*100*($E91/365)/($O91+$P91+$Q91))</f>
        <v>31.50912106135987</v>
      </c>
      <c r="K179" s="918"/>
      <c r="L179" s="918">
        <f>(Q90*100*($E90/365)/($O90+$P90+$Q90))+(Q91*100*($E91/365)/($O91+$P91+$Q91))</f>
        <v>0</v>
      </c>
      <c r="M179" s="918"/>
      <c r="N179" s="919">
        <f t="shared" si="34"/>
        <v>100</v>
      </c>
      <c r="O179" s="919"/>
      <c r="R179" s="1">
        <v>2001</v>
      </c>
      <c r="S179" s="7">
        <f>(O90*($E90/365)) + (O91*($E91/365))</f>
        <v>41.3</v>
      </c>
      <c r="T179" s="7">
        <f>(P90*($E90/365)) + (P91*($E91/365))</f>
        <v>19</v>
      </c>
      <c r="U179" s="7">
        <f>(Q90*($E90/365)) + (Q91*($E91/365))</f>
        <v>0</v>
      </c>
      <c r="V179" s="7"/>
      <c r="W179" s="7">
        <f t="shared" si="33"/>
        <v>60.3</v>
      </c>
    </row>
    <row r="180" spans="1:23">
      <c r="A180" s="1">
        <v>2002</v>
      </c>
      <c r="B180" s="7">
        <f>K92*($E92/365)+K93*($E93/365)</f>
        <v>50</v>
      </c>
      <c r="C180" s="7">
        <f>L92*($E92/365)+L93*($E93/365)</f>
        <v>50</v>
      </c>
      <c r="D180" s="7">
        <f>M92*($E92/365)+M93*($E93/365)</f>
        <v>0</v>
      </c>
      <c r="E180" s="51">
        <f t="shared" si="32"/>
        <v>100</v>
      </c>
      <c r="G180" s="1">
        <v>2002</v>
      </c>
      <c r="H180" s="918">
        <f>(O92*100*($E92/365)/($O92+$P92+$Q92))+(O93*100*($E93/365)/($O93+$P93+$Q93))</f>
        <v>68.490878938640137</v>
      </c>
      <c r="I180" s="918"/>
      <c r="J180" s="918">
        <f>(P92*100*($E92/365)/($O92+$P92+$Q92))+(P93*100*($E93/365)/($O93+$P93+$Q93))</f>
        <v>31.50912106135987</v>
      </c>
      <c r="K180" s="918"/>
      <c r="L180" s="918">
        <f>(Q92*100*($E92/365)/($O92+$P92+$Q92))+(Q93*100*($E93/365)/($O93+$P93+$Q93))</f>
        <v>0</v>
      </c>
      <c r="M180" s="918"/>
      <c r="N180" s="919">
        <f t="shared" si="34"/>
        <v>100</v>
      </c>
      <c r="O180" s="919"/>
      <c r="R180" s="1">
        <v>2002</v>
      </c>
      <c r="S180" s="7">
        <f>(O92*($E92/365)) + (O93*($E93/365))</f>
        <v>41.3</v>
      </c>
      <c r="T180" s="7">
        <f>(P92*($E92/365)) + (P93*($E93/365))</f>
        <v>19</v>
      </c>
      <c r="U180" s="7">
        <f>(Q92*($E92/365)) + (Q93*($E93/365))</f>
        <v>0</v>
      </c>
      <c r="V180" s="7"/>
      <c r="W180" s="7">
        <f t="shared" si="33"/>
        <v>60.3</v>
      </c>
    </row>
    <row r="181" spans="1:23">
      <c r="A181" s="1">
        <v>2003</v>
      </c>
      <c r="B181" s="7">
        <f>K94*($E94/365)+K95*($E95/365)</f>
        <v>50</v>
      </c>
      <c r="C181" s="7">
        <f>L94*($E94/365)+L95*($E95/365)</f>
        <v>50</v>
      </c>
      <c r="D181" s="7">
        <f>M94*($E94/365)+M95*($E95/365)</f>
        <v>0</v>
      </c>
      <c r="E181" s="51">
        <f t="shared" si="32"/>
        <v>100</v>
      </c>
      <c r="G181" s="1">
        <v>2003</v>
      </c>
      <c r="H181" s="918">
        <f>(O94*100*($E94/365)/($O94+$P94+$Q94))+(O95*100*($E95/365)/($O95+$P95+$Q95))</f>
        <v>66.205072265766844</v>
      </c>
      <c r="I181" s="918"/>
      <c r="J181" s="918">
        <f>(P94*100*($E94/365)/($O94+$P94+$Q94))+(P95*100*($E95/365)/($O95+$P95+$Q95))</f>
        <v>33.79492773423317</v>
      </c>
      <c r="K181" s="918"/>
      <c r="L181" s="918">
        <f>(Q94*100*($E94/365)/($O94+$P94+$Q94))+(Q95*100*($E95/365)/($O95+$P95+$Q95))</f>
        <v>0</v>
      </c>
      <c r="M181" s="918"/>
      <c r="N181" s="919">
        <f t="shared" si="34"/>
        <v>100.00000000000001</v>
      </c>
      <c r="O181" s="919"/>
      <c r="R181" s="1">
        <v>2003</v>
      </c>
      <c r="S181" s="7">
        <f>(O94*($E94/365)) + (O95*($E95/365))</f>
        <v>37.38986301369863</v>
      </c>
      <c r="T181" s="7">
        <f>(P94*($E94/365)) + (P95*($E95/365))</f>
        <v>19</v>
      </c>
      <c r="U181" s="7">
        <f>(Q94*($E94/365)) + (Q95*($E95/365))</f>
        <v>0</v>
      </c>
      <c r="V181" s="7"/>
      <c r="W181" s="7">
        <f t="shared" si="33"/>
        <v>56.38986301369863</v>
      </c>
    </row>
    <row r="182" spans="1:23">
      <c r="A182" s="1">
        <v>2004</v>
      </c>
      <c r="B182" s="7">
        <f>K96*($E96/366)+K97*($E97/366)</f>
        <v>52.459016393442624</v>
      </c>
      <c r="C182" s="7">
        <f>L96*($E96/366)+L97*($E97/366)</f>
        <v>47.540983606557376</v>
      </c>
      <c r="D182" s="7">
        <f>M96*($E96/366)+M97*($E97/366)</f>
        <v>0</v>
      </c>
      <c r="E182" s="51">
        <f t="shared" si="32"/>
        <v>100</v>
      </c>
      <c r="G182" s="1">
        <v>2004</v>
      </c>
      <c r="H182" s="918">
        <f>(O96*100*($E96/366)/($O96+$P96+$Q96))+(O97*100*($E97/366)/($O97+$P97+$Q97))</f>
        <v>64.749536178107604</v>
      </c>
      <c r="I182" s="918"/>
      <c r="J182" s="918">
        <f>(P96*100*($E96/366)/($O96+$P96+$Q96))+(P97*100*($E97/366)/($O97+$P97+$Q97))</f>
        <v>35.250463821892396</v>
      </c>
      <c r="K182" s="918"/>
      <c r="L182" s="918">
        <f>(Q96*100*($E96/366)/($O96+$P96+$Q96))+(Q97*100*($E97/366)/($O97+$P97+$Q97))</f>
        <v>0</v>
      </c>
      <c r="M182" s="918"/>
      <c r="N182" s="919">
        <f t="shared" si="34"/>
        <v>100</v>
      </c>
      <c r="O182" s="919"/>
      <c r="R182" s="1">
        <v>2004</v>
      </c>
      <c r="S182" s="7">
        <f>(O96*($E96/366)) + (O97*($E97/366))</f>
        <v>34.9</v>
      </c>
      <c r="T182" s="7">
        <f>(P96*($E96/366)) + (P97*($E97/366))</f>
        <v>19</v>
      </c>
      <c r="U182" s="7">
        <f>(Q96*($E96/366)) + (Q97*($E97/366))</f>
        <v>0</v>
      </c>
      <c r="V182" s="7"/>
      <c r="W182" s="7">
        <f t="shared" si="33"/>
        <v>53.9</v>
      </c>
    </row>
    <row r="183" spans="1:23">
      <c r="A183" s="1">
        <v>2005</v>
      </c>
      <c r="B183" s="7">
        <f>K98*($E98/365)+K99*($E99/365)</f>
        <v>58.333333333333336</v>
      </c>
      <c r="C183" s="7">
        <f>L98*($E98/365)+L99*($E99/365)</f>
        <v>41.666666666666671</v>
      </c>
      <c r="D183" s="7">
        <f>M98*($E98/365)+M99*($E99/365)</f>
        <v>0</v>
      </c>
      <c r="E183" s="51">
        <f t="shared" si="32"/>
        <v>100</v>
      </c>
      <c r="G183" s="1">
        <v>2005</v>
      </c>
      <c r="H183" s="918">
        <f>(O98*100*($E98/365)/($O98+$P98+$Q98))+(O99*100*($E99/365)/($O99+$P99+$Q99))</f>
        <v>64.749536178107604</v>
      </c>
      <c r="I183" s="918"/>
      <c r="J183" s="918">
        <f>(P98*100*($E98/365)/($O98+$P98+$Q98))+(P99*100*($E99/365)/($O99+$P99+$Q99))</f>
        <v>35.250463821892396</v>
      </c>
      <c r="K183" s="918"/>
      <c r="L183" s="918">
        <f>(Q98*100*($E98/365)/($O98+$P98+$Q98))+(Q99*100*($E99/365)/($O99+$P99+$Q99))</f>
        <v>0</v>
      </c>
      <c r="M183" s="918"/>
      <c r="N183" s="919">
        <f t="shared" si="34"/>
        <v>100</v>
      </c>
      <c r="O183" s="919"/>
      <c r="R183" s="1">
        <v>2005</v>
      </c>
      <c r="S183" s="7">
        <f>(O98*($E98/365)) + (O99*($E99/365))</f>
        <v>34.9</v>
      </c>
      <c r="T183" s="7">
        <f>(P98*($E98/365)) + (P99*($E99/365))</f>
        <v>19</v>
      </c>
      <c r="U183" s="7">
        <f>(Q98*($E98/365)) + (Q99*($E99/365))</f>
        <v>0</v>
      </c>
      <c r="V183" s="7"/>
      <c r="W183" s="7">
        <f t="shared" si="33"/>
        <v>53.9</v>
      </c>
    </row>
    <row r="184" spans="1:23">
      <c r="A184" s="1">
        <v>2006</v>
      </c>
      <c r="B184" s="7">
        <f>K100*($E100/365)+K101*($E101/365)</f>
        <v>53.767123287671232</v>
      </c>
      <c r="C184" s="7">
        <f>L100*($E100/365)+L101*($E101/365)</f>
        <v>46.232876712328768</v>
      </c>
      <c r="D184" s="7">
        <f>M100*($E100/365)+M101*($E101/365)</f>
        <v>0</v>
      </c>
      <c r="E184" s="51">
        <f t="shared" si="32"/>
        <v>100</v>
      </c>
      <c r="G184" s="1">
        <v>2006</v>
      </c>
      <c r="H184" s="918">
        <f>(O100*100*($E100/365)/($O100+$P100+$Q100))+(O101*100*($E101/365)/($O101+$P101+$Q101))</f>
        <v>65.306374308331257</v>
      </c>
      <c r="I184" s="918"/>
      <c r="J184" s="918">
        <f>(P100*100*($E100/365)/($O100+$P100+$Q100))+(P101*100*($E101/365)/($O101+$P101+$Q101))</f>
        <v>34.693625691668743</v>
      </c>
      <c r="K184" s="918"/>
      <c r="L184" s="918">
        <f>(Q100*100*($E100/365)/($O100+$P100+$Q100))+(Q101*100*($E101/365)/($O101+$P101+$Q101))</f>
        <v>0</v>
      </c>
      <c r="M184" s="918"/>
      <c r="N184" s="919">
        <f t="shared" si="34"/>
        <v>100</v>
      </c>
      <c r="O184" s="919"/>
      <c r="R184" s="1">
        <v>2006</v>
      </c>
      <c r="S184" s="7">
        <f>(O100*($E100/365)) + (O101*($E101/365))</f>
        <v>35.776712328767118</v>
      </c>
      <c r="T184" s="7">
        <f>(P100*($E100/365)) + (P101*($E101/365))</f>
        <v>19</v>
      </c>
      <c r="U184" s="7">
        <f>(Q100*($E100/365)) + (Q101*($E101/365))</f>
        <v>0</v>
      </c>
      <c r="V184" s="7"/>
      <c r="W184" s="7">
        <f t="shared" si="33"/>
        <v>54.776712328767118</v>
      </c>
    </row>
    <row r="185" spans="1:23">
      <c r="A185" s="1">
        <v>2007</v>
      </c>
      <c r="B185" s="7">
        <f>K102*($E102/365)+K103*($E103/365)</f>
        <v>50</v>
      </c>
      <c r="C185" s="7">
        <f>L102*($E102/365)+L103*($E103/365)</f>
        <v>19.589041095890412</v>
      </c>
      <c r="D185" s="7">
        <f>M102*($E102/365)+M103*($E103/365)</f>
        <v>30.410958904109592</v>
      </c>
      <c r="E185" s="51">
        <f t="shared" si="32"/>
        <v>100</v>
      </c>
      <c r="G185" s="1">
        <v>2007</v>
      </c>
      <c r="H185" s="918">
        <f>(O102*100*($E102/365)/($O102+$P102+$Q102))+(O103*100*($E103/365)/($O103+$P103+$Q103))</f>
        <v>61.119062061319227</v>
      </c>
      <c r="I185" s="918"/>
      <c r="J185" s="918">
        <f>(P102*100*($E102/365)/($O102+$P102+$Q102))+(P103*100*($E103/365)/($O103+$P103+$Q103))</f>
        <v>13.412316426015057</v>
      </c>
      <c r="K185" s="918"/>
      <c r="L185" s="918">
        <f>(Q102*100*($E102/365)/($O102+$P102+$Q102))+(Q103*100*($E103/365)/($O103+$P103+$Q103))</f>
        <v>25.468621512665717</v>
      </c>
      <c r="M185" s="918"/>
      <c r="N185" s="919">
        <f t="shared" si="34"/>
        <v>100</v>
      </c>
      <c r="O185" s="919"/>
      <c r="R185" s="1">
        <v>2007</v>
      </c>
      <c r="S185" s="7">
        <f>(O102*($E102/365)) + (O103*($E103/365))</f>
        <v>38.446301369863022</v>
      </c>
      <c r="T185" s="7">
        <f>(P102*($E102/365)) + (P103*($E103/365))</f>
        <v>7.4438356164383563</v>
      </c>
      <c r="U185" s="7">
        <f>(Q102*($E102/365)) + (Q103*($E103/365))</f>
        <v>17.395068493150688</v>
      </c>
      <c r="V185" s="7"/>
      <c r="W185" s="7">
        <f t="shared" si="33"/>
        <v>63.285205479452067</v>
      </c>
    </row>
    <row r="186" spans="1:23">
      <c r="A186" s="1">
        <v>2008</v>
      </c>
      <c r="B186" s="7">
        <f>K104*($E104/366)+K105*($E105/366)</f>
        <v>50</v>
      </c>
      <c r="C186" s="7">
        <f>L104*($E104/366)+L105*($E105/366)</f>
        <v>0</v>
      </c>
      <c r="D186" s="7">
        <f>M104*($E104/366)+M105*($E105/366)</f>
        <v>50</v>
      </c>
      <c r="E186" s="51">
        <f t="shared" si="32"/>
        <v>100</v>
      </c>
      <c r="G186" s="1">
        <v>2008</v>
      </c>
      <c r="H186" s="918">
        <f>(O104*100*($E104/366)/($O104+$P104+$Q104))+(O105*100*($E105/366)/($O105+$P105+$Q105))</f>
        <v>58.125915080527086</v>
      </c>
      <c r="I186" s="918"/>
      <c r="J186" s="918">
        <f>(P104*100*($E104/366)/($O104+$P104+$Q104))+(P105*100*($E105/366)/($O105+$P105+$Q105))</f>
        <v>0</v>
      </c>
      <c r="K186" s="918"/>
      <c r="L186" s="918">
        <f>(Q104*100*($E104/366)/($O104+$P104+$Q104))+(Q105*100*($E105/366)/($O105+$P105+$Q105))</f>
        <v>41.874084919472907</v>
      </c>
      <c r="M186" s="918"/>
      <c r="N186" s="919">
        <f t="shared" si="34"/>
        <v>100</v>
      </c>
      <c r="O186" s="919"/>
      <c r="R186" s="1">
        <v>2008</v>
      </c>
      <c r="S186" s="7">
        <f>(O104*($E104/366)) + (O105*($E105/366))</f>
        <v>39.700000000000003</v>
      </c>
      <c r="T186" s="7">
        <f>(P104*($E104/366)) + (P105*($E105/366))</f>
        <v>0</v>
      </c>
      <c r="U186" s="7">
        <f>(Q104*($E104/366)) + (Q105*($E105/366))</f>
        <v>28.6</v>
      </c>
      <c r="V186" s="7"/>
      <c r="W186" s="7">
        <f t="shared" si="33"/>
        <v>68.300000000000011</v>
      </c>
    </row>
    <row r="187" spans="1:23">
      <c r="A187" s="1">
        <v>2009</v>
      </c>
      <c r="B187" s="7">
        <f>K106*($E106/365)+K107*($E107/365)+K108*($E108/365)</f>
        <v>4.2465753424657535</v>
      </c>
      <c r="C187" s="7">
        <f>L106*($E106/365)+L107*($E107/365)+L108*($E108/365)</f>
        <v>0</v>
      </c>
      <c r="D187" s="7">
        <f>M106*($E106/365)+M107*($E107/365)+M108*($E108/365)</f>
        <v>79.607305936073061</v>
      </c>
      <c r="E187" s="51">
        <f t="shared" si="32"/>
        <v>83.853881278538807</v>
      </c>
      <c r="G187" s="1">
        <v>2009</v>
      </c>
      <c r="H187" s="918">
        <f>(O106*100*($E106/365)/($O106+$P106+$Q106))+(O107*100*($E107/365)/($O107+$P107+$Q107))+(O108*100*($E108/365)/($O108+$P108+$Q108))</f>
        <v>4.9367215547844916</v>
      </c>
      <c r="I187" s="918"/>
      <c r="J187" s="918">
        <f>(P106*100*($E106/365)/($O106+$P106+$Q106))+(P107*100*($E107/365)/($O107+$P107+$Q107))+(O108*100*(E108/365)/(O108+P108+Q108))</f>
        <v>0</v>
      </c>
      <c r="K187" s="918"/>
      <c r="L187" s="918">
        <f>(Q106*100*($E106/365)/($O106+$P106+$Q106))+(Q107*100*($E107/365)/($O107+$P107+$Q107))+(O108*100*(E108/365)/(O108+P108+Q108))</f>
        <v>30.405744198640168</v>
      </c>
      <c r="M187" s="918"/>
      <c r="N187" s="919">
        <f t="shared" si="34"/>
        <v>35.342465753424662</v>
      </c>
      <c r="O187" s="919"/>
      <c r="R187" s="1">
        <v>2009</v>
      </c>
      <c r="S187" s="7">
        <f>(O106*($E106/365)) + (O107*($E107/365))+(O108*($E108/365))</f>
        <v>3.3717808219178083</v>
      </c>
      <c r="T187" s="7">
        <f>(P106*($E106/365)) + (P107*($E107/365))+(P108*($E108/365))</f>
        <v>0</v>
      </c>
      <c r="U187" s="7">
        <f>(Q106*($E106/365)) + (Q107*($E107/365))+(Q108*($E108/365))</f>
        <v>48.79780821917808</v>
      </c>
      <c r="V187" s="7"/>
      <c r="W187" s="7">
        <f t="shared" si="33"/>
        <v>52.16958904109589</v>
      </c>
    </row>
    <row r="188" spans="1:23">
      <c r="A188" s="1">
        <v>2010</v>
      </c>
      <c r="B188" s="7">
        <f>K109*($E109/365)+K110*($E110/365)</f>
        <v>0</v>
      </c>
      <c r="C188" s="7">
        <f>L109*($E109/365)+L110*($E110/365)</f>
        <v>0</v>
      </c>
      <c r="D188" s="7">
        <f>M109*($E109/365)+M110*($E110/365)</f>
        <v>88.858447488584488</v>
      </c>
      <c r="E188" s="51">
        <f t="shared" si="32"/>
        <v>88.858447488584488</v>
      </c>
      <c r="G188" s="1">
        <v>2010</v>
      </c>
      <c r="H188" s="918">
        <f>(O109*100*($E109/365)/($O109+$P109+$Q109))+(O110*100*($E110/365)/($O110+$P110+$Q110))</f>
        <v>0</v>
      </c>
      <c r="I188" s="918"/>
      <c r="J188" s="918">
        <f>(P109*100*($E109/365)/($O109+$P109+$Q109))+(P110*100*($E110/365)/($O110+$P110+$Q110))</f>
        <v>0</v>
      </c>
      <c r="K188" s="918"/>
      <c r="L188" s="918">
        <f>(Q109*100*($E109/365)/($O109+$P109+$Q109))+(Q110*100*($E110/365)/($O110+$P110+$Q110))</f>
        <v>100</v>
      </c>
      <c r="M188" s="918"/>
      <c r="N188" s="919">
        <f t="shared" si="34"/>
        <v>100</v>
      </c>
      <c r="O188" s="919"/>
      <c r="R188" s="1">
        <v>2010</v>
      </c>
      <c r="S188" s="7">
        <f>(O109*($E109/365)) + (O110*($E110/365))</f>
        <v>0</v>
      </c>
      <c r="T188" s="7">
        <f>(P109*($E109/365)) + (P110*($E110/365))</f>
        <v>0</v>
      </c>
      <c r="U188" s="7">
        <f>(Q109*($E109/365)) + (Q110*($E110/365))</f>
        <v>53.9</v>
      </c>
      <c r="V188" s="7"/>
      <c r="W188" s="7">
        <f t="shared" si="33"/>
        <v>53.9</v>
      </c>
    </row>
    <row r="189" spans="1:23">
      <c r="A189" s="1">
        <v>2011</v>
      </c>
      <c r="B189" s="7">
        <f>K111*($E111/365)+K112*($E112/365)</f>
        <v>0</v>
      </c>
      <c r="C189" s="7">
        <f>L111*($E111/365)+L112*($E112/365)</f>
        <v>0</v>
      </c>
      <c r="D189" s="7">
        <f>M111*($E111/365)+M112*($E112/365)</f>
        <v>100.00000000000001</v>
      </c>
      <c r="E189" s="51">
        <f t="shared" si="32"/>
        <v>100.00000000000001</v>
      </c>
      <c r="G189" s="1">
        <v>2011</v>
      </c>
      <c r="H189" s="918">
        <f>(O111*100*($E111/365)/($O111+$P111+$Q111))+(O112*100*($E112/365)/($O112+$P112+$Q112))</f>
        <v>0</v>
      </c>
      <c r="I189" s="918"/>
      <c r="J189" s="918">
        <f>(P111*100*($E111/365)/($O111+$P111+$Q111))+(P112*100*($E112/365)/($O112+$P112+$Q112))</f>
        <v>0</v>
      </c>
      <c r="K189" s="918"/>
      <c r="L189" s="918">
        <f>(Q111*100*($E111/365)/($O111+$P111+$Q111))+(Q112*100*($E112/365)/($O112+$P112+$Q112))</f>
        <v>100.00000000000001</v>
      </c>
      <c r="M189" s="918"/>
      <c r="N189" s="919">
        <f t="shared" si="34"/>
        <v>100.00000000000001</v>
      </c>
      <c r="O189" s="919"/>
      <c r="R189" s="1">
        <v>2011</v>
      </c>
      <c r="S189" s="7">
        <f>(O111*($E111/365)) + (O112*($E112/365))</f>
        <v>0</v>
      </c>
      <c r="T189" s="7">
        <f>(P111*($E111/365)) + (P112*($E112/365))</f>
        <v>0</v>
      </c>
      <c r="U189" s="7">
        <f>(Q111*($E111/365)) + (Q112*($E112/365))</f>
        <v>53.9</v>
      </c>
      <c r="V189" s="7"/>
      <c r="W189" s="7">
        <f t="shared" si="33"/>
        <v>53.9</v>
      </c>
    </row>
    <row r="190" spans="1:23">
      <c r="A190" s="1">
        <v>2012</v>
      </c>
      <c r="B190" s="7">
        <f>K113*($E113/366)+K114*($E114/366)</f>
        <v>0</v>
      </c>
      <c r="C190" s="7">
        <f>L113*($E113/366)+L114*($E114/366)</f>
        <v>0</v>
      </c>
      <c r="D190" s="7">
        <f>M113*($E113/366)+M114*($E114/366)</f>
        <v>100</v>
      </c>
      <c r="E190" s="51">
        <f t="shared" si="32"/>
        <v>100</v>
      </c>
      <c r="G190" s="1">
        <v>2012</v>
      </c>
      <c r="H190" s="918">
        <f>(O113*100*($E113/366)/($O113+$P113+$Q113))+(O114*100*($E114/366)/($O114+$P114+$Q114))</f>
        <v>0</v>
      </c>
      <c r="I190" s="918"/>
      <c r="J190" s="918">
        <f>(P113*100*($E113/366)/($O113+$P113+$Q113))+(P114*100*($E114/366)/($O114+$P114+$Q114))</f>
        <v>0</v>
      </c>
      <c r="K190" s="918"/>
      <c r="L190" s="918">
        <f>(Q113*100*($E113/366)/($O113+$P113+$Q113))+(Q114*100*($E114/366)/($O114+$P114+$Q114))</f>
        <v>100</v>
      </c>
      <c r="M190" s="918"/>
      <c r="N190" s="919">
        <f t="shared" si="34"/>
        <v>100</v>
      </c>
      <c r="O190" s="919"/>
      <c r="R190" s="1">
        <v>2012</v>
      </c>
      <c r="S190" s="7">
        <f>(O113*($E113/366)) + (O114*($E114/366))</f>
        <v>0</v>
      </c>
      <c r="T190" s="7">
        <f>(P113*($E113/366)) + (P114*($E114/366))</f>
        <v>0</v>
      </c>
      <c r="U190" s="7">
        <f>(Q113*($E113/366)) + (Q114*($E114/366))</f>
        <v>53.9</v>
      </c>
      <c r="V190" s="7"/>
      <c r="W190" s="7">
        <f t="shared" si="33"/>
        <v>53.9</v>
      </c>
    </row>
    <row r="191" spans="1:23">
      <c r="A191" s="1">
        <v>2013</v>
      </c>
      <c r="B191" s="7">
        <f>K115*($E115/365)+K116*($E116/365)</f>
        <v>33.942161339421617</v>
      </c>
      <c r="C191" s="7">
        <f>L115*($E115/365)+L116*($E116/365)</f>
        <v>27.153729071537292</v>
      </c>
      <c r="D191" s="7">
        <f>M115*($E115/365)+M116*($E116/365)</f>
        <v>38.904109589041099</v>
      </c>
      <c r="E191" s="269">
        <f t="shared" si="32"/>
        <v>100</v>
      </c>
      <c r="G191" s="1">
        <v>2013</v>
      </c>
      <c r="H191" s="918">
        <f>(O115*100*($E115/365)/($O115+$P115+$Q115))+(O116*100*($E116/365)/($O116+$P116+$Q116))</f>
        <v>30.547945205479458</v>
      </c>
      <c r="I191" s="918"/>
      <c r="J191" s="918">
        <f>(P115*100*($E115/365)/($O115+$P115+$Q115))+(P116*100*($E116/365)/($O116+$P116+$Q116))</f>
        <v>30.547945205479458</v>
      </c>
      <c r="K191" s="918"/>
      <c r="L191" s="918">
        <f>(Q115*100*($E115/365)/($O115+$P115+$Q115))+(Q116*100*($E116/365)/($O116+$P116+$Q116))</f>
        <v>38.904109589041099</v>
      </c>
      <c r="M191" s="918"/>
      <c r="N191" s="919">
        <f>H191+J191+L191</f>
        <v>100.00000000000001</v>
      </c>
      <c r="O191" s="919"/>
      <c r="R191" s="1">
        <v>2013</v>
      </c>
      <c r="S191" s="7">
        <f>(O115*($E115/365)) + (O116*($E116/365))</f>
        <v>18.450958904109591</v>
      </c>
      <c r="T191" s="7">
        <f>(P115*($E115/365)) + (P116*($E116/365))</f>
        <v>18.450958904109591</v>
      </c>
      <c r="U191" s="7">
        <f>(Q115*($E115/365)) + (Q116*($E116/365))</f>
        <v>20.969315068493152</v>
      </c>
      <c r="W191" s="7">
        <f t="shared" si="33"/>
        <v>57.871232876712334</v>
      </c>
    </row>
    <row r="192" spans="1:23">
      <c r="A192" s="1">
        <v>2014</v>
      </c>
      <c r="B192" s="7">
        <f>K117*($E117/365)+K118*($E118/365)</f>
        <v>55.540334855403351</v>
      </c>
      <c r="C192" s="7">
        <f>L117*($E117/365)+L118*($E118/365)</f>
        <v>44.459665144596656</v>
      </c>
      <c r="D192" s="7">
        <f>M117*($E117/365)+M118*($E118/365)</f>
        <v>0</v>
      </c>
      <c r="E192" s="454">
        <f>B192+C192+D192</f>
        <v>100</v>
      </c>
      <c r="G192" s="1">
        <v>2014</v>
      </c>
      <c r="H192" s="918">
        <f>(O117*100*($E117/365)/($O117+$P117+$Q117))+(O118*100*($E118/365)/($O118+$P118+$Q118))</f>
        <v>50</v>
      </c>
      <c r="I192" s="918"/>
      <c r="J192" s="918">
        <f>(P117*100*($E117/365)/($O117+$P117+$Q117))+(P118*100*($E118/365)/($O118+$P118+$Q118))</f>
        <v>50</v>
      </c>
      <c r="K192" s="918"/>
      <c r="L192" s="918">
        <f>(Q117*100*($E117/365)/($O117+$P117+$Q117))+(Q118*100*($E118/365)/($O118+$P118+$Q118))</f>
        <v>0</v>
      </c>
      <c r="M192" s="918"/>
      <c r="N192" s="919">
        <f>H192+J192+L192</f>
        <v>100</v>
      </c>
      <c r="O192" s="919"/>
      <c r="R192" s="1">
        <v>2014</v>
      </c>
      <c r="S192" s="7">
        <f>(O117*($E117/365)) + (O118*($E118/365))</f>
        <v>30.2</v>
      </c>
      <c r="T192" s="7">
        <f>(P117*($E117/365)) + (P118*($E118/365))</f>
        <v>30.2</v>
      </c>
      <c r="U192" s="7">
        <f>(Q117*($E117/365)) + (Q118*($E118/365))</f>
        <v>0</v>
      </c>
      <c r="W192" s="7">
        <f>S192+T192+U192</f>
        <v>60.4</v>
      </c>
    </row>
    <row r="193" spans="1:34" s="603" customFormat="1">
      <c r="A193" s="603">
        <v>2015</v>
      </c>
      <c r="B193" s="599">
        <f>K119*($E119/365)+K120*($E120/365)</f>
        <v>50</v>
      </c>
      <c r="C193" s="599">
        <f>L119*($E119/365)+L120*($E120/365)</f>
        <v>50</v>
      </c>
      <c r="D193" s="599">
        <f>M119*($E119/365)+M120*($E120/365)</f>
        <v>0</v>
      </c>
      <c r="E193" s="601">
        <f>B193+C193+D193</f>
        <v>100</v>
      </c>
      <c r="G193" s="603">
        <v>2015</v>
      </c>
      <c r="H193" s="918">
        <f>(O119*100*($E119/365)/($O119+$P119+$Q119))+(O120*100*($E120/365)/($O120+$P120+$Q120))</f>
        <v>50</v>
      </c>
      <c r="I193" s="918"/>
      <c r="J193" s="918">
        <f>(P119*100*($E119/365)/($O119+$P119+$Q119))+(P120*100*($E120/365)/($O120+$P120+$Q120))</f>
        <v>50</v>
      </c>
      <c r="K193" s="918"/>
      <c r="L193" s="918">
        <f>(Q119*100*($E119/365)/($O119+$P119+$Q119))+(Q120*100*($E120/365)/($O120+$P120+$Q120))</f>
        <v>0</v>
      </c>
      <c r="M193" s="918"/>
      <c r="N193" s="919">
        <f>H193+J193+L193</f>
        <v>100</v>
      </c>
      <c r="O193" s="919"/>
      <c r="R193" s="603">
        <v>2015</v>
      </c>
      <c r="S193" s="599">
        <f>(O119*($E119/365)) + (O120*($E120/365))</f>
        <v>30.2</v>
      </c>
      <c r="T193" s="599">
        <f>(P119*($E119/365)) + (P120*($E120/365))</f>
        <v>30.2</v>
      </c>
      <c r="U193" s="599">
        <f>(Q119*($E119/365)) + (Q120*($E120/365))</f>
        <v>0</v>
      </c>
      <c r="W193" s="599">
        <f>S193+T193+U193</f>
        <v>60.4</v>
      </c>
      <c r="AH193" s="37"/>
    </row>
    <row r="194" spans="1:34" s="677" customFormat="1">
      <c r="A194" s="677">
        <v>2016</v>
      </c>
      <c r="B194" s="675">
        <f>K121*($E121/366)+K122*($E122/366)</f>
        <v>50</v>
      </c>
      <c r="C194" s="675">
        <f>L121*($E121/366)+L122*($E122/366)</f>
        <v>50</v>
      </c>
      <c r="D194" s="675">
        <f>M121*($E121/365)+M122*($E122/366)</f>
        <v>0</v>
      </c>
      <c r="E194" s="676">
        <f>B194+C194+D194</f>
        <v>100</v>
      </c>
      <c r="G194" s="677">
        <v>2016</v>
      </c>
      <c r="H194" s="918">
        <f>(O121*100*($E121/366)/($O121+$P121+$Q121))+(O122*100*($E122/366)/($O122+$P122+$Q122))</f>
        <v>66.456996911380372</v>
      </c>
      <c r="I194" s="918"/>
      <c r="J194" s="918">
        <f>(P121*100*($E121/366)/($O121+$P121+$Q121))+(P122*100*($E122/366)/($O122+$P122+$Q122))</f>
        <v>33.543003088619628</v>
      </c>
      <c r="K194" s="918"/>
      <c r="L194" s="918">
        <f>(Q121*100*($E121/366)/($O121+$P121+$Q121))+(Q122*100*($E122/366)/($O122+$P122+$Q122))</f>
        <v>0</v>
      </c>
      <c r="M194" s="918"/>
      <c r="N194" s="919">
        <f>H194+J194+L194</f>
        <v>100</v>
      </c>
      <c r="O194" s="919"/>
      <c r="R194" s="677">
        <v>2016</v>
      </c>
      <c r="S194" s="675">
        <f>(O121*($E121/366)) + (O122*($E122/366))</f>
        <v>32.478415300546445</v>
      </c>
      <c r="T194" s="675">
        <f>(P121*($E121/366)) + (P122*($E122/366))</f>
        <v>17.337978142076501</v>
      </c>
      <c r="U194" s="675">
        <f>(Q121*($E121/366)) + (Q122*($E122/366))</f>
        <v>0</v>
      </c>
      <c r="W194" s="675">
        <f>S194+T194+U194</f>
        <v>49.816393442622946</v>
      </c>
      <c r="AH194" s="37"/>
    </row>
    <row r="195" spans="1:34">
      <c r="A195" s="749">
        <v>2017</v>
      </c>
      <c r="B195" s="746">
        <f>K123*($E123/365)+K124*($E124/365)+K125*($E125/365)</f>
        <v>93.848069738480703</v>
      </c>
      <c r="C195" s="746">
        <f t="shared" ref="C195:D195" si="35">L123*($E123/365)+L124*($E124/365)+L125*($E125/365)</f>
        <v>3.7608966376089663</v>
      </c>
      <c r="D195" s="746">
        <f t="shared" si="35"/>
        <v>2.391033623910336</v>
      </c>
      <c r="E195" s="748">
        <f>B195+C195+D195</f>
        <v>100</v>
      </c>
      <c r="F195" s="749"/>
      <c r="G195" s="749">
        <v>2017</v>
      </c>
      <c r="H195" s="918">
        <f>(O123*100*($E123/365)/($O123+$P123+$Q123))+(O124*100*($E124/365)/($O124+$P124+$Q124))+(O125*100*($E125/365)/($O125+$P125+$Q125))</f>
        <v>94.481598759110639</v>
      </c>
      <c r="I195" s="918"/>
      <c r="J195" s="918">
        <f>(P123*100*($E123/365)/($O123+$P123+$Q123))+(P124*100*($E124/365)/($O124+$P124+$Q124))+(P125*100*($E125/365)/($O125+$P125+$Q125))</f>
        <v>2.758964954302193</v>
      </c>
      <c r="K195" s="918"/>
      <c r="L195" s="918">
        <f>(Q123*100*($E123/365)/($O123+$P123+$Q123))+(Q124*100*($E124/365)/($O124+$P124+$Q124))+(Q125*100*($E125/365)/($O125+$P125+$Q125))</f>
        <v>2.7594362865871687</v>
      </c>
      <c r="M195" s="918"/>
      <c r="N195" s="919">
        <f>H195+J195+L195</f>
        <v>100</v>
      </c>
      <c r="O195" s="919"/>
      <c r="P195" s="749"/>
      <c r="Q195" s="749"/>
      <c r="R195" s="749">
        <v>2017</v>
      </c>
      <c r="S195" s="746">
        <f>(O123*($E123/365)) + (O124*($E124/365))+ (O125*($E125/365))</f>
        <v>48.005205479452052</v>
      </c>
      <c r="T195" s="746">
        <f t="shared" ref="T195:U195" si="36">(P123*($E123/365)) + (P124*($E124/365))+ (P125*($E125/365))</f>
        <v>1.4613698630136986</v>
      </c>
      <c r="U195" s="746">
        <f t="shared" si="36"/>
        <v>1.5342465753424657</v>
      </c>
      <c r="V195" s="749"/>
      <c r="W195" s="746">
        <f>S195+T195+U195</f>
        <v>51.000821917808217</v>
      </c>
    </row>
    <row r="196" spans="1:34">
      <c r="A196" s="766">
        <v>2018</v>
      </c>
      <c r="B196" s="762">
        <f>K126*($E126/365)+K127*($E127/365)</f>
        <v>45.454545454545453</v>
      </c>
      <c r="C196" s="762">
        <f>L126*($E126/365)+L127*($E127/365)</f>
        <v>27.27272727272727</v>
      </c>
      <c r="D196" s="762">
        <f>M126*($E126/365)+M127*($E127/365)</f>
        <v>27.27272727272727</v>
      </c>
      <c r="E196" s="764">
        <f t="shared" ref="E196" si="37">B196+C196+D196</f>
        <v>99.999999999999986</v>
      </c>
      <c r="F196" s="766"/>
      <c r="G196" s="766">
        <v>2018</v>
      </c>
      <c r="H196" s="918">
        <f>(O126*100*($E126/365)/($O126+$P126+$Q126))+(O127*100*($E127/365)/($O127+$P127+$Q127))</f>
        <v>45.683453237410077</v>
      </c>
      <c r="I196" s="918"/>
      <c r="J196" s="918">
        <f>(P126*100*($E126/365)/($O126+$P126+$Q126))+(P127*100*($E127/365)/($O127+$P127+$Q127))</f>
        <v>22.841726618705039</v>
      </c>
      <c r="K196" s="918"/>
      <c r="L196" s="918">
        <f>(Q126*100*($E126/365)/($O126+$P126+$Q126))+(Q127*100*($E127/365)/($O127+$P127+$Q127))</f>
        <v>31.474820143884894</v>
      </c>
      <c r="M196" s="918"/>
      <c r="N196" s="919">
        <f t="shared" ref="N196" si="38">H196+J196+L196</f>
        <v>100.00000000000001</v>
      </c>
      <c r="O196" s="919"/>
      <c r="P196" s="766"/>
      <c r="Q196" s="766"/>
      <c r="R196" s="766">
        <v>2018</v>
      </c>
      <c r="S196" s="762">
        <f xml:space="preserve"> (O126*($E126/365))+ (O127*($E127/365))</f>
        <v>25.4</v>
      </c>
      <c r="T196" s="762">
        <f t="shared" ref="T196:U196" si="39" xml:space="preserve"> (P126*($E126/365))+ (P127*($E127/365))</f>
        <v>12.7</v>
      </c>
      <c r="U196" s="762">
        <f t="shared" si="39"/>
        <v>17.5</v>
      </c>
      <c r="V196" s="766"/>
      <c r="W196" s="762">
        <f t="shared" ref="W196" si="40">S196+T196+U196</f>
        <v>55.599999999999994</v>
      </c>
    </row>
    <row r="197" spans="1:34">
      <c r="A197" s="794">
        <v>2019</v>
      </c>
      <c r="B197" s="791">
        <f>K128*($E128/365)+K129*($E129/365)</f>
        <v>45.454545454545453</v>
      </c>
      <c r="C197" s="791">
        <f>L128*($E128/365)+L129*($E129/365)</f>
        <v>27.27272727272727</v>
      </c>
      <c r="D197" s="791">
        <f>M128*($E128/365)+M129*($E129/365)</f>
        <v>27.27272727272727</v>
      </c>
      <c r="E197" s="793">
        <f t="shared" ref="E197" si="41">B197+C197+D197</f>
        <v>99.999999999999986</v>
      </c>
      <c r="F197" s="794"/>
      <c r="G197" s="794">
        <v>2019</v>
      </c>
      <c r="H197" s="918">
        <f>(O128*100*($E128/365)/($O128+$P128+$Q128))+(O129*100*($E129/365)/($O129+$P129+$Q129))</f>
        <v>45.683453237410077</v>
      </c>
      <c r="I197" s="918"/>
      <c r="J197" s="918">
        <f>(P128*100*($E128/365)/($O128+$P128+$Q128))+(P129*100*($E129/365)/($O129+$P129+$Q129))</f>
        <v>22.841726618705039</v>
      </c>
      <c r="K197" s="918"/>
      <c r="L197" s="918">
        <f>(Q128*100*($E128/365)/($O128+$P128+$Q128))+(Q129*100*($E129/365)/($O129+$P129+$Q129))</f>
        <v>31.474820143884894</v>
      </c>
      <c r="M197" s="918"/>
      <c r="N197" s="919">
        <f t="shared" ref="N197" si="42">H197+J197+L197</f>
        <v>100.00000000000001</v>
      </c>
      <c r="O197" s="919"/>
      <c r="P197" s="794"/>
      <c r="Q197" s="794"/>
      <c r="R197" s="794">
        <v>2019</v>
      </c>
      <c r="S197" s="791">
        <f xml:space="preserve"> (O128*($E128/365))+ (O129*($E129/365))</f>
        <v>25.4</v>
      </c>
      <c r="T197" s="791">
        <f xml:space="preserve"> (P128*($E128/365))+ (P129*($E129/365))</f>
        <v>12.7</v>
      </c>
      <c r="U197" s="791">
        <f xml:space="preserve"> (Q128*($E128/365))+ (Q129*($E129/365))</f>
        <v>17.5</v>
      </c>
      <c r="V197" s="794"/>
      <c r="W197" s="791">
        <f t="shared" ref="W197" si="43">S197+T197+U197</f>
        <v>55.599999999999994</v>
      </c>
    </row>
    <row r="198" spans="1:34">
      <c r="N198" s="37"/>
      <c r="AH198" s="1"/>
    </row>
  </sheetData>
  <mergeCells count="396">
    <mergeCell ref="C126:D126"/>
    <mergeCell ref="C127:D127"/>
    <mergeCell ref="H196:I196"/>
    <mergeCell ref="J196:K196"/>
    <mergeCell ref="L196:M196"/>
    <mergeCell ref="N196:O196"/>
    <mergeCell ref="J195:K195"/>
    <mergeCell ref="L195:M195"/>
    <mergeCell ref="H195:I195"/>
    <mergeCell ref="N195:O195"/>
    <mergeCell ref="C131:D131"/>
    <mergeCell ref="C130:D130"/>
    <mergeCell ref="H140:I140"/>
    <mergeCell ref="J140:K140"/>
    <mergeCell ref="L140:M140"/>
    <mergeCell ref="N140:O140"/>
    <mergeCell ref="H144:I144"/>
    <mergeCell ref="J144:K144"/>
    <mergeCell ref="L144:M144"/>
    <mergeCell ref="N144:O144"/>
    <mergeCell ref="H147:I147"/>
    <mergeCell ref="J147:K147"/>
    <mergeCell ref="L147:M147"/>
    <mergeCell ref="N147:O147"/>
    <mergeCell ref="C118:D118"/>
    <mergeCell ref="C116:D116"/>
    <mergeCell ref="C117:D117"/>
    <mergeCell ref="C119:D119"/>
    <mergeCell ref="C120:D120"/>
    <mergeCell ref="C121:D121"/>
    <mergeCell ref="C123:D123"/>
    <mergeCell ref="C124:D124"/>
    <mergeCell ref="C125:D125"/>
    <mergeCell ref="C113:D113"/>
    <mergeCell ref="C114:D114"/>
    <mergeCell ref="C105:D105"/>
    <mergeCell ref="C106:D106"/>
    <mergeCell ref="C107:D107"/>
    <mergeCell ref="C108:D108"/>
    <mergeCell ref="C109:D109"/>
    <mergeCell ref="C110:D110"/>
    <mergeCell ref="C115:D115"/>
    <mergeCell ref="C100:D100"/>
    <mergeCell ref="C97:D97"/>
    <mergeCell ref="C98:D98"/>
    <mergeCell ref="C101:D101"/>
    <mergeCell ref="C102:D102"/>
    <mergeCell ref="C111:D111"/>
    <mergeCell ref="C112:D112"/>
    <mergeCell ref="C103:D103"/>
    <mergeCell ref="C104:D104"/>
    <mergeCell ref="C89:D89"/>
    <mergeCell ref="C90:D90"/>
    <mergeCell ref="C93:D93"/>
    <mergeCell ref="C94:D94"/>
    <mergeCell ref="C91:D91"/>
    <mergeCell ref="C92:D92"/>
    <mergeCell ref="C95:D95"/>
    <mergeCell ref="C96:D96"/>
    <mergeCell ref="C99:D99"/>
    <mergeCell ref="C82:D82"/>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64:D64"/>
    <mergeCell ref="C61:D61"/>
    <mergeCell ref="C62:D62"/>
    <mergeCell ref="C65:D65"/>
    <mergeCell ref="C66:D66"/>
    <mergeCell ref="C69:D69"/>
    <mergeCell ref="C70:D70"/>
    <mergeCell ref="C67:D67"/>
    <mergeCell ref="C68:D68"/>
    <mergeCell ref="C53:D53"/>
    <mergeCell ref="C54:D54"/>
    <mergeCell ref="C57:D57"/>
    <mergeCell ref="C58:D58"/>
    <mergeCell ref="C55:D55"/>
    <mergeCell ref="C56:D56"/>
    <mergeCell ref="C59:D59"/>
    <mergeCell ref="C60:D60"/>
    <mergeCell ref="C63:D63"/>
    <mergeCell ref="C45:D45"/>
    <mergeCell ref="C46:D46"/>
    <mergeCell ref="C43:D43"/>
    <mergeCell ref="C44:D44"/>
    <mergeCell ref="C47:D47"/>
    <mergeCell ref="C48:D48"/>
    <mergeCell ref="C51:D51"/>
    <mergeCell ref="C52:D52"/>
    <mergeCell ref="C49:D49"/>
    <mergeCell ref="C50:D50"/>
    <mergeCell ref="C32:D32"/>
    <mergeCell ref="C35:D35"/>
    <mergeCell ref="C36:D36"/>
    <mergeCell ref="C39:D39"/>
    <mergeCell ref="C40:D40"/>
    <mergeCell ref="C37:D37"/>
    <mergeCell ref="C38:D38"/>
    <mergeCell ref="C41:D41"/>
    <mergeCell ref="C42:D42"/>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9:D9"/>
    <mergeCell ref="C10:D10"/>
    <mergeCell ref="C7:D7"/>
    <mergeCell ref="C6:D6"/>
    <mergeCell ref="A4:A5"/>
    <mergeCell ref="B4:B5"/>
    <mergeCell ref="C4:D5"/>
    <mergeCell ref="E4:E5"/>
    <mergeCell ref="F4:F5"/>
    <mergeCell ref="G4:J4"/>
    <mergeCell ref="Z4:AC4"/>
    <mergeCell ref="H139:I139"/>
    <mergeCell ref="J139:K139"/>
    <mergeCell ref="L139:M139"/>
    <mergeCell ref="N139:O139"/>
    <mergeCell ref="C21:D21"/>
    <mergeCell ref="C22:D22"/>
    <mergeCell ref="C23:D23"/>
    <mergeCell ref="C24:D24"/>
    <mergeCell ref="C27:D27"/>
    <mergeCell ref="C28:D28"/>
    <mergeCell ref="C25:D25"/>
    <mergeCell ref="C26:D26"/>
    <mergeCell ref="C29:D29"/>
    <mergeCell ref="C30:D30"/>
    <mergeCell ref="C33:D33"/>
    <mergeCell ref="C34:D34"/>
    <mergeCell ref="C31:D31"/>
    <mergeCell ref="G3:M3"/>
    <mergeCell ref="O3:Q3"/>
    <mergeCell ref="H143:I143"/>
    <mergeCell ref="J143:K143"/>
    <mergeCell ref="L143:M143"/>
    <mergeCell ref="N143:O143"/>
    <mergeCell ref="J136:K136"/>
    <mergeCell ref="L136:M136"/>
    <mergeCell ref="N136:O136"/>
    <mergeCell ref="H138:I138"/>
    <mergeCell ref="H136:I136"/>
    <mergeCell ref="H137:I137"/>
    <mergeCell ref="J137:K137"/>
    <mergeCell ref="L137:M137"/>
    <mergeCell ref="N137:O137"/>
    <mergeCell ref="H141:I141"/>
    <mergeCell ref="J141:K141"/>
    <mergeCell ref="L141:M141"/>
    <mergeCell ref="N141:O141"/>
    <mergeCell ref="H142:I142"/>
    <mergeCell ref="J142:K142"/>
    <mergeCell ref="L142:M142"/>
    <mergeCell ref="N142:O142"/>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65:I165"/>
    <mergeCell ref="J165:K165"/>
    <mergeCell ref="L165:M165"/>
    <mergeCell ref="N165:O165"/>
    <mergeCell ref="H166:I166"/>
    <mergeCell ref="J166:K166"/>
    <mergeCell ref="L166:M166"/>
    <mergeCell ref="N166:O166"/>
    <mergeCell ref="J167:K167"/>
    <mergeCell ref="L167:M167"/>
    <mergeCell ref="N167:O167"/>
    <mergeCell ref="H174:I174"/>
    <mergeCell ref="H175:I175"/>
    <mergeCell ref="H167:I167"/>
    <mergeCell ref="J173:K173"/>
    <mergeCell ref="J174:K174"/>
    <mergeCell ref="J175:K175"/>
    <mergeCell ref="H168:I168"/>
    <mergeCell ref="H169:I169"/>
    <mergeCell ref="J179:K179"/>
    <mergeCell ref="J178:K178"/>
    <mergeCell ref="H189:I189"/>
    <mergeCell ref="H190:I190"/>
    <mergeCell ref="J168:K168"/>
    <mergeCell ref="J169:K169"/>
    <mergeCell ref="J170:K170"/>
    <mergeCell ref="J171:K171"/>
    <mergeCell ref="J172:K172"/>
    <mergeCell ref="H182:I182"/>
    <mergeCell ref="H183:I183"/>
    <mergeCell ref="H184:I184"/>
    <mergeCell ref="H185:I185"/>
    <mergeCell ref="H186:I186"/>
    <mergeCell ref="H187:I187"/>
    <mergeCell ref="H176:I176"/>
    <mergeCell ref="H177:I177"/>
    <mergeCell ref="H178:I178"/>
    <mergeCell ref="H179:I179"/>
    <mergeCell ref="H180:I180"/>
    <mergeCell ref="J190:K190"/>
    <mergeCell ref="H181:I181"/>
    <mergeCell ref="H170:I170"/>
    <mergeCell ref="H171:I171"/>
    <mergeCell ref="H172:I172"/>
    <mergeCell ref="H173:I173"/>
    <mergeCell ref="AT4:AW4"/>
    <mergeCell ref="AX4:BA4"/>
    <mergeCell ref="R134:W134"/>
    <mergeCell ref="N170:O170"/>
    <mergeCell ref="N171:O171"/>
    <mergeCell ref="L138:M138"/>
    <mergeCell ref="J138:K138"/>
    <mergeCell ref="J176:K176"/>
    <mergeCell ref="J177:K177"/>
    <mergeCell ref="N176:O176"/>
    <mergeCell ref="AD4:AG4"/>
    <mergeCell ref="AH4:AK4"/>
    <mergeCell ref="AL4:AO4"/>
    <mergeCell ref="U4:U5"/>
    <mergeCell ref="V4:Y4"/>
    <mergeCell ref="N177:O177"/>
    <mergeCell ref="L177:M177"/>
    <mergeCell ref="N168:O168"/>
    <mergeCell ref="N169:O169"/>
    <mergeCell ref="L168:M168"/>
    <mergeCell ref="L169:M169"/>
    <mergeCell ref="L170:M170"/>
    <mergeCell ref="L171:M171"/>
    <mergeCell ref="L172:M172"/>
    <mergeCell ref="L173:M173"/>
    <mergeCell ref="J183:K183"/>
    <mergeCell ref="N178:O178"/>
    <mergeCell ref="L178:M178"/>
    <mergeCell ref="L179:M179"/>
    <mergeCell ref="N179:O179"/>
    <mergeCell ref="N180:O180"/>
    <mergeCell ref="N181:O181"/>
    <mergeCell ref="N182:O182"/>
    <mergeCell ref="N183:O183"/>
    <mergeCell ref="L183:M183"/>
    <mergeCell ref="H194:I194"/>
    <mergeCell ref="J194:K194"/>
    <mergeCell ref="L194:M194"/>
    <mergeCell ref="N184:O184"/>
    <mergeCell ref="J180:K180"/>
    <mergeCell ref="J184:K184"/>
    <mergeCell ref="N192:O192"/>
    <mergeCell ref="N191:O191"/>
    <mergeCell ref="J191:K191"/>
    <mergeCell ref="N185:O185"/>
    <mergeCell ref="N186:O186"/>
    <mergeCell ref="N187:O187"/>
    <mergeCell ref="N188:O188"/>
    <mergeCell ref="L188:M188"/>
    <mergeCell ref="L189:M189"/>
    <mergeCell ref="L187:M187"/>
    <mergeCell ref="N189:O189"/>
    <mergeCell ref="J187:K187"/>
    <mergeCell ref="J188:K188"/>
    <mergeCell ref="N190:O190"/>
    <mergeCell ref="L192:M192"/>
    <mergeCell ref="H192:I192"/>
    <mergeCell ref="J192:K192"/>
    <mergeCell ref="H188:I188"/>
    <mergeCell ref="L186:M186"/>
    <mergeCell ref="J181:K181"/>
    <mergeCell ref="J182:K182"/>
    <mergeCell ref="J185:K185"/>
    <mergeCell ref="J186:K186"/>
    <mergeCell ref="L190:M190"/>
    <mergeCell ref="J189:K189"/>
    <mergeCell ref="L180:M180"/>
    <mergeCell ref="L181:M181"/>
    <mergeCell ref="L182:M182"/>
    <mergeCell ref="C128:D128"/>
    <mergeCell ref="C129:D129"/>
    <mergeCell ref="H197:I197"/>
    <mergeCell ref="J197:K197"/>
    <mergeCell ref="L197:M197"/>
    <mergeCell ref="N197:O197"/>
    <mergeCell ref="N194:O194"/>
    <mergeCell ref="C122:D122"/>
    <mergeCell ref="H193:I193"/>
    <mergeCell ref="J193:K193"/>
    <mergeCell ref="L193:M193"/>
    <mergeCell ref="N193:O193"/>
    <mergeCell ref="H191:I191"/>
    <mergeCell ref="L191:M191"/>
    <mergeCell ref="N138:O138"/>
    <mergeCell ref="N173:O173"/>
    <mergeCell ref="N174:O174"/>
    <mergeCell ref="N175:O175"/>
    <mergeCell ref="N172:O172"/>
    <mergeCell ref="L174:M174"/>
    <mergeCell ref="L175:M175"/>
    <mergeCell ref="L176:M176"/>
    <mergeCell ref="L184:M184"/>
    <mergeCell ref="L185:M18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A200"/>
  <sheetViews>
    <sheetView zoomScale="181" zoomScaleNormal="120" workbookViewId="0">
      <pane xSplit="1" ySplit="5" topLeftCell="B6" activePane="bottomRight" state="frozen"/>
      <selection pane="topRight" activeCell="B1" sqref="B1"/>
      <selection pane="bottomLeft" activeCell="A6" sqref="A6"/>
      <selection pane="bottomRight" activeCell="T131" sqref="T6:U131"/>
    </sheetView>
  </sheetViews>
  <sheetFormatPr baseColWidth="10" defaultColWidth="10.6640625" defaultRowHeight="10"/>
  <cols>
    <col min="1" max="1" width="5.83203125" style="1" customWidth="1"/>
    <col min="2" max="6" width="7.83203125" style="1" customWidth="1"/>
    <col min="7" max="7" width="4.5" style="1" customWidth="1"/>
    <col min="8" max="8" width="4.5" style="5" customWidth="1"/>
    <col min="9" max="18" width="4.5" style="1" customWidth="1"/>
    <col min="19" max="21" width="7.83203125" style="1" customWidth="1"/>
    <col min="22" max="53" width="5.6640625" style="1" customWidth="1"/>
    <col min="54" max="16384" width="10.6640625" style="1"/>
  </cols>
  <sheetData>
    <row r="1" spans="1:53" s="2" customFormat="1" ht="15" customHeight="1">
      <c r="B1" s="22" t="s">
        <v>14</v>
      </c>
      <c r="H1" s="6"/>
    </row>
    <row r="2" spans="1:53" s="2" customFormat="1" ht="15" customHeight="1">
      <c r="B2" s="22" t="s">
        <v>58</v>
      </c>
      <c r="H2" s="6"/>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1235</v>
      </c>
      <c r="D6" s="925"/>
      <c r="E6" s="227">
        <v>173</v>
      </c>
      <c r="G6" s="253">
        <v>12</v>
      </c>
      <c r="H6" s="230"/>
      <c r="I6" s="241"/>
      <c r="J6" s="254">
        <v>12</v>
      </c>
      <c r="K6" s="215">
        <f t="shared" ref="K6:M8" si="0">G6/$J6*100</f>
        <v>100</v>
      </c>
      <c r="L6" s="215">
        <f t="shared" si="0"/>
        <v>0</v>
      </c>
      <c r="M6" s="215">
        <f t="shared" si="0"/>
        <v>0</v>
      </c>
      <c r="N6" s="216">
        <f>K6+L6+M6</f>
        <v>100</v>
      </c>
      <c r="O6" s="255">
        <v>53.1</v>
      </c>
      <c r="P6" s="215"/>
      <c r="Q6" s="215"/>
      <c r="R6" s="256">
        <f>O6+P6+Q6</f>
        <v>53.1</v>
      </c>
      <c r="S6" s="227">
        <v>1</v>
      </c>
      <c r="T6" s="870"/>
      <c r="U6" s="853"/>
      <c r="V6" s="226" t="s">
        <v>556</v>
      </c>
      <c r="W6" s="227" t="s">
        <v>22</v>
      </c>
      <c r="X6" s="227" t="s">
        <v>11</v>
      </c>
      <c r="Y6" s="228">
        <v>53.1</v>
      </c>
      <c r="AD6" s="226"/>
      <c r="AG6" s="228"/>
      <c r="AL6" s="226"/>
      <c r="AO6" s="228"/>
      <c r="AP6" s="226"/>
      <c r="AS6" s="228"/>
      <c r="AW6" s="228"/>
      <c r="BA6" s="229"/>
    </row>
    <row r="7" spans="1:53" s="227" customFormat="1">
      <c r="A7" s="233">
        <v>1959</v>
      </c>
      <c r="B7" s="853">
        <v>21724</v>
      </c>
      <c r="C7" s="925" t="s">
        <v>743</v>
      </c>
      <c r="D7" s="925"/>
      <c r="E7" s="227">
        <f>365-E6</f>
        <v>192</v>
      </c>
      <c r="F7" s="227">
        <v>5</v>
      </c>
      <c r="G7" s="253">
        <v>14</v>
      </c>
      <c r="H7" s="230"/>
      <c r="I7" s="241"/>
      <c r="J7" s="254">
        <v>14</v>
      </c>
      <c r="K7" s="215">
        <f t="shared" si="0"/>
        <v>100</v>
      </c>
      <c r="L7" s="215">
        <f t="shared" si="0"/>
        <v>0</v>
      </c>
      <c r="M7" s="215">
        <f t="shared" si="0"/>
        <v>0</v>
      </c>
      <c r="N7" s="216">
        <f>K7+L7+M7</f>
        <v>100</v>
      </c>
      <c r="O7" s="255">
        <v>53.1</v>
      </c>
      <c r="P7" s="215"/>
      <c r="Q7" s="215"/>
      <c r="R7" s="256">
        <f>O7+P7+Q7</f>
        <v>53.1</v>
      </c>
      <c r="S7" s="227">
        <v>1</v>
      </c>
      <c r="T7" s="870"/>
      <c r="U7" s="853">
        <v>21724</v>
      </c>
      <c r="V7" s="226" t="s">
        <v>556</v>
      </c>
      <c r="W7" s="227" t="s">
        <v>22</v>
      </c>
      <c r="X7" s="227" t="s">
        <v>11</v>
      </c>
      <c r="Y7" s="228">
        <v>53.1</v>
      </c>
      <c r="AD7" s="226"/>
      <c r="AG7" s="228"/>
      <c r="AL7" s="226"/>
      <c r="AO7" s="228"/>
      <c r="AP7" s="226"/>
      <c r="AS7" s="228"/>
      <c r="AW7" s="228"/>
      <c r="BA7" s="229"/>
    </row>
    <row r="8" spans="1:53" s="73" customFormat="1">
      <c r="A8" s="101">
        <v>1960</v>
      </c>
      <c r="B8" s="852"/>
      <c r="C8" s="917" t="s">
        <v>743</v>
      </c>
      <c r="D8" s="917"/>
      <c r="E8" s="73">
        <v>0</v>
      </c>
      <c r="G8" s="74">
        <v>14</v>
      </c>
      <c r="H8" s="160"/>
      <c r="I8" s="75"/>
      <c r="J8" s="76">
        <v>14</v>
      </c>
      <c r="K8" s="77">
        <f t="shared" si="0"/>
        <v>100</v>
      </c>
      <c r="L8" s="77">
        <f t="shared" si="0"/>
        <v>0</v>
      </c>
      <c r="M8" s="77">
        <f t="shared" si="0"/>
        <v>0</v>
      </c>
      <c r="N8" s="78">
        <f>K8+L8+M8</f>
        <v>100</v>
      </c>
      <c r="O8" s="79">
        <v>53.1</v>
      </c>
      <c r="P8" s="77"/>
      <c r="Q8" s="77"/>
      <c r="R8" s="80">
        <f>O8+P8+Q8</f>
        <v>53.1</v>
      </c>
      <c r="S8" s="73">
        <v>1</v>
      </c>
      <c r="T8" s="839"/>
      <c r="U8" s="852"/>
      <c r="V8" s="82" t="s">
        <v>556</v>
      </c>
      <c r="W8" s="73" t="s">
        <v>22</v>
      </c>
      <c r="X8" s="73" t="s">
        <v>11</v>
      </c>
      <c r="Y8" s="83">
        <v>53.1</v>
      </c>
      <c r="AD8" s="82"/>
      <c r="AG8" s="83"/>
      <c r="AL8" s="82"/>
      <c r="AO8" s="83"/>
      <c r="AP8" s="82"/>
      <c r="AS8" s="83"/>
      <c r="AW8" s="83"/>
      <c r="BA8" s="84"/>
    </row>
    <row r="9" spans="1:53" s="73" customFormat="1">
      <c r="A9" s="101">
        <v>1960</v>
      </c>
      <c r="B9" s="852"/>
      <c r="C9" s="917" t="s">
        <v>743</v>
      </c>
      <c r="D9" s="917"/>
      <c r="E9" s="73">
        <v>366</v>
      </c>
      <c r="G9" s="74">
        <v>14</v>
      </c>
      <c r="H9" s="160"/>
      <c r="I9" s="75"/>
      <c r="J9" s="76">
        <v>14</v>
      </c>
      <c r="K9" s="77">
        <f t="shared" ref="K9:M58" si="1">G9/$J9*100</f>
        <v>100</v>
      </c>
      <c r="L9" s="77">
        <f t="shared" si="1"/>
        <v>0</v>
      </c>
      <c r="M9" s="77">
        <f t="shared" si="1"/>
        <v>0</v>
      </c>
      <c r="N9" s="78">
        <f t="shared" ref="N9:N58" si="2">K9+L9+M9</f>
        <v>100</v>
      </c>
      <c r="O9" s="79">
        <v>53.1</v>
      </c>
      <c r="P9" s="77"/>
      <c r="Q9" s="77"/>
      <c r="R9" s="80">
        <f t="shared" ref="R9:R72" si="3">O9+P9+Q9</f>
        <v>53.1</v>
      </c>
      <c r="S9" s="73">
        <v>1</v>
      </c>
      <c r="T9" s="839"/>
      <c r="U9" s="852"/>
      <c r="V9" s="82" t="s">
        <v>556</v>
      </c>
      <c r="W9" s="73" t="s">
        <v>22</v>
      </c>
      <c r="X9" s="73" t="s">
        <v>11</v>
      </c>
      <c r="Y9" s="83">
        <v>53.1</v>
      </c>
      <c r="AD9" s="82"/>
      <c r="AG9" s="83"/>
      <c r="AL9" s="82"/>
      <c r="AO9" s="83"/>
      <c r="AP9" s="82"/>
      <c r="AS9" s="83"/>
      <c r="AW9" s="83"/>
      <c r="BA9" s="84"/>
    </row>
    <row r="10" spans="1:53" s="73" customFormat="1">
      <c r="A10" s="101">
        <v>1961</v>
      </c>
      <c r="B10" s="852"/>
      <c r="C10" s="917" t="s">
        <v>743</v>
      </c>
      <c r="D10" s="917"/>
      <c r="E10" s="73">
        <v>283</v>
      </c>
      <c r="G10" s="74">
        <v>14</v>
      </c>
      <c r="H10" s="160"/>
      <c r="I10" s="75"/>
      <c r="J10" s="76">
        <v>14</v>
      </c>
      <c r="K10" s="77">
        <f t="shared" si="1"/>
        <v>100</v>
      </c>
      <c r="L10" s="77">
        <f t="shared" si="1"/>
        <v>0</v>
      </c>
      <c r="M10" s="77">
        <f t="shared" si="1"/>
        <v>0</v>
      </c>
      <c r="N10" s="78">
        <f t="shared" si="2"/>
        <v>100</v>
      </c>
      <c r="O10" s="79">
        <v>53.1</v>
      </c>
      <c r="P10" s="77"/>
      <c r="Q10" s="77"/>
      <c r="R10" s="80">
        <f t="shared" si="3"/>
        <v>53.1</v>
      </c>
      <c r="S10" s="73">
        <v>1</v>
      </c>
      <c r="T10" s="839"/>
      <c r="U10" s="852"/>
      <c r="V10" s="82" t="s">
        <v>556</v>
      </c>
      <c r="W10" s="73" t="s">
        <v>22</v>
      </c>
      <c r="X10" s="73" t="s">
        <v>11</v>
      </c>
      <c r="Y10" s="83">
        <v>53.1</v>
      </c>
      <c r="AD10" s="82"/>
      <c r="AG10" s="83"/>
      <c r="AL10" s="82"/>
      <c r="AO10" s="83"/>
      <c r="AP10" s="82"/>
      <c r="AS10" s="83"/>
      <c r="AW10" s="83"/>
      <c r="BA10" s="84"/>
    </row>
    <row r="11" spans="1:53" s="292" customFormat="1">
      <c r="A11" s="338">
        <v>1961</v>
      </c>
      <c r="B11" s="836">
        <v>22565</v>
      </c>
      <c r="C11" s="916" t="s">
        <v>744</v>
      </c>
      <c r="D11" s="916"/>
      <c r="E11" s="292">
        <f>365-E10</f>
        <v>82</v>
      </c>
      <c r="F11" s="292">
        <v>1</v>
      </c>
      <c r="G11" s="293">
        <v>15</v>
      </c>
      <c r="H11" s="391"/>
      <c r="I11" s="179"/>
      <c r="J11" s="294">
        <v>15</v>
      </c>
      <c r="K11" s="295">
        <f t="shared" si="1"/>
        <v>100</v>
      </c>
      <c r="L11" s="295">
        <f t="shared" si="1"/>
        <v>0</v>
      </c>
      <c r="M11" s="295">
        <f t="shared" si="1"/>
        <v>0</v>
      </c>
      <c r="N11" s="296">
        <f t="shared" si="2"/>
        <v>100</v>
      </c>
      <c r="O11" s="297">
        <v>48.6</v>
      </c>
      <c r="P11" s="295"/>
      <c r="Q11" s="295"/>
      <c r="R11" s="298">
        <f t="shared" si="3"/>
        <v>48.6</v>
      </c>
      <c r="S11" s="292">
        <v>4</v>
      </c>
      <c r="T11" s="838">
        <v>22558</v>
      </c>
      <c r="U11" s="836">
        <v>22565</v>
      </c>
      <c r="V11" s="299" t="s">
        <v>556</v>
      </c>
      <c r="W11" s="292" t="s">
        <v>22</v>
      </c>
      <c r="X11" s="292" t="s">
        <v>11</v>
      </c>
      <c r="Y11" s="300">
        <v>48.6</v>
      </c>
      <c r="AD11" s="299"/>
      <c r="AG11" s="300"/>
      <c r="AL11" s="299"/>
      <c r="AO11" s="300"/>
      <c r="AP11" s="299"/>
      <c r="AS11" s="300"/>
      <c r="AW11" s="300"/>
      <c r="BA11" s="301"/>
    </row>
    <row r="12" spans="1:53" s="292" customFormat="1">
      <c r="A12" s="338">
        <v>1962</v>
      </c>
      <c r="B12" s="836"/>
      <c r="C12" s="916" t="s">
        <v>744</v>
      </c>
      <c r="D12" s="916"/>
      <c r="E12" s="292">
        <v>0</v>
      </c>
      <c r="G12" s="293">
        <v>15</v>
      </c>
      <c r="H12" s="391"/>
      <c r="I12" s="179"/>
      <c r="J12" s="294">
        <v>15</v>
      </c>
      <c r="K12" s="295">
        <f t="shared" si="1"/>
        <v>100</v>
      </c>
      <c r="L12" s="295">
        <f t="shared" si="1"/>
        <v>0</v>
      </c>
      <c r="M12" s="295">
        <f t="shared" si="1"/>
        <v>0</v>
      </c>
      <c r="N12" s="296">
        <f t="shared" si="2"/>
        <v>100</v>
      </c>
      <c r="O12" s="297">
        <v>48.6</v>
      </c>
      <c r="P12" s="295"/>
      <c r="Q12" s="295"/>
      <c r="R12" s="298">
        <f t="shared" si="3"/>
        <v>48.6</v>
      </c>
      <c r="S12" s="292">
        <v>4</v>
      </c>
      <c r="T12" s="838"/>
      <c r="U12" s="836"/>
      <c r="V12" s="299" t="s">
        <v>556</v>
      </c>
      <c r="W12" s="292" t="s">
        <v>22</v>
      </c>
      <c r="X12" s="292" t="s">
        <v>11</v>
      </c>
      <c r="Y12" s="300">
        <v>48.6</v>
      </c>
      <c r="AD12" s="299"/>
      <c r="AG12" s="300"/>
      <c r="AL12" s="299"/>
      <c r="AO12" s="300"/>
      <c r="AP12" s="299"/>
      <c r="AS12" s="300"/>
      <c r="AW12" s="300"/>
      <c r="BA12" s="301"/>
    </row>
    <row r="13" spans="1:53" s="292" customFormat="1">
      <c r="A13" s="338">
        <v>1962</v>
      </c>
      <c r="B13" s="836"/>
      <c r="C13" s="916" t="s">
        <v>744</v>
      </c>
      <c r="D13" s="916"/>
      <c r="E13" s="292">
        <v>365</v>
      </c>
      <c r="G13" s="293">
        <v>15</v>
      </c>
      <c r="H13" s="391"/>
      <c r="I13" s="179"/>
      <c r="J13" s="294">
        <v>15</v>
      </c>
      <c r="K13" s="295">
        <f t="shared" si="1"/>
        <v>100</v>
      </c>
      <c r="L13" s="295">
        <f t="shared" si="1"/>
        <v>0</v>
      </c>
      <c r="M13" s="295">
        <f t="shared" si="1"/>
        <v>0</v>
      </c>
      <c r="N13" s="296">
        <f t="shared" si="2"/>
        <v>100</v>
      </c>
      <c r="O13" s="297">
        <v>48.6</v>
      </c>
      <c r="P13" s="295"/>
      <c r="Q13" s="295"/>
      <c r="R13" s="298">
        <f t="shared" si="3"/>
        <v>48.6</v>
      </c>
      <c r="S13" s="292">
        <v>4</v>
      </c>
      <c r="T13" s="838"/>
      <c r="U13" s="836"/>
      <c r="V13" s="299" t="s">
        <v>556</v>
      </c>
      <c r="W13" s="292" t="s">
        <v>22</v>
      </c>
      <c r="X13" s="292" t="s">
        <v>11</v>
      </c>
      <c r="Y13" s="300">
        <v>48.6</v>
      </c>
      <c r="AD13" s="299"/>
      <c r="AG13" s="300"/>
      <c r="AL13" s="299"/>
      <c r="AO13" s="300"/>
      <c r="AP13" s="299"/>
      <c r="AS13" s="300"/>
      <c r="AW13" s="300"/>
      <c r="BA13" s="301"/>
    </row>
    <row r="14" spans="1:53" s="292" customFormat="1">
      <c r="A14" s="338">
        <v>1963</v>
      </c>
      <c r="B14" s="836"/>
      <c r="C14" s="916" t="s">
        <v>744</v>
      </c>
      <c r="D14" s="916"/>
      <c r="E14" s="292">
        <v>0</v>
      </c>
      <c r="G14" s="293">
        <v>15</v>
      </c>
      <c r="H14" s="391"/>
      <c r="I14" s="179"/>
      <c r="J14" s="294">
        <v>15</v>
      </c>
      <c r="K14" s="295">
        <f t="shared" si="1"/>
        <v>100</v>
      </c>
      <c r="L14" s="295">
        <f t="shared" si="1"/>
        <v>0</v>
      </c>
      <c r="M14" s="295">
        <f t="shared" si="1"/>
        <v>0</v>
      </c>
      <c r="N14" s="296">
        <f t="shared" si="2"/>
        <v>100</v>
      </c>
      <c r="O14" s="297">
        <v>48.6</v>
      </c>
      <c r="P14" s="295"/>
      <c r="Q14" s="295"/>
      <c r="R14" s="298">
        <f t="shared" si="3"/>
        <v>48.6</v>
      </c>
      <c r="S14" s="292">
        <v>4</v>
      </c>
      <c r="T14" s="838"/>
      <c r="U14" s="836"/>
      <c r="V14" s="299" t="s">
        <v>556</v>
      </c>
      <c r="W14" s="292" t="s">
        <v>22</v>
      </c>
      <c r="X14" s="292" t="s">
        <v>11</v>
      </c>
      <c r="Y14" s="300">
        <v>48.6</v>
      </c>
      <c r="AD14" s="299"/>
      <c r="AG14" s="300"/>
      <c r="AL14" s="299"/>
      <c r="AO14" s="300"/>
      <c r="AP14" s="299"/>
      <c r="AS14" s="300"/>
      <c r="AW14" s="300"/>
      <c r="BA14" s="301"/>
    </row>
    <row r="15" spans="1:53" s="292" customFormat="1">
      <c r="A15" s="338">
        <v>1963</v>
      </c>
      <c r="B15" s="836"/>
      <c r="C15" s="916" t="s">
        <v>744</v>
      </c>
      <c r="D15" s="916"/>
      <c r="E15" s="292">
        <v>365</v>
      </c>
      <c r="G15" s="293">
        <v>15</v>
      </c>
      <c r="H15" s="391"/>
      <c r="I15" s="179"/>
      <c r="J15" s="294">
        <v>15</v>
      </c>
      <c r="K15" s="295">
        <f t="shared" si="1"/>
        <v>100</v>
      </c>
      <c r="L15" s="295">
        <f t="shared" si="1"/>
        <v>0</v>
      </c>
      <c r="M15" s="295">
        <f t="shared" si="1"/>
        <v>0</v>
      </c>
      <c r="N15" s="296">
        <f t="shared" si="2"/>
        <v>100</v>
      </c>
      <c r="O15" s="297">
        <v>48.6</v>
      </c>
      <c r="P15" s="295"/>
      <c r="Q15" s="295"/>
      <c r="R15" s="298">
        <f t="shared" si="3"/>
        <v>48.6</v>
      </c>
      <c r="S15" s="292">
        <v>4</v>
      </c>
      <c r="T15" s="838"/>
      <c r="U15" s="836"/>
      <c r="V15" s="299" t="s">
        <v>556</v>
      </c>
      <c r="W15" s="292" t="s">
        <v>22</v>
      </c>
      <c r="X15" s="292" t="s">
        <v>11</v>
      </c>
      <c r="Y15" s="300">
        <v>48.6</v>
      </c>
      <c r="AD15" s="299"/>
      <c r="AG15" s="300"/>
      <c r="AL15" s="299"/>
      <c r="AO15" s="300"/>
      <c r="AP15" s="299"/>
      <c r="AS15" s="300"/>
      <c r="AW15" s="300"/>
      <c r="BA15" s="301"/>
    </row>
    <row r="16" spans="1:53" s="292" customFormat="1">
      <c r="A16" s="338">
        <v>1964</v>
      </c>
      <c r="B16" s="836"/>
      <c r="C16" s="916" t="s">
        <v>744</v>
      </c>
      <c r="D16" s="916"/>
      <c r="E16" s="292">
        <v>0</v>
      </c>
      <c r="G16" s="293">
        <v>15</v>
      </c>
      <c r="H16" s="391"/>
      <c r="I16" s="179"/>
      <c r="J16" s="294">
        <v>15</v>
      </c>
      <c r="K16" s="295">
        <f t="shared" si="1"/>
        <v>100</v>
      </c>
      <c r="L16" s="295">
        <f t="shared" si="1"/>
        <v>0</v>
      </c>
      <c r="M16" s="295">
        <f t="shared" si="1"/>
        <v>0</v>
      </c>
      <c r="N16" s="296">
        <f t="shared" si="2"/>
        <v>100</v>
      </c>
      <c r="O16" s="297">
        <v>48.6</v>
      </c>
      <c r="P16" s="295"/>
      <c r="Q16" s="295"/>
      <c r="R16" s="298">
        <f t="shared" si="3"/>
        <v>48.6</v>
      </c>
      <c r="S16" s="292">
        <v>4</v>
      </c>
      <c r="T16" s="838"/>
      <c r="U16" s="836"/>
      <c r="V16" s="299" t="s">
        <v>556</v>
      </c>
      <c r="W16" s="292" t="s">
        <v>22</v>
      </c>
      <c r="X16" s="292" t="s">
        <v>11</v>
      </c>
      <c r="Y16" s="300">
        <v>48.6</v>
      </c>
      <c r="AD16" s="299"/>
      <c r="AG16" s="300"/>
      <c r="AL16" s="299"/>
      <c r="AO16" s="300"/>
      <c r="AP16" s="299"/>
      <c r="AS16" s="300"/>
      <c r="AW16" s="300"/>
      <c r="BA16" s="301"/>
    </row>
    <row r="17" spans="1:53" s="292" customFormat="1">
      <c r="A17" s="338">
        <v>1964</v>
      </c>
      <c r="B17" s="836"/>
      <c r="C17" s="916" t="s">
        <v>744</v>
      </c>
      <c r="D17" s="916"/>
      <c r="E17" s="292">
        <v>366</v>
      </c>
      <c r="G17" s="293">
        <v>15</v>
      </c>
      <c r="H17" s="391"/>
      <c r="I17" s="179"/>
      <c r="J17" s="294">
        <v>15</v>
      </c>
      <c r="K17" s="295">
        <f t="shared" si="1"/>
        <v>100</v>
      </c>
      <c r="L17" s="295">
        <f t="shared" si="1"/>
        <v>0</v>
      </c>
      <c r="M17" s="295">
        <f t="shared" si="1"/>
        <v>0</v>
      </c>
      <c r="N17" s="296">
        <f t="shared" si="2"/>
        <v>100</v>
      </c>
      <c r="O17" s="297">
        <v>48.6</v>
      </c>
      <c r="P17" s="295"/>
      <c r="Q17" s="295"/>
      <c r="R17" s="298">
        <f t="shared" si="3"/>
        <v>48.6</v>
      </c>
      <c r="S17" s="292">
        <v>4</v>
      </c>
      <c r="T17" s="838"/>
      <c r="U17" s="836"/>
      <c r="V17" s="299" t="s">
        <v>556</v>
      </c>
      <c r="W17" s="292" t="s">
        <v>22</v>
      </c>
      <c r="X17" s="292" t="s">
        <v>11</v>
      </c>
      <c r="Y17" s="300">
        <v>48.6</v>
      </c>
      <c r="AD17" s="299"/>
      <c r="AG17" s="300"/>
      <c r="AL17" s="299"/>
      <c r="AO17" s="300"/>
      <c r="AP17" s="299"/>
      <c r="AS17" s="300"/>
      <c r="AW17" s="300"/>
      <c r="BA17" s="301"/>
    </row>
    <row r="18" spans="1:53" s="292" customFormat="1">
      <c r="A18" s="338">
        <v>1965</v>
      </c>
      <c r="B18" s="836"/>
      <c r="C18" s="916" t="s">
        <v>744</v>
      </c>
      <c r="D18" s="916"/>
      <c r="E18" s="292">
        <v>90</v>
      </c>
      <c r="G18" s="293">
        <v>15</v>
      </c>
      <c r="H18" s="391"/>
      <c r="I18" s="179"/>
      <c r="J18" s="294">
        <v>15</v>
      </c>
      <c r="K18" s="295">
        <f t="shared" si="1"/>
        <v>100</v>
      </c>
      <c r="L18" s="295">
        <f t="shared" si="1"/>
        <v>0</v>
      </c>
      <c r="M18" s="295">
        <f t="shared" si="1"/>
        <v>0</v>
      </c>
      <c r="N18" s="296">
        <f t="shared" si="2"/>
        <v>100</v>
      </c>
      <c r="O18" s="297">
        <v>48.6</v>
      </c>
      <c r="P18" s="295"/>
      <c r="Q18" s="295"/>
      <c r="R18" s="298">
        <f t="shared" si="3"/>
        <v>48.6</v>
      </c>
      <c r="S18" s="292">
        <v>4</v>
      </c>
      <c r="T18" s="838"/>
      <c r="U18" s="836"/>
      <c r="V18" s="299" t="s">
        <v>556</v>
      </c>
      <c r="W18" s="292" t="s">
        <v>22</v>
      </c>
      <c r="X18" s="292" t="s">
        <v>11</v>
      </c>
      <c r="Y18" s="300">
        <v>48.6</v>
      </c>
      <c r="AD18" s="299"/>
      <c r="AG18" s="300"/>
      <c r="AL18" s="299"/>
      <c r="AO18" s="300"/>
      <c r="AP18" s="299"/>
      <c r="AS18" s="300"/>
      <c r="AW18" s="300"/>
      <c r="BA18" s="301"/>
    </row>
    <row r="19" spans="1:53" s="73" customFormat="1">
      <c r="A19" s="101">
        <v>1965</v>
      </c>
      <c r="B19" s="852">
        <v>23833</v>
      </c>
      <c r="C19" s="917" t="s">
        <v>745</v>
      </c>
      <c r="D19" s="917"/>
      <c r="E19" s="73">
        <f>365-E18</f>
        <v>275</v>
      </c>
      <c r="F19" s="73">
        <v>1</v>
      </c>
      <c r="G19" s="74">
        <v>15</v>
      </c>
      <c r="H19" s="160"/>
      <c r="I19" s="75"/>
      <c r="J19" s="76">
        <v>15</v>
      </c>
      <c r="K19" s="77">
        <f t="shared" si="1"/>
        <v>100</v>
      </c>
      <c r="L19" s="77">
        <f t="shared" si="1"/>
        <v>0</v>
      </c>
      <c r="M19" s="77">
        <f t="shared" si="1"/>
        <v>0</v>
      </c>
      <c r="N19" s="78">
        <f t="shared" si="2"/>
        <v>100</v>
      </c>
      <c r="O19" s="79">
        <v>50</v>
      </c>
      <c r="P19" s="77"/>
      <c r="Q19" s="77"/>
      <c r="R19" s="80">
        <f t="shared" si="3"/>
        <v>50</v>
      </c>
      <c r="S19" s="73">
        <v>4</v>
      </c>
      <c r="T19" s="839">
        <v>23839</v>
      </c>
      <c r="U19" s="852">
        <v>23853</v>
      </c>
      <c r="V19" s="82" t="s">
        <v>556</v>
      </c>
      <c r="W19" s="73" t="s">
        <v>22</v>
      </c>
      <c r="X19" s="73" t="s">
        <v>11</v>
      </c>
      <c r="Y19" s="83">
        <v>50</v>
      </c>
      <c r="AD19" s="82"/>
      <c r="AG19" s="83"/>
      <c r="AL19" s="82"/>
      <c r="AO19" s="83"/>
      <c r="AP19" s="82"/>
      <c r="AS19" s="83"/>
      <c r="AW19" s="83"/>
      <c r="BA19" s="84"/>
    </row>
    <row r="20" spans="1:53" s="73" customFormat="1">
      <c r="A20" s="101">
        <v>1966</v>
      </c>
      <c r="B20" s="852"/>
      <c r="C20" s="917" t="s">
        <v>745</v>
      </c>
      <c r="D20" s="917"/>
      <c r="E20" s="73">
        <v>313</v>
      </c>
      <c r="G20" s="74">
        <v>15</v>
      </c>
      <c r="H20" s="160"/>
      <c r="I20" s="75"/>
      <c r="J20" s="76">
        <v>15</v>
      </c>
      <c r="K20" s="77">
        <f t="shared" si="1"/>
        <v>100</v>
      </c>
      <c r="L20" s="77">
        <f t="shared" si="1"/>
        <v>0</v>
      </c>
      <c r="M20" s="77">
        <f t="shared" si="1"/>
        <v>0</v>
      </c>
      <c r="N20" s="78">
        <f t="shared" si="2"/>
        <v>100</v>
      </c>
      <c r="O20" s="79">
        <v>50</v>
      </c>
      <c r="P20" s="77"/>
      <c r="Q20" s="77"/>
      <c r="R20" s="80">
        <f t="shared" si="3"/>
        <v>50</v>
      </c>
      <c r="S20" s="73">
        <v>4</v>
      </c>
      <c r="T20" s="839"/>
      <c r="U20" s="852"/>
      <c r="V20" s="82" t="s">
        <v>556</v>
      </c>
      <c r="W20" s="73" t="s">
        <v>22</v>
      </c>
      <c r="X20" s="73" t="s">
        <v>11</v>
      </c>
      <c r="Y20" s="83">
        <v>50</v>
      </c>
      <c r="AD20" s="82"/>
      <c r="AG20" s="83"/>
      <c r="AL20" s="82"/>
      <c r="AO20" s="83"/>
      <c r="AP20" s="82"/>
      <c r="AS20" s="83"/>
      <c r="AW20" s="83"/>
      <c r="BA20" s="84"/>
    </row>
    <row r="21" spans="1:53" s="292" customFormat="1">
      <c r="A21" s="338">
        <v>1966</v>
      </c>
      <c r="B21" s="836">
        <v>24421</v>
      </c>
      <c r="C21" s="916" t="s">
        <v>746</v>
      </c>
      <c r="D21" s="916"/>
      <c r="E21" s="292">
        <f>365-E20</f>
        <v>52</v>
      </c>
      <c r="F21" s="292">
        <v>3</v>
      </c>
      <c r="G21" s="293">
        <v>15</v>
      </c>
      <c r="H21" s="391"/>
      <c r="I21" s="179"/>
      <c r="J21" s="294">
        <v>15</v>
      </c>
      <c r="K21" s="295">
        <f t="shared" si="1"/>
        <v>100</v>
      </c>
      <c r="L21" s="295">
        <f t="shared" si="1"/>
        <v>0</v>
      </c>
      <c r="M21" s="295">
        <f t="shared" si="1"/>
        <v>0</v>
      </c>
      <c r="N21" s="296">
        <f t="shared" si="2"/>
        <v>100</v>
      </c>
      <c r="O21" s="297">
        <v>50</v>
      </c>
      <c r="P21" s="295"/>
      <c r="Q21" s="295"/>
      <c r="R21" s="298">
        <f t="shared" si="3"/>
        <v>50</v>
      </c>
      <c r="S21" s="292">
        <v>4</v>
      </c>
      <c r="T21" s="838"/>
      <c r="U21" s="836">
        <v>24421</v>
      </c>
      <c r="V21" s="299" t="s">
        <v>556</v>
      </c>
      <c r="W21" s="292" t="s">
        <v>22</v>
      </c>
      <c r="X21" s="292" t="s">
        <v>11</v>
      </c>
      <c r="Y21" s="300">
        <v>50</v>
      </c>
      <c r="AD21" s="299"/>
      <c r="AG21" s="300"/>
      <c r="AL21" s="299"/>
      <c r="AO21" s="300"/>
      <c r="AP21" s="299"/>
      <c r="AS21" s="300"/>
      <c r="AW21" s="300"/>
      <c r="BA21" s="301"/>
    </row>
    <row r="22" spans="1:53" s="292" customFormat="1">
      <c r="A22" s="338">
        <v>1967</v>
      </c>
      <c r="B22" s="836"/>
      <c r="C22" s="916" t="s">
        <v>746</v>
      </c>
      <c r="D22" s="916"/>
      <c r="E22" s="292">
        <v>0</v>
      </c>
      <c r="G22" s="293">
        <v>15</v>
      </c>
      <c r="H22" s="391"/>
      <c r="I22" s="179"/>
      <c r="J22" s="294">
        <v>15</v>
      </c>
      <c r="K22" s="295">
        <f t="shared" si="1"/>
        <v>100</v>
      </c>
      <c r="L22" s="295">
        <f t="shared" si="1"/>
        <v>0</v>
      </c>
      <c r="M22" s="295">
        <f t="shared" si="1"/>
        <v>0</v>
      </c>
      <c r="N22" s="296">
        <f t="shared" si="2"/>
        <v>100</v>
      </c>
      <c r="O22" s="297">
        <v>50</v>
      </c>
      <c r="P22" s="295"/>
      <c r="Q22" s="295"/>
      <c r="R22" s="298">
        <f t="shared" si="3"/>
        <v>50</v>
      </c>
      <c r="S22" s="292">
        <v>4</v>
      </c>
      <c r="T22" s="838"/>
      <c r="U22" s="836"/>
      <c r="V22" s="299" t="s">
        <v>556</v>
      </c>
      <c r="W22" s="292" t="s">
        <v>22</v>
      </c>
      <c r="X22" s="292" t="s">
        <v>11</v>
      </c>
      <c r="Y22" s="300">
        <v>50</v>
      </c>
      <c r="AD22" s="299"/>
      <c r="AG22" s="300"/>
      <c r="AL22" s="299"/>
      <c r="AO22" s="300"/>
      <c r="AP22" s="299"/>
      <c r="AS22" s="300"/>
      <c r="AW22" s="300"/>
      <c r="BA22" s="301"/>
    </row>
    <row r="23" spans="1:53" s="292" customFormat="1">
      <c r="A23" s="338">
        <v>1967</v>
      </c>
      <c r="B23" s="836"/>
      <c r="C23" s="916" t="s">
        <v>746</v>
      </c>
      <c r="D23" s="916"/>
      <c r="E23" s="292">
        <v>365</v>
      </c>
      <c r="G23" s="293">
        <v>15</v>
      </c>
      <c r="H23" s="391"/>
      <c r="I23" s="179"/>
      <c r="J23" s="294">
        <v>15</v>
      </c>
      <c r="K23" s="295">
        <f t="shared" si="1"/>
        <v>100</v>
      </c>
      <c r="L23" s="295">
        <f t="shared" si="1"/>
        <v>0</v>
      </c>
      <c r="M23" s="295">
        <f t="shared" si="1"/>
        <v>0</v>
      </c>
      <c r="N23" s="296">
        <f t="shared" si="2"/>
        <v>100</v>
      </c>
      <c r="O23" s="297">
        <v>50</v>
      </c>
      <c r="P23" s="295"/>
      <c r="Q23" s="295"/>
      <c r="R23" s="298">
        <f t="shared" si="3"/>
        <v>50</v>
      </c>
      <c r="S23" s="292">
        <v>4</v>
      </c>
      <c r="T23" s="838"/>
      <c r="U23" s="836"/>
      <c r="V23" s="299" t="s">
        <v>556</v>
      </c>
      <c r="W23" s="292" t="s">
        <v>22</v>
      </c>
      <c r="X23" s="292" t="s">
        <v>11</v>
      </c>
      <c r="Y23" s="300">
        <v>50</v>
      </c>
      <c r="AD23" s="299"/>
      <c r="AG23" s="300"/>
      <c r="AL23" s="299"/>
      <c r="AO23" s="300"/>
      <c r="AP23" s="299"/>
      <c r="AS23" s="300"/>
      <c r="AW23" s="300"/>
      <c r="BA23" s="301"/>
    </row>
    <row r="24" spans="1:53" s="292" customFormat="1">
      <c r="A24" s="338">
        <v>1968</v>
      </c>
      <c r="B24" s="836"/>
      <c r="C24" s="916" t="s">
        <v>746</v>
      </c>
      <c r="D24" s="916"/>
      <c r="E24" s="292">
        <v>0</v>
      </c>
      <c r="G24" s="293">
        <v>15</v>
      </c>
      <c r="H24" s="391"/>
      <c r="I24" s="179"/>
      <c r="J24" s="294">
        <v>15</v>
      </c>
      <c r="K24" s="295">
        <f t="shared" si="1"/>
        <v>100</v>
      </c>
      <c r="L24" s="295">
        <f t="shared" si="1"/>
        <v>0</v>
      </c>
      <c r="M24" s="295">
        <f t="shared" si="1"/>
        <v>0</v>
      </c>
      <c r="N24" s="296">
        <f t="shared" si="2"/>
        <v>100</v>
      </c>
      <c r="O24" s="297">
        <v>50</v>
      </c>
      <c r="P24" s="295"/>
      <c r="Q24" s="295"/>
      <c r="R24" s="298">
        <f t="shared" si="3"/>
        <v>50</v>
      </c>
      <c r="S24" s="292">
        <v>4</v>
      </c>
      <c r="T24" s="838"/>
      <c r="U24" s="836"/>
      <c r="V24" s="299" t="s">
        <v>556</v>
      </c>
      <c r="W24" s="292" t="s">
        <v>22</v>
      </c>
      <c r="X24" s="292" t="s">
        <v>11</v>
      </c>
      <c r="Y24" s="300">
        <v>50</v>
      </c>
      <c r="AD24" s="299"/>
      <c r="AG24" s="300"/>
      <c r="AL24" s="299"/>
      <c r="AO24" s="300"/>
      <c r="AP24" s="299"/>
      <c r="AS24" s="300"/>
      <c r="AW24" s="300"/>
      <c r="BA24" s="301"/>
    </row>
    <row r="25" spans="1:53" s="292" customFormat="1">
      <c r="A25" s="338">
        <v>1968</v>
      </c>
      <c r="B25" s="836"/>
      <c r="C25" s="916" t="s">
        <v>746</v>
      </c>
      <c r="D25" s="916"/>
      <c r="E25" s="292">
        <v>366</v>
      </c>
      <c r="G25" s="293">
        <v>15</v>
      </c>
      <c r="H25" s="391"/>
      <c r="I25" s="179"/>
      <c r="J25" s="294">
        <v>15</v>
      </c>
      <c r="K25" s="295">
        <f t="shared" si="1"/>
        <v>100</v>
      </c>
      <c r="L25" s="295">
        <f t="shared" si="1"/>
        <v>0</v>
      </c>
      <c r="M25" s="295">
        <f t="shared" si="1"/>
        <v>0</v>
      </c>
      <c r="N25" s="296">
        <f t="shared" si="2"/>
        <v>100</v>
      </c>
      <c r="O25" s="297">
        <v>50</v>
      </c>
      <c r="P25" s="295"/>
      <c r="Q25" s="295"/>
      <c r="R25" s="298">
        <f t="shared" si="3"/>
        <v>50</v>
      </c>
      <c r="S25" s="292">
        <v>4</v>
      </c>
      <c r="T25" s="838"/>
      <c r="U25" s="836"/>
      <c r="V25" s="299" t="s">
        <v>556</v>
      </c>
      <c r="W25" s="292" t="s">
        <v>22</v>
      </c>
      <c r="X25" s="292" t="s">
        <v>11</v>
      </c>
      <c r="Y25" s="300">
        <v>50</v>
      </c>
      <c r="AD25" s="299"/>
      <c r="AG25" s="300"/>
      <c r="AL25" s="299"/>
      <c r="AO25" s="300"/>
      <c r="AP25" s="299"/>
      <c r="AS25" s="300"/>
      <c r="AW25" s="300"/>
      <c r="BA25" s="301"/>
    </row>
    <row r="26" spans="1:53" s="292" customFormat="1">
      <c r="A26" s="338">
        <v>1969</v>
      </c>
      <c r="B26" s="836"/>
      <c r="C26" s="916" t="s">
        <v>746</v>
      </c>
      <c r="D26" s="916"/>
      <c r="E26" s="292">
        <v>182</v>
      </c>
      <c r="G26" s="293">
        <v>15</v>
      </c>
      <c r="H26" s="391"/>
      <c r="I26" s="179"/>
      <c r="J26" s="294">
        <v>15</v>
      </c>
      <c r="K26" s="295">
        <f t="shared" si="1"/>
        <v>100</v>
      </c>
      <c r="L26" s="295">
        <f t="shared" si="1"/>
        <v>0</v>
      </c>
      <c r="M26" s="295">
        <f t="shared" si="1"/>
        <v>0</v>
      </c>
      <c r="N26" s="296">
        <f t="shared" si="2"/>
        <v>100</v>
      </c>
      <c r="O26" s="297">
        <v>50</v>
      </c>
      <c r="P26" s="295"/>
      <c r="Q26" s="295"/>
      <c r="R26" s="298">
        <f t="shared" si="3"/>
        <v>50</v>
      </c>
      <c r="S26" s="292">
        <v>4</v>
      </c>
      <c r="T26" s="838"/>
      <c r="U26" s="836"/>
      <c r="V26" s="299" t="s">
        <v>556</v>
      </c>
      <c r="W26" s="292" t="s">
        <v>22</v>
      </c>
      <c r="X26" s="292" t="s">
        <v>11</v>
      </c>
      <c r="Y26" s="300">
        <v>50</v>
      </c>
      <c r="AD26" s="299"/>
      <c r="AG26" s="300"/>
      <c r="AL26" s="299"/>
      <c r="AO26" s="300"/>
      <c r="AP26" s="299"/>
      <c r="AS26" s="300"/>
      <c r="AW26" s="300"/>
      <c r="BA26" s="301"/>
    </row>
    <row r="27" spans="1:53" s="73" customFormat="1">
      <c r="A27" s="101">
        <v>1968.5428571428599</v>
      </c>
      <c r="B27" s="852">
        <v>25386</v>
      </c>
      <c r="C27" s="917" t="s">
        <v>747</v>
      </c>
      <c r="D27" s="917"/>
      <c r="E27" s="73">
        <f>365-E26</f>
        <v>183</v>
      </c>
      <c r="F27" s="73">
        <v>1</v>
      </c>
      <c r="G27" s="74">
        <v>15</v>
      </c>
      <c r="H27" s="160"/>
      <c r="I27" s="75"/>
      <c r="J27" s="76">
        <v>15</v>
      </c>
      <c r="K27" s="77">
        <f t="shared" si="1"/>
        <v>100</v>
      </c>
      <c r="L27" s="77">
        <f t="shared" si="1"/>
        <v>0</v>
      </c>
      <c r="M27" s="77">
        <f t="shared" si="1"/>
        <v>0</v>
      </c>
      <c r="N27" s="78">
        <f t="shared" si="2"/>
        <v>100</v>
      </c>
      <c r="O27" s="79">
        <v>52.1</v>
      </c>
      <c r="P27" s="77"/>
      <c r="Q27" s="77"/>
      <c r="R27" s="80">
        <f t="shared" si="3"/>
        <v>52.1</v>
      </c>
      <c r="S27" s="73">
        <v>1</v>
      </c>
      <c r="T27" s="839">
        <v>25372</v>
      </c>
      <c r="U27" s="852">
        <v>25386</v>
      </c>
      <c r="V27" s="82" t="s">
        <v>556</v>
      </c>
      <c r="W27" s="73" t="s">
        <v>22</v>
      </c>
      <c r="X27" s="73" t="s">
        <v>11</v>
      </c>
      <c r="Y27" s="83">
        <v>52.1</v>
      </c>
      <c r="AD27" s="82"/>
      <c r="AG27" s="83"/>
      <c r="AL27" s="82"/>
      <c r="AO27" s="83"/>
      <c r="AP27" s="82"/>
      <c r="AS27" s="83"/>
      <c r="AW27" s="83"/>
      <c r="BA27" s="84"/>
    </row>
    <row r="28" spans="1:53" s="73" customFormat="1">
      <c r="A28" s="101">
        <v>1970</v>
      </c>
      <c r="B28" s="852"/>
      <c r="C28" s="917" t="s">
        <v>747</v>
      </c>
      <c r="D28" s="917"/>
      <c r="E28" s="73">
        <v>0</v>
      </c>
      <c r="G28" s="74">
        <v>15</v>
      </c>
      <c r="H28" s="160"/>
      <c r="I28" s="75"/>
      <c r="J28" s="76">
        <v>15</v>
      </c>
      <c r="K28" s="77">
        <f t="shared" si="1"/>
        <v>100</v>
      </c>
      <c r="L28" s="77">
        <f t="shared" si="1"/>
        <v>0</v>
      </c>
      <c r="M28" s="77">
        <f t="shared" si="1"/>
        <v>0</v>
      </c>
      <c r="N28" s="78">
        <f t="shared" si="2"/>
        <v>100</v>
      </c>
      <c r="O28" s="79">
        <v>52.1</v>
      </c>
      <c r="P28" s="77"/>
      <c r="Q28" s="77"/>
      <c r="R28" s="80">
        <f t="shared" si="3"/>
        <v>52.1</v>
      </c>
      <c r="S28" s="73">
        <v>1</v>
      </c>
      <c r="T28" s="839"/>
      <c r="U28" s="852"/>
      <c r="V28" s="82" t="s">
        <v>556</v>
      </c>
      <c r="W28" s="73" t="s">
        <v>22</v>
      </c>
      <c r="X28" s="73" t="s">
        <v>11</v>
      </c>
      <c r="Y28" s="83">
        <v>52.1</v>
      </c>
      <c r="AD28" s="82"/>
      <c r="AG28" s="83"/>
      <c r="AL28" s="82"/>
      <c r="AO28" s="83"/>
      <c r="AP28" s="82"/>
      <c r="AS28" s="83"/>
      <c r="AW28" s="83"/>
      <c r="BA28" s="84"/>
    </row>
    <row r="29" spans="1:53" s="73" customFormat="1">
      <c r="A29" s="101">
        <v>1970</v>
      </c>
      <c r="B29" s="852"/>
      <c r="C29" s="917" t="s">
        <v>747</v>
      </c>
      <c r="D29" s="917"/>
      <c r="E29" s="73">
        <v>365</v>
      </c>
      <c r="G29" s="74">
        <v>15</v>
      </c>
      <c r="H29" s="160"/>
      <c r="I29" s="75"/>
      <c r="J29" s="76">
        <v>15</v>
      </c>
      <c r="K29" s="77">
        <f t="shared" si="1"/>
        <v>100</v>
      </c>
      <c r="L29" s="77">
        <f t="shared" si="1"/>
        <v>0</v>
      </c>
      <c r="M29" s="77">
        <f t="shared" si="1"/>
        <v>0</v>
      </c>
      <c r="N29" s="78">
        <f t="shared" si="2"/>
        <v>100</v>
      </c>
      <c r="O29" s="79">
        <v>52.1</v>
      </c>
      <c r="P29" s="77"/>
      <c r="Q29" s="77"/>
      <c r="R29" s="80">
        <f t="shared" si="3"/>
        <v>52.1</v>
      </c>
      <c r="S29" s="73">
        <v>1</v>
      </c>
      <c r="T29" s="839"/>
      <c r="U29" s="852"/>
      <c r="V29" s="82" t="s">
        <v>556</v>
      </c>
      <c r="W29" s="73" t="s">
        <v>22</v>
      </c>
      <c r="X29" s="73" t="s">
        <v>11</v>
      </c>
      <c r="Y29" s="83">
        <v>52.1</v>
      </c>
      <c r="AD29" s="82"/>
      <c r="AG29" s="83"/>
      <c r="AL29" s="82"/>
      <c r="AO29" s="83"/>
      <c r="AP29" s="82"/>
      <c r="AS29" s="83"/>
      <c r="AW29" s="83"/>
      <c r="BA29" s="84"/>
    </row>
    <row r="30" spans="1:53" s="73" customFormat="1">
      <c r="A30" s="101">
        <v>1971</v>
      </c>
      <c r="B30" s="852"/>
      <c r="C30" s="917" t="s">
        <v>747</v>
      </c>
      <c r="D30" s="917"/>
      <c r="E30" s="73">
        <v>0</v>
      </c>
      <c r="G30" s="74">
        <v>15</v>
      </c>
      <c r="H30" s="160"/>
      <c r="I30" s="75"/>
      <c r="J30" s="76">
        <v>15</v>
      </c>
      <c r="K30" s="77">
        <f t="shared" si="1"/>
        <v>100</v>
      </c>
      <c r="L30" s="77">
        <f t="shared" si="1"/>
        <v>0</v>
      </c>
      <c r="M30" s="77">
        <f t="shared" si="1"/>
        <v>0</v>
      </c>
      <c r="N30" s="78">
        <f t="shared" si="2"/>
        <v>100</v>
      </c>
      <c r="O30" s="79">
        <v>52.1</v>
      </c>
      <c r="P30" s="77"/>
      <c r="Q30" s="77"/>
      <c r="R30" s="80">
        <f t="shared" si="3"/>
        <v>52.1</v>
      </c>
      <c r="S30" s="73">
        <v>1</v>
      </c>
      <c r="T30" s="839"/>
      <c r="U30" s="852"/>
      <c r="V30" s="82" t="s">
        <v>556</v>
      </c>
      <c r="W30" s="73" t="s">
        <v>22</v>
      </c>
      <c r="X30" s="73" t="s">
        <v>11</v>
      </c>
      <c r="Y30" s="83">
        <v>52.1</v>
      </c>
      <c r="AD30" s="82"/>
      <c r="AG30" s="83"/>
      <c r="AL30" s="82"/>
      <c r="AO30" s="83"/>
      <c r="AP30" s="82"/>
      <c r="AS30" s="83"/>
      <c r="AW30" s="83"/>
      <c r="BA30" s="84"/>
    </row>
    <row r="31" spans="1:53" s="73" customFormat="1">
      <c r="A31" s="101">
        <v>1971</v>
      </c>
      <c r="B31" s="852"/>
      <c r="C31" s="917" t="s">
        <v>747</v>
      </c>
      <c r="D31" s="917"/>
      <c r="E31" s="73">
        <v>365</v>
      </c>
      <c r="G31" s="74">
        <v>15</v>
      </c>
      <c r="H31" s="160"/>
      <c r="I31" s="75"/>
      <c r="J31" s="76">
        <v>15</v>
      </c>
      <c r="K31" s="77">
        <f t="shared" si="1"/>
        <v>100</v>
      </c>
      <c r="L31" s="77">
        <f t="shared" si="1"/>
        <v>0</v>
      </c>
      <c r="M31" s="77">
        <f t="shared" si="1"/>
        <v>0</v>
      </c>
      <c r="N31" s="78">
        <f t="shared" si="2"/>
        <v>100</v>
      </c>
      <c r="O31" s="79">
        <v>52.1</v>
      </c>
      <c r="P31" s="77"/>
      <c r="Q31" s="77"/>
      <c r="R31" s="80">
        <f t="shared" si="3"/>
        <v>52.1</v>
      </c>
      <c r="S31" s="73">
        <v>1</v>
      </c>
      <c r="T31" s="839"/>
      <c r="U31" s="852"/>
      <c r="V31" s="82" t="s">
        <v>556</v>
      </c>
      <c r="W31" s="73" t="s">
        <v>22</v>
      </c>
      <c r="X31" s="73" t="s">
        <v>11</v>
      </c>
      <c r="Y31" s="83">
        <v>52.1</v>
      </c>
      <c r="AD31" s="82"/>
      <c r="AG31" s="83"/>
      <c r="AL31" s="82"/>
      <c r="AO31" s="83"/>
      <c r="AP31" s="82"/>
      <c r="AS31" s="83"/>
      <c r="AW31" s="83"/>
      <c r="BA31" s="84"/>
    </row>
    <row r="32" spans="1:53" s="73" customFormat="1">
      <c r="A32" s="101">
        <v>1972</v>
      </c>
      <c r="B32" s="852"/>
      <c r="C32" s="917" t="s">
        <v>747</v>
      </c>
      <c r="D32" s="917"/>
      <c r="E32" s="73">
        <v>0</v>
      </c>
      <c r="G32" s="74">
        <v>15</v>
      </c>
      <c r="H32" s="160"/>
      <c r="I32" s="75"/>
      <c r="J32" s="76">
        <v>15</v>
      </c>
      <c r="K32" s="77">
        <f t="shared" si="1"/>
        <v>100</v>
      </c>
      <c r="L32" s="77">
        <f t="shared" si="1"/>
        <v>0</v>
      </c>
      <c r="M32" s="77">
        <f t="shared" si="1"/>
        <v>0</v>
      </c>
      <c r="N32" s="78">
        <f t="shared" si="2"/>
        <v>100</v>
      </c>
      <c r="O32" s="79">
        <v>52.1</v>
      </c>
      <c r="P32" s="77"/>
      <c r="Q32" s="77"/>
      <c r="R32" s="80">
        <f t="shared" si="3"/>
        <v>52.1</v>
      </c>
      <c r="S32" s="73">
        <v>1</v>
      </c>
      <c r="T32" s="839"/>
      <c r="U32" s="852"/>
      <c r="V32" s="82" t="s">
        <v>556</v>
      </c>
      <c r="W32" s="73" t="s">
        <v>22</v>
      </c>
      <c r="X32" s="73" t="s">
        <v>11</v>
      </c>
      <c r="Y32" s="83">
        <v>52.1</v>
      </c>
      <c r="AD32" s="82"/>
      <c r="AG32" s="83"/>
      <c r="AL32" s="82"/>
      <c r="AO32" s="83"/>
      <c r="AP32" s="82"/>
      <c r="AS32" s="83"/>
      <c r="AW32" s="83"/>
      <c r="BA32" s="84"/>
    </row>
    <row r="33" spans="1:53" s="73" customFormat="1">
      <c r="A33" s="101">
        <v>1972</v>
      </c>
      <c r="B33" s="852"/>
      <c r="C33" s="917" t="s">
        <v>747</v>
      </c>
      <c r="D33" s="917"/>
      <c r="E33" s="73">
        <v>366</v>
      </c>
      <c r="G33" s="74">
        <v>15</v>
      </c>
      <c r="H33" s="160"/>
      <c r="I33" s="75"/>
      <c r="J33" s="76">
        <v>15</v>
      </c>
      <c r="K33" s="77">
        <f t="shared" si="1"/>
        <v>100</v>
      </c>
      <c r="L33" s="77">
        <f t="shared" si="1"/>
        <v>0</v>
      </c>
      <c r="M33" s="77">
        <f t="shared" si="1"/>
        <v>0</v>
      </c>
      <c r="N33" s="78">
        <f t="shared" si="2"/>
        <v>100</v>
      </c>
      <c r="O33" s="79">
        <v>52.1</v>
      </c>
      <c r="P33" s="77"/>
      <c r="Q33" s="77"/>
      <c r="R33" s="80">
        <f t="shared" si="3"/>
        <v>52.1</v>
      </c>
      <c r="S33" s="73">
        <v>1</v>
      </c>
      <c r="T33" s="839"/>
      <c r="U33" s="852"/>
      <c r="V33" s="82" t="s">
        <v>556</v>
      </c>
      <c r="W33" s="73" t="s">
        <v>22</v>
      </c>
      <c r="X33" s="73" t="s">
        <v>11</v>
      </c>
      <c r="Y33" s="83">
        <v>52.1</v>
      </c>
      <c r="AD33" s="82"/>
      <c r="AG33" s="83"/>
      <c r="AL33" s="82"/>
      <c r="AO33" s="83"/>
      <c r="AP33" s="82"/>
      <c r="AS33" s="83"/>
      <c r="AW33" s="83"/>
      <c r="BA33" s="84"/>
    </row>
    <row r="34" spans="1:53" s="73" customFormat="1">
      <c r="A34" s="101">
        <v>1973</v>
      </c>
      <c r="B34" s="852"/>
      <c r="C34" s="917" t="s">
        <v>747</v>
      </c>
      <c r="D34" s="917"/>
      <c r="E34" s="73">
        <v>72</v>
      </c>
      <c r="G34" s="74">
        <v>15</v>
      </c>
      <c r="H34" s="160"/>
      <c r="I34" s="75"/>
      <c r="J34" s="76">
        <v>15</v>
      </c>
      <c r="K34" s="77">
        <f t="shared" si="1"/>
        <v>100</v>
      </c>
      <c r="L34" s="77">
        <f t="shared" si="1"/>
        <v>0</v>
      </c>
      <c r="M34" s="77">
        <f t="shared" si="1"/>
        <v>0</v>
      </c>
      <c r="N34" s="78">
        <f t="shared" si="2"/>
        <v>100</v>
      </c>
      <c r="O34" s="79">
        <v>52.1</v>
      </c>
      <c r="P34" s="77"/>
      <c r="Q34" s="77"/>
      <c r="R34" s="80">
        <f t="shared" si="3"/>
        <v>52.1</v>
      </c>
      <c r="S34" s="73">
        <v>1</v>
      </c>
      <c r="T34" s="839"/>
      <c r="U34" s="852"/>
      <c r="V34" s="82" t="s">
        <v>556</v>
      </c>
      <c r="W34" s="73" t="s">
        <v>22</v>
      </c>
      <c r="X34" s="73" t="s">
        <v>11</v>
      </c>
      <c r="Y34" s="83">
        <v>52.1</v>
      </c>
      <c r="AD34" s="82"/>
      <c r="AG34" s="83"/>
      <c r="AL34" s="82"/>
      <c r="AO34" s="83"/>
      <c r="AP34" s="82"/>
      <c r="AS34" s="83"/>
      <c r="AW34" s="83"/>
      <c r="BA34" s="84"/>
    </row>
    <row r="35" spans="1:53" s="292" customFormat="1">
      <c r="A35" s="338">
        <v>1973</v>
      </c>
      <c r="B35" s="836">
        <v>26737</v>
      </c>
      <c r="C35" s="916" t="s">
        <v>748</v>
      </c>
      <c r="D35" s="916"/>
      <c r="E35" s="292">
        <f>365-E34</f>
        <v>293</v>
      </c>
      <c r="F35" s="292">
        <v>1</v>
      </c>
      <c r="G35" s="293"/>
      <c r="H35" s="392">
        <v>11</v>
      </c>
      <c r="I35" s="179">
        <v>5</v>
      </c>
      <c r="J35" s="294">
        <v>16</v>
      </c>
      <c r="K35" s="295">
        <f t="shared" si="1"/>
        <v>0</v>
      </c>
      <c r="L35" s="295">
        <f t="shared" si="1"/>
        <v>68.75</v>
      </c>
      <c r="M35" s="295">
        <f t="shared" si="1"/>
        <v>31.25</v>
      </c>
      <c r="N35" s="296">
        <f t="shared" si="2"/>
        <v>100</v>
      </c>
      <c r="O35" s="297"/>
      <c r="P35" s="295">
        <v>37.5</v>
      </c>
      <c r="Q35" s="295">
        <v>13.2</v>
      </c>
      <c r="R35" s="298">
        <f t="shared" si="3"/>
        <v>50.7</v>
      </c>
      <c r="S35" s="292">
        <v>2</v>
      </c>
      <c r="T35" s="838">
        <v>26723</v>
      </c>
      <c r="U35" s="836">
        <v>26737</v>
      </c>
      <c r="V35" s="299" t="s">
        <v>557</v>
      </c>
      <c r="W35" s="292" t="s">
        <v>17</v>
      </c>
      <c r="X35" s="292" t="s">
        <v>18</v>
      </c>
      <c r="Y35" s="300">
        <v>37.5</v>
      </c>
      <c r="Z35" s="292" t="s">
        <v>454</v>
      </c>
      <c r="AA35" s="292" t="s">
        <v>20</v>
      </c>
      <c r="AB35" s="292" t="s">
        <v>12</v>
      </c>
      <c r="AC35" s="292">
        <v>13.2</v>
      </c>
      <c r="AD35" s="299"/>
      <c r="AG35" s="300"/>
      <c r="AL35" s="299"/>
      <c r="AO35" s="300"/>
      <c r="AP35" s="299"/>
      <c r="AS35" s="300"/>
      <c r="AW35" s="300"/>
      <c r="BA35" s="301"/>
    </row>
    <row r="36" spans="1:53" s="292" customFormat="1">
      <c r="A36" s="338">
        <v>1974</v>
      </c>
      <c r="B36" s="836"/>
      <c r="C36" s="916" t="s">
        <v>748</v>
      </c>
      <c r="D36" s="916"/>
      <c r="E36" s="292">
        <v>0</v>
      </c>
      <c r="G36" s="293"/>
      <c r="H36" s="392">
        <v>11</v>
      </c>
      <c r="I36" s="179">
        <v>5</v>
      </c>
      <c r="J36" s="294">
        <v>16</v>
      </c>
      <c r="K36" s="295">
        <f t="shared" si="1"/>
        <v>0</v>
      </c>
      <c r="L36" s="295">
        <f t="shared" si="1"/>
        <v>68.75</v>
      </c>
      <c r="M36" s="295">
        <f t="shared" si="1"/>
        <v>31.25</v>
      </c>
      <c r="N36" s="296">
        <f t="shared" si="2"/>
        <v>100</v>
      </c>
      <c r="O36" s="297"/>
      <c r="P36" s="295">
        <v>37.5</v>
      </c>
      <c r="Q36" s="295">
        <v>13.2</v>
      </c>
      <c r="R36" s="298">
        <f t="shared" si="3"/>
        <v>50.7</v>
      </c>
      <c r="S36" s="292">
        <v>2</v>
      </c>
      <c r="T36" s="838"/>
      <c r="U36" s="836"/>
      <c r="V36" s="299" t="s">
        <v>557</v>
      </c>
      <c r="W36" s="292" t="s">
        <v>17</v>
      </c>
      <c r="X36" s="292" t="s">
        <v>18</v>
      </c>
      <c r="Y36" s="300">
        <v>37.5</v>
      </c>
      <c r="Z36" s="292" t="s">
        <v>454</v>
      </c>
      <c r="AA36" s="292" t="s">
        <v>20</v>
      </c>
      <c r="AB36" s="292" t="s">
        <v>12</v>
      </c>
      <c r="AC36" s="292">
        <v>13.2</v>
      </c>
      <c r="AD36" s="299"/>
      <c r="AG36" s="300"/>
      <c r="AL36" s="299"/>
      <c r="AO36" s="300"/>
      <c r="AP36" s="299"/>
      <c r="AS36" s="300"/>
      <c r="AW36" s="300"/>
      <c r="BA36" s="301"/>
    </row>
    <row r="37" spans="1:53" s="292" customFormat="1">
      <c r="A37" s="338">
        <v>1974</v>
      </c>
      <c r="B37" s="836"/>
      <c r="C37" s="916" t="s">
        <v>748</v>
      </c>
      <c r="D37" s="916"/>
      <c r="E37" s="292">
        <v>365</v>
      </c>
      <c r="G37" s="293"/>
      <c r="H37" s="392">
        <v>11</v>
      </c>
      <c r="I37" s="179">
        <v>5</v>
      </c>
      <c r="J37" s="294">
        <v>16</v>
      </c>
      <c r="K37" s="295">
        <f t="shared" si="1"/>
        <v>0</v>
      </c>
      <c r="L37" s="295">
        <f t="shared" si="1"/>
        <v>68.75</v>
      </c>
      <c r="M37" s="295">
        <f t="shared" si="1"/>
        <v>31.25</v>
      </c>
      <c r="N37" s="296">
        <f t="shared" si="2"/>
        <v>100</v>
      </c>
      <c r="O37" s="297"/>
      <c r="P37" s="295">
        <v>37.5</v>
      </c>
      <c r="Q37" s="295">
        <v>13.2</v>
      </c>
      <c r="R37" s="298">
        <f t="shared" si="3"/>
        <v>50.7</v>
      </c>
      <c r="S37" s="292">
        <v>2</v>
      </c>
      <c r="T37" s="838"/>
      <c r="U37" s="836"/>
      <c r="V37" s="299" t="s">
        <v>557</v>
      </c>
      <c r="W37" s="292" t="s">
        <v>17</v>
      </c>
      <c r="X37" s="292" t="s">
        <v>18</v>
      </c>
      <c r="Y37" s="300">
        <v>37.5</v>
      </c>
      <c r="Z37" s="292" t="s">
        <v>454</v>
      </c>
      <c r="AA37" s="292" t="s">
        <v>20</v>
      </c>
      <c r="AB37" s="292" t="s">
        <v>12</v>
      </c>
      <c r="AC37" s="292">
        <v>13.2</v>
      </c>
      <c r="AD37" s="299"/>
      <c r="AG37" s="300"/>
      <c r="AL37" s="299"/>
      <c r="AO37" s="300"/>
      <c r="AP37" s="299"/>
      <c r="AS37" s="300"/>
      <c r="AW37" s="300"/>
      <c r="BA37" s="301"/>
    </row>
    <row r="38" spans="1:53" s="292" customFormat="1">
      <c r="A38" s="338">
        <v>1975</v>
      </c>
      <c r="B38" s="836"/>
      <c r="C38" s="916" t="s">
        <v>748</v>
      </c>
      <c r="D38" s="916"/>
      <c r="E38" s="292">
        <v>0</v>
      </c>
      <c r="G38" s="293"/>
      <c r="H38" s="392">
        <v>11</v>
      </c>
      <c r="I38" s="179">
        <v>5</v>
      </c>
      <c r="J38" s="294">
        <v>16</v>
      </c>
      <c r="K38" s="295">
        <f t="shared" si="1"/>
        <v>0</v>
      </c>
      <c r="L38" s="295">
        <f t="shared" si="1"/>
        <v>68.75</v>
      </c>
      <c r="M38" s="295">
        <f t="shared" si="1"/>
        <v>31.25</v>
      </c>
      <c r="N38" s="296">
        <f t="shared" si="2"/>
        <v>100</v>
      </c>
      <c r="O38" s="297"/>
      <c r="P38" s="295">
        <v>37.5</v>
      </c>
      <c r="Q38" s="295">
        <v>13.2</v>
      </c>
      <c r="R38" s="298">
        <f t="shared" si="3"/>
        <v>50.7</v>
      </c>
      <c r="S38" s="292">
        <v>2</v>
      </c>
      <c r="T38" s="838"/>
      <c r="U38" s="836"/>
      <c r="V38" s="299" t="s">
        <v>557</v>
      </c>
      <c r="W38" s="292" t="s">
        <v>17</v>
      </c>
      <c r="X38" s="292" t="s">
        <v>18</v>
      </c>
      <c r="Y38" s="300">
        <v>37.5</v>
      </c>
      <c r="Z38" s="292" t="s">
        <v>454</v>
      </c>
      <c r="AA38" s="292" t="s">
        <v>20</v>
      </c>
      <c r="AB38" s="292" t="s">
        <v>12</v>
      </c>
      <c r="AC38" s="292">
        <v>13.2</v>
      </c>
      <c r="AD38" s="299"/>
      <c r="AG38" s="300"/>
      <c r="AL38" s="299"/>
      <c r="AO38" s="300"/>
      <c r="AP38" s="299"/>
      <c r="AS38" s="300"/>
      <c r="AW38" s="300"/>
      <c r="BA38" s="301"/>
    </row>
    <row r="39" spans="1:53" s="292" customFormat="1">
      <c r="A39" s="338">
        <v>1975</v>
      </c>
      <c r="B39" s="836"/>
      <c r="C39" s="916" t="s">
        <v>748</v>
      </c>
      <c r="D39" s="916"/>
      <c r="E39" s="292">
        <v>365</v>
      </c>
      <c r="G39" s="293"/>
      <c r="H39" s="392">
        <v>11</v>
      </c>
      <c r="I39" s="179">
        <v>5</v>
      </c>
      <c r="J39" s="294">
        <v>16</v>
      </c>
      <c r="K39" s="295">
        <f t="shared" si="1"/>
        <v>0</v>
      </c>
      <c r="L39" s="295">
        <f t="shared" si="1"/>
        <v>68.75</v>
      </c>
      <c r="M39" s="295">
        <f t="shared" si="1"/>
        <v>31.25</v>
      </c>
      <c r="N39" s="296">
        <f t="shared" si="2"/>
        <v>100</v>
      </c>
      <c r="O39" s="297"/>
      <c r="P39" s="295">
        <v>37.5</v>
      </c>
      <c r="Q39" s="295">
        <v>13.2</v>
      </c>
      <c r="R39" s="298">
        <f t="shared" si="3"/>
        <v>50.7</v>
      </c>
      <c r="S39" s="292">
        <v>2</v>
      </c>
      <c r="T39" s="838"/>
      <c r="U39" s="836"/>
      <c r="V39" s="299" t="s">
        <v>557</v>
      </c>
      <c r="W39" s="292" t="s">
        <v>17</v>
      </c>
      <c r="X39" s="292" t="s">
        <v>18</v>
      </c>
      <c r="Y39" s="300">
        <v>37.5</v>
      </c>
      <c r="Z39" s="292" t="s">
        <v>454</v>
      </c>
      <c r="AA39" s="292" t="s">
        <v>20</v>
      </c>
      <c r="AB39" s="292" t="s">
        <v>12</v>
      </c>
      <c r="AC39" s="292">
        <v>13.2</v>
      </c>
      <c r="AD39" s="299"/>
      <c r="AG39" s="300"/>
      <c r="AL39" s="299"/>
      <c r="AO39" s="300"/>
      <c r="AP39" s="299"/>
      <c r="AS39" s="300"/>
      <c r="AW39" s="300"/>
      <c r="BA39" s="301"/>
    </row>
    <row r="40" spans="1:53" s="292" customFormat="1">
      <c r="A40" s="338">
        <v>1976</v>
      </c>
      <c r="B40" s="836"/>
      <c r="C40" s="916" t="s">
        <v>748</v>
      </c>
      <c r="D40" s="916"/>
      <c r="E40" s="292">
        <v>0</v>
      </c>
      <c r="G40" s="293"/>
      <c r="H40" s="392">
        <v>11</v>
      </c>
      <c r="I40" s="179">
        <v>5</v>
      </c>
      <c r="J40" s="294">
        <v>16</v>
      </c>
      <c r="K40" s="295">
        <f t="shared" si="1"/>
        <v>0</v>
      </c>
      <c r="L40" s="295">
        <f t="shared" si="1"/>
        <v>68.75</v>
      </c>
      <c r="M40" s="295">
        <f t="shared" si="1"/>
        <v>31.25</v>
      </c>
      <c r="N40" s="296">
        <f t="shared" si="2"/>
        <v>100</v>
      </c>
      <c r="O40" s="297"/>
      <c r="P40" s="295">
        <v>37.5</v>
      </c>
      <c r="Q40" s="295">
        <v>13.2</v>
      </c>
      <c r="R40" s="298">
        <f t="shared" si="3"/>
        <v>50.7</v>
      </c>
      <c r="S40" s="292">
        <v>2</v>
      </c>
      <c r="T40" s="838"/>
      <c r="U40" s="836"/>
      <c r="V40" s="299" t="s">
        <v>557</v>
      </c>
      <c r="W40" s="292" t="s">
        <v>17</v>
      </c>
      <c r="X40" s="292" t="s">
        <v>18</v>
      </c>
      <c r="Y40" s="300">
        <v>37.5</v>
      </c>
      <c r="Z40" s="292" t="s">
        <v>454</v>
      </c>
      <c r="AA40" s="292" t="s">
        <v>20</v>
      </c>
      <c r="AB40" s="292" t="s">
        <v>12</v>
      </c>
      <c r="AC40" s="292">
        <v>13.2</v>
      </c>
      <c r="AD40" s="299"/>
      <c r="AG40" s="300"/>
      <c r="AL40" s="299"/>
      <c r="AO40" s="300"/>
      <c r="AP40" s="299"/>
      <c r="AS40" s="300"/>
      <c r="AW40" s="300"/>
      <c r="BA40" s="301"/>
    </row>
    <row r="41" spans="1:53" s="292" customFormat="1">
      <c r="A41" s="338">
        <v>1976</v>
      </c>
      <c r="B41" s="836"/>
      <c r="C41" s="916" t="s">
        <v>748</v>
      </c>
      <c r="D41" s="916"/>
      <c r="E41" s="292">
        <v>366</v>
      </c>
      <c r="G41" s="293"/>
      <c r="H41" s="392">
        <v>11</v>
      </c>
      <c r="I41" s="179">
        <v>5</v>
      </c>
      <c r="J41" s="294">
        <v>16</v>
      </c>
      <c r="K41" s="295">
        <f t="shared" si="1"/>
        <v>0</v>
      </c>
      <c r="L41" s="295">
        <f t="shared" si="1"/>
        <v>68.75</v>
      </c>
      <c r="M41" s="295">
        <f t="shared" si="1"/>
        <v>31.25</v>
      </c>
      <c r="N41" s="296">
        <f t="shared" si="2"/>
        <v>100</v>
      </c>
      <c r="O41" s="297"/>
      <c r="P41" s="295">
        <v>37.5</v>
      </c>
      <c r="Q41" s="295">
        <v>13.2</v>
      </c>
      <c r="R41" s="298">
        <f t="shared" si="3"/>
        <v>50.7</v>
      </c>
      <c r="S41" s="292">
        <v>2</v>
      </c>
      <c r="T41" s="838"/>
      <c r="U41" s="836"/>
      <c r="V41" s="299" t="s">
        <v>557</v>
      </c>
      <c r="W41" s="292" t="s">
        <v>17</v>
      </c>
      <c r="X41" s="292" t="s">
        <v>18</v>
      </c>
      <c r="Y41" s="300">
        <v>37.5</v>
      </c>
      <c r="Z41" s="292" t="s">
        <v>454</v>
      </c>
      <c r="AA41" s="292" t="s">
        <v>20</v>
      </c>
      <c r="AB41" s="292" t="s">
        <v>12</v>
      </c>
      <c r="AC41" s="292">
        <v>13.2</v>
      </c>
      <c r="AD41" s="299"/>
      <c r="AG41" s="300"/>
      <c r="AL41" s="299"/>
      <c r="AO41" s="300"/>
      <c r="AP41" s="299"/>
      <c r="AS41" s="300"/>
      <c r="AW41" s="300"/>
      <c r="BA41" s="301"/>
    </row>
    <row r="42" spans="1:53" s="292" customFormat="1">
      <c r="A42" s="338">
        <v>1977</v>
      </c>
      <c r="B42" s="836"/>
      <c r="C42" s="916" t="s">
        <v>748</v>
      </c>
      <c r="D42" s="916"/>
      <c r="E42" s="292">
        <v>185</v>
      </c>
      <c r="G42" s="293"/>
      <c r="H42" s="392">
        <v>11</v>
      </c>
      <c r="I42" s="179">
        <v>5</v>
      </c>
      <c r="J42" s="294">
        <v>16</v>
      </c>
      <c r="K42" s="295">
        <f t="shared" si="1"/>
        <v>0</v>
      </c>
      <c r="L42" s="295">
        <f t="shared" si="1"/>
        <v>68.75</v>
      </c>
      <c r="M42" s="295">
        <f t="shared" si="1"/>
        <v>31.25</v>
      </c>
      <c r="N42" s="296">
        <f t="shared" si="2"/>
        <v>100</v>
      </c>
      <c r="O42" s="297"/>
      <c r="P42" s="295">
        <v>37.5</v>
      </c>
      <c r="Q42" s="295">
        <v>13.2</v>
      </c>
      <c r="R42" s="298">
        <f t="shared" si="3"/>
        <v>50.7</v>
      </c>
      <c r="S42" s="292">
        <v>2</v>
      </c>
      <c r="T42" s="838"/>
      <c r="U42" s="836"/>
      <c r="V42" s="299" t="s">
        <v>557</v>
      </c>
      <c r="W42" s="292" t="s">
        <v>17</v>
      </c>
      <c r="X42" s="292" t="s">
        <v>18</v>
      </c>
      <c r="Y42" s="300">
        <v>37.5</v>
      </c>
      <c r="Z42" s="292" t="s">
        <v>454</v>
      </c>
      <c r="AA42" s="292" t="s">
        <v>20</v>
      </c>
      <c r="AB42" s="292" t="s">
        <v>12</v>
      </c>
      <c r="AC42" s="292">
        <v>13.2</v>
      </c>
      <c r="AD42" s="299"/>
      <c r="AG42" s="300"/>
      <c r="AL42" s="299"/>
      <c r="AO42" s="300"/>
      <c r="AP42" s="299"/>
      <c r="AS42" s="300"/>
      <c r="AW42" s="300"/>
      <c r="BA42" s="301"/>
    </row>
    <row r="43" spans="1:53" s="73" customFormat="1">
      <c r="A43" s="101">
        <v>1977</v>
      </c>
      <c r="B43" s="852">
        <v>28311</v>
      </c>
      <c r="C43" s="917" t="s">
        <v>749</v>
      </c>
      <c r="D43" s="917"/>
      <c r="E43" s="73">
        <f>365-E42</f>
        <v>180</v>
      </c>
      <c r="F43" s="73">
        <v>1</v>
      </c>
      <c r="G43" s="74">
        <v>15</v>
      </c>
      <c r="H43" s="161"/>
      <c r="I43" s="75"/>
      <c r="J43" s="76">
        <v>15</v>
      </c>
      <c r="K43" s="77">
        <f t="shared" si="1"/>
        <v>100</v>
      </c>
      <c r="L43" s="77">
        <f t="shared" si="1"/>
        <v>0</v>
      </c>
      <c r="M43" s="77">
        <f t="shared" si="1"/>
        <v>0</v>
      </c>
      <c r="N43" s="78">
        <f t="shared" si="2"/>
        <v>100</v>
      </c>
      <c r="O43" s="79">
        <v>56.8</v>
      </c>
      <c r="P43" s="77"/>
      <c r="Q43" s="77"/>
      <c r="R43" s="80">
        <f t="shared" si="3"/>
        <v>56.8</v>
      </c>
      <c r="S43" s="73">
        <v>1</v>
      </c>
      <c r="T43" s="839">
        <v>28292</v>
      </c>
      <c r="U43" s="852">
        <v>28311</v>
      </c>
      <c r="V43" s="82" t="s">
        <v>556</v>
      </c>
      <c r="W43" s="73" t="s">
        <v>22</v>
      </c>
      <c r="X43" s="73" t="s">
        <v>11</v>
      </c>
      <c r="Y43" s="83">
        <v>56.8</v>
      </c>
      <c r="AD43" s="82"/>
      <c r="AG43" s="83"/>
      <c r="AL43" s="82"/>
      <c r="AO43" s="83"/>
      <c r="AP43" s="82"/>
      <c r="AS43" s="83"/>
      <c r="AW43" s="83"/>
      <c r="BA43" s="84"/>
    </row>
    <row r="44" spans="1:53" s="73" customFormat="1">
      <c r="A44" s="101">
        <v>1978</v>
      </c>
      <c r="B44" s="852"/>
      <c r="C44" s="917" t="s">
        <v>749</v>
      </c>
      <c r="D44" s="917"/>
      <c r="E44" s="73">
        <v>0</v>
      </c>
      <c r="G44" s="74">
        <v>15</v>
      </c>
      <c r="H44" s="161"/>
      <c r="I44" s="75"/>
      <c r="J44" s="76">
        <v>15</v>
      </c>
      <c r="K44" s="77">
        <f t="shared" si="1"/>
        <v>100</v>
      </c>
      <c r="L44" s="77">
        <f t="shared" si="1"/>
        <v>0</v>
      </c>
      <c r="M44" s="77">
        <f t="shared" si="1"/>
        <v>0</v>
      </c>
      <c r="N44" s="78">
        <f t="shared" si="2"/>
        <v>100</v>
      </c>
      <c r="O44" s="79">
        <v>56.8</v>
      </c>
      <c r="P44" s="77"/>
      <c r="Q44" s="77"/>
      <c r="R44" s="80">
        <f t="shared" si="3"/>
        <v>56.8</v>
      </c>
      <c r="S44" s="73">
        <v>1</v>
      </c>
      <c r="T44" s="839"/>
      <c r="U44" s="852"/>
      <c r="V44" s="82" t="s">
        <v>556</v>
      </c>
      <c r="W44" s="73" t="s">
        <v>22</v>
      </c>
      <c r="X44" s="73" t="s">
        <v>11</v>
      </c>
      <c r="Y44" s="83">
        <v>56.8</v>
      </c>
      <c r="AD44" s="82"/>
      <c r="AG44" s="83"/>
      <c r="AL44" s="82"/>
      <c r="AO44" s="83"/>
      <c r="AP44" s="82"/>
      <c r="AS44" s="83"/>
      <c r="AW44" s="83"/>
      <c r="BA44" s="84"/>
    </row>
    <row r="45" spans="1:53" s="73" customFormat="1">
      <c r="A45" s="101">
        <v>1978</v>
      </c>
      <c r="B45" s="852"/>
      <c r="C45" s="917" t="s">
        <v>749</v>
      </c>
      <c r="D45" s="917"/>
      <c r="E45" s="73">
        <v>365</v>
      </c>
      <c r="G45" s="74">
        <v>15</v>
      </c>
      <c r="H45" s="161"/>
      <c r="I45" s="75"/>
      <c r="J45" s="76">
        <v>15</v>
      </c>
      <c r="K45" s="77">
        <f t="shared" si="1"/>
        <v>100</v>
      </c>
      <c r="L45" s="77">
        <f t="shared" si="1"/>
        <v>0</v>
      </c>
      <c r="M45" s="77">
        <f t="shared" si="1"/>
        <v>0</v>
      </c>
      <c r="N45" s="78">
        <f t="shared" si="2"/>
        <v>100</v>
      </c>
      <c r="O45" s="79">
        <v>56.8</v>
      </c>
      <c r="P45" s="77"/>
      <c r="Q45" s="77"/>
      <c r="R45" s="80">
        <f t="shared" si="3"/>
        <v>56.8</v>
      </c>
      <c r="S45" s="73">
        <v>1</v>
      </c>
      <c r="T45" s="839"/>
      <c r="U45" s="852"/>
      <c r="V45" s="82" t="s">
        <v>556</v>
      </c>
      <c r="W45" s="73" t="s">
        <v>22</v>
      </c>
      <c r="X45" s="73" t="s">
        <v>11</v>
      </c>
      <c r="Y45" s="83">
        <v>56.8</v>
      </c>
      <c r="AD45" s="82"/>
      <c r="AG45" s="83"/>
      <c r="AL45" s="82"/>
      <c r="AO45" s="83"/>
      <c r="AP45" s="82"/>
      <c r="AS45" s="83"/>
      <c r="AW45" s="83"/>
      <c r="BA45" s="84"/>
    </row>
    <row r="46" spans="1:53" s="73" customFormat="1">
      <c r="A46" s="101">
        <v>1979</v>
      </c>
      <c r="B46" s="852"/>
      <c r="C46" s="917" t="s">
        <v>749</v>
      </c>
      <c r="D46" s="917"/>
      <c r="E46" s="73">
        <v>344</v>
      </c>
      <c r="G46" s="74">
        <v>15</v>
      </c>
      <c r="H46" s="161"/>
      <c r="I46" s="75"/>
      <c r="J46" s="76">
        <v>15</v>
      </c>
      <c r="K46" s="77">
        <f t="shared" si="1"/>
        <v>100</v>
      </c>
      <c r="L46" s="77">
        <f t="shared" si="1"/>
        <v>0</v>
      </c>
      <c r="M46" s="77">
        <f t="shared" si="1"/>
        <v>0</v>
      </c>
      <c r="N46" s="78">
        <f t="shared" si="2"/>
        <v>100</v>
      </c>
      <c r="O46" s="79">
        <v>56.8</v>
      </c>
      <c r="P46" s="77"/>
      <c r="Q46" s="77"/>
      <c r="R46" s="80">
        <f t="shared" si="3"/>
        <v>56.8</v>
      </c>
      <c r="S46" s="73">
        <v>1</v>
      </c>
      <c r="T46" s="839"/>
      <c r="U46" s="852"/>
      <c r="V46" s="82" t="s">
        <v>556</v>
      </c>
      <c r="W46" s="73" t="s">
        <v>22</v>
      </c>
      <c r="X46" s="73" t="s">
        <v>11</v>
      </c>
      <c r="Y46" s="83">
        <v>56.8</v>
      </c>
      <c r="AD46" s="82"/>
      <c r="AG46" s="83"/>
      <c r="AL46" s="82"/>
      <c r="AO46" s="83"/>
      <c r="AP46" s="82"/>
      <c r="AS46" s="83"/>
      <c r="AW46" s="83"/>
      <c r="BA46" s="84"/>
    </row>
    <row r="47" spans="1:53" s="292" customFormat="1">
      <c r="A47" s="338">
        <v>1979</v>
      </c>
      <c r="B47" s="836">
        <v>29200</v>
      </c>
      <c r="C47" s="916" t="s">
        <v>750</v>
      </c>
      <c r="D47" s="916"/>
      <c r="E47" s="292">
        <f>365-E46</f>
        <v>21</v>
      </c>
      <c r="F47" s="292">
        <v>2</v>
      </c>
      <c r="G47" s="293">
        <v>15</v>
      </c>
      <c r="H47" s="392"/>
      <c r="I47" s="179"/>
      <c r="J47" s="294">
        <v>15</v>
      </c>
      <c r="K47" s="295">
        <f t="shared" si="1"/>
        <v>100</v>
      </c>
      <c r="L47" s="295">
        <f t="shared" si="1"/>
        <v>0</v>
      </c>
      <c r="M47" s="295">
        <f t="shared" si="1"/>
        <v>0</v>
      </c>
      <c r="N47" s="296">
        <f t="shared" si="2"/>
        <v>100</v>
      </c>
      <c r="O47" s="297">
        <v>56.8</v>
      </c>
      <c r="P47" s="295"/>
      <c r="Q47" s="295"/>
      <c r="R47" s="298">
        <f t="shared" si="3"/>
        <v>56.8</v>
      </c>
      <c r="S47" s="292">
        <v>1</v>
      </c>
      <c r="T47" s="838"/>
      <c r="U47" s="836">
        <v>29200</v>
      </c>
      <c r="V47" s="299" t="s">
        <v>556</v>
      </c>
      <c r="W47" s="292" t="s">
        <v>22</v>
      </c>
      <c r="X47" s="292" t="s">
        <v>11</v>
      </c>
      <c r="Y47" s="300">
        <v>56.8</v>
      </c>
      <c r="AD47" s="299"/>
      <c r="AG47" s="300"/>
      <c r="AL47" s="299"/>
      <c r="AO47" s="300"/>
      <c r="AP47" s="299"/>
      <c r="AS47" s="300"/>
      <c r="AW47" s="300"/>
      <c r="BA47" s="301"/>
    </row>
    <row r="48" spans="1:53" s="292" customFormat="1">
      <c r="A48" s="338">
        <v>1980</v>
      </c>
      <c r="B48" s="836"/>
      <c r="C48" s="916" t="s">
        <v>750</v>
      </c>
      <c r="D48" s="916"/>
      <c r="E48" s="292">
        <v>0</v>
      </c>
      <c r="G48" s="293">
        <v>15</v>
      </c>
      <c r="H48" s="392"/>
      <c r="I48" s="179"/>
      <c r="J48" s="294">
        <v>15</v>
      </c>
      <c r="K48" s="295">
        <f t="shared" si="1"/>
        <v>100</v>
      </c>
      <c r="L48" s="295">
        <f t="shared" si="1"/>
        <v>0</v>
      </c>
      <c r="M48" s="295">
        <f t="shared" si="1"/>
        <v>0</v>
      </c>
      <c r="N48" s="296">
        <f t="shared" si="2"/>
        <v>100</v>
      </c>
      <c r="O48" s="297">
        <v>56.8</v>
      </c>
      <c r="P48" s="295"/>
      <c r="Q48" s="295"/>
      <c r="R48" s="298">
        <f t="shared" si="3"/>
        <v>56.8</v>
      </c>
      <c r="S48" s="292">
        <v>1</v>
      </c>
      <c r="T48" s="838"/>
      <c r="U48" s="836"/>
      <c r="V48" s="299" t="s">
        <v>556</v>
      </c>
      <c r="W48" s="292" t="s">
        <v>22</v>
      </c>
      <c r="X48" s="292" t="s">
        <v>11</v>
      </c>
      <c r="Y48" s="300">
        <v>56.8</v>
      </c>
      <c r="AD48" s="299"/>
      <c r="AG48" s="300"/>
      <c r="AL48" s="299"/>
      <c r="AO48" s="300"/>
      <c r="AP48" s="299"/>
      <c r="AS48" s="300"/>
      <c r="AW48" s="300"/>
      <c r="BA48" s="301"/>
    </row>
    <row r="49" spans="1:53" s="292" customFormat="1">
      <c r="A49" s="338">
        <v>1980</v>
      </c>
      <c r="B49" s="836"/>
      <c r="C49" s="916" t="s">
        <v>750</v>
      </c>
      <c r="D49" s="916"/>
      <c r="E49" s="292">
        <v>366</v>
      </c>
      <c r="G49" s="293">
        <v>15</v>
      </c>
      <c r="H49" s="392"/>
      <c r="I49" s="179"/>
      <c r="J49" s="294">
        <v>15</v>
      </c>
      <c r="K49" s="295">
        <f t="shared" si="1"/>
        <v>100</v>
      </c>
      <c r="L49" s="295">
        <f t="shared" si="1"/>
        <v>0</v>
      </c>
      <c r="M49" s="295">
        <f t="shared" si="1"/>
        <v>0</v>
      </c>
      <c r="N49" s="296">
        <f t="shared" si="2"/>
        <v>100</v>
      </c>
      <c r="O49" s="297">
        <v>56.8</v>
      </c>
      <c r="P49" s="295"/>
      <c r="Q49" s="295"/>
      <c r="R49" s="298">
        <f t="shared" si="3"/>
        <v>56.8</v>
      </c>
      <c r="S49" s="292">
        <v>1</v>
      </c>
      <c r="T49" s="838"/>
      <c r="U49" s="836"/>
      <c r="V49" s="299" t="s">
        <v>556</v>
      </c>
      <c r="W49" s="292" t="s">
        <v>22</v>
      </c>
      <c r="X49" s="292" t="s">
        <v>11</v>
      </c>
      <c r="Y49" s="300">
        <v>56.8</v>
      </c>
      <c r="AD49" s="299"/>
      <c r="AG49" s="300"/>
      <c r="AL49" s="299"/>
      <c r="AO49" s="300"/>
      <c r="AP49" s="299"/>
      <c r="AS49" s="300"/>
      <c r="AW49" s="300"/>
      <c r="BA49" s="301"/>
    </row>
    <row r="50" spans="1:53" s="292" customFormat="1">
      <c r="A50" s="338">
        <v>1981</v>
      </c>
      <c r="B50" s="836"/>
      <c r="C50" s="916" t="s">
        <v>750</v>
      </c>
      <c r="D50" s="916"/>
      <c r="E50" s="292">
        <v>180</v>
      </c>
      <c r="G50" s="293">
        <v>15</v>
      </c>
      <c r="H50" s="392"/>
      <c r="I50" s="179"/>
      <c r="J50" s="294">
        <v>15</v>
      </c>
      <c r="K50" s="295">
        <f t="shared" si="1"/>
        <v>100</v>
      </c>
      <c r="L50" s="295">
        <f t="shared" si="1"/>
        <v>0</v>
      </c>
      <c r="M50" s="295">
        <f t="shared" si="1"/>
        <v>0</v>
      </c>
      <c r="N50" s="296">
        <f t="shared" si="2"/>
        <v>100</v>
      </c>
      <c r="O50" s="297">
        <v>56.8</v>
      </c>
      <c r="P50" s="295"/>
      <c r="Q50" s="295"/>
      <c r="R50" s="298">
        <f t="shared" si="3"/>
        <v>56.8</v>
      </c>
      <c r="S50" s="292">
        <v>1</v>
      </c>
      <c r="T50" s="838"/>
      <c r="U50" s="836"/>
      <c r="V50" s="299" t="s">
        <v>556</v>
      </c>
      <c r="W50" s="292" t="s">
        <v>22</v>
      </c>
      <c r="X50" s="292" t="s">
        <v>11</v>
      </c>
      <c r="Y50" s="300">
        <v>56.8</v>
      </c>
      <c r="AD50" s="299"/>
      <c r="AG50" s="300"/>
      <c r="AL50" s="299"/>
      <c r="AO50" s="300"/>
      <c r="AP50" s="299"/>
      <c r="AS50" s="300"/>
      <c r="AW50" s="300"/>
      <c r="BA50" s="301"/>
    </row>
    <row r="51" spans="1:53" s="73" customFormat="1">
      <c r="A51" s="101">
        <v>1981</v>
      </c>
      <c r="B51" s="852">
        <v>29767</v>
      </c>
      <c r="C51" s="917" t="s">
        <v>751</v>
      </c>
      <c r="D51" s="917"/>
      <c r="E51" s="73">
        <f>365-E50</f>
        <v>185</v>
      </c>
      <c r="F51" s="73">
        <v>1</v>
      </c>
      <c r="G51" s="74"/>
      <c r="H51" s="161">
        <v>10</v>
      </c>
      <c r="I51" s="75">
        <v>4</v>
      </c>
      <c r="J51" s="76">
        <v>15</v>
      </c>
      <c r="K51" s="77">
        <f t="shared" si="1"/>
        <v>0</v>
      </c>
      <c r="L51" s="77">
        <f t="shared" si="1"/>
        <v>66.666666666666657</v>
      </c>
      <c r="M51" s="77">
        <f t="shared" si="1"/>
        <v>26.666666666666668</v>
      </c>
      <c r="N51" s="78">
        <f t="shared" si="2"/>
        <v>93.333333333333329</v>
      </c>
      <c r="O51" s="79"/>
      <c r="P51" s="77">
        <v>39.200000000000003</v>
      </c>
      <c r="Q51" s="77">
        <v>9</v>
      </c>
      <c r="R51" s="80">
        <f t="shared" si="3"/>
        <v>48.2</v>
      </c>
      <c r="S51" s="73">
        <v>5</v>
      </c>
      <c r="T51" s="839">
        <v>29748</v>
      </c>
      <c r="U51" s="852">
        <v>29767</v>
      </c>
      <c r="V51" s="82" t="s">
        <v>557</v>
      </c>
      <c r="W51" s="73" t="s">
        <v>17</v>
      </c>
      <c r="X51" s="73" t="s">
        <v>18</v>
      </c>
      <c r="Y51" s="83">
        <v>39.200000000000003</v>
      </c>
      <c r="Z51" s="73" t="s">
        <v>454</v>
      </c>
      <c r="AA51" s="73" t="s">
        <v>20</v>
      </c>
      <c r="AB51" s="73" t="s">
        <v>12</v>
      </c>
      <c r="AC51" s="73">
        <v>9</v>
      </c>
      <c r="AD51" s="82"/>
      <c r="AG51" s="83"/>
      <c r="AL51" s="82"/>
      <c r="AO51" s="83"/>
      <c r="AP51" s="82"/>
      <c r="AS51" s="83"/>
      <c r="AW51" s="83"/>
      <c r="BA51" s="84"/>
    </row>
    <row r="52" spans="1:53" s="73" customFormat="1">
      <c r="A52" s="101">
        <v>1982</v>
      </c>
      <c r="B52" s="852"/>
      <c r="C52" s="917" t="s">
        <v>751</v>
      </c>
      <c r="D52" s="917"/>
      <c r="E52" s="73">
        <v>67</v>
      </c>
      <c r="G52" s="74"/>
      <c r="H52" s="161">
        <v>10</v>
      </c>
      <c r="I52" s="75">
        <v>4</v>
      </c>
      <c r="J52" s="76">
        <v>15</v>
      </c>
      <c r="K52" s="77">
        <f t="shared" si="1"/>
        <v>0</v>
      </c>
      <c r="L52" s="77">
        <f t="shared" si="1"/>
        <v>66.666666666666657</v>
      </c>
      <c r="M52" s="77">
        <f t="shared" si="1"/>
        <v>26.666666666666668</v>
      </c>
      <c r="N52" s="78">
        <f t="shared" si="2"/>
        <v>93.333333333333329</v>
      </c>
      <c r="O52" s="79"/>
      <c r="P52" s="77">
        <v>39.200000000000003</v>
      </c>
      <c r="Q52" s="77">
        <v>9</v>
      </c>
      <c r="R52" s="80">
        <f t="shared" si="3"/>
        <v>48.2</v>
      </c>
      <c r="S52" s="73">
        <v>5</v>
      </c>
      <c r="T52" s="839"/>
      <c r="U52" s="852"/>
      <c r="V52" s="82" t="s">
        <v>557</v>
      </c>
      <c r="W52" s="73" t="s">
        <v>17</v>
      </c>
      <c r="X52" s="73" t="s">
        <v>18</v>
      </c>
      <c r="Y52" s="83">
        <v>39.200000000000003</v>
      </c>
      <c r="Z52" s="73" t="s">
        <v>454</v>
      </c>
      <c r="AA52" s="73" t="s">
        <v>20</v>
      </c>
      <c r="AB52" s="73" t="s">
        <v>12</v>
      </c>
      <c r="AC52" s="73">
        <v>9</v>
      </c>
      <c r="AD52" s="82"/>
      <c r="AG52" s="83"/>
      <c r="AL52" s="82"/>
      <c r="AO52" s="83"/>
      <c r="AP52" s="82"/>
      <c r="AS52" s="83"/>
      <c r="AW52" s="83"/>
      <c r="BA52" s="84"/>
    </row>
    <row r="53" spans="1:53" s="292" customFormat="1">
      <c r="A53" s="338">
        <v>1982</v>
      </c>
      <c r="B53" s="836">
        <v>30019</v>
      </c>
      <c r="C53" s="916" t="s">
        <v>752</v>
      </c>
      <c r="D53" s="916"/>
      <c r="E53" s="292">
        <v>280</v>
      </c>
      <c r="F53" s="292">
        <v>5</v>
      </c>
      <c r="G53" s="293">
        <v>16</v>
      </c>
      <c r="H53" s="392"/>
      <c r="I53" s="179"/>
      <c r="J53" s="294">
        <v>16</v>
      </c>
      <c r="K53" s="295">
        <f t="shared" si="1"/>
        <v>100</v>
      </c>
      <c r="L53" s="295">
        <f t="shared" si="1"/>
        <v>0</v>
      </c>
      <c r="M53" s="295">
        <f t="shared" si="1"/>
        <v>0</v>
      </c>
      <c r="N53" s="296">
        <f t="shared" si="2"/>
        <v>100</v>
      </c>
      <c r="O53" s="297">
        <v>47</v>
      </c>
      <c r="P53" s="295"/>
      <c r="Q53" s="295"/>
      <c r="R53" s="298">
        <f t="shared" si="3"/>
        <v>47</v>
      </c>
      <c r="S53" s="292">
        <v>4</v>
      </c>
      <c r="T53" s="838"/>
      <c r="U53" s="836">
        <v>30019</v>
      </c>
      <c r="V53" s="299" t="s">
        <v>556</v>
      </c>
      <c r="W53" s="292" t="s">
        <v>22</v>
      </c>
      <c r="X53" s="292" t="s">
        <v>11</v>
      </c>
      <c r="Y53" s="300">
        <v>47</v>
      </c>
      <c r="AD53" s="299"/>
      <c r="AG53" s="300"/>
      <c r="AL53" s="299"/>
      <c r="AO53" s="300"/>
      <c r="AP53" s="299"/>
      <c r="AS53" s="300"/>
      <c r="AW53" s="300"/>
      <c r="BA53" s="301"/>
    </row>
    <row r="54" spans="1:53" s="73" customFormat="1">
      <c r="A54" s="101">
        <v>1982</v>
      </c>
      <c r="B54" s="852">
        <v>30299</v>
      </c>
      <c r="C54" s="917" t="s">
        <v>753</v>
      </c>
      <c r="D54" s="917"/>
      <c r="E54" s="73">
        <f>365-E53-E52</f>
        <v>18</v>
      </c>
      <c r="F54" s="73">
        <v>5</v>
      </c>
      <c r="G54" s="74"/>
      <c r="H54" s="161">
        <v>12</v>
      </c>
      <c r="I54" s="75">
        <v>4</v>
      </c>
      <c r="J54" s="76">
        <v>17</v>
      </c>
      <c r="K54" s="77">
        <f t="shared" si="1"/>
        <v>0</v>
      </c>
      <c r="L54" s="77">
        <f t="shared" si="1"/>
        <v>70.588235294117652</v>
      </c>
      <c r="M54" s="77">
        <f t="shared" si="1"/>
        <v>23.52941176470588</v>
      </c>
      <c r="N54" s="78">
        <f t="shared" si="2"/>
        <v>94.117647058823536</v>
      </c>
      <c r="O54" s="79"/>
      <c r="P54" s="77">
        <v>42.2</v>
      </c>
      <c r="Q54" s="77">
        <v>9.6</v>
      </c>
      <c r="R54" s="80">
        <f t="shared" si="3"/>
        <v>51.800000000000004</v>
      </c>
      <c r="S54" s="73">
        <v>2</v>
      </c>
      <c r="T54" s="839">
        <v>30279</v>
      </c>
      <c r="U54" s="852">
        <v>30299</v>
      </c>
      <c r="V54" s="82" t="s">
        <v>557</v>
      </c>
      <c r="W54" s="73" t="s">
        <v>17</v>
      </c>
      <c r="X54" s="73" t="s">
        <v>18</v>
      </c>
      <c r="Y54" s="83">
        <v>42.2</v>
      </c>
      <c r="Z54" s="73" t="s">
        <v>454</v>
      </c>
      <c r="AA54" s="73" t="s">
        <v>20</v>
      </c>
      <c r="AB54" s="73" t="s">
        <v>12</v>
      </c>
      <c r="AC54" s="73">
        <v>9.6</v>
      </c>
      <c r="AD54" s="82"/>
      <c r="AG54" s="83"/>
      <c r="AL54" s="82"/>
      <c r="AO54" s="83"/>
      <c r="AP54" s="82"/>
      <c r="AS54" s="83"/>
      <c r="AW54" s="83"/>
      <c r="BA54" s="84"/>
    </row>
    <row r="55" spans="1:53" s="73" customFormat="1">
      <c r="A55" s="101">
        <v>1983</v>
      </c>
      <c r="B55" s="852"/>
      <c r="C55" s="917" t="s">
        <v>753</v>
      </c>
      <c r="D55" s="917"/>
      <c r="E55" s="73">
        <v>0</v>
      </c>
      <c r="G55" s="74"/>
      <c r="H55" s="161">
        <v>12</v>
      </c>
      <c r="I55" s="75">
        <v>4</v>
      </c>
      <c r="J55" s="76">
        <v>17</v>
      </c>
      <c r="K55" s="77">
        <f t="shared" si="1"/>
        <v>0</v>
      </c>
      <c r="L55" s="77">
        <f t="shared" si="1"/>
        <v>70.588235294117652</v>
      </c>
      <c r="M55" s="77">
        <f t="shared" si="1"/>
        <v>23.52941176470588</v>
      </c>
      <c r="N55" s="78">
        <f t="shared" si="2"/>
        <v>94.117647058823536</v>
      </c>
      <c r="O55" s="79"/>
      <c r="P55" s="77">
        <v>42.2</v>
      </c>
      <c r="Q55" s="77">
        <v>9.6</v>
      </c>
      <c r="R55" s="80">
        <f t="shared" si="3"/>
        <v>51.800000000000004</v>
      </c>
      <c r="S55" s="73">
        <v>2</v>
      </c>
      <c r="T55" s="839"/>
      <c r="U55" s="852"/>
      <c r="V55" s="82" t="s">
        <v>557</v>
      </c>
      <c r="W55" s="73" t="s">
        <v>17</v>
      </c>
      <c r="X55" s="73" t="s">
        <v>18</v>
      </c>
      <c r="Y55" s="83">
        <v>42.2</v>
      </c>
      <c r="Z55" s="73" t="s">
        <v>454</v>
      </c>
      <c r="AA55" s="73" t="s">
        <v>20</v>
      </c>
      <c r="AB55" s="73" t="s">
        <v>12</v>
      </c>
      <c r="AC55" s="73">
        <v>9.6</v>
      </c>
      <c r="AD55" s="82"/>
      <c r="AG55" s="83"/>
      <c r="AL55" s="82"/>
      <c r="AO55" s="83"/>
      <c r="AP55" s="82"/>
      <c r="AS55" s="83"/>
      <c r="AW55" s="83"/>
      <c r="BA55" s="84"/>
    </row>
    <row r="56" spans="1:53" s="73" customFormat="1">
      <c r="A56" s="101">
        <v>1983</v>
      </c>
      <c r="B56" s="852"/>
      <c r="C56" s="917" t="s">
        <v>753</v>
      </c>
      <c r="D56" s="917"/>
      <c r="E56" s="73">
        <v>365</v>
      </c>
      <c r="G56" s="74"/>
      <c r="H56" s="161">
        <v>12</v>
      </c>
      <c r="I56" s="75">
        <v>4</v>
      </c>
      <c r="J56" s="76">
        <v>17</v>
      </c>
      <c r="K56" s="77">
        <f t="shared" si="1"/>
        <v>0</v>
      </c>
      <c r="L56" s="77">
        <f t="shared" si="1"/>
        <v>70.588235294117652</v>
      </c>
      <c r="M56" s="77">
        <f t="shared" si="1"/>
        <v>23.52941176470588</v>
      </c>
      <c r="N56" s="78">
        <f t="shared" si="2"/>
        <v>94.117647058823536</v>
      </c>
      <c r="O56" s="79"/>
      <c r="P56" s="77">
        <v>42.2</v>
      </c>
      <c r="Q56" s="77">
        <v>9.6</v>
      </c>
      <c r="R56" s="80">
        <f t="shared" si="3"/>
        <v>51.800000000000004</v>
      </c>
      <c r="S56" s="73">
        <v>2</v>
      </c>
      <c r="T56" s="839"/>
      <c r="U56" s="852"/>
      <c r="V56" s="82" t="s">
        <v>557</v>
      </c>
      <c r="W56" s="73" t="s">
        <v>17</v>
      </c>
      <c r="X56" s="73" t="s">
        <v>18</v>
      </c>
      <c r="Y56" s="83">
        <v>42.2</v>
      </c>
      <c r="Z56" s="73" t="s">
        <v>454</v>
      </c>
      <c r="AA56" s="73" t="s">
        <v>20</v>
      </c>
      <c r="AB56" s="73" t="s">
        <v>12</v>
      </c>
      <c r="AC56" s="73">
        <v>9.6</v>
      </c>
      <c r="AD56" s="82"/>
      <c r="AG56" s="83"/>
      <c r="AL56" s="82"/>
      <c r="AO56" s="83"/>
      <c r="AP56" s="82"/>
      <c r="AS56" s="83"/>
      <c r="AW56" s="83"/>
      <c r="BA56" s="84"/>
    </row>
    <row r="57" spans="1:53" s="73" customFormat="1">
      <c r="A57" s="101">
        <v>1984</v>
      </c>
      <c r="B57" s="852"/>
      <c r="C57" s="917" t="s">
        <v>753</v>
      </c>
      <c r="D57" s="917"/>
      <c r="E57" s="73">
        <v>0</v>
      </c>
      <c r="G57" s="74"/>
      <c r="H57" s="161">
        <v>12</v>
      </c>
      <c r="I57" s="75">
        <v>4</v>
      </c>
      <c r="J57" s="76">
        <v>17</v>
      </c>
      <c r="K57" s="77">
        <f t="shared" si="1"/>
        <v>0</v>
      </c>
      <c r="L57" s="77">
        <f t="shared" si="1"/>
        <v>70.588235294117652</v>
      </c>
      <c r="M57" s="77">
        <f t="shared" si="1"/>
        <v>23.52941176470588</v>
      </c>
      <c r="N57" s="78">
        <f t="shared" si="2"/>
        <v>94.117647058823536</v>
      </c>
      <c r="O57" s="79"/>
      <c r="P57" s="77">
        <v>42.2</v>
      </c>
      <c r="Q57" s="77">
        <v>9.6</v>
      </c>
      <c r="R57" s="80">
        <f t="shared" si="3"/>
        <v>51.800000000000004</v>
      </c>
      <c r="S57" s="73">
        <v>2</v>
      </c>
      <c r="T57" s="839"/>
      <c r="U57" s="852"/>
      <c r="V57" s="82" t="s">
        <v>557</v>
      </c>
      <c r="W57" s="73" t="s">
        <v>17</v>
      </c>
      <c r="X57" s="73" t="s">
        <v>18</v>
      </c>
      <c r="Y57" s="83">
        <v>42.2</v>
      </c>
      <c r="Z57" s="73" t="s">
        <v>454</v>
      </c>
      <c r="AA57" s="73" t="s">
        <v>20</v>
      </c>
      <c r="AB57" s="73" t="s">
        <v>12</v>
      </c>
      <c r="AC57" s="73">
        <v>9.6</v>
      </c>
      <c r="AD57" s="82"/>
      <c r="AG57" s="83"/>
      <c r="AL57" s="82"/>
      <c r="AO57" s="83"/>
      <c r="AP57" s="82"/>
      <c r="AS57" s="83"/>
      <c r="AW57" s="83"/>
      <c r="BA57" s="84"/>
    </row>
    <row r="58" spans="1:53" s="73" customFormat="1">
      <c r="A58" s="101">
        <v>1984</v>
      </c>
      <c r="B58" s="852"/>
      <c r="C58" s="917" t="s">
        <v>753</v>
      </c>
      <c r="D58" s="917"/>
      <c r="E58" s="73">
        <v>366</v>
      </c>
      <c r="G58" s="74"/>
      <c r="H58" s="161">
        <v>12</v>
      </c>
      <c r="I58" s="75">
        <v>4</v>
      </c>
      <c r="J58" s="76">
        <v>17</v>
      </c>
      <c r="K58" s="77">
        <f t="shared" si="1"/>
        <v>0</v>
      </c>
      <c r="L58" s="77">
        <f t="shared" si="1"/>
        <v>70.588235294117652</v>
      </c>
      <c r="M58" s="77">
        <f t="shared" si="1"/>
        <v>23.52941176470588</v>
      </c>
      <c r="N58" s="78">
        <f t="shared" si="2"/>
        <v>94.117647058823536</v>
      </c>
      <c r="O58" s="79"/>
      <c r="P58" s="77">
        <v>42.2</v>
      </c>
      <c r="Q58" s="77">
        <v>9.6</v>
      </c>
      <c r="R58" s="80">
        <f t="shared" si="3"/>
        <v>51.800000000000004</v>
      </c>
      <c r="S58" s="73">
        <v>2</v>
      </c>
      <c r="T58" s="839"/>
      <c r="U58" s="852"/>
      <c r="V58" s="82" t="s">
        <v>557</v>
      </c>
      <c r="W58" s="73" t="s">
        <v>17</v>
      </c>
      <c r="X58" s="73" t="s">
        <v>18</v>
      </c>
      <c r="Y58" s="83">
        <v>42.2</v>
      </c>
      <c r="Z58" s="73" t="s">
        <v>454</v>
      </c>
      <c r="AA58" s="73" t="s">
        <v>20</v>
      </c>
      <c r="AB58" s="73" t="s">
        <v>12</v>
      </c>
      <c r="AC58" s="73">
        <v>9.6</v>
      </c>
      <c r="AD58" s="82"/>
      <c r="AG58" s="83"/>
      <c r="AL58" s="82"/>
      <c r="AO58" s="83"/>
      <c r="AP58" s="82"/>
      <c r="AS58" s="83"/>
      <c r="AW58" s="83"/>
      <c r="BA58" s="84"/>
    </row>
    <row r="59" spans="1:53" s="73" customFormat="1">
      <c r="A59" s="101">
        <v>1985</v>
      </c>
      <c r="B59" s="852"/>
      <c r="C59" s="917" t="s">
        <v>753</v>
      </c>
      <c r="D59" s="917"/>
      <c r="E59" s="73">
        <v>0</v>
      </c>
      <c r="G59" s="74"/>
      <c r="H59" s="161">
        <v>12</v>
      </c>
      <c r="I59" s="75">
        <v>4</v>
      </c>
      <c r="J59" s="76">
        <v>17</v>
      </c>
      <c r="K59" s="77">
        <f>G59/$J59*100</f>
        <v>0</v>
      </c>
      <c r="L59" s="77">
        <f t="shared" ref="L59:M109" si="4">H59/$J59*100</f>
        <v>70.588235294117652</v>
      </c>
      <c r="M59" s="77">
        <f t="shared" si="4"/>
        <v>23.52941176470588</v>
      </c>
      <c r="N59" s="78">
        <f>K59+L59+M59</f>
        <v>94.117647058823536</v>
      </c>
      <c r="O59" s="79"/>
      <c r="P59" s="77">
        <v>42.2</v>
      </c>
      <c r="Q59" s="77">
        <v>9.6</v>
      </c>
      <c r="R59" s="80">
        <f t="shared" si="3"/>
        <v>51.800000000000004</v>
      </c>
      <c r="S59" s="73">
        <v>2</v>
      </c>
      <c r="T59" s="839"/>
      <c r="U59" s="852"/>
      <c r="V59" s="82" t="s">
        <v>557</v>
      </c>
      <c r="W59" s="73" t="s">
        <v>17</v>
      </c>
      <c r="X59" s="73" t="s">
        <v>18</v>
      </c>
      <c r="Y59" s="83">
        <v>42.2</v>
      </c>
      <c r="Z59" s="73" t="s">
        <v>454</v>
      </c>
      <c r="AA59" s="73" t="s">
        <v>20</v>
      </c>
      <c r="AB59" s="73" t="s">
        <v>12</v>
      </c>
      <c r="AC59" s="73">
        <v>9.6</v>
      </c>
      <c r="AD59" s="82"/>
      <c r="AG59" s="83"/>
      <c r="AL59" s="82"/>
      <c r="AO59" s="83"/>
      <c r="AP59" s="82"/>
      <c r="AS59" s="83"/>
      <c r="AW59" s="83"/>
      <c r="BA59" s="84"/>
    </row>
    <row r="60" spans="1:53" s="73" customFormat="1">
      <c r="A60" s="101">
        <v>1985</v>
      </c>
      <c r="B60" s="852"/>
      <c r="C60" s="917" t="s">
        <v>753</v>
      </c>
      <c r="D60" s="917"/>
      <c r="E60" s="73">
        <v>365</v>
      </c>
      <c r="G60" s="74"/>
      <c r="H60" s="161">
        <v>12</v>
      </c>
      <c r="I60" s="75">
        <v>4</v>
      </c>
      <c r="J60" s="76">
        <v>17</v>
      </c>
      <c r="K60" s="77">
        <f t="shared" ref="K60:K65" si="5">G60/$J60*100</f>
        <v>0</v>
      </c>
      <c r="L60" s="77">
        <f t="shared" si="4"/>
        <v>70.588235294117652</v>
      </c>
      <c r="M60" s="77">
        <f t="shared" si="4"/>
        <v>23.52941176470588</v>
      </c>
      <c r="N60" s="78">
        <f t="shared" ref="N60:N65" si="6">K60+L60+M60</f>
        <v>94.117647058823536</v>
      </c>
      <c r="O60" s="79"/>
      <c r="P60" s="77">
        <v>42.2</v>
      </c>
      <c r="Q60" s="77">
        <v>9.6</v>
      </c>
      <c r="R60" s="80">
        <f t="shared" si="3"/>
        <v>51.800000000000004</v>
      </c>
      <c r="S60" s="73">
        <v>2</v>
      </c>
      <c r="T60" s="839"/>
      <c r="U60" s="852"/>
      <c r="V60" s="82" t="s">
        <v>557</v>
      </c>
      <c r="W60" s="73" t="s">
        <v>17</v>
      </c>
      <c r="X60" s="73" t="s">
        <v>18</v>
      </c>
      <c r="Y60" s="83">
        <v>42.2</v>
      </c>
      <c r="Z60" s="73" t="s">
        <v>454</v>
      </c>
      <c r="AA60" s="73" t="s">
        <v>20</v>
      </c>
      <c r="AB60" s="73" t="s">
        <v>12</v>
      </c>
      <c r="AC60" s="73">
        <v>9.6</v>
      </c>
      <c r="AD60" s="82"/>
      <c r="AG60" s="83"/>
      <c r="AL60" s="82"/>
      <c r="AO60" s="83"/>
      <c r="AP60" s="82"/>
      <c r="AS60" s="83"/>
      <c r="AW60" s="83"/>
      <c r="BA60" s="84"/>
    </row>
    <row r="61" spans="1:53" s="73" customFormat="1">
      <c r="A61" s="101">
        <v>1986</v>
      </c>
      <c r="B61" s="852"/>
      <c r="C61" s="917" t="s">
        <v>753</v>
      </c>
      <c r="D61" s="917"/>
      <c r="E61" s="73">
        <v>0</v>
      </c>
      <c r="G61" s="74"/>
      <c r="H61" s="161">
        <v>12</v>
      </c>
      <c r="I61" s="75">
        <v>4</v>
      </c>
      <c r="J61" s="76">
        <v>17</v>
      </c>
      <c r="K61" s="77">
        <f t="shared" si="5"/>
        <v>0</v>
      </c>
      <c r="L61" s="77">
        <f t="shared" si="4"/>
        <v>70.588235294117652</v>
      </c>
      <c r="M61" s="77">
        <f t="shared" si="4"/>
        <v>23.52941176470588</v>
      </c>
      <c r="N61" s="78">
        <f t="shared" si="6"/>
        <v>94.117647058823536</v>
      </c>
      <c r="O61" s="79"/>
      <c r="P61" s="77">
        <v>42.2</v>
      </c>
      <c r="Q61" s="77">
        <v>9.6</v>
      </c>
      <c r="R61" s="80">
        <f t="shared" si="3"/>
        <v>51.800000000000004</v>
      </c>
      <c r="S61" s="73">
        <v>2</v>
      </c>
      <c r="T61" s="839"/>
      <c r="U61" s="852"/>
      <c r="V61" s="82" t="s">
        <v>557</v>
      </c>
      <c r="W61" s="73" t="s">
        <v>17</v>
      </c>
      <c r="X61" s="73" t="s">
        <v>18</v>
      </c>
      <c r="Y61" s="83">
        <v>42.2</v>
      </c>
      <c r="Z61" s="73" t="s">
        <v>454</v>
      </c>
      <c r="AA61" s="73" t="s">
        <v>20</v>
      </c>
      <c r="AB61" s="73" t="s">
        <v>12</v>
      </c>
      <c r="AC61" s="73">
        <v>9.6</v>
      </c>
      <c r="AD61" s="82"/>
      <c r="AG61" s="83"/>
      <c r="AL61" s="82"/>
      <c r="AO61" s="83"/>
      <c r="AP61" s="82"/>
      <c r="AS61" s="83"/>
      <c r="AW61" s="83"/>
      <c r="BA61" s="84"/>
    </row>
    <row r="62" spans="1:53" s="73" customFormat="1">
      <c r="A62" s="101">
        <v>1986</v>
      </c>
      <c r="B62" s="852"/>
      <c r="C62" s="917" t="s">
        <v>753</v>
      </c>
      <c r="D62" s="917"/>
      <c r="E62" s="73">
        <v>365</v>
      </c>
      <c r="G62" s="74"/>
      <c r="H62" s="161">
        <v>12</v>
      </c>
      <c r="I62" s="75">
        <v>4</v>
      </c>
      <c r="J62" s="76">
        <v>17</v>
      </c>
      <c r="K62" s="77">
        <f t="shared" si="5"/>
        <v>0</v>
      </c>
      <c r="L62" s="77">
        <f t="shared" si="4"/>
        <v>70.588235294117652</v>
      </c>
      <c r="M62" s="77">
        <f t="shared" si="4"/>
        <v>23.52941176470588</v>
      </c>
      <c r="N62" s="78">
        <f t="shared" si="6"/>
        <v>94.117647058823536</v>
      </c>
      <c r="O62" s="79"/>
      <c r="P62" s="77">
        <v>42.2</v>
      </c>
      <c r="Q62" s="77">
        <v>9.6</v>
      </c>
      <c r="R62" s="80">
        <f t="shared" si="3"/>
        <v>51.800000000000004</v>
      </c>
      <c r="S62" s="73">
        <v>2</v>
      </c>
      <c r="T62" s="839"/>
      <c r="U62" s="852"/>
      <c r="V62" s="82" t="s">
        <v>557</v>
      </c>
      <c r="W62" s="73" t="s">
        <v>17</v>
      </c>
      <c r="X62" s="73" t="s">
        <v>18</v>
      </c>
      <c r="Y62" s="83">
        <v>42.2</v>
      </c>
      <c r="Z62" s="73" t="s">
        <v>454</v>
      </c>
      <c r="AA62" s="73" t="s">
        <v>20</v>
      </c>
      <c r="AB62" s="73" t="s">
        <v>12</v>
      </c>
      <c r="AC62" s="73">
        <v>9.6</v>
      </c>
      <c r="AD62" s="82"/>
      <c r="AG62" s="83"/>
      <c r="AL62" s="82"/>
      <c r="AO62" s="83"/>
      <c r="AP62" s="82"/>
      <c r="AS62" s="83"/>
      <c r="AW62" s="83"/>
      <c r="BA62" s="84"/>
    </row>
    <row r="63" spans="1:53" s="73" customFormat="1">
      <c r="A63" s="101">
        <v>1987</v>
      </c>
      <c r="B63" s="852"/>
      <c r="C63" s="917" t="s">
        <v>753</v>
      </c>
      <c r="D63" s="917"/>
      <c r="E63" s="73">
        <v>68</v>
      </c>
      <c r="G63" s="74"/>
      <c r="H63" s="161">
        <v>12</v>
      </c>
      <c r="I63" s="75">
        <v>4</v>
      </c>
      <c r="J63" s="76">
        <v>17</v>
      </c>
      <c r="K63" s="77">
        <f t="shared" si="5"/>
        <v>0</v>
      </c>
      <c r="L63" s="77">
        <f t="shared" si="4"/>
        <v>70.588235294117652</v>
      </c>
      <c r="M63" s="77">
        <f t="shared" si="4"/>
        <v>23.52941176470588</v>
      </c>
      <c r="N63" s="78">
        <f t="shared" si="6"/>
        <v>94.117647058823536</v>
      </c>
      <c r="O63" s="79"/>
      <c r="P63" s="77">
        <v>42.2</v>
      </c>
      <c r="Q63" s="77">
        <v>9.6</v>
      </c>
      <c r="R63" s="80">
        <f t="shared" si="3"/>
        <v>51.800000000000004</v>
      </c>
      <c r="S63" s="73">
        <v>2</v>
      </c>
      <c r="T63" s="839"/>
      <c r="U63" s="852"/>
      <c r="V63" s="82" t="s">
        <v>557</v>
      </c>
      <c r="W63" s="73" t="s">
        <v>17</v>
      </c>
      <c r="X63" s="73" t="s">
        <v>18</v>
      </c>
      <c r="Y63" s="83">
        <v>42.2</v>
      </c>
      <c r="Z63" s="73" t="s">
        <v>454</v>
      </c>
      <c r="AA63" s="73" t="s">
        <v>20</v>
      </c>
      <c r="AB63" s="73" t="s">
        <v>12</v>
      </c>
      <c r="AC63" s="73">
        <v>9.6</v>
      </c>
      <c r="AD63" s="82"/>
      <c r="AG63" s="83"/>
      <c r="AL63" s="82"/>
      <c r="AO63" s="83"/>
      <c r="AP63" s="82"/>
      <c r="AS63" s="83"/>
      <c r="AW63" s="83"/>
      <c r="BA63" s="84"/>
    </row>
    <row r="64" spans="1:53" s="292" customFormat="1">
      <c r="A64" s="338">
        <v>1987</v>
      </c>
      <c r="B64" s="836">
        <v>31846</v>
      </c>
      <c r="C64" s="916" t="s">
        <v>754</v>
      </c>
      <c r="D64" s="916"/>
      <c r="E64" s="292">
        <f>365-E63</f>
        <v>297</v>
      </c>
      <c r="F64" s="292">
        <v>4</v>
      </c>
      <c r="G64" s="293">
        <v>16</v>
      </c>
      <c r="H64" s="392"/>
      <c r="I64" s="179"/>
      <c r="J64" s="294">
        <v>16</v>
      </c>
      <c r="K64" s="295">
        <f t="shared" si="5"/>
        <v>100</v>
      </c>
      <c r="L64" s="295">
        <f t="shared" si="4"/>
        <v>0</v>
      </c>
      <c r="M64" s="295">
        <f t="shared" si="4"/>
        <v>0</v>
      </c>
      <c r="N64" s="296">
        <f t="shared" si="6"/>
        <v>100</v>
      </c>
      <c r="O64" s="297">
        <v>48.8</v>
      </c>
      <c r="P64" s="295"/>
      <c r="Q64" s="295"/>
      <c r="R64" s="298">
        <f t="shared" si="3"/>
        <v>48.8</v>
      </c>
      <c r="S64" s="292">
        <v>4</v>
      </c>
      <c r="T64" s="838">
        <v>31825</v>
      </c>
      <c r="U64" s="836">
        <v>31846</v>
      </c>
      <c r="V64" s="299" t="s">
        <v>556</v>
      </c>
      <c r="W64" s="292" t="s">
        <v>22</v>
      </c>
      <c r="X64" s="292" t="s">
        <v>11</v>
      </c>
      <c r="Y64" s="300">
        <v>48.8</v>
      </c>
      <c r="AD64" s="299"/>
      <c r="AG64" s="300"/>
      <c r="AL64" s="299"/>
      <c r="AO64" s="300"/>
      <c r="AP64" s="299"/>
      <c r="AS64" s="300"/>
      <c r="AW64" s="300"/>
      <c r="BA64" s="301"/>
    </row>
    <row r="65" spans="1:53" s="292" customFormat="1">
      <c r="A65" s="338">
        <v>1988</v>
      </c>
      <c r="B65" s="836"/>
      <c r="C65" s="916" t="s">
        <v>754</v>
      </c>
      <c r="D65" s="916"/>
      <c r="E65" s="292">
        <v>0</v>
      </c>
      <c r="G65" s="293">
        <v>16</v>
      </c>
      <c r="H65" s="392"/>
      <c r="I65" s="179"/>
      <c r="J65" s="294">
        <v>16</v>
      </c>
      <c r="K65" s="295">
        <f t="shared" si="5"/>
        <v>100</v>
      </c>
      <c r="L65" s="295">
        <f t="shared" si="4"/>
        <v>0</v>
      </c>
      <c r="M65" s="295">
        <f t="shared" si="4"/>
        <v>0</v>
      </c>
      <c r="N65" s="296">
        <f t="shared" si="6"/>
        <v>100</v>
      </c>
      <c r="O65" s="297">
        <v>48.8</v>
      </c>
      <c r="P65" s="295"/>
      <c r="Q65" s="295"/>
      <c r="R65" s="298">
        <f t="shared" si="3"/>
        <v>48.8</v>
      </c>
      <c r="S65" s="292">
        <v>4</v>
      </c>
      <c r="T65" s="838"/>
      <c r="U65" s="836"/>
      <c r="V65" s="299" t="s">
        <v>556</v>
      </c>
      <c r="W65" s="292" t="s">
        <v>22</v>
      </c>
      <c r="X65" s="292" t="s">
        <v>11</v>
      </c>
      <c r="Y65" s="300">
        <v>48.8</v>
      </c>
      <c r="AD65" s="299"/>
      <c r="AG65" s="300"/>
      <c r="AL65" s="299"/>
      <c r="AO65" s="300"/>
      <c r="AP65" s="299"/>
      <c r="AS65" s="300"/>
      <c r="AW65" s="300"/>
      <c r="BA65" s="301"/>
    </row>
    <row r="66" spans="1:53" s="292" customFormat="1">
      <c r="A66" s="338">
        <v>1988</v>
      </c>
      <c r="B66" s="836"/>
      <c r="C66" s="916" t="s">
        <v>754</v>
      </c>
      <c r="D66" s="916"/>
      <c r="E66" s="292">
        <v>366</v>
      </c>
      <c r="G66" s="293">
        <v>16</v>
      </c>
      <c r="H66" s="392"/>
      <c r="I66" s="179"/>
      <c r="J66" s="294">
        <v>16</v>
      </c>
      <c r="K66" s="295">
        <f>G66/$J66*100</f>
        <v>100</v>
      </c>
      <c r="L66" s="295">
        <f t="shared" si="4"/>
        <v>0</v>
      </c>
      <c r="M66" s="295">
        <f t="shared" si="4"/>
        <v>0</v>
      </c>
      <c r="N66" s="296">
        <f>K66+L66+M66</f>
        <v>100</v>
      </c>
      <c r="O66" s="297">
        <v>48.8</v>
      </c>
      <c r="P66" s="295"/>
      <c r="Q66" s="295"/>
      <c r="R66" s="298">
        <f t="shared" si="3"/>
        <v>48.8</v>
      </c>
      <c r="S66" s="292">
        <v>4</v>
      </c>
      <c r="T66" s="838"/>
      <c r="U66" s="836"/>
      <c r="V66" s="299" t="s">
        <v>556</v>
      </c>
      <c r="W66" s="292" t="s">
        <v>22</v>
      </c>
      <c r="X66" s="292" t="s">
        <v>11</v>
      </c>
      <c r="Y66" s="300">
        <v>48.8</v>
      </c>
      <c r="AD66" s="299"/>
      <c r="AG66" s="300"/>
      <c r="AL66" s="299"/>
      <c r="AO66" s="300"/>
      <c r="AP66" s="299"/>
      <c r="AS66" s="300"/>
      <c r="AW66" s="300"/>
      <c r="BA66" s="301"/>
    </row>
    <row r="67" spans="1:53" s="292" customFormat="1">
      <c r="A67" s="338">
        <v>1989</v>
      </c>
      <c r="B67" s="836"/>
      <c r="C67" s="916" t="s">
        <v>754</v>
      </c>
      <c r="D67" s="916"/>
      <c r="E67" s="292">
        <v>192</v>
      </c>
      <c r="G67" s="293">
        <v>16</v>
      </c>
      <c r="H67" s="392"/>
      <c r="I67" s="179"/>
      <c r="J67" s="294">
        <v>16</v>
      </c>
      <c r="K67" s="295">
        <f t="shared" ref="K67:K92" si="7">G67/$J67*100</f>
        <v>100</v>
      </c>
      <c r="L67" s="295">
        <f t="shared" si="4"/>
        <v>0</v>
      </c>
      <c r="M67" s="295">
        <f t="shared" si="4"/>
        <v>0</v>
      </c>
      <c r="N67" s="296">
        <f t="shared" ref="N67:N92" si="8">K67+L67+M67</f>
        <v>100</v>
      </c>
      <c r="O67" s="297">
        <v>48.8</v>
      </c>
      <c r="P67" s="295"/>
      <c r="Q67" s="295"/>
      <c r="R67" s="298">
        <f t="shared" si="3"/>
        <v>48.8</v>
      </c>
      <c r="S67" s="292">
        <v>4</v>
      </c>
      <c r="T67" s="838"/>
      <c r="U67" s="836"/>
      <c r="V67" s="299" t="s">
        <v>556</v>
      </c>
      <c r="W67" s="292" t="s">
        <v>22</v>
      </c>
      <c r="X67" s="292" t="s">
        <v>11</v>
      </c>
      <c r="Y67" s="300">
        <v>48.8</v>
      </c>
      <c r="AD67" s="299"/>
      <c r="AG67" s="300"/>
      <c r="AL67" s="299"/>
      <c r="AO67" s="300"/>
      <c r="AP67" s="299"/>
      <c r="AS67" s="300"/>
      <c r="AW67" s="300"/>
      <c r="BA67" s="301"/>
    </row>
    <row r="68" spans="1:53" s="73" customFormat="1">
      <c r="A68" s="101">
        <v>1989</v>
      </c>
      <c r="B68" s="852">
        <v>32701</v>
      </c>
      <c r="C68" s="917" t="s">
        <v>755</v>
      </c>
      <c r="D68" s="917"/>
      <c r="E68" s="73">
        <f>365-E67</f>
        <v>173</v>
      </c>
      <c r="F68" s="73">
        <v>1</v>
      </c>
      <c r="G68" s="74">
        <v>16</v>
      </c>
      <c r="H68" s="161"/>
      <c r="I68" s="75"/>
      <c r="J68" s="76">
        <v>16</v>
      </c>
      <c r="K68" s="77">
        <f t="shared" si="7"/>
        <v>100</v>
      </c>
      <c r="L68" s="77">
        <f t="shared" si="4"/>
        <v>0</v>
      </c>
      <c r="M68" s="77">
        <f t="shared" si="4"/>
        <v>0</v>
      </c>
      <c r="N68" s="78">
        <f t="shared" si="8"/>
        <v>100</v>
      </c>
      <c r="O68" s="79">
        <v>50</v>
      </c>
      <c r="P68" s="77"/>
      <c r="Q68" s="77"/>
      <c r="R68" s="80">
        <f t="shared" si="3"/>
        <v>50</v>
      </c>
      <c r="S68" s="73">
        <v>5</v>
      </c>
      <c r="T68" s="839">
        <v>32674</v>
      </c>
      <c r="U68" s="852">
        <v>32701</v>
      </c>
      <c r="V68" s="82" t="s">
        <v>556</v>
      </c>
      <c r="W68" s="73" t="s">
        <v>22</v>
      </c>
      <c r="X68" s="73" t="s">
        <v>11</v>
      </c>
      <c r="Y68" s="83">
        <v>46.4</v>
      </c>
      <c r="Z68" s="73" t="s">
        <v>558</v>
      </c>
      <c r="AA68" s="73" t="s">
        <v>94</v>
      </c>
      <c r="AB68" s="73" t="s">
        <v>11</v>
      </c>
      <c r="AC68" s="73">
        <v>3.6</v>
      </c>
      <c r="AD68" s="82"/>
      <c r="AG68" s="83"/>
      <c r="AL68" s="82"/>
      <c r="AO68" s="83"/>
      <c r="AP68" s="82"/>
      <c r="AS68" s="83"/>
      <c r="AW68" s="83"/>
      <c r="BA68" s="84"/>
    </row>
    <row r="69" spans="1:53" s="140" customFormat="1">
      <c r="A69" s="140">
        <v>1990</v>
      </c>
      <c r="B69" s="874"/>
      <c r="C69" s="960" t="s">
        <v>755</v>
      </c>
      <c r="D69" s="960"/>
      <c r="E69" s="140">
        <v>0</v>
      </c>
      <c r="G69" s="162">
        <v>16</v>
      </c>
      <c r="H69" s="163"/>
      <c r="I69" s="164"/>
      <c r="J69" s="165">
        <v>16</v>
      </c>
      <c r="K69" s="166">
        <f t="shared" si="7"/>
        <v>100</v>
      </c>
      <c r="L69" s="166">
        <f t="shared" si="4"/>
        <v>0</v>
      </c>
      <c r="M69" s="166">
        <f t="shared" si="4"/>
        <v>0</v>
      </c>
      <c r="N69" s="167">
        <f t="shared" si="8"/>
        <v>100</v>
      </c>
      <c r="O69" s="168">
        <v>50</v>
      </c>
      <c r="P69" s="166"/>
      <c r="Q69" s="166"/>
      <c r="R69" s="169">
        <f t="shared" si="3"/>
        <v>50</v>
      </c>
      <c r="S69" s="140">
        <v>5</v>
      </c>
      <c r="T69" s="875"/>
      <c r="U69" s="874"/>
      <c r="V69" s="157" t="s">
        <v>556</v>
      </c>
      <c r="W69" s="140" t="s">
        <v>22</v>
      </c>
      <c r="X69" s="140" t="s">
        <v>11</v>
      </c>
      <c r="Y69" s="158">
        <v>46.4</v>
      </c>
      <c r="Z69" s="140" t="s">
        <v>558</v>
      </c>
      <c r="AA69" s="140" t="s">
        <v>94</v>
      </c>
      <c r="AB69" s="140" t="s">
        <v>11</v>
      </c>
      <c r="AC69" s="140">
        <v>3.6</v>
      </c>
      <c r="AD69" s="157"/>
      <c r="AG69" s="158"/>
      <c r="AL69" s="157"/>
      <c r="AO69" s="158"/>
      <c r="AP69" s="157"/>
      <c r="AS69" s="158"/>
      <c r="AW69" s="158"/>
      <c r="BA69" s="159"/>
    </row>
    <row r="70" spans="1:53" s="73" customFormat="1">
      <c r="A70" s="73">
        <v>1990</v>
      </c>
      <c r="B70" s="852"/>
      <c r="C70" s="917" t="s">
        <v>755</v>
      </c>
      <c r="D70" s="917"/>
      <c r="E70" s="73">
        <f>365-E69</f>
        <v>365</v>
      </c>
      <c r="G70" s="74">
        <v>16</v>
      </c>
      <c r="H70" s="161"/>
      <c r="I70" s="75"/>
      <c r="J70" s="76">
        <v>16</v>
      </c>
      <c r="K70" s="77">
        <f t="shared" si="7"/>
        <v>100</v>
      </c>
      <c r="L70" s="77">
        <f t="shared" si="4"/>
        <v>0</v>
      </c>
      <c r="M70" s="77">
        <f t="shared" si="4"/>
        <v>0</v>
      </c>
      <c r="N70" s="78">
        <f t="shared" si="8"/>
        <v>100</v>
      </c>
      <c r="O70" s="79">
        <v>50</v>
      </c>
      <c r="P70" s="77"/>
      <c r="Q70" s="77"/>
      <c r="R70" s="80">
        <f t="shared" si="3"/>
        <v>50</v>
      </c>
      <c r="S70" s="73">
        <v>5</v>
      </c>
      <c r="T70" s="839"/>
      <c r="U70" s="852"/>
      <c r="V70" s="82" t="s">
        <v>556</v>
      </c>
      <c r="W70" s="73" t="s">
        <v>22</v>
      </c>
      <c r="X70" s="73" t="s">
        <v>11</v>
      </c>
      <c r="Y70" s="83">
        <v>46.4</v>
      </c>
      <c r="Z70" s="73" t="s">
        <v>558</v>
      </c>
      <c r="AA70" s="73" t="s">
        <v>94</v>
      </c>
      <c r="AB70" s="73" t="s">
        <v>11</v>
      </c>
      <c r="AC70" s="73">
        <v>3.6</v>
      </c>
      <c r="AD70" s="82"/>
      <c r="AG70" s="83"/>
      <c r="AL70" s="82"/>
      <c r="AO70" s="83"/>
      <c r="AP70" s="82"/>
      <c r="AS70" s="83"/>
      <c r="AW70" s="83"/>
      <c r="BA70" s="84"/>
    </row>
    <row r="71" spans="1:53" s="73" customFormat="1">
      <c r="A71" s="73">
        <v>1991</v>
      </c>
      <c r="B71" s="852"/>
      <c r="C71" s="917" t="s">
        <v>755</v>
      </c>
      <c r="D71" s="917"/>
      <c r="E71" s="73">
        <v>0</v>
      </c>
      <c r="G71" s="74">
        <v>16</v>
      </c>
      <c r="H71" s="161"/>
      <c r="I71" s="75"/>
      <c r="J71" s="76">
        <v>16</v>
      </c>
      <c r="K71" s="77">
        <f t="shared" si="7"/>
        <v>100</v>
      </c>
      <c r="L71" s="77">
        <f t="shared" si="4"/>
        <v>0</v>
      </c>
      <c r="M71" s="77">
        <f t="shared" si="4"/>
        <v>0</v>
      </c>
      <c r="N71" s="78">
        <f t="shared" si="8"/>
        <v>100</v>
      </c>
      <c r="O71" s="79">
        <v>50</v>
      </c>
      <c r="P71" s="77"/>
      <c r="Q71" s="77"/>
      <c r="R71" s="80">
        <f t="shared" si="3"/>
        <v>50</v>
      </c>
      <c r="S71" s="73">
        <v>5</v>
      </c>
      <c r="T71" s="839"/>
      <c r="U71" s="852"/>
      <c r="V71" s="82" t="s">
        <v>556</v>
      </c>
      <c r="W71" s="73" t="s">
        <v>22</v>
      </c>
      <c r="X71" s="73" t="s">
        <v>11</v>
      </c>
      <c r="Y71" s="83">
        <v>46.4</v>
      </c>
      <c r="Z71" s="73" t="s">
        <v>558</v>
      </c>
      <c r="AA71" s="73" t="s">
        <v>94</v>
      </c>
      <c r="AB71" s="73" t="s">
        <v>11</v>
      </c>
      <c r="AC71" s="73">
        <v>3.6</v>
      </c>
      <c r="AD71" s="82"/>
      <c r="AG71" s="83"/>
      <c r="AL71" s="82"/>
      <c r="AO71" s="83"/>
      <c r="AP71" s="82"/>
      <c r="AS71" s="83"/>
      <c r="AW71" s="83"/>
      <c r="BA71" s="84"/>
    </row>
    <row r="72" spans="1:53" s="73" customFormat="1">
      <c r="A72" s="73">
        <v>1991</v>
      </c>
      <c r="B72" s="852"/>
      <c r="C72" s="917" t="s">
        <v>755</v>
      </c>
      <c r="D72" s="917"/>
      <c r="E72" s="73">
        <f>365-E71</f>
        <v>365</v>
      </c>
      <c r="G72" s="74">
        <v>16</v>
      </c>
      <c r="H72" s="161"/>
      <c r="I72" s="75"/>
      <c r="J72" s="76">
        <v>16</v>
      </c>
      <c r="K72" s="77">
        <f t="shared" si="7"/>
        <v>100</v>
      </c>
      <c r="L72" s="77">
        <f t="shared" si="4"/>
        <v>0</v>
      </c>
      <c r="M72" s="77">
        <f t="shared" si="4"/>
        <v>0</v>
      </c>
      <c r="N72" s="78">
        <f t="shared" si="8"/>
        <v>100</v>
      </c>
      <c r="O72" s="79">
        <v>50</v>
      </c>
      <c r="P72" s="77"/>
      <c r="Q72" s="77"/>
      <c r="R72" s="80">
        <f t="shared" si="3"/>
        <v>50</v>
      </c>
      <c r="S72" s="73">
        <v>5</v>
      </c>
      <c r="T72" s="839"/>
      <c r="U72" s="852"/>
      <c r="V72" s="82" t="s">
        <v>556</v>
      </c>
      <c r="W72" s="73" t="s">
        <v>22</v>
      </c>
      <c r="X72" s="73" t="s">
        <v>11</v>
      </c>
      <c r="Y72" s="83">
        <v>46.4</v>
      </c>
      <c r="Z72" s="73" t="s">
        <v>558</v>
      </c>
      <c r="AA72" s="73" t="s">
        <v>94</v>
      </c>
      <c r="AB72" s="73" t="s">
        <v>11</v>
      </c>
      <c r="AC72" s="73">
        <v>3.6</v>
      </c>
      <c r="AD72" s="82"/>
      <c r="AG72" s="83"/>
      <c r="AL72" s="82"/>
      <c r="AO72" s="83"/>
      <c r="AP72" s="82"/>
      <c r="AS72" s="83"/>
      <c r="AW72" s="83"/>
      <c r="BA72" s="84"/>
    </row>
    <row r="73" spans="1:53" s="73" customFormat="1">
      <c r="A73" s="73">
        <v>1992</v>
      </c>
      <c r="B73" s="852"/>
      <c r="C73" s="917" t="s">
        <v>755</v>
      </c>
      <c r="D73" s="917"/>
      <c r="E73" s="73">
        <v>41</v>
      </c>
      <c r="G73" s="74">
        <v>16</v>
      </c>
      <c r="H73" s="161"/>
      <c r="I73" s="75"/>
      <c r="J73" s="76">
        <v>16</v>
      </c>
      <c r="K73" s="77">
        <f t="shared" si="7"/>
        <v>100</v>
      </c>
      <c r="L73" s="77">
        <f t="shared" si="4"/>
        <v>0</v>
      </c>
      <c r="M73" s="77">
        <f t="shared" si="4"/>
        <v>0</v>
      </c>
      <c r="N73" s="78">
        <f t="shared" si="8"/>
        <v>100</v>
      </c>
      <c r="O73" s="79">
        <v>50</v>
      </c>
      <c r="P73" s="77"/>
      <c r="Q73" s="77"/>
      <c r="R73" s="80">
        <f t="shared" ref="R73:R117" si="9">O73+P73+Q73</f>
        <v>50</v>
      </c>
      <c r="S73" s="73">
        <v>5</v>
      </c>
      <c r="T73" s="839"/>
      <c r="U73" s="852"/>
      <c r="V73" s="82" t="s">
        <v>556</v>
      </c>
      <c r="W73" s="73" t="s">
        <v>22</v>
      </c>
      <c r="X73" s="73" t="s">
        <v>11</v>
      </c>
      <c r="Y73" s="83">
        <v>46.4</v>
      </c>
      <c r="Z73" s="73" t="s">
        <v>558</v>
      </c>
      <c r="AA73" s="73" t="s">
        <v>94</v>
      </c>
      <c r="AB73" s="73" t="s">
        <v>11</v>
      </c>
      <c r="AC73" s="73">
        <v>3.6</v>
      </c>
      <c r="AD73" s="82"/>
      <c r="AG73" s="83"/>
      <c r="AL73" s="82"/>
      <c r="AO73" s="83"/>
      <c r="AP73" s="82"/>
      <c r="AS73" s="83"/>
      <c r="AW73" s="83"/>
      <c r="BA73" s="84"/>
    </row>
    <row r="74" spans="1:53" s="292" customFormat="1">
      <c r="A74" s="292">
        <v>1992</v>
      </c>
      <c r="B74" s="836">
        <v>33933</v>
      </c>
      <c r="C74" s="916" t="s">
        <v>756</v>
      </c>
      <c r="D74" s="916"/>
      <c r="E74" s="292">
        <f>366-E73</f>
        <v>325</v>
      </c>
      <c r="F74" s="292">
        <v>2</v>
      </c>
      <c r="G74" s="293">
        <v>15</v>
      </c>
      <c r="H74" s="392"/>
      <c r="I74" s="179"/>
      <c r="J74" s="294">
        <v>15</v>
      </c>
      <c r="K74" s="295">
        <f t="shared" si="7"/>
        <v>100</v>
      </c>
      <c r="L74" s="295">
        <f t="shared" si="4"/>
        <v>0</v>
      </c>
      <c r="M74" s="295">
        <f t="shared" si="4"/>
        <v>0</v>
      </c>
      <c r="N74" s="296">
        <f t="shared" si="8"/>
        <v>100</v>
      </c>
      <c r="O74" s="297">
        <v>50</v>
      </c>
      <c r="P74" s="295"/>
      <c r="Q74" s="295"/>
      <c r="R74" s="298">
        <f t="shared" si="9"/>
        <v>50</v>
      </c>
      <c r="S74" s="292">
        <v>5</v>
      </c>
      <c r="T74" s="838">
        <v>33645</v>
      </c>
      <c r="U74" s="855">
        <v>33933</v>
      </c>
      <c r="V74" s="299" t="s">
        <v>556</v>
      </c>
      <c r="W74" s="292" t="s">
        <v>22</v>
      </c>
      <c r="X74" s="292" t="s">
        <v>11</v>
      </c>
      <c r="Y74" s="300">
        <v>46.4</v>
      </c>
      <c r="Z74" s="292" t="s">
        <v>558</v>
      </c>
      <c r="AA74" s="292" t="s">
        <v>94</v>
      </c>
      <c r="AB74" s="292" t="s">
        <v>11</v>
      </c>
      <c r="AC74" s="292">
        <v>3.6</v>
      </c>
      <c r="AD74" s="299"/>
      <c r="AG74" s="300"/>
      <c r="AL74" s="299"/>
      <c r="AO74" s="300"/>
      <c r="AP74" s="299"/>
      <c r="AS74" s="300"/>
      <c r="AW74" s="300"/>
      <c r="BA74" s="301"/>
    </row>
    <row r="75" spans="1:53" s="292" customFormat="1">
      <c r="A75" s="292">
        <v>1993</v>
      </c>
      <c r="B75" s="836"/>
      <c r="C75" s="916" t="s">
        <v>756</v>
      </c>
      <c r="D75" s="916"/>
      <c r="E75" s="292">
        <v>11</v>
      </c>
      <c r="G75" s="293">
        <v>15</v>
      </c>
      <c r="H75" s="392"/>
      <c r="I75" s="179"/>
      <c r="J75" s="294">
        <v>15</v>
      </c>
      <c r="K75" s="295">
        <f t="shared" si="7"/>
        <v>100</v>
      </c>
      <c r="L75" s="295">
        <f t="shared" si="4"/>
        <v>0</v>
      </c>
      <c r="M75" s="295">
        <f t="shared" si="4"/>
        <v>0</v>
      </c>
      <c r="N75" s="296">
        <f t="shared" si="8"/>
        <v>100</v>
      </c>
      <c r="O75" s="297">
        <v>50</v>
      </c>
      <c r="P75" s="295"/>
      <c r="Q75" s="295"/>
      <c r="R75" s="298">
        <f t="shared" si="9"/>
        <v>50</v>
      </c>
      <c r="S75" s="292">
        <v>5</v>
      </c>
      <c r="T75" s="838"/>
      <c r="U75" s="836"/>
      <c r="V75" s="299" t="s">
        <v>556</v>
      </c>
      <c r="W75" s="292" t="s">
        <v>22</v>
      </c>
      <c r="X75" s="292" t="s">
        <v>11</v>
      </c>
      <c r="Y75" s="300">
        <v>46.4</v>
      </c>
      <c r="Z75" s="292" t="s">
        <v>558</v>
      </c>
      <c r="AA75" s="292" t="s">
        <v>94</v>
      </c>
      <c r="AB75" s="292" t="s">
        <v>11</v>
      </c>
      <c r="AC75" s="292">
        <v>3.6</v>
      </c>
      <c r="AD75" s="299"/>
      <c r="AG75" s="300"/>
      <c r="AL75" s="299"/>
      <c r="AO75" s="300"/>
      <c r="AP75" s="299"/>
      <c r="AS75" s="300"/>
      <c r="AW75" s="300"/>
      <c r="BA75" s="301"/>
    </row>
    <row r="76" spans="1:53" s="73" customFormat="1">
      <c r="A76" s="73">
        <v>1993</v>
      </c>
      <c r="B76" s="852">
        <v>33981</v>
      </c>
      <c r="C76" s="917" t="s">
        <v>757</v>
      </c>
      <c r="D76" s="917"/>
      <c r="E76" s="73">
        <f>365-E75</f>
        <v>354</v>
      </c>
      <c r="F76" s="73">
        <v>4</v>
      </c>
      <c r="G76" s="74">
        <v>9</v>
      </c>
      <c r="H76" s="161"/>
      <c r="I76" s="75">
        <v>6</v>
      </c>
      <c r="J76" s="76">
        <v>15</v>
      </c>
      <c r="K76" s="77">
        <f t="shared" si="7"/>
        <v>60</v>
      </c>
      <c r="L76" s="77">
        <f t="shared" si="4"/>
        <v>0</v>
      </c>
      <c r="M76" s="77">
        <f t="shared" si="4"/>
        <v>40</v>
      </c>
      <c r="N76" s="78">
        <f t="shared" si="8"/>
        <v>100</v>
      </c>
      <c r="O76" s="79">
        <v>41</v>
      </c>
      <c r="P76" s="77"/>
      <c r="Q76" s="77">
        <v>19.899999999999999</v>
      </c>
      <c r="R76" s="80">
        <f t="shared" si="9"/>
        <v>60.9</v>
      </c>
      <c r="S76" s="73">
        <v>2</v>
      </c>
      <c r="T76" s="839"/>
      <c r="U76" s="852">
        <v>33981</v>
      </c>
      <c r="V76" s="82" t="s">
        <v>556</v>
      </c>
      <c r="W76" s="73" t="s">
        <v>22</v>
      </c>
      <c r="X76" s="73" t="s">
        <v>11</v>
      </c>
      <c r="Y76" s="83">
        <v>41</v>
      </c>
      <c r="Z76" s="73" t="s">
        <v>454</v>
      </c>
      <c r="AA76" s="73" t="s">
        <v>20</v>
      </c>
      <c r="AB76" s="73" t="s">
        <v>12</v>
      </c>
      <c r="AC76" s="73">
        <v>19.899999999999999</v>
      </c>
      <c r="AD76" s="82"/>
      <c r="AG76" s="83"/>
      <c r="AL76" s="82"/>
      <c r="AO76" s="83"/>
      <c r="AP76" s="82"/>
      <c r="AS76" s="83"/>
      <c r="AW76" s="83"/>
      <c r="BA76" s="84"/>
    </row>
    <row r="77" spans="1:53" s="73" customFormat="1">
      <c r="A77" s="73">
        <v>1994</v>
      </c>
      <c r="B77" s="852"/>
      <c r="C77" s="917" t="s">
        <v>757</v>
      </c>
      <c r="D77" s="917"/>
      <c r="E77" s="73">
        <v>348</v>
      </c>
      <c r="G77" s="74">
        <v>9</v>
      </c>
      <c r="H77" s="161"/>
      <c r="I77" s="75">
        <v>6</v>
      </c>
      <c r="J77" s="76">
        <v>15</v>
      </c>
      <c r="K77" s="77">
        <f t="shared" si="7"/>
        <v>60</v>
      </c>
      <c r="L77" s="77">
        <f t="shared" si="4"/>
        <v>0</v>
      </c>
      <c r="M77" s="77">
        <f t="shared" si="4"/>
        <v>40</v>
      </c>
      <c r="N77" s="78">
        <f t="shared" si="8"/>
        <v>100</v>
      </c>
      <c r="O77" s="79">
        <v>41</v>
      </c>
      <c r="P77" s="77"/>
      <c r="Q77" s="77">
        <v>19.899999999999999</v>
      </c>
      <c r="R77" s="80">
        <f t="shared" si="9"/>
        <v>60.9</v>
      </c>
      <c r="S77" s="73">
        <v>2</v>
      </c>
      <c r="T77" s="839"/>
      <c r="U77" s="852"/>
      <c r="V77" s="82" t="s">
        <v>556</v>
      </c>
      <c r="W77" s="73" t="s">
        <v>22</v>
      </c>
      <c r="X77" s="73" t="s">
        <v>11</v>
      </c>
      <c r="Y77" s="83">
        <v>41</v>
      </c>
      <c r="Z77" s="73" t="s">
        <v>454</v>
      </c>
      <c r="AA77" s="73" t="s">
        <v>20</v>
      </c>
      <c r="AB77" s="73" t="s">
        <v>12</v>
      </c>
      <c r="AC77" s="73">
        <v>19.899999999999999</v>
      </c>
      <c r="AD77" s="82"/>
      <c r="AG77" s="83"/>
      <c r="AL77" s="82"/>
      <c r="AO77" s="83"/>
      <c r="AP77" s="82"/>
      <c r="AS77" s="83"/>
      <c r="AW77" s="83"/>
      <c r="BA77" s="84"/>
    </row>
    <row r="78" spans="1:53" s="292" customFormat="1">
      <c r="A78" s="292">
        <v>1994</v>
      </c>
      <c r="B78" s="836">
        <v>34683</v>
      </c>
      <c r="C78" s="916" t="s">
        <v>758</v>
      </c>
      <c r="D78" s="916"/>
      <c r="E78" s="292">
        <f>365-E77</f>
        <v>17</v>
      </c>
      <c r="F78" s="292">
        <v>4</v>
      </c>
      <c r="G78" s="293"/>
      <c r="H78" s="392">
        <v>8</v>
      </c>
      <c r="I78" s="179">
        <v>7</v>
      </c>
      <c r="J78" s="294">
        <v>15</v>
      </c>
      <c r="K78" s="295">
        <f t="shared" si="7"/>
        <v>0</v>
      </c>
      <c r="L78" s="295">
        <f t="shared" si="4"/>
        <v>53.333333333333336</v>
      </c>
      <c r="M78" s="295">
        <f t="shared" si="4"/>
        <v>46.666666666666664</v>
      </c>
      <c r="N78" s="296">
        <f t="shared" si="8"/>
        <v>100</v>
      </c>
      <c r="O78" s="297"/>
      <c r="P78" s="295">
        <v>27.1</v>
      </c>
      <c r="Q78" s="295">
        <v>22.3</v>
      </c>
      <c r="R78" s="298">
        <f t="shared" si="9"/>
        <v>49.400000000000006</v>
      </c>
      <c r="S78" s="292">
        <v>5</v>
      </c>
      <c r="T78" s="838"/>
      <c r="U78" s="836">
        <v>34683</v>
      </c>
      <c r="V78" s="299" t="s">
        <v>557</v>
      </c>
      <c r="W78" s="292" t="s">
        <v>17</v>
      </c>
      <c r="X78" s="292" t="s">
        <v>18</v>
      </c>
      <c r="Y78" s="300">
        <v>27.1</v>
      </c>
      <c r="Z78" s="292" t="s">
        <v>454</v>
      </c>
      <c r="AA78" s="292" t="s">
        <v>20</v>
      </c>
      <c r="AB78" s="292" t="s">
        <v>12</v>
      </c>
      <c r="AC78" s="292">
        <v>19.899999999999999</v>
      </c>
      <c r="AD78" s="299" t="s">
        <v>559</v>
      </c>
      <c r="AE78" s="292" t="s">
        <v>300</v>
      </c>
      <c r="AF78" s="292" t="s">
        <v>12</v>
      </c>
      <c r="AG78" s="300">
        <v>2.4</v>
      </c>
      <c r="AL78" s="299"/>
      <c r="AO78" s="300"/>
      <c r="AP78" s="299"/>
      <c r="AS78" s="300"/>
      <c r="AW78" s="300"/>
      <c r="BA78" s="301"/>
    </row>
    <row r="79" spans="1:53" s="292" customFormat="1">
      <c r="A79" s="292">
        <v>1995</v>
      </c>
      <c r="B79" s="836"/>
      <c r="C79" s="916" t="s">
        <v>758</v>
      </c>
      <c r="D79" s="916"/>
      <c r="E79" s="292">
        <v>0</v>
      </c>
      <c r="G79" s="293"/>
      <c r="H79" s="392">
        <v>8</v>
      </c>
      <c r="I79" s="179">
        <v>7</v>
      </c>
      <c r="J79" s="294">
        <v>15</v>
      </c>
      <c r="K79" s="295">
        <f t="shared" si="7"/>
        <v>0</v>
      </c>
      <c r="L79" s="295">
        <f t="shared" si="4"/>
        <v>53.333333333333336</v>
      </c>
      <c r="M79" s="295">
        <f t="shared" si="4"/>
        <v>46.666666666666664</v>
      </c>
      <c r="N79" s="296">
        <f t="shared" si="8"/>
        <v>100</v>
      </c>
      <c r="O79" s="297"/>
      <c r="P79" s="295">
        <v>27.1</v>
      </c>
      <c r="Q79" s="295">
        <v>22.3</v>
      </c>
      <c r="R79" s="298">
        <f t="shared" si="9"/>
        <v>49.400000000000006</v>
      </c>
      <c r="S79" s="292">
        <v>5</v>
      </c>
      <c r="T79" s="838"/>
      <c r="U79" s="836"/>
      <c r="V79" s="299" t="s">
        <v>557</v>
      </c>
      <c r="W79" s="292" t="s">
        <v>17</v>
      </c>
      <c r="X79" s="292" t="s">
        <v>18</v>
      </c>
      <c r="Y79" s="300">
        <v>27.1</v>
      </c>
      <c r="Z79" s="292" t="s">
        <v>454</v>
      </c>
      <c r="AA79" s="292" t="s">
        <v>20</v>
      </c>
      <c r="AB79" s="292" t="s">
        <v>12</v>
      </c>
      <c r="AC79" s="292">
        <v>19.899999999999999</v>
      </c>
      <c r="AD79" s="299" t="s">
        <v>559</v>
      </c>
      <c r="AE79" s="292" t="s">
        <v>300</v>
      </c>
      <c r="AF79" s="292" t="s">
        <v>12</v>
      </c>
      <c r="AG79" s="300">
        <v>2.4</v>
      </c>
      <c r="AL79" s="299"/>
      <c r="AO79" s="300"/>
      <c r="AP79" s="299"/>
      <c r="AS79" s="300"/>
      <c r="AW79" s="300"/>
      <c r="BA79" s="301"/>
    </row>
    <row r="80" spans="1:53" s="292" customFormat="1">
      <c r="A80" s="292">
        <v>1995</v>
      </c>
      <c r="B80" s="836"/>
      <c r="C80" s="916" t="s">
        <v>758</v>
      </c>
      <c r="D80" s="916"/>
      <c r="E80" s="292">
        <f>365-E79</f>
        <v>365</v>
      </c>
      <c r="G80" s="293"/>
      <c r="H80" s="392">
        <v>8</v>
      </c>
      <c r="I80" s="179">
        <v>7</v>
      </c>
      <c r="J80" s="294">
        <v>15</v>
      </c>
      <c r="K80" s="295">
        <f t="shared" si="7"/>
        <v>0</v>
      </c>
      <c r="L80" s="295">
        <f t="shared" si="4"/>
        <v>53.333333333333336</v>
      </c>
      <c r="M80" s="295">
        <f t="shared" si="4"/>
        <v>46.666666666666664</v>
      </c>
      <c r="N80" s="296">
        <f t="shared" si="8"/>
        <v>100</v>
      </c>
      <c r="O80" s="297"/>
      <c r="P80" s="295">
        <v>27.1</v>
      </c>
      <c r="Q80" s="295">
        <v>22.3</v>
      </c>
      <c r="R80" s="298">
        <f t="shared" si="9"/>
        <v>49.400000000000006</v>
      </c>
      <c r="S80" s="292">
        <v>5</v>
      </c>
      <c r="T80" s="838"/>
      <c r="U80" s="836"/>
      <c r="V80" s="299" t="s">
        <v>557</v>
      </c>
      <c r="W80" s="292" t="s">
        <v>17</v>
      </c>
      <c r="X80" s="292" t="s">
        <v>18</v>
      </c>
      <c r="Y80" s="300">
        <v>27.1</v>
      </c>
      <c r="Z80" s="292" t="s">
        <v>454</v>
      </c>
      <c r="AA80" s="292" t="s">
        <v>20</v>
      </c>
      <c r="AB80" s="292" t="s">
        <v>12</v>
      </c>
      <c r="AC80" s="292">
        <v>19.899999999999999</v>
      </c>
      <c r="AD80" s="299" t="s">
        <v>559</v>
      </c>
      <c r="AE80" s="292" t="s">
        <v>300</v>
      </c>
      <c r="AF80" s="292" t="s">
        <v>12</v>
      </c>
      <c r="AG80" s="300">
        <v>2.4</v>
      </c>
      <c r="AL80" s="299"/>
      <c r="AO80" s="300"/>
      <c r="AP80" s="299"/>
      <c r="AS80" s="300"/>
      <c r="AW80" s="300"/>
      <c r="BA80" s="301"/>
    </row>
    <row r="81" spans="1:53" s="292" customFormat="1">
      <c r="A81" s="292">
        <v>1996</v>
      </c>
      <c r="B81" s="836"/>
      <c r="C81" s="916" t="s">
        <v>758</v>
      </c>
      <c r="D81" s="916"/>
      <c r="E81" s="292">
        <v>0</v>
      </c>
      <c r="G81" s="293"/>
      <c r="H81" s="392">
        <v>8</v>
      </c>
      <c r="I81" s="179">
        <v>7</v>
      </c>
      <c r="J81" s="294">
        <v>15</v>
      </c>
      <c r="K81" s="295">
        <f t="shared" si="7"/>
        <v>0</v>
      </c>
      <c r="L81" s="295">
        <f t="shared" si="4"/>
        <v>53.333333333333336</v>
      </c>
      <c r="M81" s="295">
        <f t="shared" si="4"/>
        <v>46.666666666666664</v>
      </c>
      <c r="N81" s="296">
        <f t="shared" si="8"/>
        <v>100</v>
      </c>
      <c r="O81" s="297"/>
      <c r="P81" s="295">
        <v>27.1</v>
      </c>
      <c r="Q81" s="295">
        <v>22.3</v>
      </c>
      <c r="R81" s="298">
        <f t="shared" si="9"/>
        <v>49.400000000000006</v>
      </c>
      <c r="S81" s="292">
        <v>5</v>
      </c>
      <c r="T81" s="838"/>
      <c r="U81" s="836"/>
      <c r="V81" s="299" t="s">
        <v>557</v>
      </c>
      <c r="W81" s="292" t="s">
        <v>17</v>
      </c>
      <c r="X81" s="292" t="s">
        <v>18</v>
      </c>
      <c r="Y81" s="300">
        <v>27.1</v>
      </c>
      <c r="Z81" s="292" t="s">
        <v>454</v>
      </c>
      <c r="AA81" s="292" t="s">
        <v>20</v>
      </c>
      <c r="AB81" s="292" t="s">
        <v>12</v>
      </c>
      <c r="AC81" s="292">
        <v>19.899999999999999</v>
      </c>
      <c r="AD81" s="299" t="s">
        <v>559</v>
      </c>
      <c r="AE81" s="292" t="s">
        <v>300</v>
      </c>
      <c r="AF81" s="292" t="s">
        <v>12</v>
      </c>
      <c r="AG81" s="300">
        <v>2.4</v>
      </c>
      <c r="AL81" s="299"/>
      <c r="AO81" s="300"/>
      <c r="AP81" s="299"/>
      <c r="AS81" s="300"/>
      <c r="AW81" s="300"/>
      <c r="BA81" s="301"/>
    </row>
    <row r="82" spans="1:53" s="292" customFormat="1">
      <c r="A82" s="292">
        <v>1996</v>
      </c>
      <c r="B82" s="836"/>
      <c r="C82" s="916" t="s">
        <v>758</v>
      </c>
      <c r="D82" s="916"/>
      <c r="E82" s="292">
        <v>366</v>
      </c>
      <c r="G82" s="293"/>
      <c r="H82" s="392">
        <v>8</v>
      </c>
      <c r="I82" s="179">
        <v>7</v>
      </c>
      <c r="J82" s="294">
        <v>15</v>
      </c>
      <c r="K82" s="295">
        <f t="shared" si="7"/>
        <v>0</v>
      </c>
      <c r="L82" s="295">
        <f t="shared" si="4"/>
        <v>53.333333333333336</v>
      </c>
      <c r="M82" s="295">
        <f t="shared" si="4"/>
        <v>46.666666666666664</v>
      </c>
      <c r="N82" s="296">
        <f t="shared" si="8"/>
        <v>100</v>
      </c>
      <c r="O82" s="297"/>
      <c r="P82" s="295">
        <v>27.1</v>
      </c>
      <c r="Q82" s="295">
        <v>22.3</v>
      </c>
      <c r="R82" s="298">
        <f t="shared" si="9"/>
        <v>49.400000000000006</v>
      </c>
      <c r="S82" s="292">
        <v>5</v>
      </c>
      <c r="T82" s="838"/>
      <c r="U82" s="836"/>
      <c r="V82" s="299" t="s">
        <v>557</v>
      </c>
      <c r="W82" s="292" t="s">
        <v>17</v>
      </c>
      <c r="X82" s="292" t="s">
        <v>18</v>
      </c>
      <c r="Y82" s="300">
        <v>27.1</v>
      </c>
      <c r="Z82" s="292" t="s">
        <v>454</v>
      </c>
      <c r="AA82" s="292" t="s">
        <v>20</v>
      </c>
      <c r="AB82" s="292" t="s">
        <v>12</v>
      </c>
      <c r="AC82" s="292">
        <v>19.899999999999999</v>
      </c>
      <c r="AD82" s="299" t="s">
        <v>559</v>
      </c>
      <c r="AE82" s="292" t="s">
        <v>300</v>
      </c>
      <c r="AF82" s="292" t="s">
        <v>12</v>
      </c>
      <c r="AG82" s="300">
        <v>2.4</v>
      </c>
      <c r="AL82" s="299"/>
      <c r="AO82" s="300"/>
      <c r="AP82" s="299"/>
      <c r="AS82" s="300"/>
      <c r="AW82" s="300"/>
      <c r="BA82" s="301"/>
    </row>
    <row r="83" spans="1:53" s="292" customFormat="1">
      <c r="A83" s="292">
        <v>1997</v>
      </c>
      <c r="B83" s="836"/>
      <c r="C83" s="916" t="s">
        <v>758</v>
      </c>
      <c r="D83" s="916"/>
      <c r="E83" s="292">
        <v>176</v>
      </c>
      <c r="G83" s="293"/>
      <c r="H83" s="392">
        <v>8</v>
      </c>
      <c r="I83" s="179">
        <v>7</v>
      </c>
      <c r="J83" s="294">
        <v>15</v>
      </c>
      <c r="K83" s="295">
        <f t="shared" si="7"/>
        <v>0</v>
      </c>
      <c r="L83" s="295">
        <f t="shared" si="4"/>
        <v>53.333333333333336</v>
      </c>
      <c r="M83" s="295">
        <f t="shared" si="4"/>
        <v>46.666666666666664</v>
      </c>
      <c r="N83" s="296">
        <f t="shared" si="8"/>
        <v>100</v>
      </c>
      <c r="O83" s="297"/>
      <c r="P83" s="295">
        <v>27.1</v>
      </c>
      <c r="Q83" s="295">
        <v>22.3</v>
      </c>
      <c r="R83" s="298">
        <f t="shared" si="9"/>
        <v>49.400000000000006</v>
      </c>
      <c r="S83" s="292">
        <v>5</v>
      </c>
      <c r="T83" s="838"/>
      <c r="U83" s="836"/>
      <c r="V83" s="299" t="s">
        <v>557</v>
      </c>
      <c r="W83" s="292" t="s">
        <v>17</v>
      </c>
      <c r="X83" s="292" t="s">
        <v>18</v>
      </c>
      <c r="Y83" s="300">
        <v>27.1</v>
      </c>
      <c r="Z83" s="292" t="s">
        <v>454</v>
      </c>
      <c r="AA83" s="292" t="s">
        <v>20</v>
      </c>
      <c r="AB83" s="292" t="s">
        <v>12</v>
      </c>
      <c r="AC83" s="292">
        <v>19.899999999999999</v>
      </c>
      <c r="AD83" s="299" t="s">
        <v>559</v>
      </c>
      <c r="AE83" s="292" t="s">
        <v>300</v>
      </c>
      <c r="AF83" s="292" t="s">
        <v>12</v>
      </c>
      <c r="AG83" s="300">
        <v>2.4</v>
      </c>
      <c r="AL83" s="299"/>
      <c r="AO83" s="300"/>
      <c r="AP83" s="299"/>
      <c r="AS83" s="300"/>
      <c r="AW83" s="300"/>
      <c r="BA83" s="301"/>
    </row>
    <row r="84" spans="1:53" s="73" customFormat="1">
      <c r="A84" s="73">
        <v>1997</v>
      </c>
      <c r="B84" s="852">
        <v>35607</v>
      </c>
      <c r="C84" s="917" t="s">
        <v>759</v>
      </c>
      <c r="D84" s="917"/>
      <c r="E84" s="73">
        <f>365-E83</f>
        <v>189</v>
      </c>
      <c r="F84" s="73">
        <v>1</v>
      </c>
      <c r="G84" s="74">
        <v>15</v>
      </c>
      <c r="H84" s="161"/>
      <c r="I84" s="75"/>
      <c r="J84" s="76">
        <v>15</v>
      </c>
      <c r="K84" s="77">
        <f t="shared" si="7"/>
        <v>100</v>
      </c>
      <c r="L84" s="77">
        <f t="shared" si="4"/>
        <v>0</v>
      </c>
      <c r="M84" s="77">
        <f t="shared" si="4"/>
        <v>0</v>
      </c>
      <c r="N84" s="78">
        <f t="shared" si="8"/>
        <v>100</v>
      </c>
      <c r="O84" s="79">
        <v>48.8</v>
      </c>
      <c r="P84" s="77"/>
      <c r="Q84" s="77"/>
      <c r="R84" s="80">
        <f t="shared" si="9"/>
        <v>48.8</v>
      </c>
      <c r="S84" s="73">
        <v>5</v>
      </c>
      <c r="T84" s="839">
        <v>35587</v>
      </c>
      <c r="U84" s="852">
        <v>35607</v>
      </c>
      <c r="V84" s="82" t="s">
        <v>556</v>
      </c>
      <c r="W84" s="73" t="s">
        <v>22</v>
      </c>
      <c r="X84" s="73" t="s">
        <v>11</v>
      </c>
      <c r="Y84" s="83">
        <v>46.4</v>
      </c>
      <c r="Z84" s="73" t="s">
        <v>558</v>
      </c>
      <c r="AA84" s="73" t="s">
        <v>94</v>
      </c>
      <c r="AB84" s="73" t="s">
        <v>11</v>
      </c>
      <c r="AC84" s="73">
        <v>2.4</v>
      </c>
      <c r="AD84" s="82"/>
      <c r="AG84" s="83"/>
      <c r="AL84" s="82"/>
      <c r="AO84" s="83"/>
      <c r="AP84" s="82"/>
      <c r="AS84" s="83"/>
      <c r="AW84" s="83"/>
      <c r="BA84" s="84"/>
    </row>
    <row r="85" spans="1:53" s="73" customFormat="1">
      <c r="A85" s="73">
        <v>1998</v>
      </c>
      <c r="B85" s="852"/>
      <c r="C85" s="917" t="s">
        <v>759</v>
      </c>
      <c r="D85" s="917"/>
      <c r="E85" s="73">
        <v>0</v>
      </c>
      <c r="G85" s="74">
        <v>15</v>
      </c>
      <c r="H85" s="161"/>
      <c r="I85" s="75"/>
      <c r="J85" s="76">
        <v>15</v>
      </c>
      <c r="K85" s="77">
        <f t="shared" si="7"/>
        <v>100</v>
      </c>
      <c r="L85" s="77">
        <f t="shared" si="4"/>
        <v>0</v>
      </c>
      <c r="M85" s="77">
        <f t="shared" si="4"/>
        <v>0</v>
      </c>
      <c r="N85" s="78">
        <f t="shared" si="8"/>
        <v>100</v>
      </c>
      <c r="O85" s="79">
        <v>48.8</v>
      </c>
      <c r="P85" s="77"/>
      <c r="Q85" s="77"/>
      <c r="R85" s="80">
        <f t="shared" si="9"/>
        <v>48.8</v>
      </c>
      <c r="S85" s="73">
        <v>5</v>
      </c>
      <c r="T85" s="839"/>
      <c r="U85" s="852"/>
      <c r="V85" s="82" t="s">
        <v>556</v>
      </c>
      <c r="W85" s="73" t="s">
        <v>22</v>
      </c>
      <c r="X85" s="73" t="s">
        <v>11</v>
      </c>
      <c r="Y85" s="83">
        <v>46.4</v>
      </c>
      <c r="Z85" s="73" t="s">
        <v>558</v>
      </c>
      <c r="AA85" s="73" t="s">
        <v>94</v>
      </c>
      <c r="AB85" s="73" t="s">
        <v>11</v>
      </c>
      <c r="AC85" s="73">
        <v>2.4</v>
      </c>
      <c r="AD85" s="82"/>
      <c r="AG85" s="83"/>
      <c r="AL85" s="82"/>
      <c r="AO85" s="83"/>
      <c r="AP85" s="82"/>
      <c r="AS85" s="83"/>
      <c r="AW85" s="83"/>
      <c r="BA85" s="84"/>
    </row>
    <row r="86" spans="1:53" s="73" customFormat="1">
      <c r="A86" s="73">
        <v>1998</v>
      </c>
      <c r="B86" s="852"/>
      <c r="C86" s="917" t="s">
        <v>759</v>
      </c>
      <c r="D86" s="917"/>
      <c r="E86" s="73">
        <f>365-E85</f>
        <v>365</v>
      </c>
      <c r="G86" s="74">
        <v>15</v>
      </c>
      <c r="H86" s="161"/>
      <c r="I86" s="75"/>
      <c r="J86" s="76">
        <v>15</v>
      </c>
      <c r="K86" s="77">
        <f t="shared" si="7"/>
        <v>100</v>
      </c>
      <c r="L86" s="77">
        <f t="shared" si="4"/>
        <v>0</v>
      </c>
      <c r="M86" s="77">
        <f t="shared" si="4"/>
        <v>0</v>
      </c>
      <c r="N86" s="78">
        <f t="shared" si="8"/>
        <v>100</v>
      </c>
      <c r="O86" s="79">
        <v>48.8</v>
      </c>
      <c r="P86" s="77"/>
      <c r="Q86" s="77"/>
      <c r="R86" s="80">
        <f t="shared" si="9"/>
        <v>48.8</v>
      </c>
      <c r="S86" s="73">
        <v>5</v>
      </c>
      <c r="T86" s="839"/>
      <c r="U86" s="852"/>
      <c r="V86" s="82" t="s">
        <v>556</v>
      </c>
      <c r="W86" s="73" t="s">
        <v>22</v>
      </c>
      <c r="X86" s="73" t="s">
        <v>11</v>
      </c>
      <c r="Y86" s="83">
        <v>46.4</v>
      </c>
      <c r="Z86" s="73" t="s">
        <v>558</v>
      </c>
      <c r="AA86" s="73" t="s">
        <v>94</v>
      </c>
      <c r="AB86" s="73" t="s">
        <v>11</v>
      </c>
      <c r="AC86" s="73">
        <v>2.4</v>
      </c>
      <c r="AD86" s="82"/>
      <c r="AG86" s="83"/>
      <c r="AL86" s="82"/>
      <c r="AO86" s="83"/>
      <c r="AP86" s="82"/>
      <c r="AS86" s="83"/>
      <c r="AW86" s="83"/>
      <c r="BA86" s="84"/>
    </row>
    <row r="87" spans="1:53" s="73" customFormat="1">
      <c r="A87" s="73">
        <v>1999</v>
      </c>
      <c r="B87" s="852"/>
      <c r="C87" s="917" t="s">
        <v>759</v>
      </c>
      <c r="D87" s="917"/>
      <c r="E87" s="73">
        <v>0</v>
      </c>
      <c r="G87" s="74">
        <v>15</v>
      </c>
      <c r="H87" s="161"/>
      <c r="I87" s="75"/>
      <c r="J87" s="76">
        <v>15</v>
      </c>
      <c r="K87" s="77">
        <f t="shared" si="7"/>
        <v>100</v>
      </c>
      <c r="L87" s="77">
        <f t="shared" si="4"/>
        <v>0</v>
      </c>
      <c r="M87" s="77">
        <f t="shared" si="4"/>
        <v>0</v>
      </c>
      <c r="N87" s="78">
        <f t="shared" si="8"/>
        <v>100</v>
      </c>
      <c r="O87" s="79">
        <v>48.8</v>
      </c>
      <c r="P87" s="77"/>
      <c r="Q87" s="77"/>
      <c r="R87" s="80">
        <f t="shared" si="9"/>
        <v>48.8</v>
      </c>
      <c r="S87" s="73">
        <v>5</v>
      </c>
      <c r="T87" s="839"/>
      <c r="U87" s="852"/>
      <c r="V87" s="82" t="s">
        <v>556</v>
      </c>
      <c r="W87" s="73" t="s">
        <v>22</v>
      </c>
      <c r="X87" s="73" t="s">
        <v>11</v>
      </c>
      <c r="Y87" s="83">
        <v>46.4</v>
      </c>
      <c r="Z87" s="73" t="s">
        <v>558</v>
      </c>
      <c r="AA87" s="73" t="s">
        <v>94</v>
      </c>
      <c r="AB87" s="73" t="s">
        <v>11</v>
      </c>
      <c r="AC87" s="73">
        <v>2.4</v>
      </c>
      <c r="AD87" s="82"/>
      <c r="AG87" s="83"/>
      <c r="AL87" s="82"/>
      <c r="AO87" s="83"/>
      <c r="AP87" s="82"/>
      <c r="AS87" s="83"/>
      <c r="AW87" s="83"/>
      <c r="BA87" s="84"/>
    </row>
    <row r="88" spans="1:53" s="73" customFormat="1">
      <c r="A88" s="73">
        <v>1999</v>
      </c>
      <c r="B88" s="852"/>
      <c r="C88" s="917" t="s">
        <v>759</v>
      </c>
      <c r="D88" s="917"/>
      <c r="E88" s="73">
        <f>365-E87</f>
        <v>365</v>
      </c>
      <c r="G88" s="74">
        <v>15</v>
      </c>
      <c r="H88" s="161"/>
      <c r="I88" s="75"/>
      <c r="J88" s="76">
        <v>15</v>
      </c>
      <c r="K88" s="77">
        <f t="shared" si="7"/>
        <v>100</v>
      </c>
      <c r="L88" s="77">
        <f t="shared" si="4"/>
        <v>0</v>
      </c>
      <c r="M88" s="77">
        <f t="shared" si="4"/>
        <v>0</v>
      </c>
      <c r="N88" s="78">
        <f t="shared" si="8"/>
        <v>100</v>
      </c>
      <c r="O88" s="79">
        <v>48.8</v>
      </c>
      <c r="P88" s="77"/>
      <c r="Q88" s="77"/>
      <c r="R88" s="80">
        <f t="shared" si="9"/>
        <v>48.8</v>
      </c>
      <c r="S88" s="73">
        <v>5</v>
      </c>
      <c r="T88" s="839"/>
      <c r="U88" s="852"/>
      <c r="V88" s="82" t="s">
        <v>556</v>
      </c>
      <c r="W88" s="73" t="s">
        <v>22</v>
      </c>
      <c r="X88" s="73" t="s">
        <v>11</v>
      </c>
      <c r="Y88" s="83">
        <v>46.4</v>
      </c>
      <c r="Z88" s="73" t="s">
        <v>558</v>
      </c>
      <c r="AA88" s="73" t="s">
        <v>94</v>
      </c>
      <c r="AB88" s="73" t="s">
        <v>11</v>
      </c>
      <c r="AC88" s="73">
        <v>2.4</v>
      </c>
      <c r="AD88" s="82"/>
      <c r="AG88" s="83"/>
      <c r="AL88" s="82"/>
      <c r="AO88" s="83"/>
      <c r="AP88" s="82"/>
      <c r="AS88" s="83"/>
      <c r="AW88" s="83"/>
      <c r="BA88" s="84"/>
    </row>
    <row r="89" spans="1:53" s="73" customFormat="1">
      <c r="A89" s="73">
        <v>2000</v>
      </c>
      <c r="B89" s="852"/>
      <c r="C89" s="917" t="s">
        <v>759</v>
      </c>
      <c r="D89" s="917"/>
      <c r="E89" s="73">
        <v>0</v>
      </c>
      <c r="G89" s="74">
        <v>15</v>
      </c>
      <c r="H89" s="161"/>
      <c r="I89" s="75"/>
      <c r="J89" s="76">
        <v>15</v>
      </c>
      <c r="K89" s="77">
        <f t="shared" si="7"/>
        <v>100</v>
      </c>
      <c r="L89" s="77">
        <f t="shared" si="4"/>
        <v>0</v>
      </c>
      <c r="M89" s="77">
        <f t="shared" si="4"/>
        <v>0</v>
      </c>
      <c r="N89" s="78">
        <f t="shared" si="8"/>
        <v>100</v>
      </c>
      <c r="O89" s="79">
        <v>48.8</v>
      </c>
      <c r="P89" s="77"/>
      <c r="Q89" s="77"/>
      <c r="R89" s="80">
        <f t="shared" si="9"/>
        <v>48.8</v>
      </c>
      <c r="S89" s="73">
        <v>5</v>
      </c>
      <c r="T89" s="839"/>
      <c r="U89" s="852"/>
      <c r="V89" s="82" t="s">
        <v>556</v>
      </c>
      <c r="W89" s="73" t="s">
        <v>22</v>
      </c>
      <c r="X89" s="73" t="s">
        <v>11</v>
      </c>
      <c r="Y89" s="83">
        <v>46.4</v>
      </c>
      <c r="Z89" s="73" t="s">
        <v>558</v>
      </c>
      <c r="AA89" s="73" t="s">
        <v>94</v>
      </c>
      <c r="AB89" s="73" t="s">
        <v>11</v>
      </c>
      <c r="AC89" s="73">
        <v>2.4</v>
      </c>
      <c r="AD89" s="82"/>
      <c r="AG89" s="83"/>
      <c r="AL89" s="82"/>
      <c r="AO89" s="83"/>
      <c r="AP89" s="82"/>
      <c r="AS89" s="83"/>
      <c r="AW89" s="83"/>
      <c r="BA89" s="84"/>
    </row>
    <row r="90" spans="1:53" s="73" customFormat="1">
      <c r="A90" s="73">
        <v>2000</v>
      </c>
      <c r="B90" s="852"/>
      <c r="C90" s="917" t="s">
        <v>759</v>
      </c>
      <c r="D90" s="917"/>
      <c r="E90" s="73">
        <v>366</v>
      </c>
      <c r="G90" s="74">
        <v>15</v>
      </c>
      <c r="H90" s="161"/>
      <c r="I90" s="75"/>
      <c r="J90" s="76">
        <v>15</v>
      </c>
      <c r="K90" s="77">
        <f t="shared" si="7"/>
        <v>100</v>
      </c>
      <c r="L90" s="77">
        <f t="shared" si="4"/>
        <v>0</v>
      </c>
      <c r="M90" s="77">
        <f t="shared" si="4"/>
        <v>0</v>
      </c>
      <c r="N90" s="78">
        <f t="shared" si="8"/>
        <v>100</v>
      </c>
      <c r="O90" s="79">
        <v>48.8</v>
      </c>
      <c r="P90" s="77"/>
      <c r="Q90" s="77"/>
      <c r="R90" s="80">
        <f t="shared" si="9"/>
        <v>48.8</v>
      </c>
      <c r="S90" s="73">
        <v>5</v>
      </c>
      <c r="T90" s="839"/>
      <c r="U90" s="852"/>
      <c r="V90" s="82" t="s">
        <v>556</v>
      </c>
      <c r="W90" s="73" t="s">
        <v>22</v>
      </c>
      <c r="X90" s="73" t="s">
        <v>11</v>
      </c>
      <c r="Y90" s="83">
        <v>46.4</v>
      </c>
      <c r="Z90" s="73" t="s">
        <v>558</v>
      </c>
      <c r="AA90" s="73" t="s">
        <v>94</v>
      </c>
      <c r="AB90" s="73" t="s">
        <v>11</v>
      </c>
      <c r="AC90" s="73">
        <v>2.4</v>
      </c>
      <c r="AD90" s="82"/>
      <c r="AG90" s="83"/>
      <c r="AL90" s="82"/>
      <c r="AO90" s="83"/>
      <c r="AP90" s="82"/>
      <c r="AS90" s="83"/>
      <c r="AW90" s="83"/>
      <c r="BA90" s="84"/>
    </row>
    <row r="91" spans="1:53" s="73" customFormat="1">
      <c r="A91" s="73">
        <v>2001</v>
      </c>
      <c r="B91" s="852"/>
      <c r="C91" s="917" t="s">
        <v>759</v>
      </c>
      <c r="D91" s="917"/>
      <c r="E91" s="73">
        <v>0</v>
      </c>
      <c r="G91" s="74">
        <v>15</v>
      </c>
      <c r="H91" s="161"/>
      <c r="I91" s="75"/>
      <c r="J91" s="76">
        <v>15</v>
      </c>
      <c r="K91" s="77">
        <f t="shared" si="7"/>
        <v>100</v>
      </c>
      <c r="L91" s="77">
        <f t="shared" si="4"/>
        <v>0</v>
      </c>
      <c r="M91" s="77">
        <f t="shared" si="4"/>
        <v>0</v>
      </c>
      <c r="N91" s="78">
        <f t="shared" si="8"/>
        <v>100</v>
      </c>
      <c r="O91" s="79">
        <v>48.8</v>
      </c>
      <c r="P91" s="77"/>
      <c r="Q91" s="77"/>
      <c r="R91" s="80">
        <f t="shared" si="9"/>
        <v>48.8</v>
      </c>
      <c r="S91" s="73">
        <v>5</v>
      </c>
      <c r="T91" s="839"/>
      <c r="U91" s="852"/>
      <c r="V91" s="82" t="s">
        <v>556</v>
      </c>
      <c r="W91" s="73" t="s">
        <v>22</v>
      </c>
      <c r="X91" s="73" t="s">
        <v>11</v>
      </c>
      <c r="Y91" s="83">
        <v>46.4</v>
      </c>
      <c r="Z91" s="73" t="s">
        <v>558</v>
      </c>
      <c r="AA91" s="73" t="s">
        <v>94</v>
      </c>
      <c r="AB91" s="73" t="s">
        <v>11</v>
      </c>
      <c r="AC91" s="73">
        <v>2.4</v>
      </c>
      <c r="AD91" s="82"/>
      <c r="AG91" s="83"/>
      <c r="AL91" s="82"/>
      <c r="AO91" s="83"/>
      <c r="AP91" s="82"/>
      <c r="AS91" s="83"/>
      <c r="AW91" s="83"/>
      <c r="BA91" s="84"/>
    </row>
    <row r="92" spans="1:53" s="73" customFormat="1">
      <c r="A92" s="73">
        <v>2001</v>
      </c>
      <c r="B92" s="852"/>
      <c r="C92" s="917" t="s">
        <v>759</v>
      </c>
      <c r="D92" s="917"/>
      <c r="E92" s="73">
        <f>365-E91</f>
        <v>365</v>
      </c>
      <c r="G92" s="74">
        <v>15</v>
      </c>
      <c r="H92" s="161"/>
      <c r="I92" s="75"/>
      <c r="J92" s="76">
        <v>15</v>
      </c>
      <c r="K92" s="77">
        <f t="shared" si="7"/>
        <v>100</v>
      </c>
      <c r="L92" s="77">
        <f t="shared" si="4"/>
        <v>0</v>
      </c>
      <c r="M92" s="77">
        <f t="shared" si="4"/>
        <v>0</v>
      </c>
      <c r="N92" s="78">
        <f t="shared" si="8"/>
        <v>100</v>
      </c>
      <c r="O92" s="79">
        <v>48.8</v>
      </c>
      <c r="P92" s="77"/>
      <c r="Q92" s="77"/>
      <c r="R92" s="80">
        <f t="shared" si="9"/>
        <v>48.8</v>
      </c>
      <c r="S92" s="73">
        <v>5</v>
      </c>
      <c r="T92" s="839"/>
      <c r="U92" s="852"/>
      <c r="V92" s="82" t="s">
        <v>556</v>
      </c>
      <c r="W92" s="73" t="s">
        <v>22</v>
      </c>
      <c r="X92" s="73" t="s">
        <v>11</v>
      </c>
      <c r="Y92" s="83">
        <v>46.4</v>
      </c>
      <c r="Z92" s="73" t="s">
        <v>558</v>
      </c>
      <c r="AA92" s="73" t="s">
        <v>94</v>
      </c>
      <c r="AB92" s="73" t="s">
        <v>11</v>
      </c>
      <c r="AC92" s="73">
        <v>2.4</v>
      </c>
      <c r="AD92" s="82"/>
      <c r="AG92" s="83"/>
      <c r="AL92" s="82"/>
      <c r="AO92" s="83"/>
      <c r="AP92" s="82"/>
      <c r="AS92" s="83"/>
      <c r="AW92" s="83"/>
      <c r="BA92" s="84"/>
    </row>
    <row r="93" spans="1:53" s="73" customFormat="1">
      <c r="A93" s="73">
        <v>2002</v>
      </c>
      <c r="B93" s="852"/>
      <c r="C93" s="917" t="s">
        <v>759</v>
      </c>
      <c r="D93" s="917"/>
      <c r="E93" s="73">
        <v>156</v>
      </c>
      <c r="G93" s="74">
        <v>15</v>
      </c>
      <c r="H93" s="161"/>
      <c r="I93" s="75"/>
      <c r="J93" s="76">
        <v>15</v>
      </c>
      <c r="K93" s="77">
        <f>G93/$J93*100</f>
        <v>100</v>
      </c>
      <c r="L93" s="77">
        <f t="shared" si="4"/>
        <v>0</v>
      </c>
      <c r="M93" s="77">
        <f t="shared" si="4"/>
        <v>0</v>
      </c>
      <c r="N93" s="78">
        <f>K93+L93+M93</f>
        <v>100</v>
      </c>
      <c r="O93" s="79">
        <v>48.8</v>
      </c>
      <c r="P93" s="77"/>
      <c r="Q93" s="77"/>
      <c r="R93" s="80">
        <f t="shared" si="9"/>
        <v>48.8</v>
      </c>
      <c r="S93" s="73">
        <v>5</v>
      </c>
      <c r="T93" s="839"/>
      <c r="U93" s="852"/>
      <c r="V93" s="82" t="s">
        <v>556</v>
      </c>
      <c r="W93" s="73" t="s">
        <v>22</v>
      </c>
      <c r="X93" s="73" t="s">
        <v>11</v>
      </c>
      <c r="Y93" s="83">
        <v>46.4</v>
      </c>
      <c r="Z93" s="73" t="s">
        <v>558</v>
      </c>
      <c r="AA93" s="73" t="s">
        <v>94</v>
      </c>
      <c r="AB93" s="73" t="s">
        <v>11</v>
      </c>
      <c r="AC93" s="73">
        <v>2.4</v>
      </c>
      <c r="AD93" s="82"/>
      <c r="AG93" s="83"/>
      <c r="AL93" s="82"/>
      <c r="AO93" s="83"/>
      <c r="AP93" s="82"/>
      <c r="AS93" s="83"/>
      <c r="AW93" s="83"/>
      <c r="BA93" s="84"/>
    </row>
    <row r="94" spans="1:53" s="292" customFormat="1">
      <c r="A94" s="292">
        <v>2002</v>
      </c>
      <c r="B94" s="836">
        <v>37413</v>
      </c>
      <c r="C94" s="916" t="s">
        <v>760</v>
      </c>
      <c r="D94" s="916"/>
      <c r="E94" s="292">
        <f>365-E93</f>
        <v>209</v>
      </c>
      <c r="F94" s="292">
        <v>1</v>
      </c>
      <c r="G94" s="293">
        <v>15</v>
      </c>
      <c r="H94" s="392"/>
      <c r="I94" s="179"/>
      <c r="J94" s="294">
        <v>15</v>
      </c>
      <c r="K94" s="295">
        <f t="shared" ref="K94:M119" si="10">G94/$J94*100</f>
        <v>100</v>
      </c>
      <c r="L94" s="295">
        <f t="shared" si="4"/>
        <v>0</v>
      </c>
      <c r="M94" s="295">
        <f t="shared" si="4"/>
        <v>0</v>
      </c>
      <c r="N94" s="296">
        <f t="shared" ref="N94:N119" si="11">K94+L94+M94</f>
        <v>100</v>
      </c>
      <c r="O94" s="297">
        <v>53.6</v>
      </c>
      <c r="P94" s="295"/>
      <c r="Q94" s="295"/>
      <c r="R94" s="298">
        <f t="shared" si="9"/>
        <v>53.6</v>
      </c>
      <c r="S94" s="292">
        <v>2</v>
      </c>
      <c r="T94" s="838">
        <v>37393</v>
      </c>
      <c r="U94" s="836">
        <v>37413</v>
      </c>
      <c r="V94" s="299" t="s">
        <v>556</v>
      </c>
      <c r="W94" s="292" t="s">
        <v>22</v>
      </c>
      <c r="X94" s="292" t="s">
        <v>11</v>
      </c>
      <c r="Y94" s="300">
        <v>48.8</v>
      </c>
      <c r="Z94" s="292" t="s">
        <v>558</v>
      </c>
      <c r="AA94" s="292" t="s">
        <v>94</v>
      </c>
      <c r="AB94" s="292" t="s">
        <v>11</v>
      </c>
      <c r="AC94" s="292">
        <v>4.8</v>
      </c>
      <c r="AD94" s="299"/>
      <c r="AG94" s="300"/>
      <c r="AL94" s="299"/>
      <c r="AO94" s="300"/>
      <c r="AP94" s="299"/>
      <c r="AS94" s="300"/>
      <c r="AW94" s="300"/>
      <c r="BA94" s="301"/>
    </row>
    <row r="95" spans="1:53" s="292" customFormat="1">
      <c r="A95" s="292">
        <v>2003</v>
      </c>
      <c r="B95" s="836"/>
      <c r="C95" s="916" t="s">
        <v>760</v>
      </c>
      <c r="D95" s="916"/>
      <c r="E95" s="292">
        <v>0</v>
      </c>
      <c r="G95" s="293">
        <v>15</v>
      </c>
      <c r="H95" s="392"/>
      <c r="I95" s="179"/>
      <c r="J95" s="294">
        <v>15</v>
      </c>
      <c r="K95" s="295">
        <f t="shared" si="10"/>
        <v>100</v>
      </c>
      <c r="L95" s="295">
        <f t="shared" si="4"/>
        <v>0</v>
      </c>
      <c r="M95" s="295">
        <f t="shared" si="4"/>
        <v>0</v>
      </c>
      <c r="N95" s="296">
        <f t="shared" si="11"/>
        <v>100</v>
      </c>
      <c r="O95" s="297">
        <v>53.6</v>
      </c>
      <c r="P95" s="295"/>
      <c r="Q95" s="295"/>
      <c r="R95" s="298">
        <f t="shared" si="9"/>
        <v>53.6</v>
      </c>
      <c r="S95" s="292">
        <v>2</v>
      </c>
      <c r="T95" s="838"/>
      <c r="U95" s="836"/>
      <c r="V95" s="299" t="s">
        <v>556</v>
      </c>
      <c r="W95" s="292" t="s">
        <v>22</v>
      </c>
      <c r="X95" s="292" t="s">
        <v>11</v>
      </c>
      <c r="Y95" s="300">
        <v>48.8</v>
      </c>
      <c r="Z95" s="292" t="s">
        <v>558</v>
      </c>
      <c r="AA95" s="292" t="s">
        <v>94</v>
      </c>
      <c r="AB95" s="292" t="s">
        <v>11</v>
      </c>
      <c r="AC95" s="292">
        <v>4.8</v>
      </c>
      <c r="AD95" s="299"/>
      <c r="AG95" s="300"/>
      <c r="AL95" s="299"/>
      <c r="AO95" s="300"/>
      <c r="AP95" s="299"/>
      <c r="AS95" s="300"/>
      <c r="AW95" s="300"/>
      <c r="BA95" s="301"/>
    </row>
    <row r="96" spans="1:53" s="292" customFormat="1">
      <c r="A96" s="292">
        <v>2003</v>
      </c>
      <c r="B96" s="836"/>
      <c r="C96" s="916" t="s">
        <v>760</v>
      </c>
      <c r="D96" s="916"/>
      <c r="E96" s="292">
        <f>365-E95</f>
        <v>365</v>
      </c>
      <c r="G96" s="293">
        <v>15</v>
      </c>
      <c r="H96" s="392"/>
      <c r="I96" s="179"/>
      <c r="J96" s="294">
        <v>15</v>
      </c>
      <c r="K96" s="295">
        <f t="shared" si="10"/>
        <v>100</v>
      </c>
      <c r="L96" s="295">
        <f t="shared" si="4"/>
        <v>0</v>
      </c>
      <c r="M96" s="295">
        <f t="shared" si="4"/>
        <v>0</v>
      </c>
      <c r="N96" s="296">
        <f t="shared" si="11"/>
        <v>100</v>
      </c>
      <c r="O96" s="297">
        <v>53.6</v>
      </c>
      <c r="P96" s="295"/>
      <c r="Q96" s="295"/>
      <c r="R96" s="298">
        <f t="shared" si="9"/>
        <v>53.6</v>
      </c>
      <c r="S96" s="292">
        <v>2</v>
      </c>
      <c r="T96" s="838"/>
      <c r="U96" s="836"/>
      <c r="V96" s="299" t="s">
        <v>556</v>
      </c>
      <c r="W96" s="292" t="s">
        <v>22</v>
      </c>
      <c r="X96" s="292" t="s">
        <v>11</v>
      </c>
      <c r="Y96" s="300">
        <v>48.8</v>
      </c>
      <c r="Z96" s="292" t="s">
        <v>558</v>
      </c>
      <c r="AA96" s="292" t="s">
        <v>94</v>
      </c>
      <c r="AB96" s="292" t="s">
        <v>11</v>
      </c>
      <c r="AC96" s="292">
        <v>4.8</v>
      </c>
      <c r="AD96" s="299"/>
      <c r="AG96" s="300"/>
      <c r="AL96" s="299"/>
      <c r="AO96" s="300"/>
      <c r="AP96" s="299"/>
      <c r="AS96" s="300"/>
      <c r="AW96" s="300"/>
      <c r="BA96" s="301"/>
    </row>
    <row r="97" spans="1:53" s="292" customFormat="1">
      <c r="A97" s="292">
        <v>2004</v>
      </c>
      <c r="B97" s="836"/>
      <c r="C97" s="916" t="s">
        <v>760</v>
      </c>
      <c r="D97" s="916"/>
      <c r="E97" s="292">
        <v>0</v>
      </c>
      <c r="G97" s="293">
        <v>15</v>
      </c>
      <c r="H97" s="392"/>
      <c r="I97" s="179"/>
      <c r="J97" s="294">
        <v>15</v>
      </c>
      <c r="K97" s="295">
        <f t="shared" si="10"/>
        <v>100</v>
      </c>
      <c r="L97" s="295">
        <f t="shared" si="4"/>
        <v>0</v>
      </c>
      <c r="M97" s="295">
        <f t="shared" si="4"/>
        <v>0</v>
      </c>
      <c r="N97" s="296">
        <f t="shared" si="11"/>
        <v>100</v>
      </c>
      <c r="O97" s="297">
        <v>53.6</v>
      </c>
      <c r="P97" s="295"/>
      <c r="Q97" s="295"/>
      <c r="R97" s="298">
        <f t="shared" si="9"/>
        <v>53.6</v>
      </c>
      <c r="S97" s="292">
        <v>2</v>
      </c>
      <c r="T97" s="838"/>
      <c r="U97" s="836"/>
      <c r="V97" s="299" t="s">
        <v>556</v>
      </c>
      <c r="W97" s="292" t="s">
        <v>22</v>
      </c>
      <c r="X97" s="292" t="s">
        <v>11</v>
      </c>
      <c r="Y97" s="300">
        <v>48.8</v>
      </c>
      <c r="Z97" s="292" t="s">
        <v>558</v>
      </c>
      <c r="AA97" s="292" t="s">
        <v>94</v>
      </c>
      <c r="AB97" s="292" t="s">
        <v>11</v>
      </c>
      <c r="AC97" s="292">
        <v>4.8</v>
      </c>
      <c r="AD97" s="299"/>
      <c r="AG97" s="300"/>
      <c r="AL97" s="299"/>
      <c r="AO97" s="300"/>
      <c r="AP97" s="299"/>
      <c r="AS97" s="300"/>
      <c r="AW97" s="300"/>
      <c r="BA97" s="301"/>
    </row>
    <row r="98" spans="1:53" s="292" customFormat="1">
      <c r="A98" s="292">
        <v>2004</v>
      </c>
      <c r="B98" s="836"/>
      <c r="C98" s="916" t="s">
        <v>760</v>
      </c>
      <c r="D98" s="916"/>
      <c r="E98" s="292">
        <v>366</v>
      </c>
      <c r="G98" s="293">
        <v>15</v>
      </c>
      <c r="H98" s="392"/>
      <c r="I98" s="179"/>
      <c r="J98" s="294">
        <v>15</v>
      </c>
      <c r="K98" s="295">
        <f t="shared" si="10"/>
        <v>100</v>
      </c>
      <c r="L98" s="295">
        <f t="shared" si="4"/>
        <v>0</v>
      </c>
      <c r="M98" s="295">
        <f t="shared" si="4"/>
        <v>0</v>
      </c>
      <c r="N98" s="296">
        <f t="shared" si="11"/>
        <v>100</v>
      </c>
      <c r="O98" s="297">
        <v>53.6</v>
      </c>
      <c r="P98" s="295"/>
      <c r="Q98" s="295"/>
      <c r="R98" s="298">
        <f t="shared" si="9"/>
        <v>53.6</v>
      </c>
      <c r="S98" s="292">
        <v>2</v>
      </c>
      <c r="T98" s="838"/>
      <c r="U98" s="836"/>
      <c r="V98" s="299" t="s">
        <v>556</v>
      </c>
      <c r="W98" s="292" t="s">
        <v>22</v>
      </c>
      <c r="X98" s="292" t="s">
        <v>11</v>
      </c>
      <c r="Y98" s="300">
        <v>48.8</v>
      </c>
      <c r="Z98" s="292" t="s">
        <v>558</v>
      </c>
      <c r="AA98" s="292" t="s">
        <v>94</v>
      </c>
      <c r="AB98" s="292" t="s">
        <v>11</v>
      </c>
      <c r="AC98" s="292">
        <v>4.8</v>
      </c>
      <c r="AD98" s="299"/>
      <c r="AG98" s="300"/>
      <c r="AL98" s="299"/>
      <c r="AO98" s="300"/>
      <c r="AP98" s="299"/>
      <c r="AS98" s="300"/>
      <c r="AW98" s="300"/>
      <c r="BA98" s="301"/>
    </row>
    <row r="99" spans="1:53" s="292" customFormat="1">
      <c r="A99" s="292">
        <v>2005</v>
      </c>
      <c r="B99" s="836"/>
      <c r="C99" s="916" t="s">
        <v>760</v>
      </c>
      <c r="D99" s="916"/>
      <c r="E99" s="292">
        <v>0</v>
      </c>
      <c r="G99" s="293">
        <v>15</v>
      </c>
      <c r="H99" s="392"/>
      <c r="I99" s="179"/>
      <c r="J99" s="294">
        <v>15</v>
      </c>
      <c r="K99" s="295">
        <f t="shared" si="10"/>
        <v>100</v>
      </c>
      <c r="L99" s="295">
        <f t="shared" si="4"/>
        <v>0</v>
      </c>
      <c r="M99" s="295">
        <f t="shared" si="4"/>
        <v>0</v>
      </c>
      <c r="N99" s="296">
        <f t="shared" si="11"/>
        <v>100</v>
      </c>
      <c r="O99" s="297">
        <v>53.6</v>
      </c>
      <c r="P99" s="295"/>
      <c r="Q99" s="295"/>
      <c r="R99" s="298">
        <f t="shared" si="9"/>
        <v>53.6</v>
      </c>
      <c r="S99" s="292">
        <v>2</v>
      </c>
      <c r="T99" s="838"/>
      <c r="U99" s="836"/>
      <c r="V99" s="299" t="s">
        <v>556</v>
      </c>
      <c r="W99" s="292" t="s">
        <v>22</v>
      </c>
      <c r="X99" s="292" t="s">
        <v>11</v>
      </c>
      <c r="Y99" s="300">
        <v>48.8</v>
      </c>
      <c r="Z99" s="292" t="s">
        <v>558</v>
      </c>
      <c r="AA99" s="292" t="s">
        <v>94</v>
      </c>
      <c r="AB99" s="292" t="s">
        <v>11</v>
      </c>
      <c r="AC99" s="292">
        <v>4.8</v>
      </c>
      <c r="AD99" s="299"/>
      <c r="AG99" s="300"/>
      <c r="AL99" s="299"/>
      <c r="AO99" s="300"/>
      <c r="AP99" s="299"/>
      <c r="AS99" s="300"/>
      <c r="AW99" s="300"/>
      <c r="BA99" s="301"/>
    </row>
    <row r="100" spans="1:53" s="292" customFormat="1">
      <c r="A100" s="292">
        <v>2005</v>
      </c>
      <c r="B100" s="836"/>
      <c r="C100" s="916" t="s">
        <v>760</v>
      </c>
      <c r="D100" s="916"/>
      <c r="E100" s="292">
        <f>365-E99</f>
        <v>365</v>
      </c>
      <c r="G100" s="293">
        <v>15</v>
      </c>
      <c r="H100" s="392"/>
      <c r="I100" s="179"/>
      <c r="J100" s="294">
        <v>15</v>
      </c>
      <c r="K100" s="295">
        <f t="shared" si="10"/>
        <v>100</v>
      </c>
      <c r="L100" s="295">
        <f t="shared" si="4"/>
        <v>0</v>
      </c>
      <c r="M100" s="295">
        <f t="shared" si="4"/>
        <v>0</v>
      </c>
      <c r="N100" s="296">
        <f t="shared" si="11"/>
        <v>100</v>
      </c>
      <c r="O100" s="297">
        <v>53.6</v>
      </c>
      <c r="P100" s="295"/>
      <c r="Q100" s="295"/>
      <c r="R100" s="298">
        <f t="shared" si="9"/>
        <v>53.6</v>
      </c>
      <c r="S100" s="292">
        <v>2</v>
      </c>
      <c r="T100" s="838"/>
      <c r="U100" s="836"/>
      <c r="V100" s="299" t="s">
        <v>556</v>
      </c>
      <c r="W100" s="292" t="s">
        <v>22</v>
      </c>
      <c r="X100" s="292" t="s">
        <v>11</v>
      </c>
      <c r="Y100" s="300">
        <v>48.8</v>
      </c>
      <c r="Z100" s="292" t="s">
        <v>558</v>
      </c>
      <c r="AA100" s="292" t="s">
        <v>94</v>
      </c>
      <c r="AB100" s="292" t="s">
        <v>11</v>
      </c>
      <c r="AC100" s="292">
        <v>4.8</v>
      </c>
      <c r="AD100" s="299"/>
      <c r="AG100" s="300"/>
      <c r="AL100" s="299"/>
      <c r="AO100" s="300"/>
      <c r="AP100" s="299"/>
      <c r="AS100" s="300"/>
      <c r="AW100" s="300"/>
      <c r="BA100" s="301"/>
    </row>
    <row r="101" spans="1:53" s="292" customFormat="1">
      <c r="A101" s="292">
        <v>2006</v>
      </c>
      <c r="B101" s="836"/>
      <c r="C101" s="916" t="s">
        <v>760</v>
      </c>
      <c r="D101" s="916"/>
      <c r="E101" s="292">
        <v>0</v>
      </c>
      <c r="G101" s="293">
        <v>15</v>
      </c>
      <c r="H101" s="392"/>
      <c r="I101" s="179"/>
      <c r="J101" s="294">
        <v>15</v>
      </c>
      <c r="K101" s="295">
        <f t="shared" si="10"/>
        <v>100</v>
      </c>
      <c r="L101" s="295">
        <f t="shared" si="4"/>
        <v>0</v>
      </c>
      <c r="M101" s="295">
        <f t="shared" si="4"/>
        <v>0</v>
      </c>
      <c r="N101" s="296">
        <f t="shared" si="11"/>
        <v>100</v>
      </c>
      <c r="O101" s="297">
        <v>53.6</v>
      </c>
      <c r="P101" s="295"/>
      <c r="Q101" s="295"/>
      <c r="R101" s="298">
        <f t="shared" si="9"/>
        <v>53.6</v>
      </c>
      <c r="S101" s="292">
        <v>2</v>
      </c>
      <c r="T101" s="838"/>
      <c r="U101" s="836"/>
      <c r="V101" s="299" t="s">
        <v>556</v>
      </c>
      <c r="W101" s="292" t="s">
        <v>22</v>
      </c>
      <c r="X101" s="292" t="s">
        <v>11</v>
      </c>
      <c r="Y101" s="300">
        <v>48.8</v>
      </c>
      <c r="Z101" s="292" t="s">
        <v>558</v>
      </c>
      <c r="AA101" s="292" t="s">
        <v>94</v>
      </c>
      <c r="AB101" s="292" t="s">
        <v>11</v>
      </c>
      <c r="AC101" s="292">
        <v>4.8</v>
      </c>
      <c r="AD101" s="299"/>
      <c r="AG101" s="300"/>
      <c r="AL101" s="299"/>
      <c r="AO101" s="300"/>
      <c r="AP101" s="299"/>
      <c r="AS101" s="300"/>
      <c r="AW101" s="300"/>
      <c r="BA101" s="301"/>
    </row>
    <row r="102" spans="1:53" s="292" customFormat="1">
      <c r="A102" s="292">
        <v>2006</v>
      </c>
      <c r="B102" s="836"/>
      <c r="C102" s="916" t="s">
        <v>760</v>
      </c>
      <c r="D102" s="916"/>
      <c r="E102" s="292">
        <f>365-E101</f>
        <v>365</v>
      </c>
      <c r="G102" s="293">
        <v>15</v>
      </c>
      <c r="H102" s="392"/>
      <c r="I102" s="179"/>
      <c r="J102" s="294">
        <v>15</v>
      </c>
      <c r="K102" s="295">
        <f t="shared" si="10"/>
        <v>100</v>
      </c>
      <c r="L102" s="295">
        <f t="shared" si="4"/>
        <v>0</v>
      </c>
      <c r="M102" s="295">
        <f t="shared" si="4"/>
        <v>0</v>
      </c>
      <c r="N102" s="296">
        <f t="shared" si="11"/>
        <v>100</v>
      </c>
      <c r="O102" s="297">
        <v>53.6</v>
      </c>
      <c r="P102" s="295"/>
      <c r="Q102" s="295"/>
      <c r="R102" s="298">
        <f t="shared" si="9"/>
        <v>53.6</v>
      </c>
      <c r="S102" s="292">
        <v>2</v>
      </c>
      <c r="T102" s="838"/>
      <c r="U102" s="836"/>
      <c r="V102" s="299" t="s">
        <v>556</v>
      </c>
      <c r="W102" s="292" t="s">
        <v>22</v>
      </c>
      <c r="X102" s="292" t="s">
        <v>11</v>
      </c>
      <c r="Y102" s="300">
        <v>48.8</v>
      </c>
      <c r="Z102" s="292" t="s">
        <v>558</v>
      </c>
      <c r="AA102" s="292" t="s">
        <v>94</v>
      </c>
      <c r="AB102" s="292" t="s">
        <v>11</v>
      </c>
      <c r="AC102" s="292">
        <v>4.8</v>
      </c>
      <c r="AD102" s="299"/>
      <c r="AG102" s="300"/>
      <c r="AL102" s="299"/>
      <c r="AO102" s="300"/>
      <c r="AP102" s="299"/>
      <c r="AS102" s="300"/>
      <c r="AW102" s="300"/>
      <c r="BA102" s="301"/>
    </row>
    <row r="103" spans="1:53" s="292" customFormat="1">
      <c r="A103" s="292">
        <v>2007</v>
      </c>
      <c r="B103" s="836"/>
      <c r="C103" s="916" t="s">
        <v>760</v>
      </c>
      <c r="D103" s="916"/>
      <c r="E103" s="292">
        <v>164</v>
      </c>
      <c r="G103" s="293">
        <v>15</v>
      </c>
      <c r="H103" s="392"/>
      <c r="I103" s="179"/>
      <c r="J103" s="294">
        <v>15</v>
      </c>
      <c r="K103" s="295">
        <f t="shared" si="10"/>
        <v>100</v>
      </c>
      <c r="L103" s="295">
        <f t="shared" si="4"/>
        <v>0</v>
      </c>
      <c r="M103" s="295">
        <f t="shared" si="4"/>
        <v>0</v>
      </c>
      <c r="N103" s="296">
        <f t="shared" si="11"/>
        <v>100</v>
      </c>
      <c r="O103" s="297">
        <v>53.6</v>
      </c>
      <c r="P103" s="295"/>
      <c r="Q103" s="295"/>
      <c r="R103" s="298">
        <f t="shared" si="9"/>
        <v>53.6</v>
      </c>
      <c r="S103" s="292">
        <v>2</v>
      </c>
      <c r="T103" s="838"/>
      <c r="U103" s="836"/>
      <c r="V103" s="299" t="s">
        <v>556</v>
      </c>
      <c r="W103" s="292" t="s">
        <v>22</v>
      </c>
      <c r="X103" s="292" t="s">
        <v>11</v>
      </c>
      <c r="Y103" s="300">
        <v>48.8</v>
      </c>
      <c r="Z103" s="292" t="s">
        <v>558</v>
      </c>
      <c r="AA103" s="292" t="s">
        <v>94</v>
      </c>
      <c r="AB103" s="292" t="s">
        <v>11</v>
      </c>
      <c r="AC103" s="292">
        <v>4.8</v>
      </c>
      <c r="AD103" s="299"/>
      <c r="AG103" s="300"/>
      <c r="AL103" s="299"/>
      <c r="AO103" s="300"/>
      <c r="AP103" s="299"/>
      <c r="AS103" s="300"/>
      <c r="AW103" s="300"/>
      <c r="BA103" s="301"/>
    </row>
    <row r="104" spans="1:53" s="73" customFormat="1">
      <c r="A104" s="73">
        <v>2007</v>
      </c>
      <c r="B104" s="852">
        <v>39247</v>
      </c>
      <c r="C104" s="917" t="s">
        <v>761</v>
      </c>
      <c r="D104" s="917"/>
      <c r="E104" s="73">
        <v>201</v>
      </c>
      <c r="F104" s="73">
        <v>1</v>
      </c>
      <c r="G104" s="74">
        <v>13</v>
      </c>
      <c r="H104" s="161"/>
      <c r="I104" s="75">
        <v>2</v>
      </c>
      <c r="J104" s="76">
        <v>15</v>
      </c>
      <c r="K104" s="77">
        <f t="shared" si="10"/>
        <v>86.666666666666671</v>
      </c>
      <c r="L104" s="77">
        <f t="shared" si="4"/>
        <v>0</v>
      </c>
      <c r="M104" s="77">
        <f t="shared" si="4"/>
        <v>13.333333333333334</v>
      </c>
      <c r="N104" s="78">
        <f t="shared" si="11"/>
        <v>100</v>
      </c>
      <c r="O104" s="79">
        <v>48.2</v>
      </c>
      <c r="P104" s="77"/>
      <c r="Q104" s="77">
        <v>3.6</v>
      </c>
      <c r="R104" s="80">
        <f t="shared" si="9"/>
        <v>51.800000000000004</v>
      </c>
      <c r="S104" s="73">
        <v>3</v>
      </c>
      <c r="T104" s="839">
        <v>39226</v>
      </c>
      <c r="U104" s="852">
        <v>39247</v>
      </c>
      <c r="V104" s="82" t="s">
        <v>556</v>
      </c>
      <c r="W104" s="73" t="s">
        <v>22</v>
      </c>
      <c r="X104" s="73" t="s">
        <v>11</v>
      </c>
      <c r="Y104" s="83">
        <v>47</v>
      </c>
      <c r="Z104" s="73" t="s">
        <v>560</v>
      </c>
      <c r="AA104" s="73" t="s">
        <v>218</v>
      </c>
      <c r="AB104" s="73" t="s">
        <v>12</v>
      </c>
      <c r="AC104" s="73">
        <v>3.6</v>
      </c>
      <c r="AD104" s="82" t="s">
        <v>558</v>
      </c>
      <c r="AE104" s="73" t="s">
        <v>94</v>
      </c>
      <c r="AF104" s="73" t="s">
        <v>11</v>
      </c>
      <c r="AG104" s="83">
        <v>1.2</v>
      </c>
      <c r="AL104" s="82"/>
      <c r="AO104" s="83"/>
      <c r="AP104" s="82"/>
      <c r="AS104" s="83"/>
      <c r="AW104" s="83"/>
      <c r="BA104" s="84"/>
    </row>
    <row r="105" spans="1:53" s="73" customFormat="1">
      <c r="A105" s="73">
        <v>2008</v>
      </c>
      <c r="B105" s="852"/>
      <c r="C105" s="917" t="s">
        <v>761</v>
      </c>
      <c r="D105" s="917"/>
      <c r="E105" s="73">
        <v>188</v>
      </c>
      <c r="G105" s="74">
        <v>13</v>
      </c>
      <c r="H105" s="161"/>
      <c r="I105" s="75">
        <v>2</v>
      </c>
      <c r="J105" s="76">
        <v>15</v>
      </c>
      <c r="K105" s="77">
        <f t="shared" si="10"/>
        <v>86.666666666666671</v>
      </c>
      <c r="L105" s="77">
        <f t="shared" si="4"/>
        <v>0</v>
      </c>
      <c r="M105" s="77">
        <f t="shared" si="4"/>
        <v>13.333333333333334</v>
      </c>
      <c r="N105" s="78">
        <f t="shared" si="11"/>
        <v>100</v>
      </c>
      <c r="O105" s="79">
        <v>48.2</v>
      </c>
      <c r="P105" s="77"/>
      <c r="Q105" s="77">
        <v>3.6</v>
      </c>
      <c r="R105" s="80">
        <f t="shared" si="9"/>
        <v>51.800000000000004</v>
      </c>
      <c r="S105" s="73">
        <v>3</v>
      </c>
      <c r="T105" s="839"/>
      <c r="U105" s="852"/>
      <c r="V105" s="82" t="s">
        <v>556</v>
      </c>
      <c r="W105" s="73" t="s">
        <v>22</v>
      </c>
      <c r="X105" s="73" t="s">
        <v>11</v>
      </c>
      <c r="Y105" s="83">
        <v>47</v>
      </c>
      <c r="Z105" s="73" t="s">
        <v>560</v>
      </c>
      <c r="AA105" s="73" t="s">
        <v>218</v>
      </c>
      <c r="AB105" s="73" t="s">
        <v>12</v>
      </c>
      <c r="AC105" s="73">
        <v>3.6</v>
      </c>
      <c r="AD105" s="82" t="s">
        <v>558</v>
      </c>
      <c r="AE105" s="73" t="s">
        <v>94</v>
      </c>
      <c r="AF105" s="73" t="s">
        <v>11</v>
      </c>
      <c r="AG105" s="83">
        <v>1.2</v>
      </c>
      <c r="AL105" s="82"/>
      <c r="AO105" s="83"/>
      <c r="AP105" s="82"/>
      <c r="AS105" s="83"/>
      <c r="AW105" s="83"/>
      <c r="BA105" s="84"/>
    </row>
    <row r="106" spans="1:53" s="292" customFormat="1">
      <c r="A106" s="292">
        <v>2008</v>
      </c>
      <c r="B106" s="836">
        <v>39636</v>
      </c>
      <c r="C106" s="916" t="s">
        <v>291</v>
      </c>
      <c r="D106" s="916"/>
      <c r="E106" s="292">
        <f>366-E105</f>
        <v>178</v>
      </c>
      <c r="F106" s="292">
        <v>2</v>
      </c>
      <c r="G106" s="293">
        <v>13</v>
      </c>
      <c r="H106" s="392"/>
      <c r="I106" s="179">
        <v>2</v>
      </c>
      <c r="J106" s="294">
        <v>15</v>
      </c>
      <c r="K106" s="295">
        <f t="shared" si="10"/>
        <v>86.666666666666671</v>
      </c>
      <c r="L106" s="295">
        <f t="shared" si="4"/>
        <v>0</v>
      </c>
      <c r="M106" s="295">
        <f t="shared" si="4"/>
        <v>13.333333333333334</v>
      </c>
      <c r="N106" s="296">
        <f t="shared" si="11"/>
        <v>100</v>
      </c>
      <c r="O106" s="297">
        <v>48.2</v>
      </c>
      <c r="P106" s="295"/>
      <c r="Q106" s="295">
        <v>3.6</v>
      </c>
      <c r="R106" s="298">
        <f t="shared" si="9"/>
        <v>51.800000000000004</v>
      </c>
      <c r="S106" s="292">
        <v>3</v>
      </c>
      <c r="T106" s="838"/>
      <c r="U106" s="836">
        <v>39636</v>
      </c>
      <c r="V106" s="299" t="s">
        <v>556</v>
      </c>
      <c r="W106" s="292" t="s">
        <v>22</v>
      </c>
      <c r="X106" s="292" t="s">
        <v>11</v>
      </c>
      <c r="Y106" s="300">
        <v>47</v>
      </c>
      <c r="Z106" s="292" t="s">
        <v>560</v>
      </c>
      <c r="AA106" s="292" t="s">
        <v>218</v>
      </c>
      <c r="AB106" s="292" t="s">
        <v>12</v>
      </c>
      <c r="AC106" s="292">
        <v>3.6</v>
      </c>
      <c r="AD106" s="299" t="s">
        <v>558</v>
      </c>
      <c r="AE106" s="292" t="s">
        <v>94</v>
      </c>
      <c r="AF106" s="292" t="s">
        <v>11</v>
      </c>
      <c r="AG106" s="300">
        <v>1.2</v>
      </c>
      <c r="AL106" s="299"/>
      <c r="AO106" s="300"/>
      <c r="AP106" s="299"/>
      <c r="AS106" s="300"/>
      <c r="AW106" s="300"/>
      <c r="BA106" s="301"/>
    </row>
    <row r="107" spans="1:53" s="292" customFormat="1">
      <c r="A107" s="292">
        <v>2009</v>
      </c>
      <c r="B107" s="836"/>
      <c r="C107" s="916" t="s">
        <v>291</v>
      </c>
      <c r="D107" s="916"/>
      <c r="E107" s="292">
        <v>344</v>
      </c>
      <c r="G107" s="293">
        <v>13</v>
      </c>
      <c r="H107" s="392"/>
      <c r="I107" s="179">
        <v>2</v>
      </c>
      <c r="J107" s="294">
        <v>15</v>
      </c>
      <c r="K107" s="295">
        <f t="shared" si="10"/>
        <v>86.666666666666671</v>
      </c>
      <c r="L107" s="295">
        <f t="shared" si="4"/>
        <v>0</v>
      </c>
      <c r="M107" s="295">
        <f t="shared" si="4"/>
        <v>13.333333333333334</v>
      </c>
      <c r="N107" s="296">
        <f t="shared" si="11"/>
        <v>100</v>
      </c>
      <c r="O107" s="297">
        <v>48.2</v>
      </c>
      <c r="P107" s="295"/>
      <c r="Q107" s="295">
        <v>3.6</v>
      </c>
      <c r="R107" s="298">
        <f t="shared" si="9"/>
        <v>51.800000000000004</v>
      </c>
      <c r="S107" s="292">
        <v>3</v>
      </c>
      <c r="T107" s="838"/>
      <c r="U107" s="836"/>
      <c r="V107" s="299" t="s">
        <v>556</v>
      </c>
      <c r="W107" s="292" t="s">
        <v>22</v>
      </c>
      <c r="X107" s="292" t="s">
        <v>11</v>
      </c>
      <c r="Y107" s="300">
        <v>47</v>
      </c>
      <c r="Z107" s="292" t="s">
        <v>560</v>
      </c>
      <c r="AA107" s="292" t="s">
        <v>218</v>
      </c>
      <c r="AB107" s="292" t="s">
        <v>12</v>
      </c>
      <c r="AC107" s="292">
        <v>3.6</v>
      </c>
      <c r="AD107" s="299" t="s">
        <v>558</v>
      </c>
      <c r="AE107" s="292" t="s">
        <v>94</v>
      </c>
      <c r="AF107" s="292" t="s">
        <v>11</v>
      </c>
      <c r="AG107" s="300">
        <v>1.2</v>
      </c>
      <c r="AL107" s="299"/>
      <c r="AO107" s="300"/>
      <c r="AP107" s="299"/>
      <c r="AS107" s="300"/>
      <c r="AW107" s="300"/>
      <c r="BA107" s="301"/>
    </row>
    <row r="108" spans="1:53" s="73" customFormat="1">
      <c r="A108" s="73">
        <v>2009</v>
      </c>
      <c r="B108" s="852">
        <v>40158</v>
      </c>
      <c r="C108" s="917" t="s">
        <v>762</v>
      </c>
      <c r="D108" s="917"/>
      <c r="E108" s="73">
        <v>21</v>
      </c>
      <c r="F108" s="73">
        <v>4</v>
      </c>
      <c r="G108" s="74">
        <v>12</v>
      </c>
      <c r="H108" s="161"/>
      <c r="I108" s="75">
        <v>2</v>
      </c>
      <c r="J108" s="76">
        <v>15</v>
      </c>
      <c r="K108" s="77">
        <f t="shared" si="10"/>
        <v>80</v>
      </c>
      <c r="L108" s="77">
        <f t="shared" si="4"/>
        <v>0</v>
      </c>
      <c r="M108" s="77">
        <f t="shared" si="4"/>
        <v>13.333333333333334</v>
      </c>
      <c r="N108" s="78">
        <f t="shared" si="11"/>
        <v>93.333333333333329</v>
      </c>
      <c r="O108" s="79">
        <v>47</v>
      </c>
      <c r="P108" s="77"/>
      <c r="Q108" s="77">
        <v>3.6</v>
      </c>
      <c r="R108" s="80">
        <f t="shared" si="9"/>
        <v>50.6</v>
      </c>
      <c r="S108" s="73">
        <v>2</v>
      </c>
      <c r="T108" s="839"/>
      <c r="U108" s="852">
        <v>40158</v>
      </c>
      <c r="V108" s="82" t="s">
        <v>556</v>
      </c>
      <c r="W108" s="73" t="s">
        <v>22</v>
      </c>
      <c r="X108" s="73" t="s">
        <v>11</v>
      </c>
      <c r="Y108" s="83">
        <v>47</v>
      </c>
      <c r="Z108" s="73" t="s">
        <v>560</v>
      </c>
      <c r="AA108" s="73" t="s">
        <v>218</v>
      </c>
      <c r="AB108" s="73" t="s">
        <v>12</v>
      </c>
      <c r="AC108" s="73">
        <v>3.6</v>
      </c>
      <c r="AD108" s="82"/>
      <c r="AG108" s="83"/>
      <c r="AL108" s="82"/>
      <c r="AO108" s="83"/>
      <c r="AP108" s="82"/>
      <c r="AS108" s="83"/>
      <c r="AW108" s="83"/>
      <c r="BA108" s="84"/>
    </row>
    <row r="109" spans="1:53" s="73" customFormat="1">
      <c r="A109" s="73">
        <v>2010</v>
      </c>
      <c r="B109" s="852"/>
      <c r="C109" s="917" t="s">
        <v>762</v>
      </c>
      <c r="D109" s="917"/>
      <c r="E109" s="73">
        <v>0</v>
      </c>
      <c r="G109" s="74">
        <v>12</v>
      </c>
      <c r="H109" s="161"/>
      <c r="I109" s="75">
        <v>2</v>
      </c>
      <c r="J109" s="76">
        <v>15</v>
      </c>
      <c r="K109" s="77">
        <f t="shared" si="10"/>
        <v>80</v>
      </c>
      <c r="L109" s="77">
        <f t="shared" si="4"/>
        <v>0</v>
      </c>
      <c r="M109" s="77">
        <f t="shared" si="4"/>
        <v>13.333333333333334</v>
      </c>
      <c r="N109" s="78">
        <f t="shared" si="11"/>
        <v>93.333333333333329</v>
      </c>
      <c r="O109" s="79">
        <v>47</v>
      </c>
      <c r="P109" s="77"/>
      <c r="Q109" s="77">
        <v>3.6</v>
      </c>
      <c r="R109" s="80">
        <f t="shared" si="9"/>
        <v>50.6</v>
      </c>
      <c r="S109" s="73">
        <v>2</v>
      </c>
      <c r="T109" s="839"/>
      <c r="U109" s="852"/>
      <c r="V109" s="82" t="s">
        <v>556</v>
      </c>
      <c r="W109" s="73" t="s">
        <v>22</v>
      </c>
      <c r="X109" s="73" t="s">
        <v>11</v>
      </c>
      <c r="Y109" s="83">
        <v>47</v>
      </c>
      <c r="Z109" s="73" t="s">
        <v>560</v>
      </c>
      <c r="AA109" s="73" t="s">
        <v>218</v>
      </c>
      <c r="AB109" s="73" t="s">
        <v>12</v>
      </c>
      <c r="AC109" s="73">
        <v>3.6</v>
      </c>
      <c r="AD109" s="82"/>
      <c r="AG109" s="83"/>
      <c r="AL109" s="82"/>
      <c r="AO109" s="83"/>
      <c r="AP109" s="82"/>
      <c r="AS109" s="83"/>
      <c r="AW109" s="83"/>
      <c r="BA109" s="84"/>
    </row>
    <row r="110" spans="1:53" s="73" customFormat="1">
      <c r="A110" s="73">
        <v>2010</v>
      </c>
      <c r="B110" s="852"/>
      <c r="C110" s="917" t="s">
        <v>762</v>
      </c>
      <c r="D110" s="917"/>
      <c r="E110" s="73">
        <v>365</v>
      </c>
      <c r="G110" s="74">
        <v>12</v>
      </c>
      <c r="H110" s="161"/>
      <c r="I110" s="75">
        <v>2</v>
      </c>
      <c r="J110" s="76">
        <v>15</v>
      </c>
      <c r="K110" s="77">
        <f t="shared" si="10"/>
        <v>80</v>
      </c>
      <c r="L110" s="77">
        <f t="shared" si="10"/>
        <v>0</v>
      </c>
      <c r="M110" s="77">
        <f t="shared" si="10"/>
        <v>13.333333333333334</v>
      </c>
      <c r="N110" s="78">
        <f t="shared" si="11"/>
        <v>93.333333333333329</v>
      </c>
      <c r="O110" s="79">
        <v>47</v>
      </c>
      <c r="P110" s="77"/>
      <c r="Q110" s="77">
        <v>3.6</v>
      </c>
      <c r="R110" s="80">
        <f t="shared" si="9"/>
        <v>50.6</v>
      </c>
      <c r="S110" s="73">
        <v>2</v>
      </c>
      <c r="T110" s="839"/>
      <c r="U110" s="852"/>
      <c r="V110" s="82" t="s">
        <v>556</v>
      </c>
      <c r="W110" s="73" t="s">
        <v>22</v>
      </c>
      <c r="X110" s="73" t="s">
        <v>11</v>
      </c>
      <c r="Y110" s="83">
        <v>47</v>
      </c>
      <c r="Z110" s="73" t="s">
        <v>560</v>
      </c>
      <c r="AA110" s="73" t="s">
        <v>218</v>
      </c>
      <c r="AB110" s="73" t="s">
        <v>12</v>
      </c>
      <c r="AC110" s="73">
        <v>3.6</v>
      </c>
      <c r="AD110" s="82"/>
      <c r="AG110" s="83"/>
      <c r="AL110" s="82"/>
      <c r="AO110" s="83"/>
      <c r="AP110" s="82"/>
      <c r="AS110" s="83"/>
      <c r="AW110" s="83"/>
      <c r="BA110" s="84"/>
    </row>
    <row r="111" spans="1:53" s="73" customFormat="1">
      <c r="A111" s="73">
        <v>2011</v>
      </c>
      <c r="B111" s="852"/>
      <c r="C111" s="917" t="s">
        <v>762</v>
      </c>
      <c r="D111" s="917"/>
      <c r="E111" s="73">
        <v>18</v>
      </c>
      <c r="G111" s="74">
        <v>12</v>
      </c>
      <c r="H111" s="161"/>
      <c r="I111" s="75">
        <v>2</v>
      </c>
      <c r="J111" s="76">
        <v>15</v>
      </c>
      <c r="K111" s="77">
        <f t="shared" si="10"/>
        <v>80</v>
      </c>
      <c r="L111" s="77">
        <f t="shared" si="10"/>
        <v>0</v>
      </c>
      <c r="M111" s="77">
        <f t="shared" si="10"/>
        <v>13.333333333333334</v>
      </c>
      <c r="N111" s="78">
        <f t="shared" si="11"/>
        <v>93.333333333333329</v>
      </c>
      <c r="O111" s="79">
        <v>47</v>
      </c>
      <c r="P111" s="77"/>
      <c r="Q111" s="77">
        <v>3.6</v>
      </c>
      <c r="R111" s="80">
        <f t="shared" si="9"/>
        <v>50.6</v>
      </c>
      <c r="S111" s="73">
        <v>2</v>
      </c>
      <c r="T111" s="839"/>
      <c r="U111" s="852"/>
      <c r="V111" s="82" t="s">
        <v>556</v>
      </c>
      <c r="W111" s="73" t="s">
        <v>22</v>
      </c>
      <c r="X111" s="73" t="s">
        <v>11</v>
      </c>
      <c r="Y111" s="83">
        <v>47</v>
      </c>
      <c r="Z111" s="73" t="s">
        <v>560</v>
      </c>
      <c r="AA111" s="73" t="s">
        <v>218</v>
      </c>
      <c r="AB111" s="73" t="s">
        <v>12</v>
      </c>
      <c r="AC111" s="73">
        <v>3.6</v>
      </c>
      <c r="AD111" s="82"/>
      <c r="AG111" s="83"/>
      <c r="AL111" s="82"/>
      <c r="AO111" s="83"/>
      <c r="AP111" s="82"/>
      <c r="AS111" s="83"/>
      <c r="AW111" s="83"/>
      <c r="BA111" s="84"/>
    </row>
    <row r="112" spans="1:53" s="73" customFormat="1">
      <c r="A112" s="73">
        <v>2011</v>
      </c>
      <c r="B112" s="860">
        <v>40562</v>
      </c>
      <c r="C112" s="917" t="s">
        <v>762</v>
      </c>
      <c r="D112" s="917"/>
      <c r="E112" s="73">
        <v>1</v>
      </c>
      <c r="F112" s="139">
        <v>0</v>
      </c>
      <c r="G112" s="74">
        <v>11</v>
      </c>
      <c r="H112" s="161"/>
      <c r="I112" s="75">
        <v>2</v>
      </c>
      <c r="J112" s="76">
        <v>14</v>
      </c>
      <c r="K112" s="77">
        <f t="shared" si="10"/>
        <v>78.571428571428569</v>
      </c>
      <c r="L112" s="77">
        <f t="shared" si="10"/>
        <v>0</v>
      </c>
      <c r="M112" s="77">
        <f t="shared" si="10"/>
        <v>14.285714285714285</v>
      </c>
      <c r="N112" s="78">
        <f t="shared" si="11"/>
        <v>92.857142857142861</v>
      </c>
      <c r="O112" s="79">
        <v>47</v>
      </c>
      <c r="P112" s="77"/>
      <c r="Q112" s="77">
        <v>3.6</v>
      </c>
      <c r="R112" s="80">
        <f t="shared" si="9"/>
        <v>50.6</v>
      </c>
      <c r="S112" s="73">
        <v>2</v>
      </c>
      <c r="T112" s="839"/>
      <c r="U112" s="852"/>
      <c r="V112" s="82" t="s">
        <v>556</v>
      </c>
      <c r="W112" s="73" t="s">
        <v>22</v>
      </c>
      <c r="X112" s="73" t="s">
        <v>11</v>
      </c>
      <c r="Y112" s="83">
        <v>47</v>
      </c>
      <c r="Z112" s="73" t="s">
        <v>560</v>
      </c>
      <c r="AA112" s="73" t="s">
        <v>218</v>
      </c>
      <c r="AB112" s="73" t="s">
        <v>12</v>
      </c>
      <c r="AC112" s="73">
        <v>3.6</v>
      </c>
      <c r="AD112" s="82"/>
      <c r="AG112" s="83"/>
      <c r="AL112" s="82"/>
      <c r="AO112" s="83"/>
      <c r="AP112" s="82"/>
      <c r="AS112" s="83"/>
      <c r="AW112" s="83"/>
      <c r="BA112" s="84"/>
    </row>
    <row r="113" spans="1:53" s="73" customFormat="1">
      <c r="A113" s="73">
        <v>2011</v>
      </c>
      <c r="B113" s="860">
        <v>40563</v>
      </c>
      <c r="C113" s="917" t="s">
        <v>762</v>
      </c>
      <c r="D113" s="917"/>
      <c r="E113" s="73">
        <v>3</v>
      </c>
      <c r="F113" s="139">
        <v>0</v>
      </c>
      <c r="G113" s="74">
        <v>7</v>
      </c>
      <c r="H113" s="161"/>
      <c r="I113" s="75">
        <v>2</v>
      </c>
      <c r="J113" s="76">
        <v>9</v>
      </c>
      <c r="K113" s="77">
        <f t="shared" si="10"/>
        <v>77.777777777777786</v>
      </c>
      <c r="L113" s="77">
        <f t="shared" si="10"/>
        <v>0</v>
      </c>
      <c r="M113" s="77">
        <f t="shared" si="10"/>
        <v>22.222222222222221</v>
      </c>
      <c r="N113" s="78">
        <f t="shared" si="11"/>
        <v>100</v>
      </c>
      <c r="O113" s="79">
        <v>47</v>
      </c>
      <c r="P113" s="77"/>
      <c r="Q113" s="77">
        <v>3.6</v>
      </c>
      <c r="R113" s="80">
        <f t="shared" si="9"/>
        <v>50.6</v>
      </c>
      <c r="S113" s="73">
        <v>2</v>
      </c>
      <c r="T113" s="839"/>
      <c r="U113" s="852"/>
      <c r="V113" s="82" t="s">
        <v>556</v>
      </c>
      <c r="W113" s="73" t="s">
        <v>22</v>
      </c>
      <c r="X113" s="73" t="s">
        <v>11</v>
      </c>
      <c r="Y113" s="83">
        <v>47</v>
      </c>
      <c r="Z113" s="73" t="s">
        <v>560</v>
      </c>
      <c r="AA113" s="73" t="s">
        <v>218</v>
      </c>
      <c r="AB113" s="73" t="s">
        <v>12</v>
      </c>
      <c r="AC113" s="73">
        <v>3.6</v>
      </c>
      <c r="AD113" s="82"/>
      <c r="AG113" s="83"/>
      <c r="AL113" s="82"/>
      <c r="AO113" s="83"/>
      <c r="AP113" s="82"/>
      <c r="AS113" s="83"/>
      <c r="AW113" s="83"/>
      <c r="BA113" s="84"/>
    </row>
    <row r="114" spans="1:53" s="292" customFormat="1">
      <c r="A114" s="292">
        <v>2011</v>
      </c>
      <c r="B114" s="836">
        <v>40566</v>
      </c>
      <c r="C114" s="916" t="s">
        <v>763</v>
      </c>
      <c r="D114" s="916"/>
      <c r="E114" s="292">
        <f>365-E111-E112-E113-E115</f>
        <v>45</v>
      </c>
      <c r="F114" s="292">
        <v>4</v>
      </c>
      <c r="G114" s="293">
        <v>7</v>
      </c>
      <c r="H114" s="392"/>
      <c r="I114" s="179"/>
      <c r="J114" s="294">
        <v>7</v>
      </c>
      <c r="K114" s="295">
        <f t="shared" si="10"/>
        <v>100</v>
      </c>
      <c r="L114" s="295">
        <f t="shared" si="10"/>
        <v>0</v>
      </c>
      <c r="M114" s="295">
        <f t="shared" si="10"/>
        <v>0</v>
      </c>
      <c r="N114" s="296">
        <f t="shared" si="11"/>
        <v>100</v>
      </c>
      <c r="O114" s="297">
        <v>47</v>
      </c>
      <c r="P114" s="295"/>
      <c r="Q114" s="295"/>
      <c r="R114" s="298">
        <f t="shared" si="9"/>
        <v>47</v>
      </c>
      <c r="S114" s="292">
        <v>4</v>
      </c>
      <c r="T114" s="838"/>
      <c r="U114" s="836">
        <v>40566</v>
      </c>
      <c r="V114" s="299" t="s">
        <v>556</v>
      </c>
      <c r="W114" s="292" t="s">
        <v>22</v>
      </c>
      <c r="X114" s="292" t="s">
        <v>11</v>
      </c>
      <c r="Y114" s="300">
        <v>47</v>
      </c>
      <c r="AD114" s="299"/>
      <c r="AG114" s="300"/>
      <c r="AL114" s="299"/>
      <c r="AO114" s="300"/>
      <c r="AP114" s="299"/>
      <c r="AS114" s="300"/>
      <c r="AW114" s="300"/>
      <c r="BA114" s="301"/>
    </row>
    <row r="115" spans="1:53" s="73" customFormat="1">
      <c r="A115" s="73">
        <v>2011</v>
      </c>
      <c r="B115" s="852">
        <v>40611</v>
      </c>
      <c r="C115" s="917" t="s">
        <v>292</v>
      </c>
      <c r="D115" s="917"/>
      <c r="E115" s="73">
        <v>298</v>
      </c>
      <c r="F115" s="73">
        <v>1</v>
      </c>
      <c r="G115" s="74"/>
      <c r="H115" s="161">
        <v>10</v>
      </c>
      <c r="I115" s="75">
        <v>5</v>
      </c>
      <c r="J115" s="76">
        <v>15</v>
      </c>
      <c r="K115" s="77">
        <f t="shared" si="10"/>
        <v>0</v>
      </c>
      <c r="L115" s="77">
        <f t="shared" si="10"/>
        <v>66.666666666666657</v>
      </c>
      <c r="M115" s="77">
        <f t="shared" si="10"/>
        <v>33.333333333333329</v>
      </c>
      <c r="N115" s="78">
        <f t="shared" si="11"/>
        <v>99.999999999999986</v>
      </c>
      <c r="O115" s="79"/>
      <c r="P115" s="77">
        <v>45.8</v>
      </c>
      <c r="Q115" s="77">
        <v>22.3</v>
      </c>
      <c r="R115" s="80">
        <f t="shared" si="9"/>
        <v>68.099999999999994</v>
      </c>
      <c r="S115" s="73">
        <v>2</v>
      </c>
      <c r="T115" s="839">
        <v>40599</v>
      </c>
      <c r="U115" s="852">
        <v>40611</v>
      </c>
      <c r="V115" s="82" t="s">
        <v>557</v>
      </c>
      <c r="W115" s="73" t="s">
        <v>17</v>
      </c>
      <c r="X115" s="73" t="s">
        <v>18</v>
      </c>
      <c r="Y115" s="83">
        <v>45.8</v>
      </c>
      <c r="Z115" s="73" t="s">
        <v>454</v>
      </c>
      <c r="AA115" s="73" t="s">
        <v>20</v>
      </c>
      <c r="AB115" s="73" t="s">
        <v>12</v>
      </c>
      <c r="AC115" s="73">
        <v>22.3</v>
      </c>
      <c r="AD115" s="82"/>
      <c r="AG115" s="83"/>
      <c r="AL115" s="82"/>
      <c r="AO115" s="83"/>
      <c r="AP115" s="82"/>
      <c r="AS115" s="83"/>
      <c r="AW115" s="83"/>
      <c r="BA115" s="84"/>
    </row>
    <row r="116" spans="1:53" s="73" customFormat="1">
      <c r="A116" s="73">
        <v>2012</v>
      </c>
      <c r="B116" s="852"/>
      <c r="C116" s="917" t="s">
        <v>292</v>
      </c>
      <c r="D116" s="917"/>
      <c r="E116" s="73">
        <v>0</v>
      </c>
      <c r="G116" s="74"/>
      <c r="H116" s="161">
        <v>10</v>
      </c>
      <c r="I116" s="75">
        <v>5</v>
      </c>
      <c r="J116" s="76">
        <v>15</v>
      </c>
      <c r="K116" s="77">
        <f t="shared" si="10"/>
        <v>0</v>
      </c>
      <c r="L116" s="77">
        <f t="shared" si="10"/>
        <v>66.666666666666657</v>
      </c>
      <c r="M116" s="77">
        <f t="shared" si="10"/>
        <v>33.333333333333329</v>
      </c>
      <c r="N116" s="78">
        <f t="shared" si="11"/>
        <v>99.999999999999986</v>
      </c>
      <c r="O116" s="79"/>
      <c r="P116" s="77">
        <v>45.8</v>
      </c>
      <c r="Q116" s="77">
        <v>22.3</v>
      </c>
      <c r="R116" s="80">
        <f t="shared" si="9"/>
        <v>68.099999999999994</v>
      </c>
      <c r="S116" s="73">
        <v>2</v>
      </c>
      <c r="T116" s="839"/>
      <c r="U116" s="852"/>
      <c r="V116" s="82" t="s">
        <v>557</v>
      </c>
      <c r="W116" s="73" t="s">
        <v>17</v>
      </c>
      <c r="X116" s="73" t="s">
        <v>18</v>
      </c>
      <c r="Y116" s="83">
        <v>45.8</v>
      </c>
      <c r="Z116" s="73" t="s">
        <v>454</v>
      </c>
      <c r="AA116" s="73" t="s">
        <v>20</v>
      </c>
      <c r="AB116" s="73" t="s">
        <v>12</v>
      </c>
      <c r="AC116" s="73">
        <v>22.3</v>
      </c>
      <c r="AD116" s="82"/>
      <c r="AG116" s="83"/>
      <c r="AL116" s="82"/>
      <c r="AO116" s="83"/>
      <c r="AP116" s="82"/>
      <c r="AS116" s="83"/>
      <c r="AW116" s="83"/>
      <c r="BA116" s="84"/>
    </row>
    <row r="117" spans="1:53" s="268" customFormat="1">
      <c r="A117" s="268">
        <v>2012</v>
      </c>
      <c r="B117" s="852"/>
      <c r="C117" s="917" t="s">
        <v>292</v>
      </c>
      <c r="D117" s="917"/>
      <c r="E117" s="268">
        <v>366</v>
      </c>
      <c r="G117" s="74"/>
      <c r="H117" s="161">
        <v>10</v>
      </c>
      <c r="I117" s="75">
        <v>5</v>
      </c>
      <c r="J117" s="76">
        <v>15</v>
      </c>
      <c r="K117" s="77">
        <f t="shared" si="10"/>
        <v>0</v>
      </c>
      <c r="L117" s="77">
        <f t="shared" si="10"/>
        <v>66.666666666666657</v>
      </c>
      <c r="M117" s="77">
        <f t="shared" si="10"/>
        <v>33.333333333333329</v>
      </c>
      <c r="N117" s="78">
        <f t="shared" si="11"/>
        <v>99.999999999999986</v>
      </c>
      <c r="O117" s="79"/>
      <c r="P117" s="77">
        <v>45.8</v>
      </c>
      <c r="Q117" s="77">
        <v>22.3</v>
      </c>
      <c r="R117" s="80">
        <f t="shared" si="9"/>
        <v>68.099999999999994</v>
      </c>
      <c r="S117" s="268">
        <v>2</v>
      </c>
      <c r="T117" s="839"/>
      <c r="U117" s="852"/>
      <c r="V117" s="82" t="s">
        <v>557</v>
      </c>
      <c r="W117" s="268" t="s">
        <v>17</v>
      </c>
      <c r="X117" s="268" t="s">
        <v>18</v>
      </c>
      <c r="Y117" s="83">
        <v>45.8</v>
      </c>
      <c r="Z117" s="268" t="s">
        <v>454</v>
      </c>
      <c r="AA117" s="268" t="s">
        <v>20</v>
      </c>
      <c r="AB117" s="268" t="s">
        <v>12</v>
      </c>
      <c r="AC117" s="268">
        <v>22.3</v>
      </c>
      <c r="AD117" s="82"/>
      <c r="AG117" s="83"/>
      <c r="AL117" s="82"/>
      <c r="AO117" s="83"/>
      <c r="AP117" s="82"/>
      <c r="AS117" s="83"/>
      <c r="AW117" s="83"/>
      <c r="BA117" s="84"/>
    </row>
    <row r="118" spans="1:53" s="268" customFormat="1">
      <c r="A118" s="268">
        <v>2013</v>
      </c>
      <c r="B118" s="852"/>
      <c r="C118" s="917" t="s">
        <v>292</v>
      </c>
      <c r="D118" s="917"/>
      <c r="E118" s="268">
        <v>0</v>
      </c>
      <c r="G118" s="74"/>
      <c r="H118" s="161">
        <v>10</v>
      </c>
      <c r="I118" s="75">
        <v>5</v>
      </c>
      <c r="J118" s="76">
        <v>15</v>
      </c>
      <c r="K118" s="77">
        <f t="shared" si="10"/>
        <v>0</v>
      </c>
      <c r="L118" s="77">
        <f t="shared" si="10"/>
        <v>66.666666666666657</v>
      </c>
      <c r="M118" s="77">
        <f t="shared" si="10"/>
        <v>33.333333333333329</v>
      </c>
      <c r="N118" s="78">
        <f t="shared" si="11"/>
        <v>99.999999999999986</v>
      </c>
      <c r="O118" s="79"/>
      <c r="P118" s="77">
        <v>45.8</v>
      </c>
      <c r="Q118" s="77">
        <v>22.3</v>
      </c>
      <c r="R118" s="80">
        <f>O118+P118+Q118</f>
        <v>68.099999999999994</v>
      </c>
      <c r="S118" s="268">
        <v>2</v>
      </c>
      <c r="T118" s="839"/>
      <c r="U118" s="852"/>
      <c r="V118" s="82" t="s">
        <v>557</v>
      </c>
      <c r="W118" s="268" t="s">
        <v>17</v>
      </c>
      <c r="X118" s="268" t="s">
        <v>18</v>
      </c>
      <c r="Y118" s="83">
        <v>45.8</v>
      </c>
      <c r="Z118" s="268" t="s">
        <v>454</v>
      </c>
      <c r="AA118" s="268" t="s">
        <v>20</v>
      </c>
      <c r="AB118" s="268" t="s">
        <v>12</v>
      </c>
      <c r="AC118" s="268">
        <v>22.3</v>
      </c>
      <c r="AD118" s="82"/>
      <c r="AG118" s="83"/>
      <c r="AL118" s="82"/>
      <c r="AO118" s="83"/>
      <c r="AP118" s="82"/>
      <c r="AS118" s="83"/>
      <c r="AW118" s="83"/>
      <c r="BA118" s="84"/>
    </row>
    <row r="119" spans="1:53" s="268" customFormat="1">
      <c r="A119" s="268">
        <v>2013</v>
      </c>
      <c r="B119" s="852"/>
      <c r="C119" s="917" t="s">
        <v>292</v>
      </c>
      <c r="D119" s="917"/>
      <c r="E119" s="268">
        <v>365</v>
      </c>
      <c r="G119" s="74"/>
      <c r="H119" s="161">
        <v>10</v>
      </c>
      <c r="I119" s="75">
        <v>5</v>
      </c>
      <c r="J119" s="76">
        <v>15</v>
      </c>
      <c r="K119" s="77">
        <f t="shared" si="10"/>
        <v>0</v>
      </c>
      <c r="L119" s="77">
        <f t="shared" si="10"/>
        <v>66.666666666666657</v>
      </c>
      <c r="M119" s="77">
        <f t="shared" si="10"/>
        <v>33.333333333333329</v>
      </c>
      <c r="N119" s="78">
        <f t="shared" si="11"/>
        <v>99.999999999999986</v>
      </c>
      <c r="O119" s="79"/>
      <c r="P119" s="77">
        <v>45.8</v>
      </c>
      <c r="Q119" s="77">
        <v>22.3</v>
      </c>
      <c r="R119" s="80">
        <f>O119+P119+Q119</f>
        <v>68.099999999999994</v>
      </c>
      <c r="S119" s="268">
        <v>2</v>
      </c>
      <c r="T119" s="839"/>
      <c r="U119" s="852"/>
      <c r="V119" s="82" t="s">
        <v>557</v>
      </c>
      <c r="W119" s="268" t="s">
        <v>17</v>
      </c>
      <c r="X119" s="268" t="s">
        <v>18</v>
      </c>
      <c r="Y119" s="83">
        <v>45.8</v>
      </c>
      <c r="Z119" s="268" t="s">
        <v>454</v>
      </c>
      <c r="AA119" s="268" t="s">
        <v>20</v>
      </c>
      <c r="AB119" s="268" t="s">
        <v>12</v>
      </c>
      <c r="AC119" s="268">
        <v>22.3</v>
      </c>
      <c r="AD119" s="82"/>
      <c r="AG119" s="83"/>
      <c r="AL119" s="82"/>
      <c r="AO119" s="83"/>
      <c r="AP119" s="82"/>
      <c r="AS119" s="83"/>
      <c r="AW119" s="83"/>
      <c r="BA119" s="84"/>
    </row>
    <row r="120" spans="1:53" s="455" customFormat="1">
      <c r="A120" s="455">
        <v>2014</v>
      </c>
      <c r="B120" s="860"/>
      <c r="C120" s="917" t="s">
        <v>292</v>
      </c>
      <c r="D120" s="917"/>
      <c r="E120" s="455">
        <v>0</v>
      </c>
      <c r="F120" s="414"/>
      <c r="G120" s="74"/>
      <c r="H120" s="161">
        <v>10</v>
      </c>
      <c r="I120" s="75">
        <v>5</v>
      </c>
      <c r="J120" s="76">
        <v>15</v>
      </c>
      <c r="K120" s="77">
        <f t="shared" ref="K120:M121" si="12">G120/$J120*100</f>
        <v>0</v>
      </c>
      <c r="L120" s="77">
        <f t="shared" si="12"/>
        <v>66.666666666666657</v>
      </c>
      <c r="M120" s="77">
        <f t="shared" si="12"/>
        <v>33.333333333333329</v>
      </c>
      <c r="N120" s="78">
        <f>K120+L120+M120</f>
        <v>99.999999999999986</v>
      </c>
      <c r="O120" s="79"/>
      <c r="P120" s="77">
        <v>45.8</v>
      </c>
      <c r="Q120" s="77">
        <v>22.3</v>
      </c>
      <c r="R120" s="80">
        <f>O120+P120+Q120</f>
        <v>68.099999999999994</v>
      </c>
      <c r="S120" s="455">
        <v>2</v>
      </c>
      <c r="T120" s="839"/>
      <c r="U120" s="852"/>
      <c r="V120" s="405" t="s">
        <v>557</v>
      </c>
      <c r="W120" s="455" t="s">
        <v>17</v>
      </c>
      <c r="X120" s="455" t="s">
        <v>18</v>
      </c>
      <c r="Y120" s="406">
        <v>45.8</v>
      </c>
      <c r="Z120" s="455" t="s">
        <v>454</v>
      </c>
      <c r="AA120" s="455" t="s">
        <v>20</v>
      </c>
      <c r="AB120" s="455" t="s">
        <v>12</v>
      </c>
      <c r="AC120" s="455">
        <v>22.3</v>
      </c>
      <c r="AD120" s="405"/>
      <c r="AG120" s="406"/>
      <c r="AL120" s="405"/>
      <c r="AO120" s="406"/>
      <c r="AP120" s="405"/>
      <c r="AS120" s="406"/>
      <c r="AW120" s="406"/>
      <c r="BA120" s="407"/>
    </row>
    <row r="121" spans="1:53" s="455" customFormat="1">
      <c r="A121" s="455">
        <v>2014</v>
      </c>
      <c r="B121" s="860"/>
      <c r="C121" s="917" t="s">
        <v>292</v>
      </c>
      <c r="D121" s="917"/>
      <c r="E121" s="455">
        <v>365</v>
      </c>
      <c r="F121" s="414"/>
      <c r="G121" s="74"/>
      <c r="H121" s="161">
        <v>10</v>
      </c>
      <c r="I121" s="75">
        <v>5</v>
      </c>
      <c r="J121" s="76">
        <v>15</v>
      </c>
      <c r="K121" s="77">
        <f t="shared" si="12"/>
        <v>0</v>
      </c>
      <c r="L121" s="77">
        <f t="shared" si="12"/>
        <v>66.666666666666657</v>
      </c>
      <c r="M121" s="77">
        <f t="shared" si="12"/>
        <v>33.333333333333329</v>
      </c>
      <c r="N121" s="78">
        <f>K121+L121+M121</f>
        <v>99.999999999999986</v>
      </c>
      <c r="O121" s="79"/>
      <c r="P121" s="77">
        <v>45.8</v>
      </c>
      <c r="Q121" s="77">
        <v>22.3</v>
      </c>
      <c r="R121" s="80">
        <f>O121+P121+Q121</f>
        <v>68.099999999999994</v>
      </c>
      <c r="S121" s="455">
        <v>2</v>
      </c>
      <c r="T121" s="839"/>
      <c r="U121" s="852"/>
      <c r="V121" s="405" t="s">
        <v>557</v>
      </c>
      <c r="W121" s="455" t="s">
        <v>17</v>
      </c>
      <c r="X121" s="455" t="s">
        <v>18</v>
      </c>
      <c r="Y121" s="406">
        <v>45.8</v>
      </c>
      <c r="Z121" s="455" t="s">
        <v>454</v>
      </c>
      <c r="AA121" s="455" t="s">
        <v>20</v>
      </c>
      <c r="AB121" s="455" t="s">
        <v>12</v>
      </c>
      <c r="AC121" s="455">
        <v>22.3</v>
      </c>
      <c r="AD121" s="405"/>
      <c r="AG121" s="406"/>
      <c r="AL121" s="405"/>
      <c r="AO121" s="406"/>
      <c r="AP121" s="405"/>
      <c r="AS121" s="406"/>
      <c r="AW121" s="406"/>
      <c r="BA121" s="407"/>
    </row>
    <row r="122" spans="1:53" s="597" customFormat="1">
      <c r="A122" s="597">
        <v>2015</v>
      </c>
      <c r="B122" s="860"/>
      <c r="C122" s="917" t="s">
        <v>292</v>
      </c>
      <c r="D122" s="917"/>
      <c r="E122" s="597">
        <v>0</v>
      </c>
      <c r="F122" s="502"/>
      <c r="G122" s="74"/>
      <c r="H122" s="161">
        <v>10</v>
      </c>
      <c r="I122" s="75">
        <v>5</v>
      </c>
      <c r="J122" s="76">
        <v>15</v>
      </c>
      <c r="K122" s="77">
        <f t="shared" ref="K122:K129" si="13">G122/$J122*100</f>
        <v>0</v>
      </c>
      <c r="L122" s="77">
        <f t="shared" ref="L122:L129" si="14">H122/$J122*100</f>
        <v>66.666666666666657</v>
      </c>
      <c r="M122" s="77">
        <f t="shared" ref="M122:M129" si="15">I122/$J122*100</f>
        <v>33.333333333333329</v>
      </c>
      <c r="N122" s="78">
        <f t="shared" ref="N122:N129" si="16">K122+L122+M122</f>
        <v>99.999999999999986</v>
      </c>
      <c r="O122" s="79"/>
      <c r="P122" s="77">
        <v>45.8</v>
      </c>
      <c r="Q122" s="77">
        <v>22.3</v>
      </c>
      <c r="R122" s="80">
        <f t="shared" ref="R122:R127" si="17">O122+P122+Q122</f>
        <v>68.099999999999994</v>
      </c>
      <c r="S122" s="597">
        <v>2</v>
      </c>
      <c r="T122" s="839"/>
      <c r="U122" s="852"/>
      <c r="V122" s="492" t="s">
        <v>557</v>
      </c>
      <c r="W122" s="597" t="s">
        <v>17</v>
      </c>
      <c r="X122" s="597" t="s">
        <v>18</v>
      </c>
      <c r="Y122" s="493">
        <v>45.8</v>
      </c>
      <c r="Z122" s="597" t="s">
        <v>454</v>
      </c>
      <c r="AA122" s="597" t="s">
        <v>20</v>
      </c>
      <c r="AB122" s="597" t="s">
        <v>12</v>
      </c>
      <c r="AC122" s="597">
        <v>22.3</v>
      </c>
      <c r="AD122" s="492"/>
      <c r="AG122" s="493"/>
      <c r="AL122" s="492"/>
      <c r="AO122" s="493"/>
      <c r="AP122" s="492"/>
      <c r="AS122" s="493"/>
      <c r="AW122" s="493"/>
      <c r="BA122" s="494"/>
    </row>
    <row r="123" spans="1:53" s="597" customFormat="1">
      <c r="A123" s="597">
        <v>2015</v>
      </c>
      <c r="B123" s="860"/>
      <c r="C123" s="917" t="s">
        <v>292</v>
      </c>
      <c r="D123" s="917"/>
      <c r="E123" s="597">
        <v>365</v>
      </c>
      <c r="F123" s="502"/>
      <c r="G123" s="74"/>
      <c r="H123" s="161">
        <v>10</v>
      </c>
      <c r="I123" s="75">
        <v>5</v>
      </c>
      <c r="J123" s="76">
        <v>15</v>
      </c>
      <c r="K123" s="77">
        <f t="shared" si="13"/>
        <v>0</v>
      </c>
      <c r="L123" s="77">
        <f t="shared" si="14"/>
        <v>66.666666666666657</v>
      </c>
      <c r="M123" s="77">
        <f t="shared" si="15"/>
        <v>33.333333333333329</v>
      </c>
      <c r="N123" s="78">
        <f t="shared" si="16"/>
        <v>99.999999999999986</v>
      </c>
      <c r="O123" s="79"/>
      <c r="P123" s="77">
        <v>45.8</v>
      </c>
      <c r="Q123" s="77">
        <v>22.3</v>
      </c>
      <c r="R123" s="80">
        <f t="shared" si="17"/>
        <v>68.099999999999994</v>
      </c>
      <c r="S123" s="597">
        <v>2</v>
      </c>
      <c r="T123" s="839"/>
      <c r="U123" s="852"/>
      <c r="V123" s="492" t="s">
        <v>557</v>
      </c>
      <c r="W123" s="597" t="s">
        <v>17</v>
      </c>
      <c r="X123" s="597" t="s">
        <v>18</v>
      </c>
      <c r="Y123" s="493">
        <v>45.8</v>
      </c>
      <c r="Z123" s="597" t="s">
        <v>454</v>
      </c>
      <c r="AA123" s="597" t="s">
        <v>20</v>
      </c>
      <c r="AB123" s="597" t="s">
        <v>12</v>
      </c>
      <c r="AC123" s="597">
        <v>22.3</v>
      </c>
      <c r="AD123" s="492"/>
      <c r="AG123" s="493"/>
      <c r="AL123" s="492"/>
      <c r="AO123" s="493"/>
      <c r="AP123" s="492"/>
      <c r="AS123" s="493"/>
      <c r="AW123" s="493"/>
      <c r="BA123" s="494"/>
    </row>
    <row r="124" spans="1:53" s="665" customFormat="1">
      <c r="A124" s="665">
        <v>2016</v>
      </c>
      <c r="B124" s="860"/>
      <c r="C124" s="917" t="s">
        <v>292</v>
      </c>
      <c r="D124" s="917"/>
      <c r="E124" s="665">
        <v>126</v>
      </c>
      <c r="F124" s="502"/>
      <c r="G124" s="74"/>
      <c r="H124" s="161">
        <v>10</v>
      </c>
      <c r="I124" s="75">
        <v>5</v>
      </c>
      <c r="J124" s="76">
        <v>15</v>
      </c>
      <c r="K124" s="77">
        <f t="shared" si="13"/>
        <v>0</v>
      </c>
      <c r="L124" s="77">
        <f t="shared" si="14"/>
        <v>66.666666666666657</v>
      </c>
      <c r="M124" s="77">
        <f t="shared" si="15"/>
        <v>33.333333333333329</v>
      </c>
      <c r="N124" s="78">
        <f t="shared" si="16"/>
        <v>99.999999999999986</v>
      </c>
      <c r="O124" s="79"/>
      <c r="P124" s="77">
        <v>45.8</v>
      </c>
      <c r="Q124" s="77">
        <v>22.3</v>
      </c>
      <c r="R124" s="80">
        <f t="shared" si="17"/>
        <v>68.099999999999994</v>
      </c>
      <c r="S124" s="665">
        <v>2</v>
      </c>
      <c r="T124" s="839"/>
      <c r="U124" s="852"/>
      <c r="V124" s="492" t="s">
        <v>557</v>
      </c>
      <c r="W124" s="665" t="s">
        <v>17</v>
      </c>
      <c r="X124" s="665" t="s">
        <v>18</v>
      </c>
      <c r="Y124" s="493">
        <v>45.8</v>
      </c>
      <c r="Z124" s="665" t="s">
        <v>454</v>
      </c>
      <c r="AA124" s="665" t="s">
        <v>20</v>
      </c>
      <c r="AB124" s="665" t="s">
        <v>12</v>
      </c>
      <c r="AC124" s="665">
        <v>22.3</v>
      </c>
      <c r="AD124" s="492"/>
      <c r="AG124" s="493"/>
      <c r="AL124" s="492"/>
      <c r="AO124" s="493"/>
      <c r="AP124" s="492"/>
      <c r="AS124" s="493"/>
      <c r="AW124" s="493"/>
      <c r="BA124" s="494"/>
    </row>
    <row r="125" spans="1:53" s="664" customFormat="1">
      <c r="A125" s="664">
        <v>2016</v>
      </c>
      <c r="B125" s="836">
        <v>42496</v>
      </c>
      <c r="C125" s="916" t="s">
        <v>1347</v>
      </c>
      <c r="D125" s="916"/>
      <c r="E125" s="664">
        <v>240</v>
      </c>
      <c r="F125" s="664">
        <v>1</v>
      </c>
      <c r="G125" s="293"/>
      <c r="H125" s="392">
        <v>12</v>
      </c>
      <c r="I125" s="179"/>
      <c r="J125" s="294">
        <v>15</v>
      </c>
      <c r="K125" s="295">
        <f t="shared" si="13"/>
        <v>0</v>
      </c>
      <c r="L125" s="295">
        <f t="shared" si="14"/>
        <v>80</v>
      </c>
      <c r="M125" s="295">
        <f t="shared" si="15"/>
        <v>0</v>
      </c>
      <c r="N125" s="296">
        <f t="shared" si="16"/>
        <v>80</v>
      </c>
      <c r="O125" s="297"/>
      <c r="P125" s="295">
        <v>31.6</v>
      </c>
      <c r="Q125" s="295"/>
      <c r="R125" s="298">
        <f t="shared" si="17"/>
        <v>31.6</v>
      </c>
      <c r="S125" s="664">
        <v>4</v>
      </c>
      <c r="T125" s="838">
        <v>42426</v>
      </c>
      <c r="U125" s="836">
        <v>42496</v>
      </c>
      <c r="V125" s="532" t="s">
        <v>557</v>
      </c>
      <c r="W125" s="664" t="s">
        <v>17</v>
      </c>
      <c r="X125" s="664" t="s">
        <v>18</v>
      </c>
      <c r="Y125" s="533">
        <v>31.6</v>
      </c>
      <c r="AD125" s="532"/>
      <c r="AG125" s="533"/>
      <c r="AL125" s="532"/>
      <c r="AO125" s="533"/>
      <c r="AP125" s="532"/>
      <c r="AS125" s="533"/>
      <c r="AW125" s="533"/>
      <c r="BA125" s="534"/>
    </row>
    <row r="126" spans="1:53" s="726" customFormat="1">
      <c r="A126" s="726">
        <v>2017</v>
      </c>
      <c r="B126" s="836"/>
      <c r="C126" s="916" t="s">
        <v>1347</v>
      </c>
      <c r="D126" s="916"/>
      <c r="E126" s="726">
        <v>164</v>
      </c>
      <c r="G126" s="293"/>
      <c r="H126" s="392">
        <v>12</v>
      </c>
      <c r="I126" s="179"/>
      <c r="J126" s="294">
        <v>15</v>
      </c>
      <c r="K126" s="295">
        <f t="shared" si="13"/>
        <v>0</v>
      </c>
      <c r="L126" s="295">
        <f t="shared" si="14"/>
        <v>80</v>
      </c>
      <c r="M126" s="295">
        <f t="shared" si="15"/>
        <v>0</v>
      </c>
      <c r="N126" s="296">
        <f t="shared" si="16"/>
        <v>80</v>
      </c>
      <c r="O126" s="297"/>
      <c r="P126" s="295">
        <v>31.6</v>
      </c>
      <c r="Q126" s="295"/>
      <c r="R126" s="298">
        <f t="shared" si="17"/>
        <v>31.6</v>
      </c>
      <c r="S126" s="726">
        <v>4</v>
      </c>
      <c r="T126" s="838"/>
      <c r="U126" s="836"/>
      <c r="V126" s="532" t="s">
        <v>557</v>
      </c>
      <c r="W126" s="726" t="s">
        <v>17</v>
      </c>
      <c r="X126" s="726" t="s">
        <v>18</v>
      </c>
      <c r="Y126" s="533">
        <v>31.6</v>
      </c>
      <c r="AD126" s="532"/>
      <c r="AG126" s="533"/>
      <c r="AL126" s="532"/>
      <c r="AO126" s="533"/>
      <c r="AP126" s="532"/>
      <c r="AS126" s="533"/>
      <c r="AW126" s="533"/>
      <c r="BA126" s="534"/>
    </row>
    <row r="127" spans="1:53" s="727" customFormat="1">
      <c r="A127" s="727">
        <v>2017</v>
      </c>
      <c r="B127" s="852">
        <v>42900</v>
      </c>
      <c r="C127" s="917" t="s">
        <v>1380</v>
      </c>
      <c r="D127" s="917"/>
      <c r="E127" s="727">
        <v>201</v>
      </c>
      <c r="F127" s="727">
        <v>2</v>
      </c>
      <c r="G127" s="74"/>
      <c r="H127" s="161">
        <v>12</v>
      </c>
      <c r="I127" s="75"/>
      <c r="J127" s="76">
        <v>15</v>
      </c>
      <c r="K127" s="77">
        <f t="shared" si="13"/>
        <v>0</v>
      </c>
      <c r="L127" s="77">
        <f t="shared" si="14"/>
        <v>80</v>
      </c>
      <c r="M127" s="77">
        <f t="shared" si="15"/>
        <v>0</v>
      </c>
      <c r="N127" s="78">
        <f t="shared" si="16"/>
        <v>80</v>
      </c>
      <c r="O127" s="79"/>
      <c r="P127" s="77">
        <v>31.6</v>
      </c>
      <c r="Q127" s="77"/>
      <c r="R127" s="80">
        <f t="shared" si="17"/>
        <v>31.6</v>
      </c>
      <c r="S127" s="727">
        <v>4</v>
      </c>
      <c r="T127" s="839"/>
      <c r="U127" s="852">
        <v>42900</v>
      </c>
      <c r="V127" s="492" t="s">
        <v>557</v>
      </c>
      <c r="W127" s="727" t="s">
        <v>17</v>
      </c>
      <c r="X127" s="727" t="s">
        <v>18</v>
      </c>
      <c r="Y127" s="493">
        <v>31.6</v>
      </c>
      <c r="AD127" s="492"/>
      <c r="AG127" s="493"/>
      <c r="AL127" s="492"/>
      <c r="AO127" s="493"/>
      <c r="AP127" s="492"/>
      <c r="AS127" s="493"/>
      <c r="AW127" s="493"/>
      <c r="BA127" s="494"/>
    </row>
    <row r="128" spans="1:53" s="760" customFormat="1">
      <c r="A128" s="760">
        <v>2018</v>
      </c>
      <c r="B128" s="852"/>
      <c r="C128" s="917" t="s">
        <v>1380</v>
      </c>
      <c r="D128" s="917"/>
      <c r="E128" s="760">
        <v>283</v>
      </c>
      <c r="G128" s="74"/>
      <c r="H128" s="161">
        <v>12</v>
      </c>
      <c r="I128" s="75"/>
      <c r="J128" s="76">
        <v>15</v>
      </c>
      <c r="K128" s="77">
        <f t="shared" si="13"/>
        <v>0</v>
      </c>
      <c r="L128" s="77">
        <f t="shared" si="14"/>
        <v>80</v>
      </c>
      <c r="M128" s="77">
        <f t="shared" si="15"/>
        <v>0</v>
      </c>
      <c r="N128" s="78">
        <f t="shared" si="16"/>
        <v>80</v>
      </c>
      <c r="O128" s="79"/>
      <c r="P128" s="77">
        <v>31.6</v>
      </c>
      <c r="Q128" s="77"/>
      <c r="R128" s="80">
        <f t="shared" ref="R128:R129" si="18">O128+P128+Q128</f>
        <v>31.6</v>
      </c>
      <c r="S128" s="760">
        <v>4</v>
      </c>
      <c r="T128" s="839"/>
      <c r="U128" s="852"/>
      <c r="V128" s="492" t="s">
        <v>557</v>
      </c>
      <c r="W128" s="760" t="s">
        <v>17</v>
      </c>
      <c r="X128" s="760" t="s">
        <v>18</v>
      </c>
      <c r="Y128" s="493">
        <v>31.6</v>
      </c>
      <c r="AD128" s="492"/>
      <c r="AG128" s="493"/>
      <c r="AL128" s="492"/>
      <c r="AO128" s="493"/>
      <c r="AP128" s="492"/>
      <c r="AS128" s="493"/>
      <c r="AW128" s="493"/>
      <c r="BA128" s="494"/>
    </row>
    <row r="129" spans="1:53" s="760" customFormat="1">
      <c r="A129" s="760">
        <v>2018</v>
      </c>
      <c r="B129" s="860">
        <v>43384</v>
      </c>
      <c r="C129" s="917" t="s">
        <v>1380</v>
      </c>
      <c r="D129" s="917"/>
      <c r="E129" s="760">
        <v>82</v>
      </c>
      <c r="F129" s="502">
        <v>0</v>
      </c>
      <c r="G129" s="74"/>
      <c r="H129" s="161">
        <v>13</v>
      </c>
      <c r="I129" s="75"/>
      <c r="J129" s="76">
        <v>15</v>
      </c>
      <c r="K129" s="77">
        <f t="shared" si="13"/>
        <v>0</v>
      </c>
      <c r="L129" s="77">
        <f t="shared" si="14"/>
        <v>86.666666666666671</v>
      </c>
      <c r="M129" s="77">
        <f t="shared" si="15"/>
        <v>0</v>
      </c>
      <c r="N129" s="78">
        <f t="shared" si="16"/>
        <v>86.666666666666671</v>
      </c>
      <c r="O129" s="79"/>
      <c r="P129" s="77">
        <v>31.6</v>
      </c>
      <c r="Q129" s="77"/>
      <c r="R129" s="80">
        <f t="shared" si="18"/>
        <v>31.6</v>
      </c>
      <c r="S129" s="760">
        <v>4</v>
      </c>
      <c r="T129" s="839"/>
      <c r="U129" s="852"/>
      <c r="V129" s="492" t="s">
        <v>557</v>
      </c>
      <c r="W129" s="760" t="s">
        <v>17</v>
      </c>
      <c r="X129" s="760" t="s">
        <v>18</v>
      </c>
      <c r="Y129" s="493">
        <v>31.6</v>
      </c>
      <c r="AD129" s="492"/>
      <c r="AG129" s="493"/>
      <c r="AL129" s="492"/>
      <c r="AO129" s="493"/>
      <c r="AP129" s="492"/>
      <c r="AS129" s="493"/>
      <c r="AW129" s="493"/>
      <c r="BA129" s="494"/>
    </row>
    <row r="130" spans="1:53" s="760" customFormat="1">
      <c r="A130" s="760">
        <v>2019</v>
      </c>
      <c r="B130" s="852"/>
      <c r="C130" s="917" t="s">
        <v>1380</v>
      </c>
      <c r="D130" s="917"/>
      <c r="E130" s="799">
        <v>0</v>
      </c>
      <c r="F130" s="502"/>
      <c r="G130" s="74"/>
      <c r="H130" s="161">
        <v>13</v>
      </c>
      <c r="I130" s="75"/>
      <c r="J130" s="76">
        <v>15</v>
      </c>
      <c r="K130" s="77">
        <f t="shared" ref="K130:K131" si="19">G130/$J130*100</f>
        <v>0</v>
      </c>
      <c r="L130" s="77">
        <f t="shared" ref="L130:L131" si="20">H130/$J130*100</f>
        <v>86.666666666666671</v>
      </c>
      <c r="M130" s="77">
        <f t="shared" ref="M130:M131" si="21">I130/$J130*100</f>
        <v>0</v>
      </c>
      <c r="N130" s="78">
        <f t="shared" ref="N130:N131" si="22">K130+L130+M130</f>
        <v>86.666666666666671</v>
      </c>
      <c r="O130" s="79"/>
      <c r="P130" s="77">
        <v>31.6</v>
      </c>
      <c r="Q130" s="77"/>
      <c r="R130" s="80">
        <f t="shared" ref="R130:R131" si="23">O130+P130+Q130</f>
        <v>31.6</v>
      </c>
      <c r="S130" s="799">
        <v>4</v>
      </c>
      <c r="T130" s="839"/>
      <c r="U130" s="852"/>
      <c r="V130" s="492" t="s">
        <v>557</v>
      </c>
      <c r="W130" s="799" t="s">
        <v>17</v>
      </c>
      <c r="X130" s="799" t="s">
        <v>18</v>
      </c>
      <c r="Y130" s="493">
        <v>31.6</v>
      </c>
    </row>
    <row r="131" spans="1:53" s="727" customFormat="1">
      <c r="A131" s="727">
        <v>2019</v>
      </c>
      <c r="B131" s="860"/>
      <c r="C131" s="917" t="s">
        <v>1380</v>
      </c>
      <c r="D131" s="917"/>
      <c r="E131" s="799">
        <v>365</v>
      </c>
      <c r="F131" s="502"/>
      <c r="G131" s="74"/>
      <c r="H131" s="161">
        <v>13</v>
      </c>
      <c r="I131" s="75"/>
      <c r="J131" s="76">
        <v>15</v>
      </c>
      <c r="K131" s="77">
        <f t="shared" si="19"/>
        <v>0</v>
      </c>
      <c r="L131" s="77">
        <f t="shared" si="20"/>
        <v>86.666666666666671</v>
      </c>
      <c r="M131" s="77">
        <f t="shared" si="21"/>
        <v>0</v>
      </c>
      <c r="N131" s="78">
        <f t="shared" si="22"/>
        <v>86.666666666666671</v>
      </c>
      <c r="O131" s="79"/>
      <c r="P131" s="77">
        <v>31.6</v>
      </c>
      <c r="Q131" s="77"/>
      <c r="R131" s="80">
        <f t="shared" si="23"/>
        <v>31.6</v>
      </c>
      <c r="S131" s="799">
        <v>4</v>
      </c>
      <c r="T131" s="839"/>
      <c r="U131" s="852"/>
      <c r="V131" s="492" t="s">
        <v>557</v>
      </c>
      <c r="W131" s="799" t="s">
        <v>17</v>
      </c>
      <c r="X131" s="799" t="s">
        <v>18</v>
      </c>
      <c r="Y131" s="493">
        <v>31.6</v>
      </c>
    </row>
    <row r="133" spans="1:53">
      <c r="B133" s="924"/>
      <c r="C133" s="924"/>
      <c r="D133" s="924"/>
      <c r="E133" s="924"/>
      <c r="F133" s="924"/>
      <c r="G133" s="924"/>
      <c r="H133" s="6"/>
      <c r="I133" s="2"/>
      <c r="J133" s="2"/>
      <c r="K133" s="2"/>
      <c r="L133" s="2"/>
      <c r="M133" s="2"/>
      <c r="N133" s="2"/>
      <c r="O133" s="955"/>
      <c r="P133" s="955"/>
      <c r="Q133" s="955"/>
    </row>
    <row r="134" spans="1:53" s="2" customFormat="1" ht="18" customHeight="1">
      <c r="B134" s="22" t="s">
        <v>1269</v>
      </c>
      <c r="H134" s="6"/>
    </row>
    <row r="135" spans="1:53" s="2" customFormat="1" ht="9" customHeight="1">
      <c r="H135" s="6"/>
    </row>
    <row r="136" spans="1:53" s="317" customFormat="1" ht="9" customHeight="1">
      <c r="A136" s="315"/>
      <c r="B136" s="316" t="s">
        <v>1220</v>
      </c>
      <c r="C136" s="316"/>
      <c r="D136" s="316"/>
      <c r="E136" s="316"/>
      <c r="F136" s="316"/>
      <c r="G136" s="316" t="s">
        <v>1221</v>
      </c>
      <c r="H136" s="316"/>
      <c r="I136" s="316"/>
      <c r="J136" s="316"/>
      <c r="K136" s="316"/>
      <c r="L136" s="316"/>
      <c r="M136" s="316"/>
      <c r="N136" s="316"/>
      <c r="R136" s="895" t="s">
        <v>1222</v>
      </c>
      <c r="S136" s="895"/>
      <c r="T136" s="895"/>
      <c r="U136" s="895"/>
      <c r="V136" s="895"/>
      <c r="W136" s="895"/>
      <c r="X136" s="318"/>
      <c r="Y136" s="318"/>
      <c r="AA136" s="318"/>
      <c r="AB136" s="318"/>
      <c r="AC136" s="318"/>
      <c r="AD136" s="318"/>
    </row>
    <row r="137" spans="1:53" s="322" customFormat="1" ht="9" customHeight="1">
      <c r="A137" s="319"/>
      <c r="B137" s="320" t="s">
        <v>1224</v>
      </c>
      <c r="C137" s="321"/>
      <c r="D137" s="321"/>
      <c r="E137" s="321"/>
      <c r="F137" s="321"/>
      <c r="G137" s="320" t="s">
        <v>1223</v>
      </c>
      <c r="H137" s="321"/>
      <c r="I137" s="321"/>
      <c r="J137" s="321"/>
      <c r="K137" s="321"/>
      <c r="L137" s="321"/>
      <c r="M137" s="321"/>
      <c r="N137" s="321"/>
      <c r="R137" s="323" t="s">
        <v>1225</v>
      </c>
      <c r="S137" s="324"/>
      <c r="T137" s="325"/>
      <c r="U137" s="325"/>
      <c r="V137" s="325"/>
      <c r="W137" s="323" t="s">
        <v>1226</v>
      </c>
      <c r="X137" s="325"/>
      <c r="Y137" s="325"/>
      <c r="AA137" s="325"/>
      <c r="AB137" s="325"/>
      <c r="AC137" s="325"/>
      <c r="AD137" s="325"/>
    </row>
    <row r="138" spans="1:53" s="307" customFormat="1" ht="12" customHeight="1">
      <c r="A138" s="326" t="s">
        <v>3</v>
      </c>
      <c r="B138" s="327" t="s">
        <v>8</v>
      </c>
      <c r="C138" s="327" t="s">
        <v>9</v>
      </c>
      <c r="D138" s="327" t="s">
        <v>10</v>
      </c>
      <c r="E138" s="328" t="s">
        <v>1200</v>
      </c>
      <c r="F138" s="327"/>
      <c r="G138" s="307" t="s">
        <v>3</v>
      </c>
      <c r="H138" s="896" t="s">
        <v>0</v>
      </c>
      <c r="I138" s="896"/>
      <c r="J138" s="896" t="s">
        <v>1</v>
      </c>
      <c r="K138" s="896"/>
      <c r="L138" s="896" t="s">
        <v>2</v>
      </c>
      <c r="M138" s="896"/>
      <c r="N138" s="897" t="s">
        <v>1200</v>
      </c>
      <c r="O138" s="897"/>
      <c r="P138" s="329"/>
      <c r="Q138" s="329"/>
      <c r="R138" s="330" t="s">
        <v>3</v>
      </c>
      <c r="S138" s="331" t="s">
        <v>136</v>
      </c>
      <c r="T138" s="329" t="s">
        <v>134</v>
      </c>
      <c r="U138" s="327" t="s">
        <v>135</v>
      </c>
      <c r="V138" s="329"/>
      <c r="W138" s="332" t="s">
        <v>26</v>
      </c>
    </row>
    <row r="139" spans="1:53" s="243" customFormat="1">
      <c r="A139" s="243">
        <v>1959</v>
      </c>
      <c r="B139" s="230">
        <f>(K6*($E6/365)) + (K7*($E7/365))</f>
        <v>100</v>
      </c>
      <c r="C139" s="230">
        <f>(L6*($E6/365)) + (L7*($E7/365))</f>
        <v>0</v>
      </c>
      <c r="D139" s="230">
        <f>(M6*($E6/365)) + (M7*($E7/365))</f>
        <v>0</v>
      </c>
      <c r="E139" s="231">
        <f>B139+C139+D139</f>
        <v>100</v>
      </c>
      <c r="G139" s="243">
        <v>1959</v>
      </c>
      <c r="H139" s="927">
        <f>(O6/$R6*100*($E6/365))+(O7/$R7*100*($E7/365))</f>
        <v>100</v>
      </c>
      <c r="I139" s="927"/>
      <c r="J139" s="927">
        <f>(P6/$R6*100*($E6/365))+(P7/$R7*100*($E7/365))</f>
        <v>0</v>
      </c>
      <c r="K139" s="927"/>
      <c r="L139" s="927">
        <f>(Q6/$R6*100*($E6/365))+(Q7/$R7*100*($E7/365))</f>
        <v>0</v>
      </c>
      <c r="M139" s="927"/>
      <c r="N139" s="926">
        <f>H139+J139+L139</f>
        <v>100</v>
      </c>
      <c r="O139" s="949"/>
      <c r="P139" s="232"/>
      <c r="Q139" s="232"/>
      <c r="R139" s="243">
        <v>1959</v>
      </c>
      <c r="S139" s="230">
        <f>(O6*($E6/365)) + (O7*($E7/365))</f>
        <v>53.099999999999994</v>
      </c>
      <c r="T139" s="230">
        <f>(P6*($E6/365)) + (P7*($E7/365))</f>
        <v>0</v>
      </c>
      <c r="U139" s="230">
        <f>(Q6*($E6/365)) + (Q7*($E7/365))</f>
        <v>0</v>
      </c>
      <c r="V139" s="245"/>
      <c r="W139" s="244">
        <f>S139+T139+U139</f>
        <v>53.099999999999994</v>
      </c>
    </row>
    <row r="140" spans="1:53">
      <c r="A140" s="1">
        <v>1960</v>
      </c>
      <c r="B140" s="8">
        <f>(K8*($E8/366)) + (K9*($E9/366))</f>
        <v>100</v>
      </c>
      <c r="C140" s="8">
        <f>(L8*($E8/366)) + (L9*($E9/366))</f>
        <v>0</v>
      </c>
      <c r="D140" s="8">
        <f>(M8*($E8/366)) + (M9*($E9/366))</f>
        <v>0</v>
      </c>
      <c r="E140" s="52">
        <f>B140+C140+D140</f>
        <v>100</v>
      </c>
      <c r="G140" s="2">
        <v>1960</v>
      </c>
      <c r="H140" s="918">
        <f>(O8/$R8*100*($E8/366))+(O9/$R9*100*($E9/366))</f>
        <v>100</v>
      </c>
      <c r="I140" s="918"/>
      <c r="J140" s="918">
        <f>(P8/$R8*100*($E8/366))+(P9/$R9*100*($E9/366))</f>
        <v>0</v>
      </c>
      <c r="K140" s="918"/>
      <c r="L140" s="918">
        <f>(Q8/$R8*100*($E8/366))+(Q9/$R9*100*($E9/366))</f>
        <v>0</v>
      </c>
      <c r="M140" s="918"/>
      <c r="N140" s="919">
        <f>H140+J140+L140</f>
        <v>100</v>
      </c>
      <c r="O140" s="947"/>
      <c r="P140" s="5"/>
      <c r="Q140" s="5"/>
      <c r="R140" s="1">
        <v>1960</v>
      </c>
      <c r="S140" s="8">
        <f>(O8*($E8/366)) + (O9*($E9/366))</f>
        <v>53.1</v>
      </c>
      <c r="T140" s="8">
        <f>(P8*($E8/366)) + (P9*($E9/366))</f>
        <v>0</v>
      </c>
      <c r="U140" s="8">
        <f>(Q8*($E8/366)) + (Q9*($E9/366))</f>
        <v>0</v>
      </c>
      <c r="V140" s="12"/>
      <c r="W140" s="7">
        <f>S140+T140+U140</f>
        <v>53.1</v>
      </c>
    </row>
    <row r="141" spans="1:53">
      <c r="A141" s="1">
        <v>1961</v>
      </c>
      <c r="B141" s="8">
        <f>(K10*($E10/365)) + (K11*($E11/365))</f>
        <v>100</v>
      </c>
      <c r="C141" s="8">
        <f>(L10*($E10/365)) + (L11*($E11/365))</f>
        <v>0</v>
      </c>
      <c r="D141" s="8">
        <f>(M10*($E10/365)) + (M11*($E11/365))</f>
        <v>0</v>
      </c>
      <c r="E141" s="52">
        <f>B141+C141+D141</f>
        <v>100</v>
      </c>
      <c r="G141" s="1">
        <v>1961</v>
      </c>
      <c r="H141" s="918">
        <f>(O10/$R10*100*($E10/365))+(O11/$R11*100*($E11/365))</f>
        <v>100</v>
      </c>
      <c r="I141" s="918"/>
      <c r="J141" s="918">
        <f>(P10/$R10*100*($E10/365))+(P11/$R11*100*($E11/365))</f>
        <v>0</v>
      </c>
      <c r="K141" s="918"/>
      <c r="L141" s="918">
        <f>(Q10/$R10*100*($E10/365))+(Q11/$R11*100*($E11/365))</f>
        <v>0</v>
      </c>
      <c r="M141" s="918"/>
      <c r="N141" s="919">
        <f>H141+J141+L141</f>
        <v>100</v>
      </c>
      <c r="O141" s="947"/>
      <c r="P141" s="5"/>
      <c r="Q141" s="5"/>
      <c r="R141" s="1">
        <v>1961</v>
      </c>
      <c r="S141" s="8">
        <f>(O10*($E10/365)) + (O11*($E11/365))</f>
        <v>52.089041095890416</v>
      </c>
      <c r="T141" s="8">
        <f>(P10*($E10/365)) + (P11*($E11/365))</f>
        <v>0</v>
      </c>
      <c r="U141" s="8">
        <f>(Q10*($E10/365)) + (Q11*($E11/365))</f>
        <v>0</v>
      </c>
      <c r="V141" s="12"/>
      <c r="W141" s="7">
        <f t="shared" ref="W141:W193" si="24">S141+T141+U141</f>
        <v>52.089041095890416</v>
      </c>
    </row>
    <row r="142" spans="1:53">
      <c r="A142" s="1">
        <v>1962</v>
      </c>
      <c r="B142" s="8">
        <f>(K12*($E12/365)) + (K13*($E13/365))</f>
        <v>100</v>
      </c>
      <c r="C142" s="8">
        <f>(L12*($E12/365)) + (L13*($E13/365))</f>
        <v>0</v>
      </c>
      <c r="D142" s="8">
        <f>(M12*($E12/365)) + (M13*($E13/365))</f>
        <v>0</v>
      </c>
      <c r="E142" s="52">
        <f t="shared" ref="E142:E193" si="25">B142+C142+D142</f>
        <v>100</v>
      </c>
      <c r="G142" s="1">
        <v>1962</v>
      </c>
      <c r="H142" s="918">
        <f>(O12/$R12*100*($E12/365))+(O13/$R13*100*($E13/365))</f>
        <v>100</v>
      </c>
      <c r="I142" s="918"/>
      <c r="J142" s="918">
        <f>(P12/$R12*100*($E12/365))+(P13/$R13*100*($E13/365))</f>
        <v>0</v>
      </c>
      <c r="K142" s="918"/>
      <c r="L142" s="918">
        <f>(Q12/$R12*100*($E12/365))+(Q13/$R13*100*($E13/365))</f>
        <v>0</v>
      </c>
      <c r="M142" s="918"/>
      <c r="N142" s="919">
        <f t="shared" ref="N142:N191" si="26">H142+J142+L142</f>
        <v>100</v>
      </c>
      <c r="O142" s="947"/>
      <c r="P142" s="5"/>
      <c r="Q142" s="5"/>
      <c r="R142" s="1">
        <v>1962</v>
      </c>
      <c r="S142" s="8">
        <f>(O12*($E12/365)) + (O13*($E13/365))</f>
        <v>48.6</v>
      </c>
      <c r="T142" s="8">
        <f>(P12*($E12/365)) + (P13*($E13/365))</f>
        <v>0</v>
      </c>
      <c r="U142" s="8">
        <f>(Q12*($E12/365)) + (Q13*($E13/365))</f>
        <v>0</v>
      </c>
      <c r="V142" s="12"/>
      <c r="W142" s="7">
        <f t="shared" si="24"/>
        <v>48.6</v>
      </c>
    </row>
    <row r="143" spans="1:53">
      <c r="A143" s="1">
        <v>1963</v>
      </c>
      <c r="B143" s="8">
        <f>(K14*($E14/365)) + (K15*($E15/365))</f>
        <v>100</v>
      </c>
      <c r="C143" s="8">
        <f>(L14*($E14/365)) + (L15*($E15/365))</f>
        <v>0</v>
      </c>
      <c r="D143" s="8">
        <f>(M14*($E14/365)) + (M15*($E15/365))</f>
        <v>0</v>
      </c>
      <c r="E143" s="52">
        <f t="shared" si="25"/>
        <v>100</v>
      </c>
      <c r="G143" s="1">
        <v>1963</v>
      </c>
      <c r="H143" s="918">
        <f>(O14/$R14*100*($E14/365))+(O15/$R15*100*($E15/365))</f>
        <v>100</v>
      </c>
      <c r="I143" s="918"/>
      <c r="J143" s="918">
        <f>(P14/$R14*100*($E14/365))+(P15/$R15*100*($E15/365))</f>
        <v>0</v>
      </c>
      <c r="K143" s="918"/>
      <c r="L143" s="918">
        <f>(Q14/$R14*100*($E14/365))+(Q15/$R15*100*($E15/365))</f>
        <v>0</v>
      </c>
      <c r="M143" s="918"/>
      <c r="N143" s="919">
        <f t="shared" si="26"/>
        <v>100</v>
      </c>
      <c r="O143" s="947"/>
      <c r="P143" s="5"/>
      <c r="Q143" s="5"/>
      <c r="R143" s="1">
        <v>1963</v>
      </c>
      <c r="S143" s="8">
        <f>(O14*($E14/365)) + (O15*($E15/365))</f>
        <v>48.6</v>
      </c>
      <c r="T143" s="8">
        <f>(P14*($E14/365)) + (P15*($E15/365))</f>
        <v>0</v>
      </c>
      <c r="U143" s="8">
        <f>(Q14*($E14/365)) + (Q15*($E15/365))</f>
        <v>0</v>
      </c>
      <c r="V143" s="12"/>
      <c r="W143" s="7">
        <f t="shared" si="24"/>
        <v>48.6</v>
      </c>
    </row>
    <row r="144" spans="1:53">
      <c r="A144" s="1">
        <v>1964</v>
      </c>
      <c r="B144" s="8">
        <f>(K16*($E16/366)) + (K17*($E17/366))</f>
        <v>100</v>
      </c>
      <c r="C144" s="8">
        <f>(L16*($E16/366)) + (L17*($E17/366))</f>
        <v>0</v>
      </c>
      <c r="D144" s="8">
        <f>(M16*($E16/366)) + (M17*($E17/366))</f>
        <v>0</v>
      </c>
      <c r="E144" s="52">
        <f t="shared" si="25"/>
        <v>100</v>
      </c>
      <c r="G144" s="1">
        <v>1964</v>
      </c>
      <c r="H144" s="918">
        <f>(O16/$R16*100*($E16/366))+(O17/$R17*100*($E17/366))</f>
        <v>100</v>
      </c>
      <c r="I144" s="918"/>
      <c r="J144" s="918">
        <f>(P16/$R16*100*($E16/366))+(P17/$R17*100*($E17/366))</f>
        <v>0</v>
      </c>
      <c r="K144" s="918"/>
      <c r="L144" s="918">
        <f>(Q16/$R16*100*($E16/366))+(Q17/$R17*100*($E17/366))</f>
        <v>0</v>
      </c>
      <c r="M144" s="918"/>
      <c r="N144" s="919">
        <f t="shared" si="26"/>
        <v>100</v>
      </c>
      <c r="O144" s="947"/>
      <c r="P144" s="5"/>
      <c r="Q144" s="5"/>
      <c r="R144" s="1">
        <v>1964</v>
      </c>
      <c r="S144" s="8">
        <f>(O16*($E16/366)) + (O17*($E17/366))</f>
        <v>48.6</v>
      </c>
      <c r="T144" s="8">
        <f>(P16*($E16/366)) + (P17*($E17/366))</f>
        <v>0</v>
      </c>
      <c r="U144" s="8">
        <f>(Q16*($E16/366)) + (Q17*($E17/366))</f>
        <v>0</v>
      </c>
      <c r="V144" s="12"/>
      <c r="W144" s="7">
        <f t="shared" si="24"/>
        <v>48.6</v>
      </c>
    </row>
    <row r="145" spans="1:23">
      <c r="A145" s="1">
        <v>1965</v>
      </c>
      <c r="B145" s="8">
        <f>(K18*($E18/365)) + (K19*($E19/365))</f>
        <v>100</v>
      </c>
      <c r="C145" s="8">
        <f>(L18*($E18/365)) + (L19*($E19/365))</f>
        <v>0</v>
      </c>
      <c r="D145" s="8">
        <f>(M18*($E18/365)) + (M19*($E19/365))</f>
        <v>0</v>
      </c>
      <c r="E145" s="52">
        <f t="shared" si="25"/>
        <v>100</v>
      </c>
      <c r="G145" s="1">
        <v>1965</v>
      </c>
      <c r="H145" s="918">
        <f>(O18/$R18*100*($E18/365))+(O19/$R19*100*($E19/365))</f>
        <v>100</v>
      </c>
      <c r="I145" s="918"/>
      <c r="J145" s="918">
        <f>(P18/$R18*100*($E18/365))+(P19/$R19*100*($E19/365))</f>
        <v>0</v>
      </c>
      <c r="K145" s="918"/>
      <c r="L145" s="918">
        <f>(Q18/$R18*100*($E18/365))+(Q19/$R19*100*($E19/365))</f>
        <v>0</v>
      </c>
      <c r="M145" s="918"/>
      <c r="N145" s="919">
        <f t="shared" si="26"/>
        <v>100</v>
      </c>
      <c r="O145" s="947"/>
      <c r="P145" s="5"/>
      <c r="Q145" s="5"/>
      <c r="R145" s="1">
        <v>1965</v>
      </c>
      <c r="S145" s="8">
        <f>(O18*($E18/365)) + (O19*($E19/365))</f>
        <v>49.654794520547945</v>
      </c>
      <c r="T145" s="8">
        <f>(P18*($E18/365)) + (P19*($E19/365))</f>
        <v>0</v>
      </c>
      <c r="U145" s="8">
        <f>(Q18*($E18/365)) + (Q19*($E19/365))</f>
        <v>0</v>
      </c>
      <c r="V145" s="12"/>
      <c r="W145" s="7">
        <f t="shared" si="24"/>
        <v>49.654794520547945</v>
      </c>
    </row>
    <row r="146" spans="1:23">
      <c r="A146" s="1">
        <v>1966</v>
      </c>
      <c r="B146" s="8">
        <f>(K20*($E20/365)) + (K21*($E21/365))</f>
        <v>100</v>
      </c>
      <c r="C146" s="8">
        <f>(L20*($E20/365)) + (L21*($E21/365))</f>
        <v>0</v>
      </c>
      <c r="D146" s="8">
        <f>(M20*($E20/365)) + (M21*($E21/365))</f>
        <v>0</v>
      </c>
      <c r="E146" s="52">
        <f t="shared" si="25"/>
        <v>100</v>
      </c>
      <c r="G146" s="1">
        <v>1966</v>
      </c>
      <c r="H146" s="918">
        <f>(O20/$R20*100*($E20/365))+(O21/$R21*100*($E21/365))</f>
        <v>100</v>
      </c>
      <c r="I146" s="918"/>
      <c r="J146" s="918">
        <f>(P20/$R20*100*($E20/365))+(P21/$R21*100*($E21/365))</f>
        <v>0</v>
      </c>
      <c r="K146" s="918"/>
      <c r="L146" s="918">
        <f>(Q20/$R20*100*($E20/365))+(Q21/$R21*100*($E21/365))</f>
        <v>0</v>
      </c>
      <c r="M146" s="918"/>
      <c r="N146" s="919">
        <f t="shared" si="26"/>
        <v>100</v>
      </c>
      <c r="O146" s="947"/>
      <c r="P146" s="5"/>
      <c r="Q146" s="5"/>
      <c r="R146" s="1">
        <v>1966</v>
      </c>
      <c r="S146" s="8">
        <f>(O20*($E20/365)) + (O21*($E21/365))</f>
        <v>50</v>
      </c>
      <c r="T146" s="8">
        <f>(P20*($E20/365)) + (P21*($E21/365))</f>
        <v>0</v>
      </c>
      <c r="U146" s="8">
        <f>(Q20*($E20/365)) + (Q21*($E21/365))</f>
        <v>0</v>
      </c>
      <c r="V146" s="12"/>
      <c r="W146" s="7">
        <f t="shared" si="24"/>
        <v>50</v>
      </c>
    </row>
    <row r="147" spans="1:23">
      <c r="A147" s="1">
        <v>1967</v>
      </c>
      <c r="B147" s="8">
        <f>(K22*($E22/365)) + (K23*($E23/365))</f>
        <v>100</v>
      </c>
      <c r="C147" s="8">
        <f>(L22*($E22/365)) + (L23*($E23/365))</f>
        <v>0</v>
      </c>
      <c r="D147" s="8">
        <f>(M22*($E22/365)) + (M23*($E23/365))</f>
        <v>0</v>
      </c>
      <c r="E147" s="52">
        <f t="shared" si="25"/>
        <v>100</v>
      </c>
      <c r="G147" s="1">
        <v>1967</v>
      </c>
      <c r="H147" s="918">
        <f>(O22/$R22*100*($E22/365))+(O23/$R23*100*($E23/365))</f>
        <v>100</v>
      </c>
      <c r="I147" s="918"/>
      <c r="J147" s="918">
        <f>(P22/$R22*100*($E22/365))+(P23/$R23*100*($E23/365))</f>
        <v>0</v>
      </c>
      <c r="K147" s="918"/>
      <c r="L147" s="918">
        <f>(Q22/$R22*100*($E22/365))+(Q23/$R23*100*($E23/365))</f>
        <v>0</v>
      </c>
      <c r="M147" s="918"/>
      <c r="N147" s="919">
        <f t="shared" si="26"/>
        <v>100</v>
      </c>
      <c r="O147" s="947"/>
      <c r="P147" s="5"/>
      <c r="Q147" s="5"/>
      <c r="R147" s="1">
        <v>1967</v>
      </c>
      <c r="S147" s="8">
        <f>(O22*($E22/365)) + (O23*($E23/365))</f>
        <v>50</v>
      </c>
      <c r="T147" s="8">
        <f>(P22*($E22/365)) + (P23*($E23/365))</f>
        <v>0</v>
      </c>
      <c r="U147" s="8">
        <f>(Q22*($E22/365)) + (Q23*($E23/365))</f>
        <v>0</v>
      </c>
      <c r="V147" s="12"/>
      <c r="W147" s="7">
        <f t="shared" si="24"/>
        <v>50</v>
      </c>
    </row>
    <row r="148" spans="1:23">
      <c r="A148" s="1">
        <v>1968</v>
      </c>
      <c r="B148" s="8">
        <f>(K24*($E24/366)) + (K25*($E25/366))</f>
        <v>100</v>
      </c>
      <c r="C148" s="8">
        <f>(L24*($E24/366)) + (L25*($E25/366))</f>
        <v>0</v>
      </c>
      <c r="D148" s="8">
        <f>(M24*($E24/366)) + (M25*($E25/366))</f>
        <v>0</v>
      </c>
      <c r="E148" s="52">
        <f t="shared" si="25"/>
        <v>100</v>
      </c>
      <c r="G148" s="1">
        <v>1968</v>
      </c>
      <c r="H148" s="918">
        <f>(O24/$R24*100*($E24/366))+(O25/$R25*100*($E25/366))</f>
        <v>100</v>
      </c>
      <c r="I148" s="918"/>
      <c r="J148" s="918">
        <f>(P24/$R24*100*($E24/366))+(P25/$R25*100*($E25/366))</f>
        <v>0</v>
      </c>
      <c r="K148" s="918"/>
      <c r="L148" s="918">
        <f>(Q24/$R24*100*($E24/366))+(Q25/$R25*100*($E25/366))</f>
        <v>0</v>
      </c>
      <c r="M148" s="918"/>
      <c r="N148" s="919">
        <f t="shared" si="26"/>
        <v>100</v>
      </c>
      <c r="O148" s="947"/>
      <c r="P148" s="5"/>
      <c r="Q148" s="5"/>
      <c r="R148" s="1">
        <v>1968</v>
      </c>
      <c r="S148" s="8">
        <f>(O24*($E24/366)) + (O25*($E25/366))</f>
        <v>50</v>
      </c>
      <c r="T148" s="8">
        <f>(P24*($E24/366)) + (P25*($E25/366))</f>
        <v>0</v>
      </c>
      <c r="U148" s="8">
        <f>(Q24*($E24/366)) + (Q25*($E25/366))</f>
        <v>0</v>
      </c>
      <c r="V148" s="12"/>
      <c r="W148" s="7">
        <f t="shared" si="24"/>
        <v>50</v>
      </c>
    </row>
    <row r="149" spans="1:23">
      <c r="A149" s="1">
        <v>1969</v>
      </c>
      <c r="B149" s="8">
        <f>(K26*($E26/365)) + (K27*($E27/365))</f>
        <v>100</v>
      </c>
      <c r="C149" s="8">
        <f>(L26*($E26/365)) + (L27*($E27/365))</f>
        <v>0</v>
      </c>
      <c r="D149" s="8">
        <f>(M26*($E26/365)) + (M27*($E27/365))</f>
        <v>0</v>
      </c>
      <c r="E149" s="52">
        <f t="shared" si="25"/>
        <v>100</v>
      </c>
      <c r="G149" s="1">
        <v>1969</v>
      </c>
      <c r="H149" s="918">
        <f>(O26/$R26*100*($E26/365))+(O27/$R27*100*($E27/365))</f>
        <v>100</v>
      </c>
      <c r="I149" s="918"/>
      <c r="J149" s="918">
        <f>(P26/$R26*100*($E26/365))+(P27/$R27*100*($E27/365))</f>
        <v>0</v>
      </c>
      <c r="K149" s="918"/>
      <c r="L149" s="918">
        <f>(Q26/$R26*100*($E26/365))+(Q27/$R27*100*($E27/365))</f>
        <v>0</v>
      </c>
      <c r="M149" s="918"/>
      <c r="N149" s="919">
        <f t="shared" si="26"/>
        <v>100</v>
      </c>
      <c r="O149" s="947"/>
      <c r="P149" s="5"/>
      <c r="Q149" s="5"/>
      <c r="R149" s="1">
        <v>1969</v>
      </c>
      <c r="S149" s="8">
        <f>(O26*($E26/365)) + (O27*($E27/365))</f>
        <v>51.052876712328768</v>
      </c>
      <c r="T149" s="8">
        <f>(P26*($E26/365)) + (P27*($E27/365))</f>
        <v>0</v>
      </c>
      <c r="U149" s="8">
        <f>(Q26*($E26/365)) + (Q27*($E27/365))</f>
        <v>0</v>
      </c>
      <c r="V149" s="12"/>
      <c r="W149" s="7">
        <f t="shared" si="24"/>
        <v>51.052876712328768</v>
      </c>
    </row>
    <row r="150" spans="1:23">
      <c r="A150" s="1">
        <v>1970</v>
      </c>
      <c r="B150" s="8">
        <f>(K28*($E28/365)) + (K29*($E29/365))</f>
        <v>100</v>
      </c>
      <c r="C150" s="8">
        <f>(L28*($E28/365)) + (L29*($E29/365))</f>
        <v>0</v>
      </c>
      <c r="D150" s="8">
        <f>(M28*($E28/365)) + (M29*($E29/365))</f>
        <v>0</v>
      </c>
      <c r="E150" s="52">
        <f t="shared" si="25"/>
        <v>100</v>
      </c>
      <c r="G150" s="1">
        <v>1970</v>
      </c>
      <c r="H150" s="918">
        <f>(O28/$R28*100*($E28/365))+(O29/$R29*100*($E29/365))</f>
        <v>100</v>
      </c>
      <c r="I150" s="918"/>
      <c r="J150" s="918">
        <f>(P28/$R28*100*($E28/365))+(P29/$R29*100*($E29/365))</f>
        <v>0</v>
      </c>
      <c r="K150" s="918"/>
      <c r="L150" s="918">
        <f>(Q28/$R28*100*($E28/365))+(Q29/$R29*100*($E29/365))</f>
        <v>0</v>
      </c>
      <c r="M150" s="918"/>
      <c r="N150" s="919">
        <f t="shared" si="26"/>
        <v>100</v>
      </c>
      <c r="O150" s="947"/>
      <c r="P150" s="5"/>
      <c r="Q150" s="5"/>
      <c r="R150" s="1">
        <v>1970</v>
      </c>
      <c r="S150" s="8">
        <f>(O28*($E28/365)) + (O29*($E29/365))</f>
        <v>52.1</v>
      </c>
      <c r="T150" s="8">
        <f>(P28*($E28/365)) + (P29*($E29/365))</f>
        <v>0</v>
      </c>
      <c r="U150" s="8">
        <f>(Q28*($E28/365)) + (Q29*($E29/365))</f>
        <v>0</v>
      </c>
      <c r="V150" s="12"/>
      <c r="W150" s="7">
        <f t="shared" si="24"/>
        <v>52.1</v>
      </c>
    </row>
    <row r="151" spans="1:23">
      <c r="A151" s="1">
        <v>1971</v>
      </c>
      <c r="B151" s="8">
        <f>(K30*($E30/365)) + (K31*($E31/365))</f>
        <v>100</v>
      </c>
      <c r="C151" s="8">
        <f>(L30*($E30/365)) + (L31*($E31/365))</f>
        <v>0</v>
      </c>
      <c r="D151" s="8">
        <f>(M30*($E30/365)) + (M31*($E31/365))</f>
        <v>0</v>
      </c>
      <c r="E151" s="52">
        <f t="shared" si="25"/>
        <v>100</v>
      </c>
      <c r="G151" s="1">
        <v>1971</v>
      </c>
      <c r="H151" s="918">
        <f>(O30/$R30*100*($E30/365))+(O31/$R31*100*($E31/365))</f>
        <v>100</v>
      </c>
      <c r="I151" s="918"/>
      <c r="J151" s="918">
        <f>(P30/$R30*100*($E30/365))+(P31/$R31*100*($E31/365))</f>
        <v>0</v>
      </c>
      <c r="K151" s="918"/>
      <c r="L151" s="918">
        <f>(Q30/$R30*100*($E30/365))+(Q31/$R31*100*($E31/365))</f>
        <v>0</v>
      </c>
      <c r="M151" s="918"/>
      <c r="N151" s="919">
        <f t="shared" si="26"/>
        <v>100</v>
      </c>
      <c r="O151" s="947"/>
      <c r="P151" s="5"/>
      <c r="Q151" s="5"/>
      <c r="R151" s="1">
        <v>1971</v>
      </c>
      <c r="S151" s="8">
        <f>(O30*($E30/365)) + (O31*($E31/365))</f>
        <v>52.1</v>
      </c>
      <c r="T151" s="8">
        <f>(P30*($E30/365)) + (P31*($E31/365))</f>
        <v>0</v>
      </c>
      <c r="U151" s="8">
        <f>(Q30*($E30/365)) + (Q31*($E31/365))</f>
        <v>0</v>
      </c>
      <c r="V151" s="12"/>
      <c r="W151" s="7">
        <f t="shared" si="24"/>
        <v>52.1</v>
      </c>
    </row>
    <row r="152" spans="1:23">
      <c r="A152" s="1">
        <v>1972</v>
      </c>
      <c r="B152" s="8">
        <f>(K32*($E32/366)) + (K33*($E33/366))</f>
        <v>100</v>
      </c>
      <c r="C152" s="8">
        <f>(L32*($E32/366)) + (L33*($E33/366))</f>
        <v>0</v>
      </c>
      <c r="D152" s="8">
        <f>(M32*($E32/366)) + (M33*($E33/366))</f>
        <v>0</v>
      </c>
      <c r="E152" s="52">
        <f t="shared" si="25"/>
        <v>100</v>
      </c>
      <c r="G152" s="1">
        <v>1972</v>
      </c>
      <c r="H152" s="918">
        <f>(O32/$R32*100*($E32/366))+(O33/$R33*100*($E33/366))</f>
        <v>100</v>
      </c>
      <c r="I152" s="918"/>
      <c r="J152" s="918">
        <f>(P32/$R32*100*($E32/366))+(P33/$R33*100*($E33/366))</f>
        <v>0</v>
      </c>
      <c r="K152" s="918"/>
      <c r="L152" s="918">
        <f>(Q32/$R32*100*($E32/366))+(Q33/$R33*100*($E33/366))</f>
        <v>0</v>
      </c>
      <c r="M152" s="918"/>
      <c r="N152" s="919">
        <f t="shared" si="26"/>
        <v>100</v>
      </c>
      <c r="O152" s="947"/>
      <c r="P152" s="5"/>
      <c r="Q152" s="5"/>
      <c r="R152" s="1">
        <v>1972</v>
      </c>
      <c r="S152" s="8">
        <f>(O32*($E32/366)) + (O33*($E33/366))</f>
        <v>52.1</v>
      </c>
      <c r="T152" s="8">
        <f>(P32*($E32/366)) + (P33*($E33/366))</f>
        <v>0</v>
      </c>
      <c r="U152" s="8">
        <f>(Q32*($E32/366)) + (Q33*($E33/366))</f>
        <v>0</v>
      </c>
      <c r="V152" s="12"/>
      <c r="W152" s="7">
        <f t="shared" si="24"/>
        <v>52.1</v>
      </c>
    </row>
    <row r="153" spans="1:23">
      <c r="A153" s="1">
        <v>1973</v>
      </c>
      <c r="B153" s="8">
        <f>(K34*($E34/365)) + (K35*($E35/365))</f>
        <v>19.726027397260275</v>
      </c>
      <c r="C153" s="8">
        <f>(L34*($E34/365)) + (L35*($E35/365))</f>
        <v>55.188356164383563</v>
      </c>
      <c r="D153" s="8">
        <f>(M34*($E34/365)) + (M35*($E35/365))</f>
        <v>25.085616438356166</v>
      </c>
      <c r="E153" s="52">
        <f t="shared" si="25"/>
        <v>100</v>
      </c>
      <c r="G153" s="1">
        <v>1973</v>
      </c>
      <c r="H153" s="918">
        <f>(O34/$R34*100*($E34/365))+(O35/$R35*100*($E35/365))</f>
        <v>19.726027397260275</v>
      </c>
      <c r="I153" s="918"/>
      <c r="J153" s="918">
        <f>(P34/$R34*100*($E34/365))+(P35/$R35*100*($E35/365))</f>
        <v>59.374240090783822</v>
      </c>
      <c r="K153" s="918"/>
      <c r="L153" s="918">
        <f>(Q34/$R34*100*($E34/365))+(Q35/$R35*100*($E35/365))</f>
        <v>20.899732511955907</v>
      </c>
      <c r="M153" s="918"/>
      <c r="N153" s="919">
        <f t="shared" si="26"/>
        <v>100</v>
      </c>
      <c r="O153" s="947"/>
      <c r="P153" s="5"/>
      <c r="Q153" s="5"/>
      <c r="R153" s="1">
        <v>1973</v>
      </c>
      <c r="S153" s="8">
        <f>(O34*($E34/365)) + (O35*($E35/365))</f>
        <v>10.277260273972603</v>
      </c>
      <c r="T153" s="8">
        <f>(P34*($E34/365)) + (P35*($E35/365))</f>
        <v>30.102739726027398</v>
      </c>
      <c r="U153" s="8">
        <f>(Q34*($E34/365)) + (Q35*($E35/365))</f>
        <v>10.596164383561645</v>
      </c>
      <c r="V153" s="12"/>
      <c r="W153" s="7">
        <f t="shared" si="24"/>
        <v>50.976164383561645</v>
      </c>
    </row>
    <row r="154" spans="1:23">
      <c r="A154" s="1">
        <v>1974</v>
      </c>
      <c r="B154" s="8">
        <f>(K36*($E36/365)) + (K37*($E37/365))</f>
        <v>0</v>
      </c>
      <c r="C154" s="8">
        <f>(L36*($E36/365)) + (L37*($E37/365))</f>
        <v>68.75</v>
      </c>
      <c r="D154" s="8">
        <f>(M36*($E36/365)) + (M37*($E37/365))</f>
        <v>31.25</v>
      </c>
      <c r="E154" s="52">
        <f t="shared" si="25"/>
        <v>100</v>
      </c>
      <c r="G154" s="1">
        <v>1974</v>
      </c>
      <c r="H154" s="918">
        <f>(O36/$R36*100*($E36/365))+(O37/$R37*100*($E37/365))</f>
        <v>0</v>
      </c>
      <c r="I154" s="918"/>
      <c r="J154" s="918">
        <f>(P36/$R36*100*($E36/365))+(P37/$R37*100*($E37/365))</f>
        <v>73.964497041420117</v>
      </c>
      <c r="K154" s="918"/>
      <c r="L154" s="918">
        <f>(Q36/$R36*100*($E36/365))+(Q37/$R37*100*($E37/365))</f>
        <v>26.035502958579883</v>
      </c>
      <c r="M154" s="918"/>
      <c r="N154" s="919">
        <f t="shared" si="26"/>
        <v>100</v>
      </c>
      <c r="O154" s="947"/>
      <c r="P154" s="5"/>
      <c r="Q154" s="5"/>
      <c r="R154" s="1">
        <v>1974</v>
      </c>
      <c r="S154" s="8">
        <f>(O36*($E36/365)) + (O37*($E37/365))</f>
        <v>0</v>
      </c>
      <c r="T154" s="8">
        <f>(P36*($E36/365)) + (P37*($E37/365))</f>
        <v>37.5</v>
      </c>
      <c r="U154" s="8">
        <f>(Q36*($E36/365)) + (Q37*($E37/365))</f>
        <v>13.2</v>
      </c>
      <c r="V154" s="12"/>
      <c r="W154" s="7">
        <f t="shared" si="24"/>
        <v>50.7</v>
      </c>
    </row>
    <row r="155" spans="1:23">
      <c r="A155" s="1">
        <v>1975</v>
      </c>
      <c r="B155" s="8">
        <f>(K38*($E38/365)) + (K39*($E39/365))</f>
        <v>0</v>
      </c>
      <c r="C155" s="8">
        <f>(L38*($E38/365)) + (L39*($E39/365))</f>
        <v>68.75</v>
      </c>
      <c r="D155" s="8">
        <f>(M38*($E38/365)) + (M39*($E39/365))</f>
        <v>31.25</v>
      </c>
      <c r="E155" s="52">
        <f t="shared" si="25"/>
        <v>100</v>
      </c>
      <c r="G155" s="1">
        <v>1975</v>
      </c>
      <c r="H155" s="918">
        <f>(O38/$R38*100*($E38/365))+(O39/$R39*100*($E39/365))</f>
        <v>0</v>
      </c>
      <c r="I155" s="918"/>
      <c r="J155" s="918">
        <f>(P38/$R38*100*($E38/365))+(P39/$R39*100*($E39/365))</f>
        <v>73.964497041420117</v>
      </c>
      <c r="K155" s="918"/>
      <c r="L155" s="918">
        <f>(Q38/$R38*100*($E38/365))+(Q39/$R39*100*($E39/365))</f>
        <v>26.035502958579883</v>
      </c>
      <c r="M155" s="918"/>
      <c r="N155" s="919">
        <f t="shared" si="26"/>
        <v>100</v>
      </c>
      <c r="O155" s="947"/>
      <c r="P155" s="5"/>
      <c r="Q155" s="5"/>
      <c r="R155" s="1">
        <v>1975</v>
      </c>
      <c r="S155" s="8">
        <f>(O38*($E38/365)) + (O39*($E39/365))</f>
        <v>0</v>
      </c>
      <c r="T155" s="8">
        <f>(P38*($E38/365)) + (P39*($E39/365))</f>
        <v>37.5</v>
      </c>
      <c r="U155" s="8">
        <f>(Q38*($E38/365)) + (Q39*($E39/365))</f>
        <v>13.2</v>
      </c>
      <c r="V155" s="12"/>
      <c r="W155" s="7">
        <f t="shared" si="24"/>
        <v>50.7</v>
      </c>
    </row>
    <row r="156" spans="1:23">
      <c r="A156" s="1">
        <v>1976</v>
      </c>
      <c r="B156" s="8">
        <f>(K40*($E40/366)) + (K41*($E41/366))</f>
        <v>0</v>
      </c>
      <c r="C156" s="8">
        <f>(L40*($E40/366)) + (L41*($E41/366))</f>
        <v>68.75</v>
      </c>
      <c r="D156" s="8">
        <f>(M40*($E40/366)) + (M41*($E41/366))</f>
        <v>31.25</v>
      </c>
      <c r="E156" s="52">
        <f t="shared" si="25"/>
        <v>100</v>
      </c>
      <c r="G156" s="1">
        <v>1976</v>
      </c>
      <c r="H156" s="918">
        <f>(O40/$R40*100*($E40/366))+(O41/$R41*100*($E41/366))</f>
        <v>0</v>
      </c>
      <c r="I156" s="918"/>
      <c r="J156" s="918">
        <f>(P40/$R40*100*($E40/366))+(P41/$R41*100*($E41/366))</f>
        <v>73.964497041420117</v>
      </c>
      <c r="K156" s="918"/>
      <c r="L156" s="918">
        <f>(Q40/$R40*100*($E40/366))+(Q41/$R41*100*($E41/366))</f>
        <v>26.035502958579883</v>
      </c>
      <c r="M156" s="918"/>
      <c r="N156" s="919">
        <f t="shared" si="26"/>
        <v>100</v>
      </c>
      <c r="O156" s="947"/>
      <c r="P156" s="5"/>
      <c r="Q156" s="5"/>
      <c r="R156" s="1">
        <v>1976</v>
      </c>
      <c r="S156" s="8">
        <f>(O40*($E40/366)) + (O41*($E41/366))</f>
        <v>0</v>
      </c>
      <c r="T156" s="8">
        <f>(P40*($E40/366)) + (P41*($E41/366))</f>
        <v>37.5</v>
      </c>
      <c r="U156" s="8">
        <f>(Q40*($E40/366)) + (Q41*($E41/366))</f>
        <v>13.2</v>
      </c>
      <c r="V156" s="12"/>
      <c r="W156" s="7">
        <f t="shared" si="24"/>
        <v>50.7</v>
      </c>
    </row>
    <row r="157" spans="1:23">
      <c r="A157" s="1">
        <v>1977</v>
      </c>
      <c r="B157" s="8">
        <f>(K42*($E42/365)) + (K43*($E43/365))</f>
        <v>49.315068493150683</v>
      </c>
      <c r="C157" s="8">
        <f>(L42*($E42/365)) + (L43*($E43/365))</f>
        <v>34.845890410958908</v>
      </c>
      <c r="D157" s="8">
        <f>(M42*($E42/365)) + (M43*($E43/365))</f>
        <v>15.839041095890412</v>
      </c>
      <c r="E157" s="52">
        <f t="shared" si="25"/>
        <v>100</v>
      </c>
      <c r="G157" s="1">
        <v>1977</v>
      </c>
      <c r="H157" s="918">
        <f>(O42/$R42*100*($E42/365))+(O43/$R43*100*($E43/365))</f>
        <v>49.315068493150683</v>
      </c>
      <c r="I157" s="918"/>
      <c r="J157" s="918">
        <f>(P42/$R42*100*($E42/365))+(P43/$R43*100*($E43/365))</f>
        <v>37.488854664829375</v>
      </c>
      <c r="K157" s="918"/>
      <c r="L157" s="918">
        <f>(Q42/$R42*100*($E42/365))+(Q43/$R43*100*($E43/365))</f>
        <v>13.196076842019941</v>
      </c>
      <c r="M157" s="918"/>
      <c r="N157" s="919">
        <f t="shared" si="26"/>
        <v>100</v>
      </c>
      <c r="O157" s="947"/>
      <c r="P157" s="5"/>
      <c r="Q157" s="5"/>
      <c r="R157" s="1">
        <v>1977</v>
      </c>
      <c r="S157" s="8">
        <f>(O42*($E42/365)) + (O43*($E43/365))</f>
        <v>28.010958904109586</v>
      </c>
      <c r="T157" s="8">
        <f>(P42*($E42/365)) + (P43*($E43/365))</f>
        <v>19.006849315068493</v>
      </c>
      <c r="U157" s="8">
        <f>(Q42*($E42/365)) + (Q43*($E43/365))</f>
        <v>6.6904109589041099</v>
      </c>
      <c r="V157" s="12"/>
      <c r="W157" s="7">
        <f t="shared" si="24"/>
        <v>53.708219178082189</v>
      </c>
    </row>
    <row r="158" spans="1:23">
      <c r="A158" s="1">
        <v>1978</v>
      </c>
      <c r="B158" s="8">
        <f>(K44*($E44/365)) + (K45*($E45/365))</f>
        <v>100</v>
      </c>
      <c r="C158" s="8">
        <f>(L44*($E44/365)) + (L45*($E45/365))</f>
        <v>0</v>
      </c>
      <c r="D158" s="8">
        <f>(M44*($E44/365)) + (M45*($E45/365))</f>
        <v>0</v>
      </c>
      <c r="E158" s="52">
        <f t="shared" si="25"/>
        <v>100</v>
      </c>
      <c r="G158" s="1">
        <v>1978</v>
      </c>
      <c r="H158" s="918">
        <f>(O44/$R44*100*($E44/365))+(O45/$R45*100*($E45/365))</f>
        <v>100</v>
      </c>
      <c r="I158" s="918"/>
      <c r="J158" s="918">
        <f>(P44/$R44*100*($E44/365))+(P45/$R45*100*($E45/365))</f>
        <v>0</v>
      </c>
      <c r="K158" s="918"/>
      <c r="L158" s="918">
        <f>(Q44/$R44*100*($E44/365))+(Q45/$R45*100*($E45/365))</f>
        <v>0</v>
      </c>
      <c r="M158" s="918"/>
      <c r="N158" s="919">
        <f t="shared" si="26"/>
        <v>100</v>
      </c>
      <c r="O158" s="947"/>
      <c r="P158" s="5"/>
      <c r="Q158" s="5"/>
      <c r="R158" s="1">
        <v>1978</v>
      </c>
      <c r="S158" s="8">
        <f>(O44*($E44/365)) + (O45*($E45/365))</f>
        <v>56.8</v>
      </c>
      <c r="T158" s="8">
        <f>(P44*($E44/365)) + (P45*($E45/365))</f>
        <v>0</v>
      </c>
      <c r="U158" s="8">
        <f>(Q44*($E44/365)) + (Q45*($E45/365))</f>
        <v>0</v>
      </c>
      <c r="V158" s="12"/>
      <c r="W158" s="7">
        <f t="shared" si="24"/>
        <v>56.8</v>
      </c>
    </row>
    <row r="159" spans="1:23">
      <c r="A159" s="1">
        <v>1979</v>
      </c>
      <c r="B159" s="8">
        <f>(K46*($E46/365)) + (K47*($E47/365))</f>
        <v>100</v>
      </c>
      <c r="C159" s="8">
        <f>(L46*($E46/365)) + (L47*($E47/365))</f>
        <v>0</v>
      </c>
      <c r="D159" s="8">
        <f>(M46*($E46/365)) + (M47*($E47/365))</f>
        <v>0</v>
      </c>
      <c r="E159" s="52">
        <f t="shared" si="25"/>
        <v>100</v>
      </c>
      <c r="G159" s="1">
        <v>1979</v>
      </c>
      <c r="H159" s="918">
        <f>(O46/$R46*100*($E46/365))+(O47/$R47*100*($E47/365))</f>
        <v>100</v>
      </c>
      <c r="I159" s="918"/>
      <c r="J159" s="918">
        <f>(P46/$R46*100*($E46/365))+(P47/$R47*100*($E47/365))</f>
        <v>0</v>
      </c>
      <c r="K159" s="918"/>
      <c r="L159" s="918">
        <f>(Q46/$R46*100*($E46/365))+(Q47/$R47*100*($E47/365))</f>
        <v>0</v>
      </c>
      <c r="M159" s="918"/>
      <c r="N159" s="919">
        <f t="shared" si="26"/>
        <v>100</v>
      </c>
      <c r="O159" s="947"/>
      <c r="P159" s="5"/>
      <c r="Q159" s="5"/>
      <c r="R159" s="1">
        <v>1979</v>
      </c>
      <c r="S159" s="8">
        <f>(O46*($E46/365)) + (O47*($E47/365))</f>
        <v>56.8</v>
      </c>
      <c r="T159" s="8">
        <f>(P46*($E46/365)) + (P47*($E47/365))</f>
        <v>0</v>
      </c>
      <c r="U159" s="8">
        <f>(Q46*($E46/365)) + (Q47*($E47/365))</f>
        <v>0</v>
      </c>
      <c r="V159" s="12"/>
      <c r="W159" s="7">
        <f t="shared" si="24"/>
        <v>56.8</v>
      </c>
    </row>
    <row r="160" spans="1:23">
      <c r="A160" s="1">
        <v>1980</v>
      </c>
      <c r="B160" s="8">
        <f>(K48*($E48/366)) + (K49*($E49/366))</f>
        <v>100</v>
      </c>
      <c r="C160" s="8">
        <f>(L48*($E48/366)) + (L49*($E49/366))</f>
        <v>0</v>
      </c>
      <c r="D160" s="8">
        <f>(M48*($E48/366)) + (M49*($E49/366))</f>
        <v>0</v>
      </c>
      <c r="E160" s="52">
        <f t="shared" si="25"/>
        <v>100</v>
      </c>
      <c r="G160" s="1">
        <v>1980</v>
      </c>
      <c r="H160" s="918">
        <f>(O48/$R48*100*($E48/366))+(O49/$R49*100*($E49/366))</f>
        <v>100</v>
      </c>
      <c r="I160" s="918"/>
      <c r="J160" s="918">
        <f>(P48/$R48*100*($E48/366))+(P49/$R49*100*($E49/366))</f>
        <v>0</v>
      </c>
      <c r="K160" s="918"/>
      <c r="L160" s="918">
        <f>(Q48/$R48*100*($E48/366))+(Q49/$R49*100*($E49/366))</f>
        <v>0</v>
      </c>
      <c r="M160" s="918"/>
      <c r="N160" s="919">
        <f t="shared" si="26"/>
        <v>100</v>
      </c>
      <c r="O160" s="947"/>
      <c r="P160" s="5"/>
      <c r="Q160" s="5"/>
      <c r="R160" s="1">
        <v>1980</v>
      </c>
      <c r="S160" s="8">
        <f>(O48*($E48/366)) + (O49*($E49/366))</f>
        <v>56.8</v>
      </c>
      <c r="T160" s="8">
        <f>(P48*($E48/366)) + (P49*($E49/366))</f>
        <v>0</v>
      </c>
      <c r="U160" s="8">
        <f>(Q48*($E48/366)) + (Q49*($E49/366))</f>
        <v>0</v>
      </c>
      <c r="V160" s="12"/>
      <c r="W160" s="7">
        <f t="shared" si="24"/>
        <v>56.8</v>
      </c>
    </row>
    <row r="161" spans="1:23">
      <c r="A161" s="1">
        <v>1981</v>
      </c>
      <c r="B161" s="8">
        <f>(K50*($E50/365)) + (K51*($E51/365))</f>
        <v>49.315068493150683</v>
      </c>
      <c r="C161" s="8">
        <f>(L50*($E50/365)) + (L51*($E51/365))</f>
        <v>33.789954337899538</v>
      </c>
      <c r="D161" s="8">
        <f>(M50*($E50/365)) + (M51*($E51/365))</f>
        <v>13.515981735159819</v>
      </c>
      <c r="E161" s="52">
        <f t="shared" si="25"/>
        <v>96.621004566210047</v>
      </c>
      <c r="G161" s="1">
        <v>1981</v>
      </c>
      <c r="H161" s="918">
        <f>(O50/$R50*100*($E50/365))+(O51/$R51*100*($E51/365))</f>
        <v>49.315068493150683</v>
      </c>
      <c r="I161" s="918"/>
      <c r="J161" s="918">
        <f>(P50/$R50*100*($E50/365))+(P51/$R51*100*($E51/365))</f>
        <v>41.220940146649234</v>
      </c>
      <c r="K161" s="918"/>
      <c r="L161" s="918">
        <f>(Q50/$R50*100*($E50/365))+(Q51/$R51*100*($E51/365))</f>
        <v>9.4639913602000814</v>
      </c>
      <c r="M161" s="918"/>
      <c r="N161" s="919">
        <f t="shared" si="26"/>
        <v>100</v>
      </c>
      <c r="O161" s="947"/>
      <c r="R161" s="1">
        <v>1981</v>
      </c>
      <c r="S161" s="8">
        <f>(O50*($E50/365)) + (O51*($E51/365))</f>
        <v>28.010958904109586</v>
      </c>
      <c r="T161" s="8">
        <f>(P50*($E50/365)) + (P51*($E51/365))</f>
        <v>19.868493150684934</v>
      </c>
      <c r="U161" s="8">
        <f>(Q50*($E50/365)) + (Q51*($E51/365))</f>
        <v>4.5616438356164384</v>
      </c>
      <c r="V161" s="12"/>
      <c r="W161" s="7">
        <f t="shared" si="24"/>
        <v>52.441095890410956</v>
      </c>
    </row>
    <row r="162" spans="1:23">
      <c r="A162" s="1">
        <v>1982</v>
      </c>
      <c r="B162" s="8">
        <f>(K52*($E52/365)) + (K53*($E53/365))+(K54*($E54/365))</f>
        <v>76.712328767123282</v>
      </c>
      <c r="C162" s="8">
        <f>(L52*($E52/365)) + (L53*($E53/365))+(L54*($E54/365))</f>
        <v>15.718506580714475</v>
      </c>
      <c r="D162" s="8">
        <f>(M52*($E52/365)) + (M53*($E53/365))+(M54*($E54/365))</f>
        <v>6.0553317217297877</v>
      </c>
      <c r="E162" s="52">
        <f t="shared" si="25"/>
        <v>98.486167069567543</v>
      </c>
      <c r="G162" s="1">
        <v>1982</v>
      </c>
      <c r="H162" s="918">
        <f>(O52/$R52*100*($E52/365))+(O53/$R53*100*($E53/365))+(O54/$R54*100*($E54/365))</f>
        <v>76.712328767123282</v>
      </c>
      <c r="I162" s="918"/>
      <c r="J162" s="918">
        <f>(P52/$R52*100*($E52/365))+(P53/$R53*100*($E53/365))+(P54/$R54*100*($E54/365))</f>
        <v>18.94622444386555</v>
      </c>
      <c r="K162" s="918"/>
      <c r="L162" s="918">
        <f>(Q52/$R52*100*($E52/365))+(Q53/$R53*100*($E53/365))+(Q54/$R54*100*($E54/365))</f>
        <v>4.3414467890111617</v>
      </c>
      <c r="M162" s="918"/>
      <c r="N162" s="919">
        <f t="shared" si="26"/>
        <v>99.999999999999986</v>
      </c>
      <c r="O162" s="947"/>
      <c r="R162" s="1">
        <v>1982</v>
      </c>
      <c r="S162" s="8">
        <f>(O52*($E52/365)) + (O53*($E53/365))+(O54*($E54/365))</f>
        <v>36.054794520547944</v>
      </c>
      <c r="T162" s="8">
        <f>(P52*($E52/365)) + (P53*($E53/365))+(P54*($E54/365))</f>
        <v>9.2767123287671236</v>
      </c>
      <c r="U162" s="8">
        <f>(Q52*($E52/365)) + (Q53*($E53/365))+(Q54*($E54/365))</f>
        <v>2.1254794520547944</v>
      </c>
      <c r="V162" s="12"/>
      <c r="W162" s="7">
        <f t="shared" si="24"/>
        <v>47.456986301369867</v>
      </c>
    </row>
    <row r="163" spans="1:23">
      <c r="A163" s="1">
        <v>1983</v>
      </c>
      <c r="B163" s="8">
        <f>(K55*($E55/365)) + (K56*($E56/365))</f>
        <v>0</v>
      </c>
      <c r="C163" s="8">
        <f>(L55*($E55/365)) + (L56*($E56/365))</f>
        <v>70.588235294117652</v>
      </c>
      <c r="D163" s="8">
        <f>(M55*($E55/365)) + (M56*($E56/365))</f>
        <v>23.52941176470588</v>
      </c>
      <c r="E163" s="52">
        <f t="shared" si="25"/>
        <v>94.117647058823536</v>
      </c>
      <c r="G163" s="1">
        <v>1983</v>
      </c>
      <c r="H163" s="918">
        <f>(O55/$R55*100*($E55/365))+(O56/$R56*100*($E56/365))</f>
        <v>0</v>
      </c>
      <c r="I163" s="918"/>
      <c r="J163" s="918">
        <f>(P55/$R55*100*($E55/365))+(P56/$R56*100*($E56/365))</f>
        <v>81.467181467181476</v>
      </c>
      <c r="K163" s="918"/>
      <c r="L163" s="918">
        <f>(Q55/$R55*100*($E55/365))+(Q56/$R56*100*($E56/365))</f>
        <v>18.532818532818531</v>
      </c>
      <c r="M163" s="918"/>
      <c r="N163" s="919">
        <f t="shared" si="26"/>
        <v>100</v>
      </c>
      <c r="O163" s="947"/>
      <c r="R163" s="1">
        <v>1983</v>
      </c>
      <c r="S163" s="8">
        <f>(O55*($E55/365)) + (O56*($E56/365))</f>
        <v>0</v>
      </c>
      <c r="T163" s="8">
        <f>(P55*($E55/365)) + (P56*($E56/365))</f>
        <v>42.2</v>
      </c>
      <c r="U163" s="8">
        <f>(Q55*($E55/365)) + (Q56*($E56/365))</f>
        <v>9.6</v>
      </c>
      <c r="V163" s="12"/>
      <c r="W163" s="7">
        <f t="shared" si="24"/>
        <v>51.800000000000004</v>
      </c>
    </row>
    <row r="164" spans="1:23">
      <c r="A164" s="1">
        <v>1984</v>
      </c>
      <c r="B164" s="8">
        <f>(K57*($E57/366)) + (K58*($E58/366))</f>
        <v>0</v>
      </c>
      <c r="C164" s="8">
        <f>(L57*($E57/366)) + (L58*($E58/366))</f>
        <v>70.588235294117652</v>
      </c>
      <c r="D164" s="8">
        <f>(M57*($E57/366)) + (M58*($E58/366))</f>
        <v>23.52941176470588</v>
      </c>
      <c r="E164" s="52">
        <f t="shared" si="25"/>
        <v>94.117647058823536</v>
      </c>
      <c r="G164" s="1">
        <v>1984</v>
      </c>
      <c r="H164" s="918">
        <f>(O57/$R57*100*($E57/366))+(O58/$R58*100*($E58/366))</f>
        <v>0</v>
      </c>
      <c r="I164" s="918"/>
      <c r="J164" s="918">
        <f>(P57/$R57*100*($E57/366))+(P58/$R58*100*($E58/366))</f>
        <v>81.467181467181476</v>
      </c>
      <c r="K164" s="918"/>
      <c r="L164" s="918">
        <f>(Q57/$R57*100*($E57/366))+(Q58/$R58*100*($E58/366))</f>
        <v>18.532818532818531</v>
      </c>
      <c r="M164" s="918"/>
      <c r="N164" s="919">
        <f t="shared" si="26"/>
        <v>100</v>
      </c>
      <c r="O164" s="947"/>
      <c r="R164" s="1">
        <v>1984</v>
      </c>
      <c r="S164" s="8">
        <f>(O57*($E57/366)) + (O58*($E58/366))</f>
        <v>0</v>
      </c>
      <c r="T164" s="8">
        <f>(P57*($E57/366)) + (P58*($E58/366))</f>
        <v>42.2</v>
      </c>
      <c r="U164" s="8">
        <f>(Q57*($E57/366)) + (Q58*($E58/366))</f>
        <v>9.6</v>
      </c>
      <c r="V164" s="12"/>
      <c r="W164" s="7">
        <f t="shared" si="24"/>
        <v>51.800000000000004</v>
      </c>
    </row>
    <row r="165" spans="1:23">
      <c r="A165" s="1">
        <v>1985</v>
      </c>
      <c r="B165" s="8">
        <f>(K59*($E59/365)) + (K60*($E60/365))</f>
        <v>0</v>
      </c>
      <c r="C165" s="8">
        <f>(L59*($E59/365)) + (L60*($E60/365))</f>
        <v>70.588235294117652</v>
      </c>
      <c r="D165" s="8">
        <f>(M59*($E59/365)) + (M60*($E60/365))</f>
        <v>23.52941176470588</v>
      </c>
      <c r="E165" s="52">
        <f t="shared" si="25"/>
        <v>94.117647058823536</v>
      </c>
      <c r="G165" s="1">
        <v>1985</v>
      </c>
      <c r="H165" s="918">
        <f>(O59/$R59*100*($E59/365))+(O60/$R60*100*($E60/365))</f>
        <v>0</v>
      </c>
      <c r="I165" s="918"/>
      <c r="J165" s="918">
        <f>(P59/$R59*100*($E59/365))+(P60/$R60*100*($E60/365))</f>
        <v>81.467181467181476</v>
      </c>
      <c r="K165" s="918"/>
      <c r="L165" s="918">
        <f>(Q59/$R59*100*($E59/365))+(Q60/$R60*100*($E60/365))</f>
        <v>18.532818532818531</v>
      </c>
      <c r="M165" s="918"/>
      <c r="N165" s="919">
        <f t="shared" si="26"/>
        <v>100</v>
      </c>
      <c r="O165" s="947"/>
      <c r="R165" s="1">
        <v>1985</v>
      </c>
      <c r="S165" s="8">
        <f>(O59*($E59/365)) + (O60*($E60/365))</f>
        <v>0</v>
      </c>
      <c r="T165" s="8">
        <f>(P59*($E59/365)) + (P60*($E60/365))</f>
        <v>42.2</v>
      </c>
      <c r="U165" s="8">
        <f>(Q59*($E59/365)) + (Q60*($E60/365))</f>
        <v>9.6</v>
      </c>
      <c r="V165" s="12"/>
      <c r="W165" s="7">
        <f t="shared" si="24"/>
        <v>51.800000000000004</v>
      </c>
    </row>
    <row r="166" spans="1:23">
      <c r="A166" s="1">
        <v>1986</v>
      </c>
      <c r="B166" s="8">
        <f>(K61*($E61/365)) + (K62*($E62/365))</f>
        <v>0</v>
      </c>
      <c r="C166" s="8">
        <f>(L61*($E61/365)) + (L62*($E62/365))</f>
        <v>70.588235294117652</v>
      </c>
      <c r="D166" s="8">
        <f>(M61*($E61/365)) + (M62*($E62/365))</f>
        <v>23.52941176470588</v>
      </c>
      <c r="E166" s="52">
        <f t="shared" si="25"/>
        <v>94.117647058823536</v>
      </c>
      <c r="G166" s="1">
        <v>1986</v>
      </c>
      <c r="H166" s="918">
        <f>(O61/$R61*100*($E61/365))+(O62/$R62*100*($E62/365))</f>
        <v>0</v>
      </c>
      <c r="I166" s="918"/>
      <c r="J166" s="918">
        <f>(P61/$R61*100*($E61/365))+(P62/$R62*100*($E62/365))</f>
        <v>81.467181467181476</v>
      </c>
      <c r="K166" s="918"/>
      <c r="L166" s="918">
        <f>(Q61/$R61*100*($E61/365))+(Q62/$R62*100*($E62/365))</f>
        <v>18.532818532818531</v>
      </c>
      <c r="M166" s="918"/>
      <c r="N166" s="919">
        <f t="shared" si="26"/>
        <v>100</v>
      </c>
      <c r="O166" s="947"/>
      <c r="R166" s="1">
        <v>1986</v>
      </c>
      <c r="S166" s="8">
        <f>(O61*($E61/365)) + (O62*($E62/365))</f>
        <v>0</v>
      </c>
      <c r="T166" s="8">
        <f>(P61*($E61/365)) + (P62*($E62/365))</f>
        <v>42.2</v>
      </c>
      <c r="U166" s="8">
        <f>(Q61*($E61/365)) + (Q62*($E62/365))</f>
        <v>9.6</v>
      </c>
      <c r="V166" s="12"/>
      <c r="W166" s="7">
        <f t="shared" si="24"/>
        <v>51.800000000000004</v>
      </c>
    </row>
    <row r="167" spans="1:23">
      <c r="A167" s="1">
        <v>1987</v>
      </c>
      <c r="B167" s="8">
        <f>(K63*($E63/365)) + (K64*($E64/365))</f>
        <v>81.369863013698634</v>
      </c>
      <c r="C167" s="8">
        <f>(L63*($E63/365)) + (L64*($E64/365))</f>
        <v>13.15068493150685</v>
      </c>
      <c r="D167" s="8">
        <f>(M63*($E63/365)) + (M64*($E64/365))</f>
        <v>4.3835616438356162</v>
      </c>
      <c r="E167" s="52">
        <f t="shared" si="25"/>
        <v>98.904109589041099</v>
      </c>
      <c r="G167" s="1">
        <v>1987</v>
      </c>
      <c r="H167" s="918">
        <f>(O63/$R63*100*($E63/365))+(O64/$R64*100*($E64/365))</f>
        <v>81.369863013698634</v>
      </c>
      <c r="I167" s="918"/>
      <c r="J167" s="918">
        <f>(P63/$R63*100*($E63/365))+(P64/$R64*100*($E64/365))</f>
        <v>15.177447506214632</v>
      </c>
      <c r="K167" s="918"/>
      <c r="L167" s="918">
        <f>(Q63/$R63*100*($E63/365))+(Q64/$R64*100*($E64/365))</f>
        <v>3.4526894800867405</v>
      </c>
      <c r="M167" s="918"/>
      <c r="N167" s="919">
        <f t="shared" si="26"/>
        <v>100.00000000000001</v>
      </c>
      <c r="O167" s="947"/>
      <c r="R167" s="1">
        <v>1987</v>
      </c>
      <c r="S167" s="8">
        <f>(O63*($E63/365)) + (O64*($E64/365))</f>
        <v>39.70849315068493</v>
      </c>
      <c r="T167" s="8">
        <f>(P63*($E63/365)) + (P64*($E64/365))</f>
        <v>7.8619178082191787</v>
      </c>
      <c r="U167" s="8">
        <f>(Q63*($E63/365)) + (Q64*($E64/365))</f>
        <v>1.7884931506849315</v>
      </c>
      <c r="V167" s="12"/>
      <c r="W167" s="7">
        <f t="shared" si="24"/>
        <v>49.358904109589034</v>
      </c>
    </row>
    <row r="168" spans="1:23">
      <c r="A168" s="1">
        <v>1988</v>
      </c>
      <c r="B168" s="8">
        <f>(K65*($E65/366)) + (K66*($E66/366))</f>
        <v>100</v>
      </c>
      <c r="C168" s="8">
        <f>(L65*($E65/366)) + (L66*($E66/366))</f>
        <v>0</v>
      </c>
      <c r="D168" s="8">
        <f>(M65*($E65/366)) + (M66*($E66/366))</f>
        <v>0</v>
      </c>
      <c r="E168" s="52">
        <f t="shared" si="25"/>
        <v>100</v>
      </c>
      <c r="G168" s="1">
        <v>1988</v>
      </c>
      <c r="H168" s="918">
        <f>(O65/$R65*100*($E65/366))+(O66/$R66*100*($E66/366))</f>
        <v>100</v>
      </c>
      <c r="I168" s="918"/>
      <c r="J168" s="918">
        <f>(P65/$R65*100*($E65/366))+(P66/$R66*100*($E66/366))</f>
        <v>0</v>
      </c>
      <c r="K168" s="918"/>
      <c r="L168" s="918">
        <f>(Q65/$R65*100*($E65/366))+(Q66/$R66*100*($E66/366))</f>
        <v>0</v>
      </c>
      <c r="M168" s="918"/>
      <c r="N168" s="919">
        <f t="shared" si="26"/>
        <v>100</v>
      </c>
      <c r="O168" s="947"/>
      <c r="R168" s="1">
        <v>1988</v>
      </c>
      <c r="S168" s="8">
        <f>(O65*($E65/366)) + (O66*($E66/366))</f>
        <v>48.8</v>
      </c>
      <c r="T168" s="8">
        <f>(P65*($E65/366)) + (P66*($E66/366))</f>
        <v>0</v>
      </c>
      <c r="U168" s="8">
        <f>(Q65*($E65/366)) + (Q66*($E66/366))</f>
        <v>0</v>
      </c>
      <c r="V168" s="12"/>
      <c r="W168" s="7">
        <f t="shared" si="24"/>
        <v>48.8</v>
      </c>
    </row>
    <row r="169" spans="1:23">
      <c r="A169" s="1">
        <v>1989</v>
      </c>
      <c r="B169" s="8">
        <f>(K67*($E67/365)) + (K68*($E68/365))</f>
        <v>100</v>
      </c>
      <c r="C169" s="8">
        <f>(L67*($E67/365)) + (L68*($E68/365))</f>
        <v>0</v>
      </c>
      <c r="D169" s="8">
        <f>(M67*($E67/365)) + (M68*($E68/365))</f>
        <v>0</v>
      </c>
      <c r="E169" s="52">
        <f t="shared" si="25"/>
        <v>100</v>
      </c>
      <c r="G169" s="1">
        <v>1989</v>
      </c>
      <c r="H169" s="918">
        <f>(O67/$R67*100*($E67/365))+(O68/$R68*100*($E68/365))</f>
        <v>100</v>
      </c>
      <c r="I169" s="918"/>
      <c r="J169" s="918">
        <f>(P67/$R67*100*($E67/365))+(P68/$R68*100*($E68/365))</f>
        <v>0</v>
      </c>
      <c r="K169" s="918"/>
      <c r="L169" s="918">
        <f>(Q67/$R67*100*($E67/365))+(Q68/$R68*100*($E68/365))</f>
        <v>0</v>
      </c>
      <c r="M169" s="918"/>
      <c r="N169" s="919">
        <f t="shared" si="26"/>
        <v>100</v>
      </c>
      <c r="O169" s="947"/>
      <c r="R169" s="1">
        <v>1989</v>
      </c>
      <c r="S169" s="8">
        <f>(O67*($E67/365)) + (O68*($E68/365))</f>
        <v>49.368767123287668</v>
      </c>
      <c r="T169" s="8">
        <f>(P67*($E67/365)) + (P68*($E68/365))</f>
        <v>0</v>
      </c>
      <c r="U169" s="8">
        <f>(Q67*($E67/365)) + (Q68*($E68/365))</f>
        <v>0</v>
      </c>
      <c r="V169" s="12"/>
      <c r="W169" s="7">
        <f t="shared" si="24"/>
        <v>49.368767123287668</v>
      </c>
    </row>
    <row r="170" spans="1:23">
      <c r="A170" s="1">
        <v>1990</v>
      </c>
      <c r="B170" s="8">
        <f>(K69*($E69/365)) + (K70*($E70/365))</f>
        <v>100</v>
      </c>
      <c r="C170" s="8">
        <f>(L69*($E69/365)) + (L70*($E70/365))</f>
        <v>0</v>
      </c>
      <c r="D170" s="8">
        <f>(M69*($E69/365)) + (M70*($E70/365))</f>
        <v>0</v>
      </c>
      <c r="E170" s="52">
        <f t="shared" si="25"/>
        <v>100</v>
      </c>
      <c r="G170" s="1">
        <v>1990</v>
      </c>
      <c r="H170" s="918">
        <f>(O69/$R69*100*($E69/365))+(O70/$R70*100*($E70/365))</f>
        <v>100</v>
      </c>
      <c r="I170" s="918"/>
      <c r="J170" s="918">
        <f>(P69/$R69*100*($E69/365))+(P70/$R70*100*($E70/365))</f>
        <v>0</v>
      </c>
      <c r="K170" s="918"/>
      <c r="L170" s="918">
        <f>(Q69/$R69*100*($E69/365))+(Q70/$R70*100*($E70/365))</f>
        <v>0</v>
      </c>
      <c r="M170" s="918"/>
      <c r="N170" s="919">
        <f t="shared" si="26"/>
        <v>100</v>
      </c>
      <c r="O170" s="947"/>
      <c r="R170" s="1">
        <v>1990</v>
      </c>
      <c r="S170" s="8">
        <f>(O69*($E69/365)) + (O70*($E70/365))</f>
        <v>50</v>
      </c>
      <c r="T170" s="8">
        <f>(P69*($E69/365)) + (P70*($E70/365))</f>
        <v>0</v>
      </c>
      <c r="U170" s="8">
        <f>(Q69*($E69/365)) + (Q70*($E70/365))</f>
        <v>0</v>
      </c>
      <c r="V170" s="12"/>
      <c r="W170" s="7">
        <f t="shared" si="24"/>
        <v>50</v>
      </c>
    </row>
    <row r="171" spans="1:23">
      <c r="A171" s="1">
        <v>1991</v>
      </c>
      <c r="B171" s="8">
        <f>(K71*($E71/365)) + (K72*($E72/365))</f>
        <v>100</v>
      </c>
      <c r="C171" s="8">
        <f>(L71*($E71/365)) + (L72*($E72/365))</f>
        <v>0</v>
      </c>
      <c r="D171" s="8">
        <f>(M71*($E71/365)) + (M72*($E72/365))</f>
        <v>0</v>
      </c>
      <c r="E171" s="52">
        <f t="shared" si="25"/>
        <v>100</v>
      </c>
      <c r="G171" s="1">
        <v>1991</v>
      </c>
      <c r="H171" s="918">
        <f>(O71/$R71*100*($E71/365))+(O72/$R72*100*($E72/365))</f>
        <v>100</v>
      </c>
      <c r="I171" s="918"/>
      <c r="J171" s="918">
        <f>(P71/$R71*100*($E71/365))+(P72/$R72*100*($E72/365))</f>
        <v>0</v>
      </c>
      <c r="K171" s="918"/>
      <c r="L171" s="918">
        <f>(Q71/$R71*100*($E71/365))+(Q72/$R72*100*($E72/365))</f>
        <v>0</v>
      </c>
      <c r="M171" s="918"/>
      <c r="N171" s="919">
        <f t="shared" si="26"/>
        <v>100</v>
      </c>
      <c r="O171" s="947"/>
      <c r="R171" s="1">
        <v>1991</v>
      </c>
      <c r="S171" s="8">
        <f>(O71*($E71/365)) + (O72*($E72/365))</f>
        <v>50</v>
      </c>
      <c r="T171" s="8">
        <f>(P71*($E71/365)) + (P72*($E72/365))</f>
        <v>0</v>
      </c>
      <c r="U171" s="8">
        <f>(Q71*($E71/365)) + (Q72*($E72/365))</f>
        <v>0</v>
      </c>
      <c r="V171" s="12"/>
      <c r="W171" s="7">
        <f t="shared" si="24"/>
        <v>50</v>
      </c>
    </row>
    <row r="172" spans="1:23">
      <c r="A172" s="1">
        <v>1992</v>
      </c>
      <c r="B172" s="8">
        <f>(K73*($E73/366)) + (K74*($E74/366))</f>
        <v>100</v>
      </c>
      <c r="C172" s="8">
        <f>(L73*($E73/366)) + (L74*($E74/366))</f>
        <v>0</v>
      </c>
      <c r="D172" s="8">
        <f>(M73*($E73/366)) + (M74*($E74/366))</f>
        <v>0</v>
      </c>
      <c r="E172" s="52">
        <f t="shared" si="25"/>
        <v>100</v>
      </c>
      <c r="G172" s="1">
        <v>1992</v>
      </c>
      <c r="H172" s="918">
        <f>(O73/$R73*100*($E73/366))+(O74/$R74*100*($E74/366))</f>
        <v>100</v>
      </c>
      <c r="I172" s="918"/>
      <c r="J172" s="918">
        <f>(P73/$R73*100*($E73/366))+(P74/$R74*100*($E74/366))</f>
        <v>0</v>
      </c>
      <c r="K172" s="918"/>
      <c r="L172" s="918">
        <f>(Q73/$R73*100*($E73/366))+(Q74/$R74*100*($E74/366))</f>
        <v>0</v>
      </c>
      <c r="M172" s="918"/>
      <c r="N172" s="919">
        <f t="shared" si="26"/>
        <v>100</v>
      </c>
      <c r="O172" s="947"/>
      <c r="R172" s="1">
        <v>1992</v>
      </c>
      <c r="S172" s="8">
        <f>(O73*($E73/366)) + (O74*($E74/366))</f>
        <v>50</v>
      </c>
      <c r="T172" s="8">
        <f>(P73*($E73/366)) + (P74*($E74/366))</f>
        <v>0</v>
      </c>
      <c r="U172" s="8">
        <f>(Q73*($E73/366)) + (Q74*($E74/366))</f>
        <v>0</v>
      </c>
      <c r="V172" s="12"/>
      <c r="W172" s="7">
        <f t="shared" si="24"/>
        <v>50</v>
      </c>
    </row>
    <row r="173" spans="1:23">
      <c r="A173" s="1">
        <v>1993</v>
      </c>
      <c r="B173" s="8">
        <f>(K75*($E75/365)) + (K76*($E76/365))</f>
        <v>61.205479452054796</v>
      </c>
      <c r="C173" s="8">
        <f>(L75*($E75/365)) + (L76*($E76/365))</f>
        <v>0</v>
      </c>
      <c r="D173" s="8">
        <f>(M75*($E75/365)) + (M76*($E76/365))</f>
        <v>38.794520547945204</v>
      </c>
      <c r="E173" s="52">
        <f t="shared" si="25"/>
        <v>100</v>
      </c>
      <c r="G173" s="1">
        <v>1993</v>
      </c>
      <c r="H173" s="918">
        <f>(O75/$R75*100*($E75/365))+(O76/$R76*100*($E76/365))</f>
        <v>68.308252918550522</v>
      </c>
      <c r="I173" s="918"/>
      <c r="J173" s="918">
        <f>(P75/$R75*100*($E75/365))+(P76/$R76*100*($E76/365))</f>
        <v>0</v>
      </c>
      <c r="K173" s="918"/>
      <c r="L173" s="918">
        <f>(Q75/$R75*100*($E75/365))+(Q76/$R76*100*($E76/365))</f>
        <v>31.691747081449488</v>
      </c>
      <c r="M173" s="918"/>
      <c r="N173" s="919">
        <f t="shared" si="26"/>
        <v>100.00000000000001</v>
      </c>
      <c r="O173" s="947"/>
      <c r="R173" s="1">
        <v>1993</v>
      </c>
      <c r="S173" s="8">
        <f>(O75*($E75/365)) + (O76*($E76/365))</f>
        <v>41.271232876712332</v>
      </c>
      <c r="T173" s="8">
        <f>(P75*($E75/365)) + (P76*($E76/365))</f>
        <v>0</v>
      </c>
      <c r="U173" s="8">
        <f>(Q75*($E75/365)) + (Q76*($E76/365))</f>
        <v>19.300273972602739</v>
      </c>
      <c r="V173" s="12"/>
      <c r="W173" s="7">
        <f t="shared" si="24"/>
        <v>60.571506849315071</v>
      </c>
    </row>
    <row r="174" spans="1:23">
      <c r="A174" s="1">
        <v>1994</v>
      </c>
      <c r="B174" s="8">
        <f>(K77*($E77/365)) + (K78*($E78/365))</f>
        <v>57.205479452054796</v>
      </c>
      <c r="C174" s="8">
        <f>(L77*($E77/365)) + (L78*($E78/365))</f>
        <v>2.484018264840183</v>
      </c>
      <c r="D174" s="8">
        <f>(M77*($E77/365)) + (M78*($E78/365))</f>
        <v>40.310502283105016</v>
      </c>
      <c r="E174" s="52">
        <f t="shared" si="25"/>
        <v>100</v>
      </c>
      <c r="G174" s="1">
        <v>1994</v>
      </c>
      <c r="H174" s="918">
        <f>(O77/$R77*100*($E77/365))+(O78/$R78*100*($E78/365))</f>
        <v>64.187866927592964</v>
      </c>
      <c r="I174" s="918"/>
      <c r="J174" s="918">
        <f>(P77/$R77*100*($E77/365))+(P78/$R78*100*($E78/365))</f>
        <v>2.5550440907326273</v>
      </c>
      <c r="K174" s="918"/>
      <c r="L174" s="918">
        <f>(Q77/$R77*100*($E77/365))+(Q78/$R78*100*($E78/365))</f>
        <v>33.257088981674414</v>
      </c>
      <c r="M174" s="918"/>
      <c r="N174" s="919">
        <f t="shared" si="26"/>
        <v>100</v>
      </c>
      <c r="O174" s="947"/>
      <c r="R174" s="1">
        <v>1994</v>
      </c>
      <c r="S174" s="8">
        <f>(O77*($E77/365)) + (O78*($E78/365))</f>
        <v>39.090410958904108</v>
      </c>
      <c r="T174" s="8">
        <f>(P77*($E77/365)) + (P78*($E78/365))</f>
        <v>1.2621917808219179</v>
      </c>
      <c r="U174" s="8">
        <f>(Q77*($E77/365)) + (Q78*($E78/365))</f>
        <v>20.011780821917807</v>
      </c>
      <c r="V174" s="12"/>
      <c r="W174" s="7">
        <f t="shared" si="24"/>
        <v>60.364383561643834</v>
      </c>
    </row>
    <row r="175" spans="1:23">
      <c r="A175" s="1">
        <v>1995</v>
      </c>
      <c r="B175" s="8">
        <f>(K79*($E79/365)) + (K80*($E80/365))</f>
        <v>0</v>
      </c>
      <c r="C175" s="8">
        <f>(L79*($E79/365)) + (L80*($E80/365))</f>
        <v>53.333333333333336</v>
      </c>
      <c r="D175" s="8">
        <f>(M79*($E79/365)) + (M80*($E80/365))</f>
        <v>46.666666666666664</v>
      </c>
      <c r="E175" s="52">
        <f t="shared" si="25"/>
        <v>100</v>
      </c>
      <c r="G175" s="1">
        <v>1995</v>
      </c>
      <c r="H175" s="918">
        <f>(O79/$R79*100*($E79/365))+(O80/$R80*100*($E80/365))</f>
        <v>0</v>
      </c>
      <c r="I175" s="918"/>
      <c r="J175" s="918">
        <f>(P79/$R79*100*($E79/365))+(P80/$R80*100*($E80/365))</f>
        <v>54.858299595141702</v>
      </c>
      <c r="K175" s="918"/>
      <c r="L175" s="918">
        <f>(Q79/$R79*100*($E79/365))+(Q80/$R80*100*($E80/365))</f>
        <v>45.141700404858298</v>
      </c>
      <c r="M175" s="918"/>
      <c r="N175" s="919">
        <f t="shared" si="26"/>
        <v>100</v>
      </c>
      <c r="O175" s="947"/>
      <c r="R175" s="1">
        <v>1995</v>
      </c>
      <c r="S175" s="8">
        <f>(O79*($E79/365)) + (O80*($E80/365))</f>
        <v>0</v>
      </c>
      <c r="T175" s="8">
        <f>(P79*($E79/365)) + (P80*($E80/365))</f>
        <v>27.1</v>
      </c>
      <c r="U175" s="8">
        <f>(Q79*($E79/365)) + (Q80*($E80/365))</f>
        <v>22.3</v>
      </c>
      <c r="V175" s="12"/>
      <c r="W175" s="7">
        <f t="shared" si="24"/>
        <v>49.400000000000006</v>
      </c>
    </row>
    <row r="176" spans="1:23">
      <c r="A176" s="1">
        <v>1996</v>
      </c>
      <c r="B176" s="8">
        <f>(K81*($E81/366)) + (K82*($E82/366))</f>
        <v>0</v>
      </c>
      <c r="C176" s="8">
        <f>(L81*($E81/366)) + (L82*($E82/366))</f>
        <v>53.333333333333336</v>
      </c>
      <c r="D176" s="8">
        <f>(M81*($E81/366)) + (M82*($E82/366))</f>
        <v>46.666666666666664</v>
      </c>
      <c r="E176" s="52">
        <f t="shared" si="25"/>
        <v>100</v>
      </c>
      <c r="G176" s="1">
        <v>1996</v>
      </c>
      <c r="H176" s="918">
        <f>(O81/$R81*100*($E81/366))+(O82/$R82*100*($E82/366))</f>
        <v>0</v>
      </c>
      <c r="I176" s="918"/>
      <c r="J176" s="918">
        <f>(P81/$R81*100*($E81/366))+(P82/$R82*100*($E82/366))</f>
        <v>54.858299595141702</v>
      </c>
      <c r="K176" s="918"/>
      <c r="L176" s="918">
        <f>(Q81/$R81*100*($E81/366))+(Q82/$R82*100*($E82/366))</f>
        <v>45.141700404858298</v>
      </c>
      <c r="M176" s="918"/>
      <c r="N176" s="919">
        <f t="shared" si="26"/>
        <v>100</v>
      </c>
      <c r="O176" s="947"/>
      <c r="R176" s="1">
        <v>1996</v>
      </c>
      <c r="S176" s="8">
        <f>(O81*($E81/366)) + (O82*($E82/366))</f>
        <v>0</v>
      </c>
      <c r="T176" s="8">
        <f>(P81*($E81/366)) + (P82*($E82/366))</f>
        <v>27.1</v>
      </c>
      <c r="U176" s="8">
        <f>(Q81*($E81/366)) + (Q82*($E82/366))</f>
        <v>22.3</v>
      </c>
      <c r="V176" s="12"/>
      <c r="W176" s="7">
        <f t="shared" si="24"/>
        <v>49.400000000000006</v>
      </c>
    </row>
    <row r="177" spans="1:23">
      <c r="A177" s="1">
        <v>1997</v>
      </c>
      <c r="B177" s="8">
        <f>(K83*($E83/365)) + (K84*($E84/365))</f>
        <v>51.780821917808218</v>
      </c>
      <c r="C177" s="8">
        <f>(L83*($E83/365)) + (L84*($E84/365))</f>
        <v>25.716894977168952</v>
      </c>
      <c r="D177" s="8">
        <f>(M83*($E83/365)) + (M84*($E84/365))</f>
        <v>22.50228310502283</v>
      </c>
      <c r="E177" s="52">
        <f t="shared" si="25"/>
        <v>100</v>
      </c>
      <c r="G177" s="1">
        <v>1997</v>
      </c>
      <c r="H177" s="918">
        <f>(O83/$R83*100*($E83/365))+(O84/$R84*100*($E84/365))</f>
        <v>51.780821917808218</v>
      </c>
      <c r="I177" s="918"/>
      <c r="J177" s="918">
        <f>(P83/$R83*100*($E83/365))+(P84/$R84*100*($E84/365))</f>
        <v>26.452221174643672</v>
      </c>
      <c r="K177" s="918"/>
      <c r="L177" s="918">
        <f>(Q83/$R83*100*($E83/365))+(Q84/$R84*100*($E84/365))</f>
        <v>21.76695690754811</v>
      </c>
      <c r="M177" s="918"/>
      <c r="N177" s="919">
        <f t="shared" si="26"/>
        <v>100</v>
      </c>
      <c r="O177" s="947"/>
      <c r="R177" s="1">
        <v>1997</v>
      </c>
      <c r="S177" s="8">
        <f>(O83*($E83/365)) + (O84*($E84/365))</f>
        <v>25.269041095890408</v>
      </c>
      <c r="T177" s="8">
        <f>(P83*($E83/365)) + (P84*($E84/365))</f>
        <v>13.067397260273975</v>
      </c>
      <c r="U177" s="8">
        <f>(Q83*($E83/365)) + (Q84*($E84/365))</f>
        <v>10.752876712328767</v>
      </c>
      <c r="V177" s="12"/>
      <c r="W177" s="7">
        <f t="shared" si="24"/>
        <v>49.08931506849315</v>
      </c>
    </row>
    <row r="178" spans="1:23">
      <c r="A178" s="1">
        <v>1998</v>
      </c>
      <c r="B178" s="8">
        <f>(K85*($E85/365)) + (K86*($E86/365))</f>
        <v>100</v>
      </c>
      <c r="C178" s="8">
        <f>(L85*($E85/365)) + (L86*($E86/365))</f>
        <v>0</v>
      </c>
      <c r="D178" s="8">
        <f>(M85*($E85/365)) + (M86*($E86/365))</f>
        <v>0</v>
      </c>
      <c r="E178" s="52">
        <f t="shared" si="25"/>
        <v>100</v>
      </c>
      <c r="G178" s="1">
        <v>1998</v>
      </c>
      <c r="H178" s="918">
        <f>(O85/$R85*100*($E85/365))+(O86/$R86*100*($E86/365))</f>
        <v>100</v>
      </c>
      <c r="I178" s="918"/>
      <c r="J178" s="918">
        <f>(P85/$R85*100*($E85/365))+(P86/$R86*100*($E86/365))</f>
        <v>0</v>
      </c>
      <c r="K178" s="918"/>
      <c r="L178" s="918">
        <f>(Q85/$R85*100*($E85/365))+(Q86/$R86*100*($E86/365))</f>
        <v>0</v>
      </c>
      <c r="M178" s="918"/>
      <c r="N178" s="919">
        <f t="shared" si="26"/>
        <v>100</v>
      </c>
      <c r="O178" s="947"/>
      <c r="R178" s="1">
        <v>1998</v>
      </c>
      <c r="S178" s="8">
        <f>(O85*($E85/365)) + (O86*($E86/365))</f>
        <v>48.8</v>
      </c>
      <c r="T178" s="8">
        <f>(P85*($E85/365)) + (P86*($E86/365))</f>
        <v>0</v>
      </c>
      <c r="U178" s="8">
        <f>(Q85*($E85/365)) + (Q86*($E86/365))</f>
        <v>0</v>
      </c>
      <c r="V178" s="12"/>
      <c r="W178" s="7">
        <f t="shared" si="24"/>
        <v>48.8</v>
      </c>
    </row>
    <row r="179" spans="1:23">
      <c r="A179" s="1">
        <v>1999</v>
      </c>
      <c r="B179" s="8">
        <f>(K87*($E87/365)) + (K88*($E88/365))</f>
        <v>100</v>
      </c>
      <c r="C179" s="8">
        <f>(L87*($E87/365)) + (L88*($E88/365))</f>
        <v>0</v>
      </c>
      <c r="D179" s="8">
        <f>(M87*($E87/365)) + (M88*($E88/365))</f>
        <v>0</v>
      </c>
      <c r="E179" s="52">
        <f t="shared" si="25"/>
        <v>100</v>
      </c>
      <c r="G179" s="1">
        <v>1999</v>
      </c>
      <c r="H179" s="918">
        <f>(O87/$R87*100*($E87/365))+(O88/$R88*100*($E88/365))</f>
        <v>100</v>
      </c>
      <c r="I179" s="918"/>
      <c r="J179" s="918">
        <f>(P87/$R87*100*($E87/365))+(P88/$R88*100*($E88/365))</f>
        <v>0</v>
      </c>
      <c r="K179" s="918"/>
      <c r="L179" s="918">
        <f>(Q87/$R87*100*($E87/365))+(Q88/$R88*100*($E88/365))</f>
        <v>0</v>
      </c>
      <c r="M179" s="918"/>
      <c r="N179" s="919">
        <f t="shared" si="26"/>
        <v>100</v>
      </c>
      <c r="O179" s="947"/>
      <c r="R179" s="1">
        <v>1999</v>
      </c>
      <c r="S179" s="8">
        <f>(O87*($E87/365)) + (O88*($E88/365))</f>
        <v>48.8</v>
      </c>
      <c r="T179" s="8">
        <f>(P87*($E87/365)) + (P88*($E88/365))</f>
        <v>0</v>
      </c>
      <c r="U179" s="8">
        <f>(Q87*($E87/365)) + (Q88*($E88/365))</f>
        <v>0</v>
      </c>
      <c r="V179" s="12"/>
      <c r="W179" s="7">
        <f t="shared" si="24"/>
        <v>48.8</v>
      </c>
    </row>
    <row r="180" spans="1:23">
      <c r="A180" s="1">
        <v>2000</v>
      </c>
      <c r="B180" s="8">
        <f>(K89*($E89/366)) + (K90*($E90/366))</f>
        <v>100</v>
      </c>
      <c r="C180" s="8">
        <f>(L89*($E89/366)) + (L90*($E90/366))</f>
        <v>0</v>
      </c>
      <c r="D180" s="8">
        <f>(M89*($E89/366)) + (M90*($E90/366))</f>
        <v>0</v>
      </c>
      <c r="E180" s="52">
        <f t="shared" si="25"/>
        <v>100</v>
      </c>
      <c r="G180" s="1">
        <v>2000</v>
      </c>
      <c r="H180" s="918">
        <f>(O89/$R89*100*($E89/366))+(O90/$R90*100*($E90/366))</f>
        <v>100</v>
      </c>
      <c r="I180" s="918"/>
      <c r="J180" s="918">
        <f>(P89/$R89*100*($E89/366))+(P90/$R90*100*($E90/366))</f>
        <v>0</v>
      </c>
      <c r="K180" s="918"/>
      <c r="L180" s="918">
        <f>(Q89/$R89*100*($E89/366))+(Q90/$R90*100*($E90/366))</f>
        <v>0</v>
      </c>
      <c r="M180" s="918"/>
      <c r="N180" s="919">
        <f t="shared" si="26"/>
        <v>100</v>
      </c>
      <c r="O180" s="947"/>
      <c r="R180" s="1">
        <v>2000</v>
      </c>
      <c r="S180" s="8">
        <f>(O89*($E89/366)) + (O90*($E90/366))</f>
        <v>48.8</v>
      </c>
      <c r="T180" s="8">
        <f>(P89*($E89/366)) + (P90*($E90/366))</f>
        <v>0</v>
      </c>
      <c r="U180" s="8">
        <f>(Q89*($E89/366)) + (Q90*($E90/366))</f>
        <v>0</v>
      </c>
      <c r="V180" s="12"/>
      <c r="W180" s="7">
        <f t="shared" si="24"/>
        <v>48.8</v>
      </c>
    </row>
    <row r="181" spans="1:23">
      <c r="A181" s="1">
        <v>2001</v>
      </c>
      <c r="B181" s="8">
        <f>(K91*($E91/365)) + (K92*($E92/365))</f>
        <v>100</v>
      </c>
      <c r="C181" s="8">
        <f>(L91*($E91/365)) + (L92*($E92/365))</f>
        <v>0</v>
      </c>
      <c r="D181" s="8">
        <f>(M91*($E91/365)) + (M92*($E92/365))</f>
        <v>0</v>
      </c>
      <c r="E181" s="52">
        <f t="shared" si="25"/>
        <v>100</v>
      </c>
      <c r="G181" s="1">
        <v>2001</v>
      </c>
      <c r="H181" s="918">
        <f>(O91/$R91*100*($E91/365))+(O92/$R92*100*($E92/365))</f>
        <v>100</v>
      </c>
      <c r="I181" s="918"/>
      <c r="J181" s="918">
        <f>(P91/$R91*100*($E91/365))+(P92/$R92*100*($E92/365))</f>
        <v>0</v>
      </c>
      <c r="K181" s="918"/>
      <c r="L181" s="918">
        <f>(Q91/$R91*100*($E91/365))+(Q92/$R92*100*($E92/365))</f>
        <v>0</v>
      </c>
      <c r="M181" s="918"/>
      <c r="N181" s="919">
        <f t="shared" si="26"/>
        <v>100</v>
      </c>
      <c r="O181" s="947"/>
      <c r="R181" s="1">
        <v>2001</v>
      </c>
      <c r="S181" s="8">
        <f>(O91*($E91/365)) + (O92*($E92/365))</f>
        <v>48.8</v>
      </c>
      <c r="T181" s="8">
        <f>(P91*($E91/365)) + (P92*($E92/365))</f>
        <v>0</v>
      </c>
      <c r="U181" s="8">
        <f>(Q91*($E91/365)) + (Q92*($E92/365))</f>
        <v>0</v>
      </c>
      <c r="V181" s="12"/>
      <c r="W181" s="7">
        <f t="shared" si="24"/>
        <v>48.8</v>
      </c>
    </row>
    <row r="182" spans="1:23">
      <c r="A182" s="1">
        <v>2002</v>
      </c>
      <c r="B182" s="8">
        <f>(K93*($E93/365)) + (K94*($E94/365))</f>
        <v>100</v>
      </c>
      <c r="C182" s="8">
        <f>(L93*($E93/365)) + (L94*($E94/365))</f>
        <v>0</v>
      </c>
      <c r="D182" s="8">
        <f>(M93*($E93/365)) + (M94*($E94/365))</f>
        <v>0</v>
      </c>
      <c r="E182" s="52">
        <f t="shared" si="25"/>
        <v>100</v>
      </c>
      <c r="G182" s="1">
        <v>2002</v>
      </c>
      <c r="H182" s="918">
        <f>(O93/$R93*100*($E93/365))+(O94/$R94*100*($E94/365))</f>
        <v>100</v>
      </c>
      <c r="I182" s="918"/>
      <c r="J182" s="918">
        <f>(P93/$R93*100*($E93/365))+(P94/$R94*100*($E94/365))</f>
        <v>0</v>
      </c>
      <c r="K182" s="918"/>
      <c r="L182" s="918">
        <f>(Q93/$R93*100*($E93/365))+(Q94/$R94*100*($E94/365))</f>
        <v>0</v>
      </c>
      <c r="M182" s="918"/>
      <c r="N182" s="919">
        <f t="shared" si="26"/>
        <v>100</v>
      </c>
      <c r="O182" s="947"/>
      <c r="R182" s="1">
        <v>2002</v>
      </c>
      <c r="S182" s="8">
        <f>(O93*($E93/365)) + (O94*($E94/365))</f>
        <v>51.548493150684934</v>
      </c>
      <c r="T182" s="8">
        <f>(P93*($E93/365)) + (P94*($E94/365))</f>
        <v>0</v>
      </c>
      <c r="U182" s="8">
        <f>(Q93*($E93/365)) + (Q94*($E94/365))</f>
        <v>0</v>
      </c>
      <c r="V182" s="12"/>
      <c r="W182" s="7">
        <f t="shared" si="24"/>
        <v>51.548493150684934</v>
      </c>
    </row>
    <row r="183" spans="1:23">
      <c r="A183" s="1">
        <v>2003</v>
      </c>
      <c r="B183" s="8">
        <f>(K95*($E95/365)) + (K96*($E96/365))</f>
        <v>100</v>
      </c>
      <c r="C183" s="8">
        <f>(L95*($E95/365)) + (L96*($E96/365))</f>
        <v>0</v>
      </c>
      <c r="D183" s="8">
        <f>(M95*($E95/365)) + (M96*($E96/365))</f>
        <v>0</v>
      </c>
      <c r="E183" s="52">
        <f t="shared" si="25"/>
        <v>100</v>
      </c>
      <c r="G183" s="1">
        <v>2003</v>
      </c>
      <c r="H183" s="918">
        <f>(O95/$R95*100*($E95/365))+(O96/$R96*100*($E96/365))</f>
        <v>100</v>
      </c>
      <c r="I183" s="918"/>
      <c r="J183" s="918">
        <f>(P95/$R95*100*($E95/365))+(P96/$R96*100*($E96/365))</f>
        <v>0</v>
      </c>
      <c r="K183" s="918"/>
      <c r="L183" s="918">
        <f>(Q95/$R95*100*($E95/365))+(Q96/$R96*100*($E96/365))</f>
        <v>0</v>
      </c>
      <c r="M183" s="918"/>
      <c r="N183" s="919">
        <f t="shared" si="26"/>
        <v>100</v>
      </c>
      <c r="O183" s="947"/>
      <c r="R183" s="1">
        <v>2003</v>
      </c>
      <c r="S183" s="8">
        <f>(O95*($E95/365)) + (O96*($E96/365))</f>
        <v>53.6</v>
      </c>
      <c r="T183" s="8">
        <f>(P95*($E95/365)) + (P96*($E96/365))</f>
        <v>0</v>
      </c>
      <c r="U183" s="8">
        <f>(Q95*($E95/365)) + (Q96*($E96/365))</f>
        <v>0</v>
      </c>
      <c r="V183" s="12"/>
      <c r="W183" s="7">
        <f t="shared" si="24"/>
        <v>53.6</v>
      </c>
    </row>
    <row r="184" spans="1:23">
      <c r="A184" s="1">
        <v>2004</v>
      </c>
      <c r="B184" s="8">
        <f>(K97*($E97/366)) + (K98*($E98/366))</f>
        <v>100</v>
      </c>
      <c r="C184" s="8">
        <f>(L97*($E97/366)) + (L98*($E98/366))</f>
        <v>0</v>
      </c>
      <c r="D184" s="8">
        <f>(M97*($E97/366)) + (M98*($E98/366))</f>
        <v>0</v>
      </c>
      <c r="E184" s="52">
        <f t="shared" si="25"/>
        <v>100</v>
      </c>
      <c r="G184" s="1">
        <v>2004</v>
      </c>
      <c r="H184" s="918">
        <f>(O97/$R97*100*($E97/366))+(O98/$R98*100*($E98/366))</f>
        <v>100</v>
      </c>
      <c r="I184" s="918"/>
      <c r="J184" s="918">
        <f>(P97/$R97*100*($E97/366))+(P98/$R98*100*($E98/366))</f>
        <v>0</v>
      </c>
      <c r="K184" s="918"/>
      <c r="L184" s="918">
        <f>(Q97/$R97*100*($E97/366))+(Q98/$R98*100*($E98/366))</f>
        <v>0</v>
      </c>
      <c r="M184" s="918"/>
      <c r="N184" s="919">
        <f t="shared" si="26"/>
        <v>100</v>
      </c>
      <c r="O184" s="947"/>
      <c r="R184" s="1">
        <v>2004</v>
      </c>
      <c r="S184" s="8">
        <f>(O97*($E97/366)) + (O98*($E98/366))</f>
        <v>53.6</v>
      </c>
      <c r="T184" s="8">
        <f>(P97*($E97/366)) + (P98*($E98/366))</f>
        <v>0</v>
      </c>
      <c r="U184" s="8">
        <f>(Q97*($E97/366)) + (Q98*($E98/366))</f>
        <v>0</v>
      </c>
      <c r="V184" s="12"/>
      <c r="W184" s="7">
        <f t="shared" si="24"/>
        <v>53.6</v>
      </c>
    </row>
    <row r="185" spans="1:23">
      <c r="A185" s="1">
        <v>2005</v>
      </c>
      <c r="B185" s="8">
        <f>(K99*($E99/365)) + (K100*($E100/365))</f>
        <v>100</v>
      </c>
      <c r="C185" s="8">
        <f>(L99*($E99/365)) + (L100*($E100/365))</f>
        <v>0</v>
      </c>
      <c r="D185" s="8">
        <f>(M99*($E99/365)) + (M100*($E100/365))</f>
        <v>0</v>
      </c>
      <c r="E185" s="52">
        <f t="shared" si="25"/>
        <v>100</v>
      </c>
      <c r="G185" s="1">
        <v>2005</v>
      </c>
      <c r="H185" s="918">
        <f>(O99/$R99*100*($E99/365))+(O100/$R100*100*($E100/365))</f>
        <v>100</v>
      </c>
      <c r="I185" s="918"/>
      <c r="J185" s="918">
        <f>(P99/$R99*100*($E99/365))+(P100/$R100*100*($E100/365))</f>
        <v>0</v>
      </c>
      <c r="K185" s="918"/>
      <c r="L185" s="918">
        <f>(Q99/$R99*100*($E99/365))+(Q100/$R100*100*($E100/365))</f>
        <v>0</v>
      </c>
      <c r="M185" s="918"/>
      <c r="N185" s="919">
        <f t="shared" si="26"/>
        <v>100</v>
      </c>
      <c r="O185" s="947"/>
      <c r="R185" s="1">
        <v>2005</v>
      </c>
      <c r="S185" s="8">
        <f>(O99*($E99/365)) + (O100*($E100/365))</f>
        <v>53.6</v>
      </c>
      <c r="T185" s="8">
        <f>(P99*($E99/365)) + (P100*($E100/365))</f>
        <v>0</v>
      </c>
      <c r="U185" s="8">
        <f>(Q99*($E99/365)) + (Q100*($E100/365))</f>
        <v>0</v>
      </c>
      <c r="V185" s="12"/>
      <c r="W185" s="7">
        <f t="shared" si="24"/>
        <v>53.6</v>
      </c>
    </row>
    <row r="186" spans="1:23">
      <c r="A186" s="1">
        <v>2006</v>
      </c>
      <c r="B186" s="8">
        <f>(K101*($E101/365)) + (K102*($E102/365))</f>
        <v>100</v>
      </c>
      <c r="C186" s="8">
        <f>(L101*($E101/365)) + (L102*($E102/365))</f>
        <v>0</v>
      </c>
      <c r="D186" s="8">
        <f>(M101*($E101/365)) + (M102*($E102/365))</f>
        <v>0</v>
      </c>
      <c r="E186" s="52">
        <f t="shared" si="25"/>
        <v>100</v>
      </c>
      <c r="G186" s="1">
        <v>2006</v>
      </c>
      <c r="H186" s="918">
        <f>(O101/$R101*100*($E101/365))+(O102/$R102*100*($E102/365))</f>
        <v>100</v>
      </c>
      <c r="I186" s="918"/>
      <c r="J186" s="918">
        <f>(P101/$R101*100*($E101/365))+(P102/$R102*100*($E102/365))</f>
        <v>0</v>
      </c>
      <c r="K186" s="918"/>
      <c r="L186" s="918">
        <f>(Q101/$R101*100*($E101/365))+(Q102/$R102*100*($E102/365))</f>
        <v>0</v>
      </c>
      <c r="M186" s="918"/>
      <c r="N186" s="919">
        <f t="shared" si="26"/>
        <v>100</v>
      </c>
      <c r="O186" s="947"/>
      <c r="R186" s="1">
        <v>2006</v>
      </c>
      <c r="S186" s="8">
        <f>(O101*($E101/365)) + (O102*($E102/365))</f>
        <v>53.6</v>
      </c>
      <c r="T186" s="8">
        <f>(P101*($E101/365)) + (P102*($E102/365))</f>
        <v>0</v>
      </c>
      <c r="U186" s="8">
        <f>(Q101*($E101/365)) + (Q102*($E102/365))</f>
        <v>0</v>
      </c>
      <c r="V186" s="12"/>
      <c r="W186" s="7">
        <f t="shared" si="24"/>
        <v>53.6</v>
      </c>
    </row>
    <row r="187" spans="1:23">
      <c r="A187" s="1">
        <v>2007</v>
      </c>
      <c r="B187" s="8">
        <f>(K103*($E103/365)) + (K104*($E104/365))</f>
        <v>92.657534246575352</v>
      </c>
      <c r="C187" s="8">
        <f>(L103*($E103/365)) + (L104*($E104/365))</f>
        <v>0</v>
      </c>
      <c r="D187" s="8">
        <f>(M103*($E103/365)) + (M104*($E104/365))</f>
        <v>7.3424657534246576</v>
      </c>
      <c r="E187" s="52">
        <f t="shared" si="25"/>
        <v>100.00000000000001</v>
      </c>
      <c r="G187" s="1">
        <v>2007</v>
      </c>
      <c r="H187" s="918">
        <f>(O103/$R103*100*($E103/365))+(O104/$R104*100*($E104/365))</f>
        <v>96.172846035859735</v>
      </c>
      <c r="I187" s="918"/>
      <c r="J187" s="918">
        <f>(P103/$R103*100*($E103/365))+(P104/$R104*100*($E104/365))</f>
        <v>0</v>
      </c>
      <c r="K187" s="918"/>
      <c r="L187" s="918">
        <f>(Q103/$R103*100*($E103/365))+(Q104/$R104*100*($E104/365))</f>
        <v>3.8271539641402654</v>
      </c>
      <c r="M187" s="918"/>
      <c r="N187" s="919">
        <f t="shared" si="26"/>
        <v>100</v>
      </c>
      <c r="O187" s="947"/>
      <c r="R187" s="1">
        <v>2007</v>
      </c>
      <c r="S187" s="8">
        <f>(O103*($E103/365)) + (O104*($E104/365))</f>
        <v>50.626301369863015</v>
      </c>
      <c r="T187" s="8">
        <f>(P103*($E103/365)) + (P104*($E104/365))</f>
        <v>0</v>
      </c>
      <c r="U187" s="8">
        <f>(Q103*($E103/365)) + (Q104*($E104/365))</f>
        <v>1.9824657534246575</v>
      </c>
      <c r="V187" s="12"/>
      <c r="W187" s="7">
        <f t="shared" si="24"/>
        <v>52.60876712328767</v>
      </c>
    </row>
    <row r="188" spans="1:23">
      <c r="A188" s="1">
        <v>2008</v>
      </c>
      <c r="B188" s="8">
        <f>(K105*($E105/366)) + (K106*($E106/366))</f>
        <v>86.666666666666671</v>
      </c>
      <c r="C188" s="8">
        <f>(L105*($E105/366)) + (L106*($E106/366))</f>
        <v>0</v>
      </c>
      <c r="D188" s="8">
        <f>(M105*($E105/366)) + (M106*($E106/366))</f>
        <v>13.333333333333334</v>
      </c>
      <c r="E188" s="52">
        <f t="shared" si="25"/>
        <v>100</v>
      </c>
      <c r="G188" s="1">
        <v>2008</v>
      </c>
      <c r="H188" s="918">
        <f>(O105/$R105*100*($E105/366))+(O106/$R106*100*($E106/366))</f>
        <v>93.050193050193059</v>
      </c>
      <c r="I188" s="918"/>
      <c r="J188" s="918">
        <f>(P105/$R105*100*($E105/366))+(P106/$R106*100*($E106/366))</f>
        <v>0</v>
      </c>
      <c r="K188" s="918"/>
      <c r="L188" s="918">
        <f>(Q105/$R105*100*($E105/366))+(Q106/$R106*100*($E106/366))</f>
        <v>6.9498069498069501</v>
      </c>
      <c r="M188" s="918"/>
      <c r="N188" s="919">
        <f t="shared" si="26"/>
        <v>100.00000000000001</v>
      </c>
      <c r="O188" s="947"/>
      <c r="R188" s="1">
        <v>2008</v>
      </c>
      <c r="S188" s="8">
        <f>(O105*($E105/366)) + (O106*($E106/366))</f>
        <v>48.2</v>
      </c>
      <c r="T188" s="8">
        <f>(P105*($E105/366)) + (P106*($E106/366))</f>
        <v>0</v>
      </c>
      <c r="U188" s="8">
        <f>(Q105*($E105/366)) + (Q106*($E106/366))</f>
        <v>3.6</v>
      </c>
      <c r="V188" s="12"/>
      <c r="W188" s="7">
        <f t="shared" si="24"/>
        <v>51.800000000000004</v>
      </c>
    </row>
    <row r="189" spans="1:23">
      <c r="A189" s="1">
        <v>2009</v>
      </c>
      <c r="B189" s="8">
        <f>(K107*($E107/365)) + (K108*($E108/365))</f>
        <v>86.283105022831052</v>
      </c>
      <c r="C189" s="8">
        <f>(L107*($E107/365)) + (L108*($E108/365))</f>
        <v>0</v>
      </c>
      <c r="D189" s="8">
        <f>(M107*($E107/365)) + (M108*($E108/365))</f>
        <v>13.333333333333334</v>
      </c>
      <c r="E189" s="52">
        <f t="shared" si="25"/>
        <v>99.61643835616438</v>
      </c>
      <c r="G189" s="1">
        <v>2009</v>
      </c>
      <c r="H189" s="918">
        <f>(O107/$R107*100*($E107/365))+(O108/$R108*100*($E108/365))</f>
        <v>93.040710396279195</v>
      </c>
      <c r="I189" s="918"/>
      <c r="J189" s="918">
        <f>(P107/$R107*100*($E107/365))+(P108/$R108*100*($E108/365))</f>
        <v>0</v>
      </c>
      <c r="K189" s="918"/>
      <c r="L189" s="918">
        <f>(Q107/$R107*100*($E107/365))+(Q108/$R108*100*($E108/365))</f>
        <v>6.959289603720813</v>
      </c>
      <c r="M189" s="918"/>
      <c r="N189" s="919">
        <f t="shared" si="26"/>
        <v>100.00000000000001</v>
      </c>
      <c r="O189" s="947"/>
      <c r="R189" s="1">
        <v>2009</v>
      </c>
      <c r="S189" s="8">
        <f>(O107*($E107/365)) + (O108*($E108/365))</f>
        <v>48.13095890410959</v>
      </c>
      <c r="T189" s="8">
        <f>(P107*($E107/365)) + (P108*($E108/365))</f>
        <v>0</v>
      </c>
      <c r="U189" s="8">
        <f>(Q107*($E107/365)) + (Q108*($E108/365))</f>
        <v>3.6</v>
      </c>
      <c r="V189" s="12"/>
      <c r="W189" s="7">
        <f t="shared" si="24"/>
        <v>51.730958904109592</v>
      </c>
    </row>
    <row r="190" spans="1:23">
      <c r="A190" s="1">
        <v>2010</v>
      </c>
      <c r="B190" s="8">
        <f>(K109*($E109/365)) + (K110*($E110/365))</f>
        <v>80</v>
      </c>
      <c r="C190" s="8">
        <f>(L109*($E109/365)) + (L110*($E110/365))</f>
        <v>0</v>
      </c>
      <c r="D190" s="8">
        <f>(M109*($E109/365)) + (M110*($E110/365))</f>
        <v>13.333333333333334</v>
      </c>
      <c r="E190" s="52">
        <f t="shared" si="25"/>
        <v>93.333333333333329</v>
      </c>
      <c r="G190" s="1">
        <v>2010</v>
      </c>
      <c r="H190" s="918">
        <f>(O109/$R109*100*($E109/365))+(O110/$R110*100*($E110/365))</f>
        <v>92.885375494071141</v>
      </c>
      <c r="I190" s="918"/>
      <c r="J190" s="918">
        <f>(P109/$R109*100*($E109/365))+(P110/$R110*100*($E110/365))</f>
        <v>0</v>
      </c>
      <c r="K190" s="918"/>
      <c r="L190" s="918">
        <f>(Q109/$R109*100*($E109/365))+(Q110/$R110*100*($E110/365))</f>
        <v>7.1146245059288544</v>
      </c>
      <c r="M190" s="918"/>
      <c r="N190" s="919">
        <f t="shared" si="26"/>
        <v>100</v>
      </c>
      <c r="O190" s="947"/>
      <c r="R190" s="1">
        <v>2010</v>
      </c>
      <c r="S190" s="8">
        <f>(O109*($E109/365)) + (O110*($E110/365))</f>
        <v>47</v>
      </c>
      <c r="T190" s="8">
        <f>(P109*($E109/365)) + (P110*($E110/365))</f>
        <v>0</v>
      </c>
      <c r="U190" s="8">
        <f>(Q109*($E109/365)) + (Q110*($E110/365))</f>
        <v>3.6</v>
      </c>
      <c r="V190" s="12"/>
      <c r="W190" s="7">
        <f t="shared" si="24"/>
        <v>50.6</v>
      </c>
    </row>
    <row r="191" spans="1:23">
      <c r="A191" s="1">
        <v>2011</v>
      </c>
      <c r="B191" s="8">
        <f>(K111*($E111/365)) + (K112*($E112/365))+(K113*($E113/365))+(K114*($E114/365))+(K115*($E115/365))</f>
        <v>17.128506196999346</v>
      </c>
      <c r="C191" s="8">
        <f>(L111*($E111/365)) + (L112*($E112/365))+(L113*($E113/365))+(L114*($E114/365))+(L115*($E115/365))</f>
        <v>54.42922374429223</v>
      </c>
      <c r="D191" s="8">
        <f>(M111*($E111/365)) + (M112*($E112/365))+(M113*($E113/365))+(M114*($E114/365))+(M115*($E115/365))</f>
        <v>28.093933463796475</v>
      </c>
      <c r="E191" s="52">
        <f t="shared" si="25"/>
        <v>99.651663405088044</v>
      </c>
      <c r="G191" s="1">
        <v>2011</v>
      </c>
      <c r="H191" s="918">
        <f>(O111/$R111*100*($E111/365))+(O112/$R112*100*($E112/365))+(O113/$R113*100*($E113/365))+(O114/$R114*100*($E114/365))+(O115/$R115*100*($E115/365))</f>
        <v>17.927337701012508</v>
      </c>
      <c r="I191" s="918"/>
      <c r="J191" s="918">
        <f>(P111/$R111*100*($E111/365))+(P112/$R112*100*($E112/365))+(P113/$R113*100*($E113/365))+(P114/$R114*100*($E114/365))+(P115/$R115*100*($E115/365))</f>
        <v>54.908776376400539</v>
      </c>
      <c r="K191" s="918"/>
      <c r="L191" s="918">
        <f>(Q111/$R111*100*($E111/365))+(Q112/$R112*100*($E112/365))+(Q113/$R113*100*($E113/365))+(Q114/$R114*100*($E114/365))+(Q115/$R115*100*($E115/365))</f>
        <v>27.163885922586953</v>
      </c>
      <c r="M191" s="918"/>
      <c r="N191" s="919">
        <f t="shared" si="26"/>
        <v>100</v>
      </c>
      <c r="O191" s="947"/>
      <c r="R191" s="1">
        <v>2011</v>
      </c>
      <c r="S191" s="8">
        <f>(O111*($E111/365)) + (O112*($E112/365))+(O113*($E113/365))+(O114*($E114/365))+(O115*($E115/365))</f>
        <v>8.6273972602739715</v>
      </c>
      <c r="T191" s="8">
        <f>(P111*($E111/365)) + (P112*($E112/365))+(P113*($E113/365))+(P114*($E114/365))+(P115*($E115/365))</f>
        <v>37.392876712328764</v>
      </c>
      <c r="U191" s="8">
        <f>(Q111*($E111/365)) + (Q112*($E112/365))+(Q113*($E113/365))+(Q114*($E114/365))+(Q115*($E115/365))</f>
        <v>18.423561643835619</v>
      </c>
      <c r="V191" s="12"/>
      <c r="W191" s="7">
        <f t="shared" si="24"/>
        <v>64.443835616438349</v>
      </c>
    </row>
    <row r="192" spans="1:23">
      <c r="A192" s="1">
        <v>2012</v>
      </c>
      <c r="B192" s="8">
        <f>(K116*($E116/366))+(K117*($E117/366))</f>
        <v>0</v>
      </c>
      <c r="C192" s="8">
        <f>(L116*($E116/366))+(L117*($E117/366))</f>
        <v>66.666666666666657</v>
      </c>
      <c r="D192" s="8">
        <f>(M116*($E116/366))+(M117*($E117/366))</f>
        <v>33.333333333333329</v>
      </c>
      <c r="E192" s="52">
        <f t="shared" si="25"/>
        <v>99.999999999999986</v>
      </c>
      <c r="G192" s="1">
        <v>2012</v>
      </c>
      <c r="H192" s="918">
        <f>(O116/$R116*100*($E116/366))+(O117/$R117*100*($E117/366))</f>
        <v>0</v>
      </c>
      <c r="I192" s="918"/>
      <c r="J192" s="918">
        <f>(P116/$R116*100*($E116/366))+(P117/$R117*100*($E117/366))</f>
        <v>67.25403817914831</v>
      </c>
      <c r="K192" s="918"/>
      <c r="L192" s="918">
        <f>(Q116/$R116*100*($E116/366))+(Q117/$R117*100*($E117/366))</f>
        <v>32.74596182085169</v>
      </c>
      <c r="M192" s="918"/>
      <c r="N192" s="919">
        <f t="shared" ref="N192:N197" si="27">H192+J192+L192</f>
        <v>100</v>
      </c>
      <c r="O192" s="947"/>
      <c r="R192" s="1">
        <v>2012</v>
      </c>
      <c r="S192" s="8">
        <f>(O116*($E116/366))+(O117*($E117/366))</f>
        <v>0</v>
      </c>
      <c r="T192" s="8">
        <f>(P116*($E116/366))+(P117*($E117/366))</f>
        <v>45.8</v>
      </c>
      <c r="U192" s="8">
        <f>(Q116*($E116/366))+(Q117*($E117/366))</f>
        <v>22.3</v>
      </c>
      <c r="V192" s="12"/>
      <c r="W192" s="7">
        <f t="shared" si="24"/>
        <v>68.099999999999994</v>
      </c>
    </row>
    <row r="193" spans="1:23">
      <c r="A193" s="1">
        <v>2013</v>
      </c>
      <c r="B193" s="8">
        <f>(K118*($E118/365))+(K119*($E119/365))</f>
        <v>0</v>
      </c>
      <c r="C193" s="8">
        <f>(L118*($E118/365))+(L119*($E119/365))</f>
        <v>66.666666666666657</v>
      </c>
      <c r="D193" s="8">
        <f>(M118*($E118/365))+(M119*($E119/365))</f>
        <v>33.333333333333329</v>
      </c>
      <c r="E193" s="52">
        <f t="shared" si="25"/>
        <v>99.999999999999986</v>
      </c>
      <c r="G193" s="1">
        <v>2013</v>
      </c>
      <c r="H193" s="918">
        <f>(O118/$R118*100*($E118/365))+(O119/$R119*100*($E119/365))</f>
        <v>0</v>
      </c>
      <c r="I193" s="918"/>
      <c r="J193" s="918">
        <f>(P118/$R118*100*($E118/365))+(P119/$R119*100*($E119/365))</f>
        <v>67.25403817914831</v>
      </c>
      <c r="K193" s="918"/>
      <c r="L193" s="918">
        <f>(Q118/$R118*100*($E118/365))+(Q119/$R119*100*($E119/365))</f>
        <v>32.74596182085169</v>
      </c>
      <c r="M193" s="918"/>
      <c r="N193" s="919">
        <f t="shared" si="27"/>
        <v>100</v>
      </c>
      <c r="O193" s="947"/>
      <c r="R193" s="1">
        <v>2013</v>
      </c>
      <c r="S193" s="8">
        <f>(O118*($E118/365))+(O119*($E119/365))</f>
        <v>0</v>
      </c>
      <c r="T193" s="8">
        <f>(P118*($E118/365))+(P119*($E119/365))</f>
        <v>45.8</v>
      </c>
      <c r="U193" s="8">
        <f>(Q118*($E118/365))+(Q119*($E119/365))</f>
        <v>22.3</v>
      </c>
      <c r="V193" s="12"/>
      <c r="W193" s="7">
        <f t="shared" si="24"/>
        <v>68.099999999999994</v>
      </c>
    </row>
    <row r="194" spans="1:23">
      <c r="A194" s="1">
        <v>2014</v>
      </c>
      <c r="B194" s="8">
        <f>(K120*($E120/365))+(K121*($E121/365))</f>
        <v>0</v>
      </c>
      <c r="C194" s="8">
        <f>(L120*($E120/365))+(L121*($E121/365))</f>
        <v>66.666666666666657</v>
      </c>
      <c r="D194" s="8">
        <f>(M120*($E120/365))+(M121*($E121/365))</f>
        <v>33.333333333333329</v>
      </c>
      <c r="E194" s="52">
        <f>B194+C194+D194</f>
        <v>99.999999999999986</v>
      </c>
      <c r="G194" s="1">
        <v>2014</v>
      </c>
      <c r="H194" s="918">
        <f>(O120/$R120*100*($E120/365))+(O121/$R121*100*($E121/365))</f>
        <v>0</v>
      </c>
      <c r="I194" s="918"/>
      <c r="J194" s="918">
        <f>(P120/$R120*100*($E120/365))+(P121/$R121*100*($E121/365))</f>
        <v>67.25403817914831</v>
      </c>
      <c r="K194" s="918"/>
      <c r="L194" s="918">
        <f>(Q120/$R120*100*($E120/365))+(Q121/$R121*100*($E121/365))</f>
        <v>32.74596182085169</v>
      </c>
      <c r="M194" s="918"/>
      <c r="N194" s="919">
        <f t="shared" si="27"/>
        <v>100</v>
      </c>
      <c r="O194" s="947"/>
      <c r="R194" s="1">
        <v>2014</v>
      </c>
      <c r="S194" s="8">
        <f>(O120*($E120/365))+(O121*($E121/365))</f>
        <v>0</v>
      </c>
      <c r="T194" s="8">
        <f>(P120*($E120/365))+(P121*($E121/365))</f>
        <v>45.8</v>
      </c>
      <c r="U194" s="8">
        <f>(Q120*($E120/365))+(Q121*($E121/365))</f>
        <v>22.3</v>
      </c>
      <c r="V194" s="12"/>
      <c r="W194" s="7">
        <f>S194+T194+U194</f>
        <v>68.099999999999994</v>
      </c>
    </row>
    <row r="195" spans="1:23" s="603" customFormat="1">
      <c r="A195" s="603">
        <v>2015</v>
      </c>
      <c r="B195" s="595">
        <f>(K122*($E122/365))+(K123*($E123/365))</f>
        <v>0</v>
      </c>
      <c r="C195" s="595">
        <f>(L122*($E122/365))+(L123*($E123/365))</f>
        <v>66.666666666666657</v>
      </c>
      <c r="D195" s="595">
        <f>(M122*($E122/365))+(M123*($E123/365))</f>
        <v>33.333333333333329</v>
      </c>
      <c r="E195" s="52">
        <f>B195+C195+D195</f>
        <v>99.999999999999986</v>
      </c>
      <c r="G195" s="603">
        <v>2015</v>
      </c>
      <c r="H195" s="918">
        <f>(O122/$R122*100*($E122/365))+(O123/$R123*100*($E123/365))</f>
        <v>0</v>
      </c>
      <c r="I195" s="918"/>
      <c r="J195" s="918">
        <f>(P122/$R122*100*($E122/365))+(P123/$R123*100*($E123/365))</f>
        <v>67.25403817914831</v>
      </c>
      <c r="K195" s="918"/>
      <c r="L195" s="918">
        <f>(Q122/$R122*100*($E122/365))+(Q123/$R123*100*($E123/365))</f>
        <v>32.74596182085169</v>
      </c>
      <c r="M195" s="918"/>
      <c r="N195" s="919">
        <f t="shared" si="27"/>
        <v>100</v>
      </c>
      <c r="O195" s="947"/>
      <c r="R195" s="603">
        <v>2015</v>
      </c>
      <c r="S195" s="595">
        <f>(O122*($E122/365))+(O123*($E123/365))</f>
        <v>0</v>
      </c>
      <c r="T195" s="595">
        <f>(P122*($E122/365))+(P123*($E123/365))</f>
        <v>45.8</v>
      </c>
      <c r="U195" s="595">
        <f>(Q122*($E122/365))+(Q123*($E123/365))</f>
        <v>22.3</v>
      </c>
      <c r="V195" s="12"/>
      <c r="W195" s="599">
        <f>S195+T195+U195</f>
        <v>68.099999999999994</v>
      </c>
    </row>
    <row r="196" spans="1:23" s="603" customFormat="1">
      <c r="A196" s="668">
        <v>2016</v>
      </c>
      <c r="B196" s="666">
        <f>(K124*($E124/366))+(K125*($E125/366))</f>
        <v>0</v>
      </c>
      <c r="C196" s="666">
        <f>(L124*($E124/366))+(L125*($E125/366))</f>
        <v>75.409836065573757</v>
      </c>
      <c r="D196" s="666">
        <f>(M124*($E124/366))+(M125*($E125/366))</f>
        <v>11.475409836065571</v>
      </c>
      <c r="E196" s="52">
        <f>B196+C196+D196</f>
        <v>86.885245901639323</v>
      </c>
      <c r="F196" s="668"/>
      <c r="G196" s="668">
        <v>2016</v>
      </c>
      <c r="H196" s="918">
        <f>(O124/$R124*100*($E124/366))+(O125/$R125*100*($E125/366))</f>
        <v>0</v>
      </c>
      <c r="I196" s="918"/>
      <c r="J196" s="918">
        <f>(P124/$R124*100*($E124/366))+(P125/$R125*100*($E125/366))</f>
        <v>88.726800028887112</v>
      </c>
      <c r="K196" s="918"/>
      <c r="L196" s="918">
        <f>(Q124/$R124*100*($E124/366))+(Q125/$R125*100*($E125/366))</f>
        <v>11.273199971112877</v>
      </c>
      <c r="M196" s="918"/>
      <c r="N196" s="919">
        <f t="shared" si="27"/>
        <v>99.999999999999986</v>
      </c>
      <c r="O196" s="947"/>
      <c r="P196" s="668"/>
      <c r="Q196" s="668"/>
      <c r="R196" s="668">
        <v>2016</v>
      </c>
      <c r="S196" s="666">
        <f>(O124*($E124/366))+(O125*($E125/366))</f>
        <v>0</v>
      </c>
      <c r="T196" s="666">
        <f>(P124*($E124/366))+(P125*($E125/366))</f>
        <v>36.488524590163934</v>
      </c>
      <c r="U196" s="666">
        <f>(Q124*($E124/366))+(Q125*($E125/366))</f>
        <v>7.6770491803278693</v>
      </c>
      <c r="V196" s="12"/>
      <c r="W196" s="667">
        <f>S196+T196+U196</f>
        <v>44.165573770491804</v>
      </c>
    </row>
    <row r="197" spans="1:23">
      <c r="A197" s="749">
        <v>2017</v>
      </c>
      <c r="B197" s="744">
        <f>(K126*($E126/365))+(K127*($E127/365))</f>
        <v>0</v>
      </c>
      <c r="C197" s="744">
        <f t="shared" ref="C197:D197" si="28">(L126*($E126/365))+(L127*($E127/365))</f>
        <v>80</v>
      </c>
      <c r="D197" s="744">
        <f t="shared" si="28"/>
        <v>0</v>
      </c>
      <c r="E197" s="52">
        <f>B197+C197+D197</f>
        <v>80</v>
      </c>
      <c r="F197" s="749"/>
      <c r="G197" s="749">
        <v>2017</v>
      </c>
      <c r="H197" s="918">
        <f>(O126/$R126*100*($E126/365))+(O127/$R127*100*($E127/365))</f>
        <v>0</v>
      </c>
      <c r="I197" s="918"/>
      <c r="J197" s="918">
        <f>(P126/$R126*100*($E126/365))+(P127/$R127*100*($E127/365))</f>
        <v>100</v>
      </c>
      <c r="K197" s="918"/>
      <c r="L197" s="918">
        <f>(Q126/$R126*100*($E126/365))+(Q127/$R127*100*($E127/365))</f>
        <v>0</v>
      </c>
      <c r="M197" s="918"/>
      <c r="N197" s="919">
        <f t="shared" si="27"/>
        <v>100</v>
      </c>
      <c r="O197" s="947"/>
      <c r="P197" s="749"/>
      <c r="Q197" s="749"/>
      <c r="R197" s="749">
        <v>2017</v>
      </c>
      <c r="S197" s="744">
        <f>(O126*($E126/365))+(O127*($E127/365))</f>
        <v>0</v>
      </c>
      <c r="T197" s="744">
        <f t="shared" ref="T197:U197" si="29">(P126*($E126/365))+(P127*($E127/365))</f>
        <v>31.599999999999998</v>
      </c>
      <c r="U197" s="744">
        <f t="shared" si="29"/>
        <v>0</v>
      </c>
      <c r="V197" s="12"/>
      <c r="W197" s="746">
        <f>S197+T197+U197</f>
        <v>31.599999999999998</v>
      </c>
    </row>
    <row r="198" spans="1:23">
      <c r="A198" s="766">
        <v>2018</v>
      </c>
      <c r="B198" s="757">
        <f>(K128*($E128/365))+(K129*($E129/365))</f>
        <v>0</v>
      </c>
      <c r="C198" s="757">
        <f>(L128*($E128/365))+(L129*($E129/365))</f>
        <v>81.497716894977174</v>
      </c>
      <c r="D198" s="757">
        <f>(M128*($E128/365))+(M129*($E129/365))</f>
        <v>0</v>
      </c>
      <c r="E198" s="52">
        <f t="shared" ref="E198" si="30">B198+C198+D198</f>
        <v>81.497716894977174</v>
      </c>
      <c r="F198" s="766"/>
      <c r="G198" s="766">
        <v>2018</v>
      </c>
      <c r="H198" s="918">
        <f>(O128/$R128*100*($E128/365))+(O129/$R129*100*($E129/365))</f>
        <v>0</v>
      </c>
      <c r="I198" s="918"/>
      <c r="J198" s="918">
        <f>(P128/$R128*100*($E128/365))+(P129/$R129*100*($E129/365))</f>
        <v>100</v>
      </c>
      <c r="K198" s="918"/>
      <c r="L198" s="918">
        <f>(Q128/$R128*100*($E128/365))+(Q129/$R129*100*($E129/365))</f>
        <v>0</v>
      </c>
      <c r="M198" s="918"/>
      <c r="N198" s="919">
        <f t="shared" ref="N198" si="31">H198+J198+L198</f>
        <v>100</v>
      </c>
      <c r="O198" s="947"/>
      <c r="P198" s="766"/>
      <c r="Q198" s="766"/>
      <c r="R198" s="766">
        <v>2018</v>
      </c>
      <c r="S198" s="757">
        <f>(O128*($E128/365))+(O129*($E129/365))</f>
        <v>0</v>
      </c>
      <c r="T198" s="757">
        <f>(P128*($E128/365))+(P129*($E129/365))</f>
        <v>31.6</v>
      </c>
      <c r="U198" s="757">
        <f>(Q128*($E128/365))+(Q129*($E129/365))</f>
        <v>0</v>
      </c>
      <c r="V198" s="12"/>
      <c r="W198" s="762">
        <f t="shared" ref="W198" si="32">S198+T198+U198</f>
        <v>31.6</v>
      </c>
    </row>
    <row r="199" spans="1:23">
      <c r="A199" s="802">
        <v>2019</v>
      </c>
      <c r="B199" s="798">
        <f>(K130*($E130/365))+(K131*($E131/365))</f>
        <v>0</v>
      </c>
      <c r="C199" s="798">
        <f>(L130*($E130/365))+(L131*($E131/365))</f>
        <v>86.666666666666671</v>
      </c>
      <c r="D199" s="798">
        <f>(M130*($E130/365))+(M131*($E131/365))</f>
        <v>0</v>
      </c>
      <c r="E199" s="52">
        <f t="shared" ref="E199" si="33">B199+C199+D199</f>
        <v>86.666666666666671</v>
      </c>
      <c r="F199" s="802"/>
      <c r="G199" s="802">
        <v>2019</v>
      </c>
      <c r="H199" s="918">
        <f>(O130/$R130*100*($E130/365))+(O131/$R131*100*($E131/365))</f>
        <v>0</v>
      </c>
      <c r="I199" s="918"/>
      <c r="J199" s="918">
        <f>(P130/$R130*100*($E130/365))+(P131/$R131*100*($E131/365))</f>
        <v>100</v>
      </c>
      <c r="K199" s="918"/>
      <c r="L199" s="918">
        <f>(Q130/$R130*100*($E130/365))+(Q131/$R131*100*($E131/365))</f>
        <v>0</v>
      </c>
      <c r="M199" s="918"/>
      <c r="N199" s="919">
        <f t="shared" ref="N199" si="34">H199+J199+L199</f>
        <v>100</v>
      </c>
      <c r="O199" s="947"/>
      <c r="P199" s="802"/>
      <c r="Q199" s="802"/>
      <c r="R199" s="802">
        <v>2019</v>
      </c>
      <c r="S199" s="798">
        <f>(O130*($E130/365))+(O131*($E131/365))</f>
        <v>0</v>
      </c>
      <c r="T199" s="798">
        <f>(P130*($E130/365))+(P131*($E131/365))</f>
        <v>31.6</v>
      </c>
      <c r="U199" s="798">
        <f>(Q130*($E130/365))+(Q131*($E131/365))</f>
        <v>0</v>
      </c>
      <c r="V199" s="12"/>
      <c r="W199" s="801">
        <f t="shared" ref="W199" si="35">S199+T199+U199</f>
        <v>31.6</v>
      </c>
    </row>
    <row r="200" spans="1:23">
      <c r="H200" s="1"/>
    </row>
  </sheetData>
  <mergeCells count="398">
    <mergeCell ref="C130:D130"/>
    <mergeCell ref="C131:D131"/>
    <mergeCell ref="H199:I199"/>
    <mergeCell ref="J199:K199"/>
    <mergeCell ref="L199:M199"/>
    <mergeCell ref="N199:O199"/>
    <mergeCell ref="H146:I146"/>
    <mergeCell ref="J146:K146"/>
    <mergeCell ref="L146:M146"/>
    <mergeCell ref="J149:K149"/>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C128:D128"/>
    <mergeCell ref="C129:D129"/>
    <mergeCell ref="H198:I198"/>
    <mergeCell ref="J198:K198"/>
    <mergeCell ref="L198:M198"/>
    <mergeCell ref="N198:O198"/>
    <mergeCell ref="H197:I197"/>
    <mergeCell ref="J197:K197"/>
    <mergeCell ref="L197:M197"/>
    <mergeCell ref="N197:O197"/>
    <mergeCell ref="N146:O146"/>
    <mergeCell ref="L147:M147"/>
    <mergeCell ref="N147:O147"/>
    <mergeCell ref="H148:I148"/>
    <mergeCell ref="J148:K148"/>
    <mergeCell ref="L148:M148"/>
    <mergeCell ref="N148:O148"/>
    <mergeCell ref="L151:M151"/>
    <mergeCell ref="N151:O151"/>
    <mergeCell ref="H152:I152"/>
    <mergeCell ref="J152:K152"/>
    <mergeCell ref="L150:M150"/>
    <mergeCell ref="N150:O150"/>
    <mergeCell ref="H149:I149"/>
    <mergeCell ref="C99:D99"/>
    <mergeCell ref="C100:D100"/>
    <mergeCell ref="C101:D101"/>
    <mergeCell ref="C102:D102"/>
    <mergeCell ref="C103:D103"/>
    <mergeCell ref="C104:D104"/>
    <mergeCell ref="C105:D105"/>
    <mergeCell ref="C127:D127"/>
    <mergeCell ref="N194:O194"/>
    <mergeCell ref="C120:D120"/>
    <mergeCell ref="C121:D121"/>
    <mergeCell ref="H194:I194"/>
    <mergeCell ref="J194:K194"/>
    <mergeCell ref="L194:M194"/>
    <mergeCell ref="L139:M139"/>
    <mergeCell ref="N139:O139"/>
    <mergeCell ref="L138:M138"/>
    <mergeCell ref="N138:O138"/>
    <mergeCell ref="H141:I141"/>
    <mergeCell ref="J141:K141"/>
    <mergeCell ref="L141:M141"/>
    <mergeCell ref="N141:O141"/>
    <mergeCell ref="H142:I142"/>
    <mergeCell ref="J142:K142"/>
    <mergeCell ref="C119:D119"/>
    <mergeCell ref="C126:D126"/>
    <mergeCell ref="C88:D88"/>
    <mergeCell ref="C89:D89"/>
    <mergeCell ref="C90:D90"/>
    <mergeCell ref="C91:D91"/>
    <mergeCell ref="C92:D92"/>
    <mergeCell ref="C93:D93"/>
    <mergeCell ref="C94:D94"/>
    <mergeCell ref="C95:D95"/>
    <mergeCell ref="C96:D96"/>
    <mergeCell ref="C106:D106"/>
    <mergeCell ref="C107:D107"/>
    <mergeCell ref="C108:D108"/>
    <mergeCell ref="C115:D115"/>
    <mergeCell ref="C116:D116"/>
    <mergeCell ref="C109:D109"/>
    <mergeCell ref="C110:D110"/>
    <mergeCell ref="C111:D111"/>
    <mergeCell ref="C112:D112"/>
    <mergeCell ref="C113:D113"/>
    <mergeCell ref="C114:D114"/>
    <mergeCell ref="C97:D97"/>
    <mergeCell ref="C98:D98"/>
    <mergeCell ref="C79:D79"/>
    <mergeCell ref="C80:D80"/>
    <mergeCell ref="C81:D81"/>
    <mergeCell ref="C82:D82"/>
    <mergeCell ref="C83:D83"/>
    <mergeCell ref="C84:D84"/>
    <mergeCell ref="C85:D85"/>
    <mergeCell ref="C86:D86"/>
    <mergeCell ref="C87:D87"/>
    <mergeCell ref="C70:D70"/>
    <mergeCell ref="C71:D71"/>
    <mergeCell ref="C72:D72"/>
    <mergeCell ref="C73:D73"/>
    <mergeCell ref="C74:D74"/>
    <mergeCell ref="C75:D75"/>
    <mergeCell ref="C76:D76"/>
    <mergeCell ref="C77:D77"/>
    <mergeCell ref="C78:D78"/>
    <mergeCell ref="C61:D61"/>
    <mergeCell ref="C62:D62"/>
    <mergeCell ref="C63:D63"/>
    <mergeCell ref="C64:D64"/>
    <mergeCell ref="C65:D65"/>
    <mergeCell ref="C66:D66"/>
    <mergeCell ref="C67:D67"/>
    <mergeCell ref="C68:D68"/>
    <mergeCell ref="C69:D69"/>
    <mergeCell ref="C52:D52"/>
    <mergeCell ref="C53:D53"/>
    <mergeCell ref="C54:D54"/>
    <mergeCell ref="C55:D55"/>
    <mergeCell ref="C56:D56"/>
    <mergeCell ref="C57:D57"/>
    <mergeCell ref="C58:D58"/>
    <mergeCell ref="C59:D59"/>
    <mergeCell ref="C60:D60"/>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AH4:AK4"/>
    <mergeCell ref="AL4:AO4"/>
    <mergeCell ref="U4:U5"/>
    <mergeCell ref="V4:Y4"/>
    <mergeCell ref="AP4:AS4"/>
    <mergeCell ref="C8:D8"/>
    <mergeCell ref="K4:N4"/>
    <mergeCell ref="O4:R4"/>
    <mergeCell ref="S4:S5"/>
    <mergeCell ref="T4:T5"/>
    <mergeCell ref="Z4:AC4"/>
    <mergeCell ref="AD4:AG4"/>
    <mergeCell ref="C7:D7"/>
    <mergeCell ref="C6:D6"/>
    <mergeCell ref="A4:A5"/>
    <mergeCell ref="B4:B5"/>
    <mergeCell ref="C4:D5"/>
    <mergeCell ref="E4:E5"/>
    <mergeCell ref="H138:I138"/>
    <mergeCell ref="J138:K138"/>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G3:M3"/>
    <mergeCell ref="O3:Q3"/>
    <mergeCell ref="H140:I140"/>
    <mergeCell ref="J140:K140"/>
    <mergeCell ref="L140:M140"/>
    <mergeCell ref="N140:O140"/>
    <mergeCell ref="H139:I139"/>
    <mergeCell ref="J139:K139"/>
    <mergeCell ref="H145:I145"/>
    <mergeCell ref="J145:K145"/>
    <mergeCell ref="L145:M145"/>
    <mergeCell ref="N145:O145"/>
    <mergeCell ref="H143:I143"/>
    <mergeCell ref="J143:K143"/>
    <mergeCell ref="L143:M143"/>
    <mergeCell ref="N143:O143"/>
    <mergeCell ref="H144:I144"/>
    <mergeCell ref="J144:K144"/>
    <mergeCell ref="L144:M144"/>
    <mergeCell ref="N144:O144"/>
    <mergeCell ref="L142:M142"/>
    <mergeCell ref="N142:O142"/>
    <mergeCell ref="L152:M152"/>
    <mergeCell ref="N152:O152"/>
    <mergeCell ref="L149:M149"/>
    <mergeCell ref="N149:O149"/>
    <mergeCell ref="H150:I150"/>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L163:M163"/>
    <mergeCell ref="N163:O163"/>
    <mergeCell ref="H164:I164"/>
    <mergeCell ref="J164:K164"/>
    <mergeCell ref="L164:M164"/>
    <mergeCell ref="N164:O164"/>
    <mergeCell ref="J167:K167"/>
    <mergeCell ref="H161:I161"/>
    <mergeCell ref="J161:K161"/>
    <mergeCell ref="L161:M161"/>
    <mergeCell ref="N161:O161"/>
    <mergeCell ref="H162:I162"/>
    <mergeCell ref="J162:K162"/>
    <mergeCell ref="L162:M162"/>
    <mergeCell ref="N162:O162"/>
    <mergeCell ref="H190:I190"/>
    <mergeCell ref="H179:I179"/>
    <mergeCell ref="H180:I180"/>
    <mergeCell ref="H181:I181"/>
    <mergeCell ref="H182:I182"/>
    <mergeCell ref="H183:I183"/>
    <mergeCell ref="H184:I184"/>
    <mergeCell ref="H177:I177"/>
    <mergeCell ref="H178:I178"/>
    <mergeCell ref="H185:I185"/>
    <mergeCell ref="H186:I186"/>
    <mergeCell ref="H187:I187"/>
    <mergeCell ref="R136:W136"/>
    <mergeCell ref="N182:O182"/>
    <mergeCell ref="N183:O183"/>
    <mergeCell ref="N167:O167"/>
    <mergeCell ref="N168:O168"/>
    <mergeCell ref="C118:D118"/>
    <mergeCell ref="N171:O171"/>
    <mergeCell ref="N176:O176"/>
    <mergeCell ref="N177:O177"/>
    <mergeCell ref="N178:O178"/>
    <mergeCell ref="N179:O179"/>
    <mergeCell ref="L183:M183"/>
    <mergeCell ref="L177:M177"/>
    <mergeCell ref="L178:M178"/>
    <mergeCell ref="N172:O172"/>
    <mergeCell ref="N173:O173"/>
    <mergeCell ref="N174:O174"/>
    <mergeCell ref="N175:O175"/>
    <mergeCell ref="N169:O169"/>
    <mergeCell ref="N170:O170"/>
    <mergeCell ref="N180:O180"/>
    <mergeCell ref="J179:K179"/>
    <mergeCell ref="H167:I167"/>
    <mergeCell ref="H168:I168"/>
    <mergeCell ref="L173:M173"/>
    <mergeCell ref="L174:M174"/>
    <mergeCell ref="L175:M175"/>
    <mergeCell ref="C117:D117"/>
    <mergeCell ref="B133:G133"/>
    <mergeCell ref="O133:Q133"/>
    <mergeCell ref="H169:I169"/>
    <mergeCell ref="H170:I170"/>
    <mergeCell ref="H171:I171"/>
    <mergeCell ref="H172:I172"/>
    <mergeCell ref="H165:I165"/>
    <mergeCell ref="J165:K165"/>
    <mergeCell ref="L165:M165"/>
    <mergeCell ref="L168:M168"/>
    <mergeCell ref="L169:M169"/>
    <mergeCell ref="L170:M170"/>
    <mergeCell ref="L171:M171"/>
    <mergeCell ref="L172:M172"/>
    <mergeCell ref="N165:O165"/>
    <mergeCell ref="H166:I166"/>
    <mergeCell ref="J166:K166"/>
    <mergeCell ref="L166:M166"/>
    <mergeCell ref="N166:O166"/>
    <mergeCell ref="L167:M167"/>
    <mergeCell ref="H175:I175"/>
    <mergeCell ref="H176:I176"/>
    <mergeCell ref="J180:K180"/>
    <mergeCell ref="J181:K181"/>
    <mergeCell ref="J175:K175"/>
    <mergeCell ref="J176:K176"/>
    <mergeCell ref="J177:K177"/>
    <mergeCell ref="J178:K178"/>
    <mergeCell ref="L184:M184"/>
    <mergeCell ref="J184:K184"/>
    <mergeCell ref="L181:M181"/>
    <mergeCell ref="L182:M182"/>
    <mergeCell ref="J183:K183"/>
    <mergeCell ref="J168:K168"/>
    <mergeCell ref="J169:K169"/>
    <mergeCell ref="J170:K170"/>
    <mergeCell ref="J171:K171"/>
    <mergeCell ref="J172:K172"/>
    <mergeCell ref="J173:K173"/>
    <mergeCell ref="J174:K174"/>
    <mergeCell ref="C122:D122"/>
    <mergeCell ref="C123:D123"/>
    <mergeCell ref="C124:D124"/>
    <mergeCell ref="C125:D125"/>
    <mergeCell ref="H173:I173"/>
    <mergeCell ref="H174:I174"/>
    <mergeCell ref="H163:I163"/>
    <mergeCell ref="J163:K163"/>
    <mergeCell ref="H159:I159"/>
    <mergeCell ref="J159:K159"/>
    <mergeCell ref="H155:I155"/>
    <mergeCell ref="J155:K155"/>
    <mergeCell ref="H151:I151"/>
    <mergeCell ref="J151:K151"/>
    <mergeCell ref="H147:I147"/>
    <mergeCell ref="J147:K147"/>
    <mergeCell ref="J150:K150"/>
    <mergeCell ref="AT4:AW4"/>
    <mergeCell ref="AX4:BA4"/>
    <mergeCell ref="H193:I193"/>
    <mergeCell ref="J193:K193"/>
    <mergeCell ref="L193:M193"/>
    <mergeCell ref="N193:O193"/>
    <mergeCell ref="N188:O188"/>
    <mergeCell ref="N189:O189"/>
    <mergeCell ref="L188:M188"/>
    <mergeCell ref="N187:O187"/>
    <mergeCell ref="L176:M176"/>
    <mergeCell ref="L179:M179"/>
    <mergeCell ref="L180:M180"/>
    <mergeCell ref="J188:K188"/>
    <mergeCell ref="J189:K189"/>
    <mergeCell ref="J190:K190"/>
    <mergeCell ref="J191:K191"/>
    <mergeCell ref="J182:K182"/>
    <mergeCell ref="N192:O192"/>
    <mergeCell ref="N190:O190"/>
    <mergeCell ref="N191:O191"/>
    <mergeCell ref="L191:M191"/>
    <mergeCell ref="H191:I191"/>
    <mergeCell ref="L190:M190"/>
    <mergeCell ref="N181:O181"/>
    <mergeCell ref="N184:O184"/>
    <mergeCell ref="N185:O185"/>
    <mergeCell ref="N186:O186"/>
    <mergeCell ref="L187:M187"/>
    <mergeCell ref="H196:I196"/>
    <mergeCell ref="J196:K196"/>
    <mergeCell ref="L196:M196"/>
    <mergeCell ref="N196:O196"/>
    <mergeCell ref="H195:I195"/>
    <mergeCell ref="J195:K195"/>
    <mergeCell ref="L195:M195"/>
    <mergeCell ref="N195:O195"/>
    <mergeCell ref="L189:M189"/>
    <mergeCell ref="H189:I189"/>
    <mergeCell ref="H192:I192"/>
    <mergeCell ref="J192:K192"/>
    <mergeCell ref="L192:M192"/>
    <mergeCell ref="L186:M186"/>
    <mergeCell ref="H188:I188"/>
    <mergeCell ref="J185:K185"/>
    <mergeCell ref="J186:K186"/>
    <mergeCell ref="J187:K187"/>
    <mergeCell ref="L185:M18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FD219"/>
  <sheetViews>
    <sheetView zoomScale="166" zoomScaleNormal="120" workbookViewId="0">
      <pane xSplit="1" ySplit="5" topLeftCell="B6" activePane="bottomRight" state="frozen"/>
      <selection pane="topRight" activeCell="B1" sqref="B1"/>
      <selection pane="bottomLeft" activeCell="A6" sqref="A6"/>
      <selection pane="bottomRight" activeCell="T152" sqref="T6:U15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37" customWidth="1"/>
    <col min="47" max="52" width="5.6640625" style="1" customWidth="1"/>
    <col min="53" max="53" width="5.6640625" style="2" customWidth="1"/>
    <col min="54" max="16384" width="10.6640625" style="1"/>
  </cols>
  <sheetData>
    <row r="1" spans="1:53" s="2" customFormat="1" ht="15" customHeight="1">
      <c r="B1" s="22" t="s">
        <v>14</v>
      </c>
      <c r="AT1" s="36"/>
      <c r="BA1" s="3"/>
    </row>
    <row r="2" spans="1:53" s="2" customFormat="1" ht="15" customHeight="1">
      <c r="B2" s="22" t="s">
        <v>59</v>
      </c>
      <c r="AT2" s="36"/>
      <c r="BA2" s="3"/>
    </row>
    <row r="3" spans="1:53" s="2" customFormat="1">
      <c r="G3" s="924"/>
      <c r="H3" s="924"/>
      <c r="I3" s="924"/>
      <c r="J3" s="924"/>
      <c r="K3" s="924"/>
      <c r="L3" s="924"/>
      <c r="M3" s="924"/>
      <c r="O3" s="924"/>
      <c r="P3" s="924"/>
      <c r="Q3" s="924"/>
      <c r="AT3" s="36"/>
      <c r="BA3" s="3"/>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8" t="s">
        <v>23</v>
      </c>
      <c r="AU5" s="307" t="s">
        <v>24</v>
      </c>
      <c r="AV5" s="307" t="s">
        <v>25</v>
      </c>
      <c r="AW5" s="309" t="s">
        <v>1202</v>
      </c>
      <c r="AX5" s="307" t="s">
        <v>23</v>
      </c>
      <c r="AY5" s="307" t="s">
        <v>24</v>
      </c>
      <c r="AZ5" s="307" t="s">
        <v>25</v>
      </c>
      <c r="BA5" s="310" t="s">
        <v>1202</v>
      </c>
    </row>
    <row r="6" spans="1:53" s="227" customFormat="1">
      <c r="A6" s="233">
        <v>1959</v>
      </c>
      <c r="B6" s="853"/>
      <c r="C6" s="925" t="s">
        <v>1236</v>
      </c>
      <c r="D6" s="925"/>
      <c r="E6" s="457">
        <v>46</v>
      </c>
      <c r="F6" s="457"/>
      <c r="G6" s="235"/>
      <c r="H6" s="457">
        <v>17</v>
      </c>
      <c r="I6" s="457">
        <v>3</v>
      </c>
      <c r="J6" s="242">
        <v>20</v>
      </c>
      <c r="K6" s="218">
        <f t="shared" ref="K6:M8" si="0">G6/$J6*100</f>
        <v>0</v>
      </c>
      <c r="L6" s="218">
        <f t="shared" si="0"/>
        <v>85</v>
      </c>
      <c r="M6" s="218">
        <f t="shared" si="0"/>
        <v>15</v>
      </c>
      <c r="N6" s="237">
        <f>K6+L6+M6</f>
        <v>100</v>
      </c>
      <c r="O6" s="217"/>
      <c r="P6" s="218">
        <v>45.8</v>
      </c>
      <c r="Q6" s="218">
        <v>3.7</v>
      </c>
      <c r="R6" s="219">
        <f>O6+P6+Q6</f>
        <v>49.5</v>
      </c>
      <c r="S6" s="457">
        <v>5</v>
      </c>
      <c r="T6" s="870"/>
      <c r="U6" s="853"/>
      <c r="V6" s="226" t="s">
        <v>506</v>
      </c>
      <c r="W6" s="227" t="s">
        <v>17</v>
      </c>
      <c r="X6" s="227" t="s">
        <v>18</v>
      </c>
      <c r="Y6" s="228">
        <v>45.8</v>
      </c>
      <c r="Z6" s="227" t="s">
        <v>507</v>
      </c>
      <c r="AA6" s="227" t="s">
        <v>97</v>
      </c>
      <c r="AB6" s="227" t="s">
        <v>12</v>
      </c>
      <c r="AC6" s="227">
        <v>3.7</v>
      </c>
      <c r="AD6" s="226"/>
      <c r="AG6" s="228"/>
      <c r="AL6" s="226"/>
      <c r="AO6" s="228"/>
      <c r="AP6" s="226"/>
      <c r="AT6" s="257"/>
      <c r="AU6" s="258"/>
      <c r="AV6" s="258"/>
      <c r="AW6" s="259"/>
      <c r="BA6" s="229"/>
    </row>
    <row r="7" spans="1:53" s="227" customFormat="1">
      <c r="A7" s="233">
        <v>1959</v>
      </c>
      <c r="B7" s="853">
        <v>21597</v>
      </c>
      <c r="C7" s="925" t="s">
        <v>707</v>
      </c>
      <c r="D7" s="925"/>
      <c r="E7" s="457">
        <f xml:space="preserve"> 365-E6</f>
        <v>319</v>
      </c>
      <c r="F7" s="457">
        <v>4</v>
      </c>
      <c r="G7" s="235"/>
      <c r="H7" s="457">
        <v>21</v>
      </c>
      <c r="I7" s="457"/>
      <c r="J7" s="242">
        <v>21</v>
      </c>
      <c r="K7" s="218">
        <f t="shared" si="0"/>
        <v>0</v>
      </c>
      <c r="L7" s="218">
        <f t="shared" si="0"/>
        <v>100</v>
      </c>
      <c r="M7" s="218">
        <f t="shared" si="0"/>
        <v>0</v>
      </c>
      <c r="N7" s="237">
        <f>K7+L7+M7</f>
        <v>100</v>
      </c>
      <c r="O7" s="217"/>
      <c r="P7" s="218">
        <v>45.8</v>
      </c>
      <c r="Q7" s="218"/>
      <c r="R7" s="219">
        <f>O7+P7+Q7</f>
        <v>45.8</v>
      </c>
      <c r="S7" s="457">
        <v>4</v>
      </c>
      <c r="T7" s="870"/>
      <c r="U7" s="853">
        <v>21597</v>
      </c>
      <c r="V7" s="226" t="s">
        <v>506</v>
      </c>
      <c r="W7" s="227" t="s">
        <v>17</v>
      </c>
      <c r="X7" s="227" t="s">
        <v>18</v>
      </c>
      <c r="Y7" s="228">
        <v>45.8</v>
      </c>
      <c r="AD7" s="226"/>
      <c r="AG7" s="228"/>
      <c r="AL7" s="226"/>
      <c r="AO7" s="228"/>
      <c r="AP7" s="226"/>
      <c r="AS7" s="228"/>
      <c r="AT7" s="252"/>
      <c r="AU7" s="285"/>
      <c r="AV7" s="285"/>
      <c r="AW7" s="228"/>
      <c r="BA7" s="229"/>
    </row>
    <row r="8" spans="1:53" s="73" customFormat="1">
      <c r="A8" s="101">
        <v>1960</v>
      </c>
      <c r="B8" s="852"/>
      <c r="C8" s="917" t="s">
        <v>707</v>
      </c>
      <c r="D8" s="917"/>
      <c r="E8" s="455">
        <v>84</v>
      </c>
      <c r="F8" s="455"/>
      <c r="G8" s="411"/>
      <c r="H8" s="455">
        <v>21</v>
      </c>
      <c r="I8" s="455"/>
      <c r="J8" s="413">
        <v>21</v>
      </c>
      <c r="K8" s="409">
        <f t="shared" si="0"/>
        <v>0</v>
      </c>
      <c r="L8" s="409">
        <f t="shared" si="0"/>
        <v>100</v>
      </c>
      <c r="M8" s="409">
        <f t="shared" si="0"/>
        <v>0</v>
      </c>
      <c r="N8" s="412">
        <f>K8+L8+M8</f>
        <v>100</v>
      </c>
      <c r="O8" s="408"/>
      <c r="P8" s="409">
        <v>45.8</v>
      </c>
      <c r="Q8" s="409"/>
      <c r="R8" s="410">
        <f>O8+P8+Q8</f>
        <v>45.8</v>
      </c>
      <c r="S8" s="455">
        <v>4</v>
      </c>
      <c r="T8" s="839"/>
      <c r="U8" s="852"/>
      <c r="V8" s="82" t="s">
        <v>506</v>
      </c>
      <c r="W8" s="73" t="s">
        <v>17</v>
      </c>
      <c r="X8" s="73" t="s">
        <v>18</v>
      </c>
      <c r="Y8" s="83">
        <v>45.8</v>
      </c>
      <c r="AD8" s="82"/>
      <c r="AG8" s="83"/>
      <c r="AL8" s="82"/>
      <c r="AO8" s="83"/>
      <c r="AP8" s="82"/>
      <c r="AT8" s="147"/>
      <c r="AU8" s="284"/>
      <c r="AV8" s="284"/>
      <c r="AW8" s="83"/>
      <c r="BA8" s="84"/>
    </row>
    <row r="9" spans="1:53" s="292" customFormat="1">
      <c r="A9" s="338">
        <v>1960</v>
      </c>
      <c r="B9" s="836">
        <v>22000</v>
      </c>
      <c r="C9" s="916" t="s">
        <v>708</v>
      </c>
      <c r="D9" s="916"/>
      <c r="E9" s="456">
        <v>123</v>
      </c>
      <c r="F9" s="456">
        <v>5</v>
      </c>
      <c r="G9" s="425"/>
      <c r="H9" s="456">
        <v>22</v>
      </c>
      <c r="I9" s="456"/>
      <c r="J9" s="427">
        <v>22</v>
      </c>
      <c r="K9" s="423">
        <f t="shared" ref="K9:M24" si="1">G9/$J9*100</f>
        <v>0</v>
      </c>
      <c r="L9" s="423">
        <f t="shared" si="1"/>
        <v>100</v>
      </c>
      <c r="M9" s="423">
        <f t="shared" si="1"/>
        <v>0</v>
      </c>
      <c r="N9" s="426">
        <f t="shared" ref="N9:N72" si="2">K9+L9+M9</f>
        <v>100</v>
      </c>
      <c r="O9" s="422"/>
      <c r="P9" s="423">
        <v>45.8</v>
      </c>
      <c r="Q9" s="423"/>
      <c r="R9" s="424">
        <f t="shared" ref="R9:R72" si="3">O9+P9+Q9</f>
        <v>45.8</v>
      </c>
      <c r="S9" s="456">
        <v>4</v>
      </c>
      <c r="T9" s="838"/>
      <c r="U9" s="836">
        <v>22000</v>
      </c>
      <c r="V9" s="299" t="s">
        <v>506</v>
      </c>
      <c r="W9" s="292" t="s">
        <v>17</v>
      </c>
      <c r="X9" s="292" t="s">
        <v>18</v>
      </c>
      <c r="Y9" s="300">
        <v>45.8</v>
      </c>
      <c r="AD9" s="299"/>
      <c r="AG9" s="300"/>
      <c r="AL9" s="299"/>
      <c r="AO9" s="300"/>
      <c r="AP9" s="299"/>
      <c r="AT9" s="388"/>
      <c r="AW9" s="300"/>
      <c r="BA9" s="301"/>
    </row>
    <row r="10" spans="1:53" s="73" customFormat="1">
      <c r="A10" s="101">
        <v>1960</v>
      </c>
      <c r="B10" s="852">
        <v>22123</v>
      </c>
      <c r="C10" s="917" t="s">
        <v>709</v>
      </c>
      <c r="D10" s="917"/>
      <c r="E10" s="455">
        <f>366-E9-E8</f>
        <v>159</v>
      </c>
      <c r="F10" s="455">
        <v>5</v>
      </c>
      <c r="G10" s="411"/>
      <c r="H10" s="455">
        <v>24</v>
      </c>
      <c r="I10" s="455"/>
      <c r="J10" s="413">
        <v>24</v>
      </c>
      <c r="K10" s="409">
        <f t="shared" si="1"/>
        <v>0</v>
      </c>
      <c r="L10" s="409">
        <f t="shared" si="1"/>
        <v>100</v>
      </c>
      <c r="M10" s="409">
        <f t="shared" si="1"/>
        <v>0</v>
      </c>
      <c r="N10" s="412">
        <f t="shared" si="2"/>
        <v>100</v>
      </c>
      <c r="O10" s="408"/>
      <c r="P10" s="409">
        <v>45.8</v>
      </c>
      <c r="Q10" s="409"/>
      <c r="R10" s="410">
        <f t="shared" si="3"/>
        <v>45.8</v>
      </c>
      <c r="S10" s="455">
        <v>4</v>
      </c>
      <c r="T10" s="839"/>
      <c r="U10" s="852">
        <v>22123</v>
      </c>
      <c r="V10" s="82" t="s">
        <v>506</v>
      </c>
      <c r="W10" s="73" t="s">
        <v>17</v>
      </c>
      <c r="X10" s="73" t="s">
        <v>18</v>
      </c>
      <c r="Y10" s="83">
        <v>45.8</v>
      </c>
      <c r="AD10" s="82"/>
      <c r="AG10" s="83"/>
      <c r="AL10" s="82"/>
      <c r="AO10" s="83"/>
      <c r="AP10" s="82"/>
      <c r="AT10" s="147"/>
      <c r="AW10" s="83"/>
      <c r="BA10" s="84"/>
    </row>
    <row r="11" spans="1:53" s="73" customFormat="1">
      <c r="A11" s="101">
        <v>1961</v>
      </c>
      <c r="B11" s="852"/>
      <c r="C11" s="917" t="s">
        <v>709</v>
      </c>
      <c r="D11" s="917"/>
      <c r="E11" s="455">
        <v>0</v>
      </c>
      <c r="F11" s="455"/>
      <c r="G11" s="411"/>
      <c r="H11" s="455">
        <v>24</v>
      </c>
      <c r="I11" s="455"/>
      <c r="J11" s="413">
        <v>24</v>
      </c>
      <c r="K11" s="409">
        <f t="shared" si="1"/>
        <v>0</v>
      </c>
      <c r="L11" s="409">
        <f t="shared" si="1"/>
        <v>100</v>
      </c>
      <c r="M11" s="409">
        <f t="shared" si="1"/>
        <v>0</v>
      </c>
      <c r="N11" s="412">
        <f t="shared" si="2"/>
        <v>100</v>
      </c>
      <c r="O11" s="408"/>
      <c r="P11" s="409">
        <v>45.8</v>
      </c>
      <c r="Q11" s="409"/>
      <c r="R11" s="410">
        <f t="shared" si="3"/>
        <v>45.8</v>
      </c>
      <c r="S11" s="455">
        <v>4</v>
      </c>
      <c r="T11" s="839"/>
      <c r="U11" s="852"/>
      <c r="V11" s="82" t="s">
        <v>506</v>
      </c>
      <c r="W11" s="73" t="s">
        <v>17</v>
      </c>
      <c r="X11" s="73" t="s">
        <v>18</v>
      </c>
      <c r="Y11" s="83">
        <v>45.8</v>
      </c>
      <c r="AD11" s="82"/>
      <c r="AG11" s="83"/>
      <c r="AL11" s="82"/>
      <c r="AO11" s="83"/>
      <c r="AP11" s="82"/>
      <c r="AT11" s="147"/>
      <c r="AW11" s="83"/>
      <c r="BA11" s="84"/>
    </row>
    <row r="12" spans="1:53" s="73" customFormat="1">
      <c r="A12" s="101">
        <v>1961</v>
      </c>
      <c r="B12" s="852"/>
      <c r="C12" s="917" t="s">
        <v>709</v>
      </c>
      <c r="D12" s="917"/>
      <c r="E12" s="455">
        <v>365</v>
      </c>
      <c r="F12" s="455"/>
      <c r="G12" s="411"/>
      <c r="H12" s="455">
        <v>24</v>
      </c>
      <c r="I12" s="455"/>
      <c r="J12" s="413">
        <v>24</v>
      </c>
      <c r="K12" s="409">
        <f t="shared" si="1"/>
        <v>0</v>
      </c>
      <c r="L12" s="409">
        <f t="shared" si="1"/>
        <v>100</v>
      </c>
      <c r="M12" s="409">
        <f t="shared" si="1"/>
        <v>0</v>
      </c>
      <c r="N12" s="412">
        <f t="shared" si="2"/>
        <v>100</v>
      </c>
      <c r="O12" s="408"/>
      <c r="P12" s="409">
        <v>45.8</v>
      </c>
      <c r="Q12" s="409"/>
      <c r="R12" s="410">
        <f t="shared" si="3"/>
        <v>45.8</v>
      </c>
      <c r="S12" s="455">
        <v>4</v>
      </c>
      <c r="T12" s="839"/>
      <c r="U12" s="852"/>
      <c r="V12" s="82" t="s">
        <v>506</v>
      </c>
      <c r="W12" s="73" t="s">
        <v>17</v>
      </c>
      <c r="X12" s="73" t="s">
        <v>18</v>
      </c>
      <c r="Y12" s="83">
        <v>45.8</v>
      </c>
      <c r="AD12" s="82"/>
      <c r="AG12" s="83"/>
      <c r="AL12" s="82"/>
      <c r="AO12" s="83"/>
      <c r="AP12" s="82"/>
      <c r="AT12" s="147"/>
      <c r="AW12" s="83"/>
      <c r="BA12" s="84"/>
    </row>
    <row r="13" spans="1:53" s="73" customFormat="1">
      <c r="A13" s="101">
        <v>1962</v>
      </c>
      <c r="B13" s="852"/>
      <c r="C13" s="917" t="s">
        <v>709</v>
      </c>
      <c r="D13" s="917"/>
      <c r="E13" s="455">
        <v>51</v>
      </c>
      <c r="F13" s="455"/>
      <c r="G13" s="411"/>
      <c r="H13" s="455">
        <v>24</v>
      </c>
      <c r="I13" s="455"/>
      <c r="J13" s="413">
        <v>24</v>
      </c>
      <c r="K13" s="409">
        <f t="shared" si="1"/>
        <v>0</v>
      </c>
      <c r="L13" s="409">
        <f t="shared" si="1"/>
        <v>100</v>
      </c>
      <c r="M13" s="409">
        <f t="shared" si="1"/>
        <v>0</v>
      </c>
      <c r="N13" s="412">
        <f t="shared" si="2"/>
        <v>100</v>
      </c>
      <c r="O13" s="408"/>
      <c r="P13" s="409">
        <v>45.8</v>
      </c>
      <c r="Q13" s="409"/>
      <c r="R13" s="410">
        <f t="shared" si="3"/>
        <v>45.8</v>
      </c>
      <c r="S13" s="455">
        <v>4</v>
      </c>
      <c r="T13" s="839"/>
      <c r="U13" s="852"/>
      <c r="V13" s="82" t="s">
        <v>506</v>
      </c>
      <c r="W13" s="73" t="s">
        <v>17</v>
      </c>
      <c r="X13" s="73" t="s">
        <v>18</v>
      </c>
      <c r="Y13" s="83">
        <v>45.8</v>
      </c>
      <c r="AD13" s="82"/>
      <c r="AG13" s="83"/>
      <c r="AL13" s="82"/>
      <c r="AO13" s="83"/>
      <c r="AP13" s="82"/>
      <c r="AT13" s="147"/>
      <c r="AW13" s="83"/>
      <c r="BA13" s="84"/>
    </row>
    <row r="14" spans="1:53" s="292" customFormat="1">
      <c r="A14" s="338">
        <v>1962</v>
      </c>
      <c r="B14" s="836">
        <v>22698</v>
      </c>
      <c r="C14" s="916" t="s">
        <v>710</v>
      </c>
      <c r="D14" s="916"/>
      <c r="E14" s="456">
        <f>365-E13</f>
        <v>314</v>
      </c>
      <c r="F14" s="456">
        <v>2</v>
      </c>
      <c r="G14" s="425"/>
      <c r="H14" s="456">
        <v>21</v>
      </c>
      <c r="I14" s="456">
        <v>3</v>
      </c>
      <c r="J14" s="427">
        <v>24</v>
      </c>
      <c r="K14" s="423">
        <f t="shared" si="1"/>
        <v>0</v>
      </c>
      <c r="L14" s="423">
        <f t="shared" si="1"/>
        <v>87.5</v>
      </c>
      <c r="M14" s="423">
        <f t="shared" si="1"/>
        <v>12.5</v>
      </c>
      <c r="N14" s="426">
        <f t="shared" si="2"/>
        <v>100</v>
      </c>
      <c r="O14" s="422"/>
      <c r="P14" s="423">
        <v>46.8</v>
      </c>
      <c r="Q14" s="423">
        <v>3.7</v>
      </c>
      <c r="R14" s="424">
        <f t="shared" si="3"/>
        <v>50.5</v>
      </c>
      <c r="S14" s="456">
        <v>2</v>
      </c>
      <c r="T14" s="838"/>
      <c r="U14" s="836">
        <v>22698</v>
      </c>
      <c r="V14" s="299" t="s">
        <v>506</v>
      </c>
      <c r="W14" s="292" t="s">
        <v>17</v>
      </c>
      <c r="X14" s="292" t="s">
        <v>18</v>
      </c>
      <c r="Y14" s="300">
        <v>45.8</v>
      </c>
      <c r="Z14" s="292" t="s">
        <v>507</v>
      </c>
      <c r="AA14" s="292" t="s">
        <v>97</v>
      </c>
      <c r="AB14" s="292" t="s">
        <v>12</v>
      </c>
      <c r="AC14" s="292">
        <v>3.7</v>
      </c>
      <c r="AD14" s="299" t="s">
        <v>508</v>
      </c>
      <c r="AE14" s="292" t="s">
        <v>88</v>
      </c>
      <c r="AF14" s="292" t="s">
        <v>18</v>
      </c>
      <c r="AG14" s="300">
        <v>1</v>
      </c>
      <c r="AL14" s="299"/>
      <c r="AO14" s="300"/>
      <c r="AP14" s="299"/>
      <c r="AT14" s="388"/>
      <c r="AW14" s="300"/>
      <c r="BA14" s="301"/>
    </row>
    <row r="15" spans="1:53" s="292" customFormat="1">
      <c r="A15" s="338">
        <v>1962.6</v>
      </c>
      <c r="B15" s="836"/>
      <c r="C15" s="916" t="s">
        <v>710</v>
      </c>
      <c r="D15" s="916"/>
      <c r="E15" s="456">
        <v>171</v>
      </c>
      <c r="F15" s="456"/>
      <c r="G15" s="425"/>
      <c r="H15" s="456">
        <v>21</v>
      </c>
      <c r="I15" s="456">
        <v>3</v>
      </c>
      <c r="J15" s="427">
        <v>24</v>
      </c>
      <c r="K15" s="423">
        <f t="shared" si="1"/>
        <v>0</v>
      </c>
      <c r="L15" s="423">
        <f t="shared" si="1"/>
        <v>87.5</v>
      </c>
      <c r="M15" s="423">
        <f t="shared" si="1"/>
        <v>12.5</v>
      </c>
      <c r="N15" s="426">
        <f t="shared" si="2"/>
        <v>100</v>
      </c>
      <c r="O15" s="422"/>
      <c r="P15" s="423">
        <v>46.8</v>
      </c>
      <c r="Q15" s="423">
        <v>3.7</v>
      </c>
      <c r="R15" s="424">
        <f t="shared" si="3"/>
        <v>50.5</v>
      </c>
      <c r="S15" s="456">
        <v>2</v>
      </c>
      <c r="T15" s="838"/>
      <c r="U15" s="836"/>
      <c r="V15" s="299" t="s">
        <v>506</v>
      </c>
      <c r="W15" s="292" t="s">
        <v>17</v>
      </c>
      <c r="X15" s="292" t="s">
        <v>18</v>
      </c>
      <c r="Y15" s="300">
        <v>45.8</v>
      </c>
      <c r="Z15" s="292" t="s">
        <v>507</v>
      </c>
      <c r="AA15" s="292" t="s">
        <v>97</v>
      </c>
      <c r="AB15" s="292" t="s">
        <v>12</v>
      </c>
      <c r="AC15" s="292">
        <v>3.7</v>
      </c>
      <c r="AD15" s="299" t="s">
        <v>508</v>
      </c>
      <c r="AE15" s="292" t="s">
        <v>88</v>
      </c>
      <c r="AF15" s="292" t="s">
        <v>18</v>
      </c>
      <c r="AG15" s="300">
        <v>1</v>
      </c>
      <c r="AL15" s="299"/>
      <c r="AO15" s="300"/>
      <c r="AP15" s="299"/>
      <c r="AT15" s="388"/>
      <c r="AW15" s="300"/>
      <c r="BA15" s="301"/>
    </row>
    <row r="16" spans="1:53" s="73" customFormat="1">
      <c r="A16" s="101">
        <v>1963.05714285714</v>
      </c>
      <c r="B16" s="852">
        <v>23183</v>
      </c>
      <c r="C16" s="917" t="s">
        <v>711</v>
      </c>
      <c r="D16" s="917"/>
      <c r="E16" s="455">
        <v>167</v>
      </c>
      <c r="F16" s="455">
        <v>1</v>
      </c>
      <c r="G16" s="411"/>
      <c r="H16" s="455">
        <v>23</v>
      </c>
      <c r="I16" s="455"/>
      <c r="J16" s="413">
        <v>23</v>
      </c>
      <c r="K16" s="409">
        <f t="shared" si="1"/>
        <v>0</v>
      </c>
      <c r="L16" s="409">
        <f t="shared" si="1"/>
        <v>100</v>
      </c>
      <c r="M16" s="409">
        <f t="shared" si="1"/>
        <v>0</v>
      </c>
      <c r="N16" s="412">
        <f t="shared" si="2"/>
        <v>100</v>
      </c>
      <c r="O16" s="408"/>
      <c r="P16" s="409">
        <v>41.3</v>
      </c>
      <c r="Q16" s="409"/>
      <c r="R16" s="410">
        <f t="shared" si="3"/>
        <v>41.3</v>
      </c>
      <c r="S16" s="455">
        <v>6</v>
      </c>
      <c r="T16" s="839">
        <v>23129</v>
      </c>
      <c r="U16" s="852">
        <v>23183</v>
      </c>
      <c r="V16" s="82" t="s">
        <v>506</v>
      </c>
      <c r="W16" s="73" t="s">
        <v>17</v>
      </c>
      <c r="X16" s="73" t="s">
        <v>18</v>
      </c>
      <c r="Y16" s="83">
        <v>41.3</v>
      </c>
      <c r="AD16" s="82"/>
      <c r="AG16" s="83"/>
      <c r="AL16" s="82"/>
      <c r="AO16" s="83"/>
      <c r="AP16" s="82"/>
      <c r="AT16" s="147"/>
      <c r="AW16" s="83"/>
      <c r="BA16" s="84"/>
    </row>
    <row r="17" spans="1:53" s="292" customFormat="1">
      <c r="A17" s="338">
        <v>1963</v>
      </c>
      <c r="B17" s="836">
        <v>23350</v>
      </c>
      <c r="C17" s="916" t="s">
        <v>712</v>
      </c>
      <c r="D17" s="916"/>
      <c r="E17" s="456">
        <f>365-E16-E15</f>
        <v>27</v>
      </c>
      <c r="F17" s="456">
        <v>2</v>
      </c>
      <c r="G17" s="425"/>
      <c r="H17" s="456">
        <v>17</v>
      </c>
      <c r="I17" s="456">
        <v>9</v>
      </c>
      <c r="J17" s="427">
        <v>26</v>
      </c>
      <c r="K17" s="423">
        <f t="shared" si="1"/>
        <v>0</v>
      </c>
      <c r="L17" s="423">
        <f t="shared" si="1"/>
        <v>65.384615384615387</v>
      </c>
      <c r="M17" s="423">
        <f t="shared" si="1"/>
        <v>34.615384615384613</v>
      </c>
      <c r="N17" s="426">
        <f t="shared" si="2"/>
        <v>100</v>
      </c>
      <c r="O17" s="422"/>
      <c r="P17" s="423">
        <v>42.3</v>
      </c>
      <c r="Q17" s="423">
        <v>18.899999999999999</v>
      </c>
      <c r="R17" s="424">
        <f t="shared" si="3"/>
        <v>61.199999999999996</v>
      </c>
      <c r="S17" s="456">
        <v>3</v>
      </c>
      <c r="T17" s="838"/>
      <c r="U17" s="836">
        <v>23350</v>
      </c>
      <c r="V17" s="299" t="s">
        <v>506</v>
      </c>
      <c r="W17" s="292" t="s">
        <v>17</v>
      </c>
      <c r="X17" s="292" t="s">
        <v>18</v>
      </c>
      <c r="Y17" s="300">
        <v>41.3</v>
      </c>
      <c r="Z17" s="292" t="s">
        <v>509</v>
      </c>
      <c r="AA17" s="292" t="s">
        <v>20</v>
      </c>
      <c r="AB17" s="292" t="s">
        <v>12</v>
      </c>
      <c r="AC17" s="292">
        <v>13.8</v>
      </c>
      <c r="AD17" s="299" t="s">
        <v>507</v>
      </c>
      <c r="AE17" s="292" t="s">
        <v>97</v>
      </c>
      <c r="AF17" s="292" t="s">
        <v>12</v>
      </c>
      <c r="AG17" s="292">
        <v>5.0999999999999996</v>
      </c>
      <c r="AH17" s="299" t="s">
        <v>508</v>
      </c>
      <c r="AI17" s="292" t="s">
        <v>88</v>
      </c>
      <c r="AJ17" s="292" t="s">
        <v>18</v>
      </c>
      <c r="AK17" s="292">
        <v>1</v>
      </c>
      <c r="AL17" s="299"/>
      <c r="AO17" s="300"/>
      <c r="AP17" s="299"/>
      <c r="AT17" s="388"/>
      <c r="AW17" s="300"/>
      <c r="BA17" s="301"/>
    </row>
    <row r="18" spans="1:53" s="292" customFormat="1">
      <c r="A18" s="338">
        <v>1963.5142857142901</v>
      </c>
      <c r="B18" s="836"/>
      <c r="C18" s="916" t="s">
        <v>712</v>
      </c>
      <c r="D18" s="916"/>
      <c r="E18" s="456">
        <v>203</v>
      </c>
      <c r="F18" s="456"/>
      <c r="G18" s="425"/>
      <c r="H18" s="456">
        <v>17</v>
      </c>
      <c r="I18" s="456">
        <v>9</v>
      </c>
      <c r="J18" s="427">
        <v>26</v>
      </c>
      <c r="K18" s="423">
        <f t="shared" si="1"/>
        <v>0</v>
      </c>
      <c r="L18" s="423">
        <f t="shared" si="1"/>
        <v>65.384615384615387</v>
      </c>
      <c r="M18" s="423">
        <f t="shared" si="1"/>
        <v>34.615384615384613</v>
      </c>
      <c r="N18" s="426">
        <f t="shared" si="2"/>
        <v>100</v>
      </c>
      <c r="O18" s="422"/>
      <c r="P18" s="423">
        <v>42.3</v>
      </c>
      <c r="Q18" s="423">
        <v>18.899999999999999</v>
      </c>
      <c r="R18" s="424">
        <f t="shared" si="3"/>
        <v>61.199999999999996</v>
      </c>
      <c r="S18" s="456">
        <v>3</v>
      </c>
      <c r="T18" s="838"/>
      <c r="U18" s="836"/>
      <c r="V18" s="299" t="s">
        <v>506</v>
      </c>
      <c r="W18" s="292" t="s">
        <v>17</v>
      </c>
      <c r="X18" s="292" t="s">
        <v>18</v>
      </c>
      <c r="Y18" s="300">
        <v>41.3</v>
      </c>
      <c r="Z18" s="292" t="s">
        <v>509</v>
      </c>
      <c r="AA18" s="292" t="s">
        <v>20</v>
      </c>
      <c r="AB18" s="292" t="s">
        <v>12</v>
      </c>
      <c r="AC18" s="292">
        <v>13.8</v>
      </c>
      <c r="AD18" s="299" t="s">
        <v>507</v>
      </c>
      <c r="AE18" s="292" t="s">
        <v>97</v>
      </c>
      <c r="AF18" s="292" t="s">
        <v>12</v>
      </c>
      <c r="AG18" s="292">
        <v>5.0999999999999996</v>
      </c>
      <c r="AH18" s="299" t="s">
        <v>508</v>
      </c>
      <c r="AI18" s="292" t="s">
        <v>88</v>
      </c>
      <c r="AJ18" s="292" t="s">
        <v>18</v>
      </c>
      <c r="AK18" s="292">
        <v>1</v>
      </c>
      <c r="AL18" s="299"/>
      <c r="AO18" s="300"/>
      <c r="AP18" s="299"/>
      <c r="AT18" s="388"/>
      <c r="AW18" s="300"/>
      <c r="BA18" s="301"/>
    </row>
    <row r="19" spans="1:53" s="73" customFormat="1">
      <c r="A19" s="101">
        <v>1963.9714285714299</v>
      </c>
      <c r="B19" s="852">
        <v>23580</v>
      </c>
      <c r="C19" s="917" t="s">
        <v>713</v>
      </c>
      <c r="D19" s="917"/>
      <c r="E19" s="455">
        <f>366-E18</f>
        <v>163</v>
      </c>
      <c r="F19" s="455">
        <v>5</v>
      </c>
      <c r="G19" s="411"/>
      <c r="H19" s="455">
        <v>17</v>
      </c>
      <c r="I19" s="455">
        <v>9</v>
      </c>
      <c r="J19" s="413">
        <v>26</v>
      </c>
      <c r="K19" s="409">
        <f t="shared" si="1"/>
        <v>0</v>
      </c>
      <c r="L19" s="409">
        <f t="shared" si="1"/>
        <v>65.384615384615387</v>
      </c>
      <c r="M19" s="409">
        <f t="shared" si="1"/>
        <v>34.615384615384613</v>
      </c>
      <c r="N19" s="412">
        <f t="shared" si="2"/>
        <v>100</v>
      </c>
      <c r="O19" s="408"/>
      <c r="P19" s="409">
        <v>42.3</v>
      </c>
      <c r="Q19" s="409">
        <v>18.899999999999999</v>
      </c>
      <c r="R19" s="410">
        <f t="shared" si="3"/>
        <v>61.199999999999996</v>
      </c>
      <c r="S19" s="455">
        <v>3</v>
      </c>
      <c r="T19" s="839"/>
      <c r="U19" s="852">
        <v>23580</v>
      </c>
      <c r="V19" s="82" t="s">
        <v>506</v>
      </c>
      <c r="W19" s="73" t="s">
        <v>17</v>
      </c>
      <c r="X19" s="73" t="s">
        <v>18</v>
      </c>
      <c r="Y19" s="83">
        <v>41.3</v>
      </c>
      <c r="Z19" s="73" t="s">
        <v>509</v>
      </c>
      <c r="AA19" s="73" t="s">
        <v>20</v>
      </c>
      <c r="AB19" s="73" t="s">
        <v>12</v>
      </c>
      <c r="AC19" s="73">
        <v>13.8</v>
      </c>
      <c r="AD19" s="82" t="s">
        <v>507</v>
      </c>
      <c r="AE19" s="73" t="s">
        <v>97</v>
      </c>
      <c r="AF19" s="73" t="s">
        <v>12</v>
      </c>
      <c r="AG19" s="73">
        <v>5.0999999999999996</v>
      </c>
      <c r="AH19" s="82" t="s">
        <v>508</v>
      </c>
      <c r="AI19" s="73" t="s">
        <v>88</v>
      </c>
      <c r="AJ19" s="73" t="s">
        <v>18</v>
      </c>
      <c r="AK19" s="73">
        <v>1</v>
      </c>
      <c r="AL19" s="82"/>
      <c r="AO19" s="83"/>
      <c r="AP19" s="82"/>
      <c r="AT19" s="147"/>
      <c r="AW19" s="83"/>
      <c r="BA19" s="84"/>
    </row>
    <row r="20" spans="1:53" s="73" customFormat="1">
      <c r="A20" s="101">
        <v>1965</v>
      </c>
      <c r="B20" s="852"/>
      <c r="C20" s="917" t="s">
        <v>713</v>
      </c>
      <c r="D20" s="917"/>
      <c r="E20" s="455">
        <v>0</v>
      </c>
      <c r="F20" s="455"/>
      <c r="G20" s="411"/>
      <c r="H20" s="455">
        <v>17</v>
      </c>
      <c r="I20" s="455">
        <v>9</v>
      </c>
      <c r="J20" s="413">
        <v>26</v>
      </c>
      <c r="K20" s="409">
        <f t="shared" si="1"/>
        <v>0</v>
      </c>
      <c r="L20" s="409">
        <f t="shared" si="1"/>
        <v>65.384615384615387</v>
      </c>
      <c r="M20" s="409">
        <f t="shared" si="1"/>
        <v>34.615384615384613</v>
      </c>
      <c r="N20" s="412">
        <f t="shared" si="2"/>
        <v>100</v>
      </c>
      <c r="O20" s="408"/>
      <c r="P20" s="409">
        <v>42.3</v>
      </c>
      <c r="Q20" s="409">
        <v>18.899999999999999</v>
      </c>
      <c r="R20" s="410">
        <f t="shared" si="3"/>
        <v>61.199999999999996</v>
      </c>
      <c r="S20" s="455">
        <v>3</v>
      </c>
      <c r="T20" s="839"/>
      <c r="U20" s="852"/>
      <c r="V20" s="82" t="s">
        <v>506</v>
      </c>
      <c r="W20" s="73" t="s">
        <v>17</v>
      </c>
      <c r="X20" s="73" t="s">
        <v>18</v>
      </c>
      <c r="Y20" s="83">
        <v>41.3</v>
      </c>
      <c r="Z20" s="73" t="s">
        <v>509</v>
      </c>
      <c r="AA20" s="73" t="s">
        <v>20</v>
      </c>
      <c r="AB20" s="73" t="s">
        <v>12</v>
      </c>
      <c r="AC20" s="73">
        <v>13.8</v>
      </c>
      <c r="AD20" s="82" t="s">
        <v>507</v>
      </c>
      <c r="AE20" s="73" t="s">
        <v>97</v>
      </c>
      <c r="AF20" s="73" t="s">
        <v>12</v>
      </c>
      <c r="AG20" s="73">
        <v>5.0999999999999996</v>
      </c>
      <c r="AH20" s="82" t="s">
        <v>508</v>
      </c>
      <c r="AI20" s="73" t="s">
        <v>88</v>
      </c>
      <c r="AJ20" s="73" t="s">
        <v>18</v>
      </c>
      <c r="AK20" s="73">
        <v>1</v>
      </c>
      <c r="AL20" s="82"/>
      <c r="AO20" s="83"/>
      <c r="AP20" s="82"/>
      <c r="AT20" s="147"/>
      <c r="AW20" s="83"/>
      <c r="BA20" s="84"/>
    </row>
    <row r="21" spans="1:53" s="73" customFormat="1">
      <c r="A21" s="101">
        <v>1964.88571428572</v>
      </c>
      <c r="B21" s="852"/>
      <c r="C21" s="917" t="s">
        <v>713</v>
      </c>
      <c r="D21" s="917"/>
      <c r="E21" s="455">
        <v>365</v>
      </c>
      <c r="F21" s="455"/>
      <c r="G21" s="411"/>
      <c r="H21" s="455">
        <v>17</v>
      </c>
      <c r="I21" s="455">
        <v>9</v>
      </c>
      <c r="J21" s="413">
        <v>26</v>
      </c>
      <c r="K21" s="409">
        <f t="shared" si="1"/>
        <v>0</v>
      </c>
      <c r="L21" s="409">
        <f t="shared" si="1"/>
        <v>65.384615384615387</v>
      </c>
      <c r="M21" s="409">
        <f t="shared" si="1"/>
        <v>34.615384615384613</v>
      </c>
      <c r="N21" s="412">
        <f t="shared" si="2"/>
        <v>100</v>
      </c>
      <c r="O21" s="408"/>
      <c r="P21" s="409">
        <v>42.3</v>
      </c>
      <c r="Q21" s="409">
        <v>18.899999999999999</v>
      </c>
      <c r="R21" s="410">
        <f t="shared" si="3"/>
        <v>61.199999999999996</v>
      </c>
      <c r="S21" s="455">
        <v>3</v>
      </c>
      <c r="T21" s="839"/>
      <c r="U21" s="852"/>
      <c r="V21" s="82" t="s">
        <v>506</v>
      </c>
      <c r="W21" s="73" t="s">
        <v>17</v>
      </c>
      <c r="X21" s="73" t="s">
        <v>18</v>
      </c>
      <c r="Y21" s="83">
        <v>41.3</v>
      </c>
      <c r="Z21" s="73" t="s">
        <v>509</v>
      </c>
      <c r="AA21" s="73" t="s">
        <v>20</v>
      </c>
      <c r="AB21" s="73" t="s">
        <v>12</v>
      </c>
      <c r="AC21" s="73">
        <v>13.8</v>
      </c>
      <c r="AD21" s="82" t="s">
        <v>507</v>
      </c>
      <c r="AE21" s="73" t="s">
        <v>97</v>
      </c>
      <c r="AF21" s="73" t="s">
        <v>12</v>
      </c>
      <c r="AG21" s="73">
        <v>5.0999999999999996</v>
      </c>
      <c r="AH21" s="82" t="s">
        <v>508</v>
      </c>
      <c r="AI21" s="73" t="s">
        <v>88</v>
      </c>
      <c r="AJ21" s="73" t="s">
        <v>18</v>
      </c>
      <c r="AK21" s="73">
        <v>1</v>
      </c>
      <c r="AL21" s="82"/>
      <c r="AO21" s="83"/>
      <c r="AP21" s="82"/>
      <c r="AT21" s="147"/>
      <c r="AW21" s="83"/>
      <c r="BA21" s="84"/>
    </row>
    <row r="22" spans="1:53" s="73" customFormat="1">
      <c r="A22" s="101">
        <v>1966</v>
      </c>
      <c r="B22" s="852"/>
      <c r="C22" s="917" t="s">
        <v>713</v>
      </c>
      <c r="D22" s="917"/>
      <c r="E22" s="455">
        <v>53</v>
      </c>
      <c r="F22" s="455"/>
      <c r="G22" s="411"/>
      <c r="H22" s="455">
        <v>17</v>
      </c>
      <c r="I22" s="455">
        <v>9</v>
      </c>
      <c r="J22" s="413">
        <v>26</v>
      </c>
      <c r="K22" s="409">
        <f t="shared" si="1"/>
        <v>0</v>
      </c>
      <c r="L22" s="409">
        <f t="shared" si="1"/>
        <v>65.384615384615387</v>
      </c>
      <c r="M22" s="409">
        <f t="shared" si="1"/>
        <v>34.615384615384613</v>
      </c>
      <c r="N22" s="412">
        <f t="shared" si="2"/>
        <v>100</v>
      </c>
      <c r="O22" s="408"/>
      <c r="P22" s="409">
        <v>42.3</v>
      </c>
      <c r="Q22" s="409">
        <v>18.899999999999999</v>
      </c>
      <c r="R22" s="410">
        <f t="shared" si="3"/>
        <v>61.199999999999996</v>
      </c>
      <c r="S22" s="455">
        <v>3</v>
      </c>
      <c r="T22" s="839"/>
      <c r="U22" s="852"/>
      <c r="V22" s="82" t="s">
        <v>506</v>
      </c>
      <c r="W22" s="73" t="s">
        <v>17</v>
      </c>
      <c r="X22" s="73" t="s">
        <v>18</v>
      </c>
      <c r="Y22" s="83">
        <v>41.3</v>
      </c>
      <c r="Z22" s="73" t="s">
        <v>509</v>
      </c>
      <c r="AA22" s="73" t="s">
        <v>20</v>
      </c>
      <c r="AB22" s="73" t="s">
        <v>12</v>
      </c>
      <c r="AC22" s="73">
        <v>13.8</v>
      </c>
      <c r="AD22" s="82" t="s">
        <v>507</v>
      </c>
      <c r="AE22" s="73" t="s">
        <v>97</v>
      </c>
      <c r="AF22" s="73" t="s">
        <v>12</v>
      </c>
      <c r="AG22" s="73">
        <v>5.0999999999999996</v>
      </c>
      <c r="AH22" s="82" t="s">
        <v>508</v>
      </c>
      <c r="AI22" s="73" t="s">
        <v>88</v>
      </c>
      <c r="AJ22" s="73" t="s">
        <v>18</v>
      </c>
      <c r="AK22" s="73">
        <v>1</v>
      </c>
      <c r="AL22" s="82"/>
      <c r="AO22" s="83"/>
      <c r="AP22" s="82"/>
      <c r="AT22" s="147"/>
      <c r="AW22" s="83"/>
      <c r="BA22" s="84"/>
    </row>
    <row r="23" spans="1:53" s="292" customFormat="1">
      <c r="A23" s="338">
        <v>1965.8</v>
      </c>
      <c r="B23" s="836">
        <v>24161</v>
      </c>
      <c r="C23" s="916" t="s">
        <v>714</v>
      </c>
      <c r="D23" s="916"/>
      <c r="E23" s="456">
        <f>365-E22</f>
        <v>312</v>
      </c>
      <c r="F23" s="456">
        <v>5</v>
      </c>
      <c r="G23" s="425"/>
      <c r="H23" s="456">
        <v>17</v>
      </c>
      <c r="I23" s="456">
        <v>9</v>
      </c>
      <c r="J23" s="427">
        <v>26</v>
      </c>
      <c r="K23" s="423">
        <f t="shared" si="1"/>
        <v>0</v>
      </c>
      <c r="L23" s="423">
        <f t="shared" si="1"/>
        <v>65.384615384615387</v>
      </c>
      <c r="M23" s="423">
        <f t="shared" si="1"/>
        <v>34.615384615384613</v>
      </c>
      <c r="N23" s="426">
        <f t="shared" si="2"/>
        <v>100</v>
      </c>
      <c r="O23" s="422"/>
      <c r="P23" s="423">
        <v>42.3</v>
      </c>
      <c r="Q23" s="423">
        <v>18.899999999999999</v>
      </c>
      <c r="R23" s="424">
        <f t="shared" si="3"/>
        <v>61.199999999999996</v>
      </c>
      <c r="S23" s="456">
        <v>3</v>
      </c>
      <c r="T23" s="838"/>
      <c r="U23" s="836">
        <v>24161</v>
      </c>
      <c r="V23" s="299" t="s">
        <v>506</v>
      </c>
      <c r="W23" s="292" t="s">
        <v>17</v>
      </c>
      <c r="X23" s="292" t="s">
        <v>18</v>
      </c>
      <c r="Y23" s="300">
        <v>41.3</v>
      </c>
      <c r="Z23" s="292" t="s">
        <v>509</v>
      </c>
      <c r="AA23" s="292" t="s">
        <v>20</v>
      </c>
      <c r="AB23" s="292" t="s">
        <v>12</v>
      </c>
      <c r="AC23" s="292">
        <v>13.8</v>
      </c>
      <c r="AD23" s="299" t="s">
        <v>507</v>
      </c>
      <c r="AE23" s="292" t="s">
        <v>97</v>
      </c>
      <c r="AF23" s="292" t="s">
        <v>12</v>
      </c>
      <c r="AG23" s="292">
        <v>5.0999999999999996</v>
      </c>
      <c r="AH23" s="299" t="s">
        <v>508</v>
      </c>
      <c r="AI23" s="292" t="s">
        <v>88</v>
      </c>
      <c r="AJ23" s="292" t="s">
        <v>18</v>
      </c>
      <c r="AK23" s="292">
        <v>1</v>
      </c>
      <c r="AL23" s="299"/>
      <c r="AO23" s="300"/>
      <c r="AP23" s="299"/>
      <c r="AT23" s="388"/>
      <c r="AW23" s="300"/>
      <c r="BA23" s="301"/>
    </row>
    <row r="24" spans="1:53" s="292" customFormat="1">
      <c r="A24" s="338">
        <v>1967</v>
      </c>
      <c r="B24" s="836"/>
      <c r="C24" s="916" t="s">
        <v>714</v>
      </c>
      <c r="D24" s="916"/>
      <c r="E24" s="456">
        <v>0</v>
      </c>
      <c r="F24" s="456"/>
      <c r="G24" s="425"/>
      <c r="H24" s="456">
        <v>17</v>
      </c>
      <c r="I24" s="456">
        <v>9</v>
      </c>
      <c r="J24" s="427">
        <v>26</v>
      </c>
      <c r="K24" s="423">
        <f t="shared" si="1"/>
        <v>0</v>
      </c>
      <c r="L24" s="423">
        <f t="shared" si="1"/>
        <v>65.384615384615387</v>
      </c>
      <c r="M24" s="423">
        <f t="shared" si="1"/>
        <v>34.615384615384613</v>
      </c>
      <c r="N24" s="426">
        <f t="shared" si="2"/>
        <v>100</v>
      </c>
      <c r="O24" s="422"/>
      <c r="P24" s="423">
        <v>42.3</v>
      </c>
      <c r="Q24" s="423">
        <v>18.899999999999999</v>
      </c>
      <c r="R24" s="424">
        <f t="shared" si="3"/>
        <v>61.199999999999996</v>
      </c>
      <c r="S24" s="456">
        <v>3</v>
      </c>
      <c r="T24" s="838"/>
      <c r="U24" s="836"/>
      <c r="V24" s="299" t="s">
        <v>506</v>
      </c>
      <c r="W24" s="292" t="s">
        <v>17</v>
      </c>
      <c r="X24" s="292" t="s">
        <v>18</v>
      </c>
      <c r="Y24" s="300">
        <v>41.3</v>
      </c>
      <c r="Z24" s="292" t="s">
        <v>509</v>
      </c>
      <c r="AA24" s="292" t="s">
        <v>20</v>
      </c>
      <c r="AB24" s="292" t="s">
        <v>12</v>
      </c>
      <c r="AC24" s="292">
        <v>13.8</v>
      </c>
      <c r="AD24" s="299" t="s">
        <v>507</v>
      </c>
      <c r="AE24" s="292" t="s">
        <v>97</v>
      </c>
      <c r="AF24" s="292" t="s">
        <v>12</v>
      </c>
      <c r="AG24" s="292">
        <v>5.0999999999999996</v>
      </c>
      <c r="AH24" s="299" t="s">
        <v>508</v>
      </c>
      <c r="AI24" s="292" t="s">
        <v>88</v>
      </c>
      <c r="AJ24" s="292" t="s">
        <v>18</v>
      </c>
      <c r="AK24" s="292">
        <v>1</v>
      </c>
      <c r="AL24" s="299"/>
      <c r="AO24" s="300"/>
      <c r="AP24" s="299"/>
      <c r="AT24" s="388"/>
      <c r="AW24" s="300"/>
      <c r="BA24" s="301"/>
    </row>
    <row r="25" spans="1:53" s="292" customFormat="1">
      <c r="A25" s="338">
        <v>1966.7142857142901</v>
      </c>
      <c r="B25" s="836"/>
      <c r="C25" s="916" t="s">
        <v>714</v>
      </c>
      <c r="D25" s="916"/>
      <c r="E25" s="456">
        <v>365</v>
      </c>
      <c r="F25" s="456"/>
      <c r="G25" s="425"/>
      <c r="H25" s="456">
        <v>17</v>
      </c>
      <c r="I25" s="456">
        <v>9</v>
      </c>
      <c r="J25" s="427">
        <v>26</v>
      </c>
      <c r="K25" s="423">
        <f t="shared" ref="K25:M66" si="4">G25/$J25*100</f>
        <v>0</v>
      </c>
      <c r="L25" s="423">
        <f t="shared" si="4"/>
        <v>65.384615384615387</v>
      </c>
      <c r="M25" s="423">
        <f t="shared" si="4"/>
        <v>34.615384615384613</v>
      </c>
      <c r="N25" s="426">
        <f t="shared" si="2"/>
        <v>100</v>
      </c>
      <c r="O25" s="422"/>
      <c r="P25" s="423">
        <v>42.3</v>
      </c>
      <c r="Q25" s="423">
        <v>18.899999999999999</v>
      </c>
      <c r="R25" s="424">
        <f t="shared" si="3"/>
        <v>61.199999999999996</v>
      </c>
      <c r="S25" s="456">
        <v>3</v>
      </c>
      <c r="T25" s="838"/>
      <c r="U25" s="836"/>
      <c r="V25" s="299" t="s">
        <v>506</v>
      </c>
      <c r="W25" s="292" t="s">
        <v>17</v>
      </c>
      <c r="X25" s="292" t="s">
        <v>18</v>
      </c>
      <c r="Y25" s="300">
        <v>41.3</v>
      </c>
      <c r="Z25" s="292" t="s">
        <v>509</v>
      </c>
      <c r="AA25" s="292" t="s">
        <v>20</v>
      </c>
      <c r="AB25" s="292" t="s">
        <v>12</v>
      </c>
      <c r="AC25" s="292">
        <v>13.8</v>
      </c>
      <c r="AD25" s="299" t="s">
        <v>507</v>
      </c>
      <c r="AE25" s="292" t="s">
        <v>97</v>
      </c>
      <c r="AF25" s="292" t="s">
        <v>12</v>
      </c>
      <c r="AG25" s="292">
        <v>5.0999999999999996</v>
      </c>
      <c r="AH25" s="299" t="s">
        <v>508</v>
      </c>
      <c r="AI25" s="292" t="s">
        <v>88</v>
      </c>
      <c r="AJ25" s="292" t="s">
        <v>18</v>
      </c>
      <c r="AK25" s="292">
        <v>1</v>
      </c>
      <c r="AL25" s="299"/>
      <c r="AO25" s="300"/>
      <c r="AP25" s="299"/>
      <c r="AT25" s="388"/>
      <c r="AW25" s="300"/>
      <c r="BA25" s="301"/>
    </row>
    <row r="26" spans="1:53" s="292" customFormat="1">
      <c r="A26" s="338">
        <v>1968</v>
      </c>
      <c r="B26" s="836"/>
      <c r="C26" s="916" t="s">
        <v>714</v>
      </c>
      <c r="D26" s="916"/>
      <c r="E26" s="456">
        <v>176</v>
      </c>
      <c r="F26" s="456"/>
      <c r="G26" s="425"/>
      <c r="H26" s="456">
        <v>17</v>
      </c>
      <c r="I26" s="456">
        <v>9</v>
      </c>
      <c r="J26" s="427">
        <v>26</v>
      </c>
      <c r="K26" s="423">
        <f t="shared" si="4"/>
        <v>0</v>
      </c>
      <c r="L26" s="423">
        <f t="shared" si="4"/>
        <v>65.384615384615387</v>
      </c>
      <c r="M26" s="423">
        <f t="shared" si="4"/>
        <v>34.615384615384613</v>
      </c>
      <c r="N26" s="426">
        <f t="shared" si="2"/>
        <v>100</v>
      </c>
      <c r="O26" s="422"/>
      <c r="P26" s="423">
        <v>42.3</v>
      </c>
      <c r="Q26" s="423">
        <v>18.899999999999999</v>
      </c>
      <c r="R26" s="424">
        <f t="shared" si="3"/>
        <v>61.199999999999996</v>
      </c>
      <c r="S26" s="456">
        <v>3</v>
      </c>
      <c r="T26" s="838"/>
      <c r="U26" s="836"/>
      <c r="V26" s="299" t="s">
        <v>506</v>
      </c>
      <c r="W26" s="292" t="s">
        <v>17</v>
      </c>
      <c r="X26" s="292" t="s">
        <v>18</v>
      </c>
      <c r="Y26" s="300">
        <v>41.3</v>
      </c>
      <c r="Z26" s="292" t="s">
        <v>509</v>
      </c>
      <c r="AA26" s="292" t="s">
        <v>20</v>
      </c>
      <c r="AB26" s="292" t="s">
        <v>12</v>
      </c>
      <c r="AC26" s="292">
        <v>13.8</v>
      </c>
      <c r="AD26" s="299" t="s">
        <v>507</v>
      </c>
      <c r="AE26" s="292" t="s">
        <v>97</v>
      </c>
      <c r="AF26" s="292" t="s">
        <v>12</v>
      </c>
      <c r="AG26" s="292">
        <v>5.0999999999999996</v>
      </c>
      <c r="AH26" s="299" t="s">
        <v>508</v>
      </c>
      <c r="AI26" s="292" t="s">
        <v>88</v>
      </c>
      <c r="AJ26" s="292" t="s">
        <v>18</v>
      </c>
      <c r="AK26" s="292">
        <v>1</v>
      </c>
      <c r="AL26" s="299"/>
      <c r="AO26" s="300"/>
      <c r="AP26" s="299"/>
      <c r="AT26" s="388"/>
      <c r="AW26" s="300"/>
      <c r="BA26" s="301"/>
    </row>
    <row r="27" spans="1:53" s="73" customFormat="1">
      <c r="A27" s="101">
        <v>1967.62857142857</v>
      </c>
      <c r="B27" s="852">
        <v>25014</v>
      </c>
      <c r="C27" s="917" t="s">
        <v>715</v>
      </c>
      <c r="D27" s="917"/>
      <c r="E27" s="455">
        <v>170</v>
      </c>
      <c r="F27" s="455">
        <v>1</v>
      </c>
      <c r="G27" s="411"/>
      <c r="H27" s="455">
        <v>23</v>
      </c>
      <c r="I27" s="455"/>
      <c r="J27" s="413">
        <v>23</v>
      </c>
      <c r="K27" s="409">
        <f t="shared" si="4"/>
        <v>0</v>
      </c>
      <c r="L27" s="409">
        <f t="shared" si="4"/>
        <v>100</v>
      </c>
      <c r="M27" s="409">
        <f t="shared" si="4"/>
        <v>0</v>
      </c>
      <c r="N27" s="412">
        <f t="shared" si="2"/>
        <v>100</v>
      </c>
      <c r="O27" s="408"/>
      <c r="P27" s="409">
        <v>42.2</v>
      </c>
      <c r="Q27" s="409"/>
      <c r="R27" s="410">
        <f t="shared" si="3"/>
        <v>42.2</v>
      </c>
      <c r="S27" s="455">
        <v>4</v>
      </c>
      <c r="T27" s="839">
        <v>24977</v>
      </c>
      <c r="U27" s="852">
        <v>25014</v>
      </c>
      <c r="V27" s="82" t="s">
        <v>506</v>
      </c>
      <c r="W27" s="73" t="s">
        <v>17</v>
      </c>
      <c r="X27" s="73" t="s">
        <v>18</v>
      </c>
      <c r="Y27" s="83">
        <v>42.2</v>
      </c>
      <c r="AD27" s="82"/>
      <c r="AG27" s="83"/>
      <c r="AL27" s="82"/>
      <c r="AO27" s="83"/>
      <c r="AP27" s="82"/>
      <c r="AT27" s="147"/>
      <c r="AW27" s="83"/>
      <c r="BA27" s="84"/>
    </row>
    <row r="28" spans="1:53" s="292" customFormat="1">
      <c r="A28" s="338">
        <v>1968</v>
      </c>
      <c r="B28" s="836">
        <v>25184</v>
      </c>
      <c r="C28" s="916" t="s">
        <v>716</v>
      </c>
      <c r="D28" s="916"/>
      <c r="E28" s="456">
        <f>366-E27-E26</f>
        <v>20</v>
      </c>
      <c r="F28" s="456">
        <v>2</v>
      </c>
      <c r="G28" s="425"/>
      <c r="H28" s="456">
        <v>18</v>
      </c>
      <c r="I28" s="456">
        <v>9</v>
      </c>
      <c r="J28" s="427">
        <v>27</v>
      </c>
      <c r="K28" s="423">
        <f t="shared" si="4"/>
        <v>0</v>
      </c>
      <c r="L28" s="423">
        <f t="shared" si="4"/>
        <v>66.666666666666657</v>
      </c>
      <c r="M28" s="423">
        <f t="shared" si="4"/>
        <v>33.333333333333329</v>
      </c>
      <c r="N28" s="426">
        <f t="shared" si="2"/>
        <v>99.999999999999986</v>
      </c>
      <c r="O28" s="422"/>
      <c r="P28" s="423">
        <v>43.6</v>
      </c>
      <c r="Q28" s="423">
        <v>14.4</v>
      </c>
      <c r="R28" s="424">
        <f t="shared" si="3"/>
        <v>58</v>
      </c>
      <c r="S28" s="456">
        <v>3</v>
      </c>
      <c r="T28" s="838"/>
      <c r="U28" s="836">
        <v>25184</v>
      </c>
      <c r="V28" s="299" t="s">
        <v>506</v>
      </c>
      <c r="W28" s="292" t="s">
        <v>17</v>
      </c>
      <c r="X28" s="292" t="s">
        <v>18</v>
      </c>
      <c r="Y28" s="300">
        <v>42.2</v>
      </c>
      <c r="Z28" s="292" t="s">
        <v>510</v>
      </c>
      <c r="AA28" s="292" t="s">
        <v>98</v>
      </c>
      <c r="AB28" s="292" t="s">
        <v>12</v>
      </c>
      <c r="AC28" s="292">
        <v>14.4</v>
      </c>
      <c r="AD28" s="299" t="s">
        <v>508</v>
      </c>
      <c r="AE28" s="292" t="s">
        <v>88</v>
      </c>
      <c r="AF28" s="292" t="s">
        <v>18</v>
      </c>
      <c r="AG28" s="300">
        <v>1.4</v>
      </c>
      <c r="AL28" s="299"/>
      <c r="AO28" s="300"/>
      <c r="AP28" s="299"/>
      <c r="AT28" s="388"/>
      <c r="AW28" s="300"/>
      <c r="BA28" s="301"/>
    </row>
    <row r="29" spans="1:53" s="292" customFormat="1">
      <c r="A29" s="338">
        <v>1969</v>
      </c>
      <c r="B29" s="836"/>
      <c r="C29" s="916" t="s">
        <v>716</v>
      </c>
      <c r="D29" s="916"/>
      <c r="E29" s="456">
        <v>216</v>
      </c>
      <c r="F29" s="456"/>
      <c r="G29" s="425"/>
      <c r="H29" s="456">
        <v>18</v>
      </c>
      <c r="I29" s="456">
        <v>9</v>
      </c>
      <c r="J29" s="427">
        <v>27</v>
      </c>
      <c r="K29" s="423">
        <f t="shared" si="4"/>
        <v>0</v>
      </c>
      <c r="L29" s="423">
        <f t="shared" si="4"/>
        <v>66.666666666666657</v>
      </c>
      <c r="M29" s="423">
        <f t="shared" si="4"/>
        <v>33.333333333333329</v>
      </c>
      <c r="N29" s="426">
        <f t="shared" si="2"/>
        <v>99.999999999999986</v>
      </c>
      <c r="O29" s="422"/>
      <c r="P29" s="423">
        <v>43.6</v>
      </c>
      <c r="Q29" s="423">
        <v>14.4</v>
      </c>
      <c r="R29" s="424">
        <f t="shared" si="3"/>
        <v>58</v>
      </c>
      <c r="S29" s="456">
        <v>3</v>
      </c>
      <c r="T29" s="838"/>
      <c r="U29" s="836"/>
      <c r="V29" s="299" t="s">
        <v>506</v>
      </c>
      <c r="W29" s="292" t="s">
        <v>17</v>
      </c>
      <c r="X29" s="292" t="s">
        <v>18</v>
      </c>
      <c r="Y29" s="300">
        <v>42.2</v>
      </c>
      <c r="Z29" s="292" t="s">
        <v>510</v>
      </c>
      <c r="AA29" s="292" t="s">
        <v>98</v>
      </c>
      <c r="AB29" s="292" t="s">
        <v>12</v>
      </c>
      <c r="AC29" s="292">
        <v>14.4</v>
      </c>
      <c r="AD29" s="299" t="s">
        <v>508</v>
      </c>
      <c r="AE29" s="292" t="s">
        <v>88</v>
      </c>
      <c r="AF29" s="292" t="s">
        <v>18</v>
      </c>
      <c r="AG29" s="300">
        <v>1.4</v>
      </c>
      <c r="AL29" s="299"/>
      <c r="AO29" s="300"/>
      <c r="AP29" s="299"/>
      <c r="AT29" s="388"/>
      <c r="AW29" s="300"/>
      <c r="BA29" s="301"/>
    </row>
    <row r="30" spans="1:53" s="73" customFormat="1">
      <c r="A30" s="101">
        <v>1968.5428571428599</v>
      </c>
      <c r="B30" s="852">
        <v>25420</v>
      </c>
      <c r="C30" s="917" t="s">
        <v>717</v>
      </c>
      <c r="D30" s="917"/>
      <c r="E30" s="455">
        <f>365-E29</f>
        <v>149</v>
      </c>
      <c r="F30" s="455">
        <v>4</v>
      </c>
      <c r="G30" s="411"/>
      <c r="H30" s="455">
        <v>24</v>
      </c>
      <c r="I30" s="455"/>
      <c r="J30" s="413">
        <v>24</v>
      </c>
      <c r="K30" s="409">
        <f t="shared" si="4"/>
        <v>0</v>
      </c>
      <c r="L30" s="409">
        <f t="shared" si="4"/>
        <v>100</v>
      </c>
      <c r="M30" s="409">
        <f t="shared" si="4"/>
        <v>0</v>
      </c>
      <c r="N30" s="412">
        <f t="shared" si="2"/>
        <v>100</v>
      </c>
      <c r="O30" s="408"/>
      <c r="P30" s="409">
        <v>42.2</v>
      </c>
      <c r="Q30" s="409"/>
      <c r="R30" s="410">
        <f t="shared" si="3"/>
        <v>42.2</v>
      </c>
      <c r="S30" s="455">
        <v>4</v>
      </c>
      <c r="T30" s="839"/>
      <c r="U30" s="852">
        <v>25420</v>
      </c>
      <c r="V30" s="82" t="s">
        <v>506</v>
      </c>
      <c r="W30" s="73" t="s">
        <v>17</v>
      </c>
      <c r="X30" s="73" t="s">
        <v>18</v>
      </c>
      <c r="Y30" s="83">
        <v>42.2</v>
      </c>
      <c r="AD30" s="82"/>
      <c r="AG30" s="83"/>
      <c r="AL30" s="82"/>
      <c r="AO30" s="83"/>
      <c r="AP30" s="82"/>
      <c r="AT30" s="147"/>
      <c r="AW30" s="83"/>
      <c r="BA30" s="84"/>
    </row>
    <row r="31" spans="1:53" s="73" customFormat="1">
      <c r="A31" s="101">
        <v>1970</v>
      </c>
      <c r="B31" s="852"/>
      <c r="C31" s="917" t="s">
        <v>717</v>
      </c>
      <c r="D31" s="917"/>
      <c r="E31" s="455">
        <v>85</v>
      </c>
      <c r="F31" s="455"/>
      <c r="G31" s="411"/>
      <c r="H31" s="455">
        <v>24</v>
      </c>
      <c r="I31" s="455"/>
      <c r="J31" s="413">
        <v>24</v>
      </c>
      <c r="K31" s="409">
        <f t="shared" si="4"/>
        <v>0</v>
      </c>
      <c r="L31" s="409">
        <f t="shared" si="4"/>
        <v>100</v>
      </c>
      <c r="M31" s="409">
        <f t="shared" si="4"/>
        <v>0</v>
      </c>
      <c r="N31" s="412">
        <f t="shared" si="2"/>
        <v>100</v>
      </c>
      <c r="O31" s="408"/>
      <c r="P31" s="409">
        <v>42.2</v>
      </c>
      <c r="Q31" s="409"/>
      <c r="R31" s="410">
        <f t="shared" si="3"/>
        <v>42.2</v>
      </c>
      <c r="S31" s="455">
        <v>4</v>
      </c>
      <c r="T31" s="839"/>
      <c r="U31" s="852"/>
      <c r="V31" s="82" t="s">
        <v>506</v>
      </c>
      <c r="W31" s="73" t="s">
        <v>17</v>
      </c>
      <c r="X31" s="73" t="s">
        <v>18</v>
      </c>
      <c r="Y31" s="83">
        <v>42.2</v>
      </c>
      <c r="AD31" s="82"/>
      <c r="AG31" s="83"/>
      <c r="AL31" s="82"/>
      <c r="AO31" s="83"/>
      <c r="AP31" s="82"/>
      <c r="AT31" s="147"/>
      <c r="AW31" s="83"/>
      <c r="BA31" s="84"/>
    </row>
    <row r="32" spans="1:53" s="292" customFormat="1">
      <c r="A32" s="338">
        <v>1970</v>
      </c>
      <c r="B32" s="836">
        <v>25654</v>
      </c>
      <c r="C32" s="916" t="s">
        <v>718</v>
      </c>
      <c r="D32" s="916"/>
      <c r="E32" s="456">
        <v>132</v>
      </c>
      <c r="F32" s="456">
        <v>2</v>
      </c>
      <c r="G32" s="425"/>
      <c r="H32" s="456">
        <v>18</v>
      </c>
      <c r="I32" s="456">
        <v>9</v>
      </c>
      <c r="J32" s="427">
        <v>27</v>
      </c>
      <c r="K32" s="423">
        <f t="shared" si="4"/>
        <v>0</v>
      </c>
      <c r="L32" s="423">
        <f t="shared" si="4"/>
        <v>66.666666666666657</v>
      </c>
      <c r="M32" s="423">
        <f t="shared" si="4"/>
        <v>33.333333333333329</v>
      </c>
      <c r="N32" s="426">
        <f t="shared" si="2"/>
        <v>99.999999999999986</v>
      </c>
      <c r="O32" s="422"/>
      <c r="P32" s="423">
        <v>43.6</v>
      </c>
      <c r="Q32" s="423">
        <v>14.4</v>
      </c>
      <c r="R32" s="424">
        <f t="shared" si="3"/>
        <v>58</v>
      </c>
      <c r="S32" s="456">
        <v>3</v>
      </c>
      <c r="T32" s="838"/>
      <c r="U32" s="836">
        <v>25654</v>
      </c>
      <c r="V32" s="299" t="s">
        <v>506</v>
      </c>
      <c r="W32" s="292" t="s">
        <v>17</v>
      </c>
      <c r="X32" s="292" t="s">
        <v>18</v>
      </c>
      <c r="Y32" s="300">
        <v>42.2</v>
      </c>
      <c r="Z32" s="292" t="s">
        <v>510</v>
      </c>
      <c r="AA32" s="292" t="s">
        <v>98</v>
      </c>
      <c r="AB32" s="292" t="s">
        <v>12</v>
      </c>
      <c r="AC32" s="292">
        <v>14.4</v>
      </c>
      <c r="AD32" s="299" t="s">
        <v>508</v>
      </c>
      <c r="AE32" s="292" t="s">
        <v>88</v>
      </c>
      <c r="AF32" s="292" t="s">
        <v>18</v>
      </c>
      <c r="AG32" s="300">
        <v>1.4</v>
      </c>
      <c r="AL32" s="299"/>
      <c r="AO32" s="300"/>
      <c r="AP32" s="299"/>
      <c r="AT32" s="388"/>
      <c r="AW32" s="300"/>
      <c r="BA32" s="301"/>
    </row>
    <row r="33" spans="1:53" s="73" customFormat="1">
      <c r="A33" s="101">
        <v>1970</v>
      </c>
      <c r="B33" s="852">
        <v>25786</v>
      </c>
      <c r="C33" s="917" t="s">
        <v>719</v>
      </c>
      <c r="D33" s="917"/>
      <c r="E33" s="455">
        <f>365-E32-E31</f>
        <v>148</v>
      </c>
      <c r="F33" s="455">
        <v>4</v>
      </c>
      <c r="G33" s="411"/>
      <c r="H33" s="455">
        <v>18</v>
      </c>
      <c r="I33" s="455">
        <v>10</v>
      </c>
      <c r="J33" s="413">
        <v>28</v>
      </c>
      <c r="K33" s="409">
        <f t="shared" si="4"/>
        <v>0</v>
      </c>
      <c r="L33" s="409">
        <f t="shared" si="4"/>
        <v>64.285714285714292</v>
      </c>
      <c r="M33" s="409">
        <f t="shared" si="4"/>
        <v>35.714285714285715</v>
      </c>
      <c r="N33" s="412">
        <f t="shared" si="2"/>
        <v>100</v>
      </c>
      <c r="O33" s="408"/>
      <c r="P33" s="409">
        <v>43.6</v>
      </c>
      <c r="Q33" s="409">
        <v>14.4</v>
      </c>
      <c r="R33" s="410">
        <f t="shared" si="3"/>
        <v>58</v>
      </c>
      <c r="S33" s="455">
        <v>3</v>
      </c>
      <c r="T33" s="839"/>
      <c r="U33" s="852">
        <v>25786</v>
      </c>
      <c r="V33" s="82" t="s">
        <v>506</v>
      </c>
      <c r="W33" s="73" t="s">
        <v>17</v>
      </c>
      <c r="X33" s="73" t="s">
        <v>18</v>
      </c>
      <c r="Y33" s="83">
        <v>42.2</v>
      </c>
      <c r="Z33" s="73" t="s">
        <v>510</v>
      </c>
      <c r="AA33" s="73" t="s">
        <v>98</v>
      </c>
      <c r="AB33" s="73" t="s">
        <v>12</v>
      </c>
      <c r="AC33" s="73">
        <v>14.4</v>
      </c>
      <c r="AD33" s="82" t="s">
        <v>508</v>
      </c>
      <c r="AE33" s="73" t="s">
        <v>88</v>
      </c>
      <c r="AF33" s="73" t="s">
        <v>18</v>
      </c>
      <c r="AG33" s="83">
        <v>1.4</v>
      </c>
      <c r="AL33" s="82"/>
      <c r="AO33" s="83"/>
      <c r="AP33" s="82"/>
      <c r="AT33" s="147"/>
      <c r="AW33" s="83"/>
      <c r="BA33" s="84"/>
    </row>
    <row r="34" spans="1:53" s="73" customFormat="1">
      <c r="A34" s="101">
        <v>1971</v>
      </c>
      <c r="B34" s="852"/>
      <c r="C34" s="917" t="s">
        <v>719</v>
      </c>
      <c r="D34" s="917"/>
      <c r="E34" s="455">
        <v>57</v>
      </c>
      <c r="F34" s="455"/>
      <c r="G34" s="411"/>
      <c r="H34" s="455">
        <v>18</v>
      </c>
      <c r="I34" s="455">
        <v>10</v>
      </c>
      <c r="J34" s="413">
        <v>28</v>
      </c>
      <c r="K34" s="409">
        <f t="shared" si="4"/>
        <v>0</v>
      </c>
      <c r="L34" s="409">
        <f t="shared" si="4"/>
        <v>64.285714285714292</v>
      </c>
      <c r="M34" s="409">
        <f t="shared" si="4"/>
        <v>35.714285714285715</v>
      </c>
      <c r="N34" s="412">
        <f t="shared" si="2"/>
        <v>100</v>
      </c>
      <c r="O34" s="408"/>
      <c r="P34" s="409">
        <v>43.6</v>
      </c>
      <c r="Q34" s="409">
        <v>14.4</v>
      </c>
      <c r="R34" s="410">
        <f t="shared" si="3"/>
        <v>58</v>
      </c>
      <c r="S34" s="455">
        <v>3</v>
      </c>
      <c r="T34" s="839"/>
      <c r="U34" s="852"/>
      <c r="V34" s="82" t="s">
        <v>506</v>
      </c>
      <c r="W34" s="73" t="s">
        <v>17</v>
      </c>
      <c r="X34" s="73" t="s">
        <v>18</v>
      </c>
      <c r="Y34" s="83">
        <v>42.2</v>
      </c>
      <c r="Z34" s="73" t="s">
        <v>510</v>
      </c>
      <c r="AA34" s="73" t="s">
        <v>98</v>
      </c>
      <c r="AB34" s="73" t="s">
        <v>12</v>
      </c>
      <c r="AC34" s="73">
        <v>14.4</v>
      </c>
      <c r="AD34" s="82" t="s">
        <v>508</v>
      </c>
      <c r="AE34" s="73" t="s">
        <v>88</v>
      </c>
      <c r="AF34" s="73" t="s">
        <v>18</v>
      </c>
      <c r="AG34" s="83">
        <v>1.4</v>
      </c>
      <c r="AL34" s="82"/>
      <c r="AO34" s="83"/>
      <c r="AP34" s="82"/>
      <c r="AT34" s="147"/>
      <c r="AW34" s="83"/>
      <c r="BA34" s="84"/>
    </row>
    <row r="35" spans="1:53" s="292" customFormat="1">
      <c r="A35" s="338">
        <v>1971</v>
      </c>
      <c r="B35" s="836">
        <v>25991</v>
      </c>
      <c r="C35" s="916" t="s">
        <v>720</v>
      </c>
      <c r="D35" s="916"/>
      <c r="E35" s="456">
        <v>308</v>
      </c>
      <c r="F35" s="456">
        <v>4</v>
      </c>
      <c r="G35" s="425"/>
      <c r="H35" s="456">
        <v>17</v>
      </c>
      <c r="I35" s="456">
        <v>10</v>
      </c>
      <c r="J35" s="427">
        <v>27</v>
      </c>
      <c r="K35" s="423">
        <f t="shared" si="4"/>
        <v>0</v>
      </c>
      <c r="L35" s="423">
        <f t="shared" si="4"/>
        <v>62.962962962962962</v>
      </c>
      <c r="M35" s="423">
        <f t="shared" si="4"/>
        <v>37.037037037037038</v>
      </c>
      <c r="N35" s="426">
        <f t="shared" si="2"/>
        <v>100</v>
      </c>
      <c r="O35" s="422"/>
      <c r="P35" s="423">
        <v>42.2</v>
      </c>
      <c r="Q35" s="423">
        <v>14.4</v>
      </c>
      <c r="R35" s="424">
        <f t="shared" si="3"/>
        <v>56.6</v>
      </c>
      <c r="S35" s="456">
        <v>3</v>
      </c>
      <c r="T35" s="838"/>
      <c r="U35" s="836">
        <v>25991</v>
      </c>
      <c r="V35" s="299" t="s">
        <v>506</v>
      </c>
      <c r="W35" s="292" t="s">
        <v>17</v>
      </c>
      <c r="X35" s="292" t="s">
        <v>18</v>
      </c>
      <c r="Y35" s="300">
        <v>42.2</v>
      </c>
      <c r="Z35" s="292" t="s">
        <v>510</v>
      </c>
      <c r="AA35" s="292" t="s">
        <v>98</v>
      </c>
      <c r="AB35" s="292" t="s">
        <v>12</v>
      </c>
      <c r="AC35" s="292">
        <v>14.4</v>
      </c>
      <c r="AD35" s="299"/>
      <c r="AG35" s="300"/>
      <c r="AL35" s="299"/>
      <c r="AO35" s="300"/>
      <c r="AP35" s="299"/>
      <c r="AT35" s="388"/>
      <c r="AW35" s="300"/>
      <c r="BA35" s="301"/>
    </row>
    <row r="36" spans="1:53" s="292" customFormat="1">
      <c r="A36" s="338">
        <v>1972</v>
      </c>
      <c r="B36" s="836"/>
      <c r="C36" s="916" t="s">
        <v>720</v>
      </c>
      <c r="D36" s="916"/>
      <c r="E36" s="456">
        <v>48</v>
      </c>
      <c r="F36" s="456"/>
      <c r="G36" s="425"/>
      <c r="H36" s="456">
        <v>17</v>
      </c>
      <c r="I36" s="456">
        <v>10</v>
      </c>
      <c r="J36" s="427">
        <v>27</v>
      </c>
      <c r="K36" s="423">
        <f t="shared" si="4"/>
        <v>0</v>
      </c>
      <c r="L36" s="423">
        <f t="shared" si="4"/>
        <v>62.962962962962962</v>
      </c>
      <c r="M36" s="423">
        <f t="shared" si="4"/>
        <v>37.037037037037038</v>
      </c>
      <c r="N36" s="426">
        <f t="shared" si="2"/>
        <v>100</v>
      </c>
      <c r="O36" s="422"/>
      <c r="P36" s="423">
        <v>42.2</v>
      </c>
      <c r="Q36" s="423">
        <v>14.4</v>
      </c>
      <c r="R36" s="424">
        <f t="shared" si="3"/>
        <v>56.6</v>
      </c>
      <c r="S36" s="456">
        <v>3</v>
      </c>
      <c r="T36" s="838"/>
      <c r="U36" s="836"/>
      <c r="V36" s="299" t="s">
        <v>506</v>
      </c>
      <c r="W36" s="292" t="s">
        <v>17</v>
      </c>
      <c r="X36" s="292" t="s">
        <v>18</v>
      </c>
      <c r="Y36" s="300">
        <v>42.2</v>
      </c>
      <c r="Z36" s="292" t="s">
        <v>510</v>
      </c>
      <c r="AA36" s="292" t="s">
        <v>98</v>
      </c>
      <c r="AB36" s="292" t="s">
        <v>12</v>
      </c>
      <c r="AC36" s="292">
        <v>14.4</v>
      </c>
      <c r="AD36" s="299"/>
      <c r="AG36" s="300"/>
      <c r="AL36" s="299"/>
      <c r="AO36" s="300"/>
      <c r="AP36" s="299"/>
      <c r="AT36" s="388"/>
      <c r="AW36" s="300"/>
      <c r="BA36" s="301"/>
    </row>
    <row r="37" spans="1:53" s="73" customFormat="1">
      <c r="A37" s="101">
        <v>1972</v>
      </c>
      <c r="B37" s="852">
        <v>26347</v>
      </c>
      <c r="C37" s="917" t="s">
        <v>721</v>
      </c>
      <c r="D37" s="917"/>
      <c r="E37" s="455">
        <v>129</v>
      </c>
      <c r="F37" s="455">
        <v>4</v>
      </c>
      <c r="G37" s="411"/>
      <c r="H37" s="455">
        <v>25</v>
      </c>
      <c r="I37" s="455"/>
      <c r="J37" s="413">
        <v>25</v>
      </c>
      <c r="K37" s="409">
        <f t="shared" si="4"/>
        <v>0</v>
      </c>
      <c r="L37" s="409">
        <f t="shared" si="4"/>
        <v>100</v>
      </c>
      <c r="M37" s="409">
        <f t="shared" si="4"/>
        <v>0</v>
      </c>
      <c r="N37" s="412">
        <f t="shared" si="2"/>
        <v>100</v>
      </c>
      <c r="O37" s="408"/>
      <c r="P37" s="409">
        <v>42.2</v>
      </c>
      <c r="Q37" s="409"/>
      <c r="R37" s="410">
        <f t="shared" si="3"/>
        <v>42.2</v>
      </c>
      <c r="S37" s="455">
        <v>4</v>
      </c>
      <c r="T37" s="839"/>
      <c r="U37" s="852">
        <v>26347</v>
      </c>
      <c r="V37" s="82" t="s">
        <v>506</v>
      </c>
      <c r="W37" s="73" t="s">
        <v>17</v>
      </c>
      <c r="X37" s="73" t="s">
        <v>18</v>
      </c>
      <c r="Y37" s="83">
        <v>42.2</v>
      </c>
      <c r="AD37" s="82"/>
      <c r="AG37" s="83"/>
      <c r="AL37" s="82"/>
      <c r="AO37" s="83"/>
      <c r="AP37" s="82"/>
      <c r="AT37" s="147"/>
      <c r="AW37" s="83"/>
      <c r="BA37" s="84"/>
    </row>
    <row r="38" spans="1:53" s="292" customFormat="1">
      <c r="A38" s="338">
        <v>1972</v>
      </c>
      <c r="B38" s="836">
        <v>26476</v>
      </c>
      <c r="C38" s="916" t="s">
        <v>722</v>
      </c>
      <c r="D38" s="916"/>
      <c r="E38" s="456">
        <f>366-E36-E37</f>
        <v>189</v>
      </c>
      <c r="F38" s="456">
        <v>1</v>
      </c>
      <c r="G38" s="425">
        <v>4</v>
      </c>
      <c r="H38" s="456">
        <v>17</v>
      </c>
      <c r="I38" s="456">
        <v>5</v>
      </c>
      <c r="J38" s="427">
        <v>26</v>
      </c>
      <c r="K38" s="423">
        <f t="shared" si="4"/>
        <v>15.384615384615385</v>
      </c>
      <c r="L38" s="423">
        <f t="shared" si="4"/>
        <v>65.384615384615387</v>
      </c>
      <c r="M38" s="423">
        <f t="shared" si="4"/>
        <v>19.230769230769234</v>
      </c>
      <c r="N38" s="426">
        <f t="shared" si="2"/>
        <v>100</v>
      </c>
      <c r="O38" s="422">
        <v>3.3</v>
      </c>
      <c r="P38" s="423">
        <v>42.4</v>
      </c>
      <c r="Q38" s="423">
        <v>4.5999999999999996</v>
      </c>
      <c r="R38" s="424">
        <f t="shared" si="3"/>
        <v>50.3</v>
      </c>
      <c r="S38" s="456">
        <v>2</v>
      </c>
      <c r="T38" s="838">
        <v>26426</v>
      </c>
      <c r="U38" s="836">
        <v>26476</v>
      </c>
      <c r="V38" s="299" t="s">
        <v>506</v>
      </c>
      <c r="W38" s="292" t="s">
        <v>17</v>
      </c>
      <c r="X38" s="292" t="s">
        <v>18</v>
      </c>
      <c r="Y38" s="300">
        <v>42.4</v>
      </c>
      <c r="Z38" s="292" t="s">
        <v>507</v>
      </c>
      <c r="AA38" s="292" t="s">
        <v>97</v>
      </c>
      <c r="AB38" s="292" t="s">
        <v>12</v>
      </c>
      <c r="AC38" s="292">
        <v>4.5999999999999996</v>
      </c>
      <c r="AD38" s="299" t="s">
        <v>511</v>
      </c>
      <c r="AE38" s="292" t="s">
        <v>22</v>
      </c>
      <c r="AF38" s="292" t="s">
        <v>11</v>
      </c>
      <c r="AG38" s="300">
        <v>3.3</v>
      </c>
      <c r="AL38" s="299"/>
      <c r="AO38" s="300"/>
      <c r="AP38" s="299"/>
      <c r="AT38" s="388"/>
      <c r="AW38" s="300"/>
      <c r="BA38" s="301"/>
    </row>
    <row r="39" spans="1:53" s="292" customFormat="1">
      <c r="A39" s="338">
        <v>1973</v>
      </c>
      <c r="B39" s="836"/>
      <c r="C39" s="916" t="s">
        <v>722</v>
      </c>
      <c r="D39" s="916"/>
      <c r="E39" s="456">
        <v>250</v>
      </c>
      <c r="F39" s="456"/>
      <c r="G39" s="425">
        <v>4</v>
      </c>
      <c r="H39" s="456">
        <v>17</v>
      </c>
      <c r="I39" s="456">
        <v>5</v>
      </c>
      <c r="J39" s="427">
        <v>26</v>
      </c>
      <c r="K39" s="423">
        <f t="shared" si="4"/>
        <v>15.384615384615385</v>
      </c>
      <c r="L39" s="423">
        <f t="shared" si="4"/>
        <v>65.384615384615387</v>
      </c>
      <c r="M39" s="423">
        <f t="shared" si="4"/>
        <v>19.230769230769234</v>
      </c>
      <c r="N39" s="426">
        <f t="shared" si="2"/>
        <v>100</v>
      </c>
      <c r="O39" s="422">
        <v>3.3</v>
      </c>
      <c r="P39" s="423">
        <v>42.4</v>
      </c>
      <c r="Q39" s="423">
        <v>4.5999999999999996</v>
      </c>
      <c r="R39" s="424">
        <f t="shared" si="3"/>
        <v>50.3</v>
      </c>
      <c r="S39" s="456">
        <v>2</v>
      </c>
      <c r="T39" s="838"/>
      <c r="U39" s="836"/>
      <c r="V39" s="299" t="s">
        <v>506</v>
      </c>
      <c r="W39" s="292" t="s">
        <v>17</v>
      </c>
      <c r="X39" s="292" t="s">
        <v>18</v>
      </c>
      <c r="Y39" s="300">
        <v>42.4</v>
      </c>
      <c r="Z39" s="292" t="s">
        <v>507</v>
      </c>
      <c r="AA39" s="292" t="s">
        <v>97</v>
      </c>
      <c r="AB39" s="292" t="s">
        <v>12</v>
      </c>
      <c r="AC39" s="292">
        <v>4.5999999999999996</v>
      </c>
      <c r="AD39" s="299" t="s">
        <v>511</v>
      </c>
      <c r="AE39" s="292" t="s">
        <v>22</v>
      </c>
      <c r="AF39" s="292" t="s">
        <v>11</v>
      </c>
      <c r="AG39" s="300">
        <v>3.3</v>
      </c>
      <c r="AL39" s="299"/>
      <c r="AO39" s="300"/>
      <c r="AP39" s="299"/>
      <c r="AT39" s="388"/>
      <c r="AW39" s="300"/>
      <c r="BA39" s="301"/>
    </row>
    <row r="40" spans="1:53" s="73" customFormat="1">
      <c r="A40" s="101">
        <v>1973</v>
      </c>
      <c r="B40" s="852">
        <v>26915</v>
      </c>
      <c r="C40" s="917" t="s">
        <v>723</v>
      </c>
      <c r="D40" s="917"/>
      <c r="E40" s="455">
        <v>115</v>
      </c>
      <c r="F40" s="455">
        <v>5</v>
      </c>
      <c r="G40" s="411"/>
      <c r="H40" s="455">
        <v>19</v>
      </c>
      <c r="I40" s="455">
        <v>10</v>
      </c>
      <c r="J40" s="413">
        <v>29</v>
      </c>
      <c r="K40" s="409">
        <f t="shared" si="4"/>
        <v>0</v>
      </c>
      <c r="L40" s="409">
        <f t="shared" si="4"/>
        <v>65.517241379310349</v>
      </c>
      <c r="M40" s="409">
        <f t="shared" si="4"/>
        <v>34.482758620689658</v>
      </c>
      <c r="N40" s="412">
        <f t="shared" si="2"/>
        <v>100</v>
      </c>
      <c r="O40" s="408"/>
      <c r="P40" s="409">
        <v>44.6</v>
      </c>
      <c r="Q40" s="409">
        <v>14.3</v>
      </c>
      <c r="R40" s="410">
        <f t="shared" si="3"/>
        <v>58.900000000000006</v>
      </c>
      <c r="S40" s="455">
        <v>3</v>
      </c>
      <c r="T40" s="839"/>
      <c r="U40" s="852">
        <v>26915</v>
      </c>
      <c r="V40" s="82" t="s">
        <v>506</v>
      </c>
      <c r="W40" s="73" t="s">
        <v>17</v>
      </c>
      <c r="X40" s="73" t="s">
        <v>18</v>
      </c>
      <c r="Y40" s="83">
        <v>42.4</v>
      </c>
      <c r="Z40" s="73" t="s">
        <v>509</v>
      </c>
      <c r="AA40" s="73" t="s">
        <v>20</v>
      </c>
      <c r="AB40" s="73" t="s">
        <v>12</v>
      </c>
      <c r="AC40" s="73">
        <v>9.6999999999999993</v>
      </c>
      <c r="AD40" s="82" t="s">
        <v>507</v>
      </c>
      <c r="AE40" s="73" t="s">
        <v>97</v>
      </c>
      <c r="AF40" s="73" t="s">
        <v>12</v>
      </c>
      <c r="AG40" s="83">
        <v>4.5999999999999996</v>
      </c>
      <c r="AH40" s="82" t="s">
        <v>508</v>
      </c>
      <c r="AI40" s="73" t="s">
        <v>88</v>
      </c>
      <c r="AJ40" s="73" t="s">
        <v>18</v>
      </c>
      <c r="AK40" s="73">
        <v>2.2000000000000002</v>
      </c>
      <c r="AL40" s="82"/>
      <c r="AO40" s="83"/>
      <c r="AP40" s="82"/>
      <c r="AT40" s="147"/>
      <c r="AW40" s="83"/>
      <c r="BA40" s="84"/>
    </row>
    <row r="41" spans="1:53" s="73" customFormat="1">
      <c r="A41" s="101">
        <v>1974</v>
      </c>
      <c r="B41" s="852"/>
      <c r="C41" s="917" t="s">
        <v>723</v>
      </c>
      <c r="D41" s="917"/>
      <c r="E41" s="455">
        <v>72</v>
      </c>
      <c r="F41" s="455"/>
      <c r="G41" s="411"/>
      <c r="H41" s="455">
        <v>19</v>
      </c>
      <c r="I41" s="455">
        <v>10</v>
      </c>
      <c r="J41" s="413">
        <v>29</v>
      </c>
      <c r="K41" s="409">
        <f t="shared" si="4"/>
        <v>0</v>
      </c>
      <c r="L41" s="409">
        <f t="shared" si="4"/>
        <v>65.517241379310349</v>
      </c>
      <c r="M41" s="409">
        <f t="shared" si="4"/>
        <v>34.482758620689658</v>
      </c>
      <c r="N41" s="412">
        <f t="shared" si="2"/>
        <v>100</v>
      </c>
      <c r="O41" s="408"/>
      <c r="P41" s="409">
        <v>44.6</v>
      </c>
      <c r="Q41" s="409">
        <v>14.3</v>
      </c>
      <c r="R41" s="410">
        <f t="shared" si="3"/>
        <v>58.900000000000006</v>
      </c>
      <c r="S41" s="455">
        <v>3</v>
      </c>
      <c r="T41" s="839"/>
      <c r="U41" s="852"/>
      <c r="V41" s="82" t="s">
        <v>506</v>
      </c>
      <c r="W41" s="73" t="s">
        <v>17</v>
      </c>
      <c r="X41" s="73" t="s">
        <v>18</v>
      </c>
      <c r="Y41" s="83">
        <v>42.4</v>
      </c>
      <c r="Z41" s="73" t="s">
        <v>509</v>
      </c>
      <c r="AA41" s="73" t="s">
        <v>20</v>
      </c>
      <c r="AB41" s="73" t="s">
        <v>12</v>
      </c>
      <c r="AC41" s="73">
        <v>9.6999999999999993</v>
      </c>
      <c r="AD41" s="82" t="s">
        <v>507</v>
      </c>
      <c r="AE41" s="73" t="s">
        <v>97</v>
      </c>
      <c r="AF41" s="73" t="s">
        <v>12</v>
      </c>
      <c r="AG41" s="83">
        <v>4.5999999999999996</v>
      </c>
      <c r="AH41" s="82" t="s">
        <v>508</v>
      </c>
      <c r="AI41" s="73" t="s">
        <v>88</v>
      </c>
      <c r="AJ41" s="73" t="s">
        <v>18</v>
      </c>
      <c r="AK41" s="73">
        <v>2.2000000000000002</v>
      </c>
      <c r="AL41" s="82"/>
      <c r="AO41" s="83"/>
      <c r="AP41" s="82"/>
      <c r="AT41" s="147"/>
      <c r="AW41" s="83"/>
      <c r="BA41" s="84"/>
    </row>
    <row r="42" spans="1:53" s="292" customFormat="1">
      <c r="A42" s="338">
        <v>1974</v>
      </c>
      <c r="B42" s="836">
        <v>27102</v>
      </c>
      <c r="C42" s="916" t="s">
        <v>724</v>
      </c>
      <c r="D42" s="916"/>
      <c r="E42" s="456">
        <v>254</v>
      </c>
      <c r="F42" s="456">
        <v>4</v>
      </c>
      <c r="G42" s="425"/>
      <c r="H42" s="456">
        <v>16</v>
      </c>
      <c r="I42" s="456">
        <v>10</v>
      </c>
      <c r="J42" s="427">
        <v>26</v>
      </c>
      <c r="K42" s="423">
        <f t="shared" si="4"/>
        <v>0</v>
      </c>
      <c r="L42" s="423">
        <f t="shared" si="4"/>
        <v>61.53846153846154</v>
      </c>
      <c r="M42" s="423">
        <f t="shared" si="4"/>
        <v>38.461538461538467</v>
      </c>
      <c r="N42" s="426">
        <f t="shared" si="2"/>
        <v>100</v>
      </c>
      <c r="O42" s="422"/>
      <c r="P42" s="423">
        <v>42.4</v>
      </c>
      <c r="Q42" s="423">
        <v>14.3</v>
      </c>
      <c r="R42" s="424">
        <f t="shared" si="3"/>
        <v>56.7</v>
      </c>
      <c r="S42" s="456">
        <v>3</v>
      </c>
      <c r="T42" s="838"/>
      <c r="U42" s="836">
        <v>27102</v>
      </c>
      <c r="V42" s="299" t="s">
        <v>506</v>
      </c>
      <c r="W42" s="292" t="s">
        <v>17</v>
      </c>
      <c r="X42" s="292" t="s">
        <v>18</v>
      </c>
      <c r="Y42" s="300">
        <v>42.4</v>
      </c>
      <c r="Z42" s="292" t="s">
        <v>509</v>
      </c>
      <c r="AA42" s="292" t="s">
        <v>20</v>
      </c>
      <c r="AB42" s="292" t="s">
        <v>12</v>
      </c>
      <c r="AC42" s="292">
        <v>9.6999999999999993</v>
      </c>
      <c r="AD42" s="299" t="s">
        <v>507</v>
      </c>
      <c r="AE42" s="292" t="s">
        <v>97</v>
      </c>
      <c r="AF42" s="292" t="s">
        <v>12</v>
      </c>
      <c r="AG42" s="300">
        <v>4.5999999999999996</v>
      </c>
      <c r="AH42" s="299"/>
      <c r="AL42" s="299"/>
      <c r="AO42" s="300"/>
      <c r="AP42" s="299"/>
      <c r="AT42" s="388"/>
      <c r="AW42" s="300"/>
      <c r="BA42" s="301"/>
    </row>
    <row r="43" spans="1:53" s="73" customFormat="1">
      <c r="A43" s="101">
        <v>1974</v>
      </c>
      <c r="B43" s="852">
        <v>27356</v>
      </c>
      <c r="C43" s="917" t="s">
        <v>725</v>
      </c>
      <c r="D43" s="917"/>
      <c r="E43" s="455">
        <f>365-E42-E41</f>
        <v>39</v>
      </c>
      <c r="F43" s="455">
        <v>4</v>
      </c>
      <c r="G43" s="411"/>
      <c r="H43" s="455">
        <v>25</v>
      </c>
      <c r="I43" s="455"/>
      <c r="J43" s="413">
        <v>25</v>
      </c>
      <c r="K43" s="409">
        <f t="shared" si="4"/>
        <v>0</v>
      </c>
      <c r="L43" s="409">
        <f t="shared" si="4"/>
        <v>100</v>
      </c>
      <c r="M43" s="409">
        <f t="shared" si="4"/>
        <v>0</v>
      </c>
      <c r="N43" s="412">
        <f t="shared" si="2"/>
        <v>100</v>
      </c>
      <c r="O43" s="408"/>
      <c r="P43" s="409">
        <v>44.6</v>
      </c>
      <c r="Q43" s="409"/>
      <c r="R43" s="410">
        <f t="shared" si="3"/>
        <v>44.6</v>
      </c>
      <c r="S43" s="455">
        <v>5</v>
      </c>
      <c r="T43" s="839"/>
      <c r="U43" s="852">
        <v>27356</v>
      </c>
      <c r="V43" s="82" t="s">
        <v>506</v>
      </c>
      <c r="W43" s="73" t="s">
        <v>17</v>
      </c>
      <c r="X43" s="73" t="s">
        <v>18</v>
      </c>
      <c r="Y43" s="83">
        <v>42.4</v>
      </c>
      <c r="Z43" s="82" t="s">
        <v>508</v>
      </c>
      <c r="AA43" s="73" t="s">
        <v>88</v>
      </c>
      <c r="AB43" s="73" t="s">
        <v>18</v>
      </c>
      <c r="AC43" s="73">
        <v>2.2000000000000002</v>
      </c>
      <c r="AD43" s="82"/>
      <c r="AG43" s="83"/>
      <c r="AL43" s="82"/>
      <c r="AO43" s="83"/>
      <c r="AP43" s="82"/>
      <c r="AT43" s="147"/>
      <c r="AW43" s="83"/>
      <c r="BA43" s="84"/>
    </row>
    <row r="44" spans="1:53" s="73" customFormat="1">
      <c r="A44" s="101">
        <v>1975</v>
      </c>
      <c r="B44" s="852"/>
      <c r="C44" s="917" t="s">
        <v>725</v>
      </c>
      <c r="D44" s="917"/>
      <c r="E44" s="455">
        <v>0</v>
      </c>
      <c r="F44" s="455"/>
      <c r="G44" s="411"/>
      <c r="H44" s="455">
        <v>25</v>
      </c>
      <c r="I44" s="455"/>
      <c r="J44" s="413">
        <v>25</v>
      </c>
      <c r="K44" s="409">
        <f t="shared" si="4"/>
        <v>0</v>
      </c>
      <c r="L44" s="409">
        <f t="shared" si="4"/>
        <v>100</v>
      </c>
      <c r="M44" s="409">
        <f t="shared" si="4"/>
        <v>0</v>
      </c>
      <c r="N44" s="412">
        <f t="shared" si="2"/>
        <v>100</v>
      </c>
      <c r="O44" s="408"/>
      <c r="P44" s="409">
        <v>44.6</v>
      </c>
      <c r="Q44" s="409"/>
      <c r="R44" s="410">
        <f t="shared" si="3"/>
        <v>44.6</v>
      </c>
      <c r="S44" s="455">
        <v>5</v>
      </c>
      <c r="T44" s="839"/>
      <c r="U44" s="852"/>
      <c r="V44" s="82" t="s">
        <v>506</v>
      </c>
      <c r="W44" s="73" t="s">
        <v>17</v>
      </c>
      <c r="X44" s="73" t="s">
        <v>18</v>
      </c>
      <c r="Y44" s="83">
        <v>42.4</v>
      </c>
      <c r="Z44" s="82" t="s">
        <v>508</v>
      </c>
      <c r="AA44" s="73" t="s">
        <v>88</v>
      </c>
      <c r="AB44" s="73" t="s">
        <v>18</v>
      </c>
      <c r="AC44" s="73">
        <v>2.2000000000000002</v>
      </c>
      <c r="AD44" s="82"/>
      <c r="AG44" s="83"/>
      <c r="AL44" s="82"/>
      <c r="AO44" s="83"/>
      <c r="AP44" s="82"/>
      <c r="AT44" s="147"/>
      <c r="AW44" s="83"/>
      <c r="BA44" s="84"/>
    </row>
    <row r="45" spans="1:53" s="73" customFormat="1">
      <c r="A45" s="101">
        <v>1975</v>
      </c>
      <c r="B45" s="852"/>
      <c r="C45" s="917" t="s">
        <v>725</v>
      </c>
      <c r="D45" s="917"/>
      <c r="E45" s="455">
        <v>365</v>
      </c>
      <c r="F45" s="455"/>
      <c r="G45" s="411"/>
      <c r="H45" s="455">
        <v>25</v>
      </c>
      <c r="I45" s="455"/>
      <c r="J45" s="413">
        <v>25</v>
      </c>
      <c r="K45" s="409">
        <f t="shared" si="4"/>
        <v>0</v>
      </c>
      <c r="L45" s="409">
        <f t="shared" si="4"/>
        <v>100</v>
      </c>
      <c r="M45" s="409">
        <f t="shared" si="4"/>
        <v>0</v>
      </c>
      <c r="N45" s="412">
        <f t="shared" si="2"/>
        <v>100</v>
      </c>
      <c r="O45" s="408"/>
      <c r="P45" s="409">
        <v>44.6</v>
      </c>
      <c r="Q45" s="409"/>
      <c r="R45" s="410">
        <f t="shared" si="3"/>
        <v>44.6</v>
      </c>
      <c r="S45" s="455">
        <v>5</v>
      </c>
      <c r="T45" s="839"/>
      <c r="U45" s="852"/>
      <c r="V45" s="82" t="s">
        <v>506</v>
      </c>
      <c r="W45" s="73" t="s">
        <v>17</v>
      </c>
      <c r="X45" s="73" t="s">
        <v>18</v>
      </c>
      <c r="Y45" s="83">
        <v>42.4</v>
      </c>
      <c r="Z45" s="82" t="s">
        <v>508</v>
      </c>
      <c r="AA45" s="73" t="s">
        <v>88</v>
      </c>
      <c r="AB45" s="73" t="s">
        <v>18</v>
      </c>
      <c r="AC45" s="73">
        <v>2.2000000000000002</v>
      </c>
      <c r="AD45" s="82"/>
      <c r="AG45" s="83"/>
      <c r="AL45" s="82"/>
      <c r="AO45" s="83"/>
      <c r="AP45" s="82"/>
      <c r="AT45" s="147"/>
      <c r="AW45" s="83"/>
      <c r="BA45" s="84"/>
    </row>
    <row r="46" spans="1:53" s="73" customFormat="1">
      <c r="A46" s="101">
        <v>1976</v>
      </c>
      <c r="B46" s="852"/>
      <c r="C46" s="917" t="s">
        <v>725</v>
      </c>
      <c r="D46" s="917"/>
      <c r="E46" s="455">
        <v>43</v>
      </c>
      <c r="F46" s="455"/>
      <c r="G46" s="411"/>
      <c r="H46" s="455">
        <v>25</v>
      </c>
      <c r="I46" s="455"/>
      <c r="J46" s="413">
        <v>25</v>
      </c>
      <c r="K46" s="409">
        <f t="shared" si="4"/>
        <v>0</v>
      </c>
      <c r="L46" s="409">
        <f t="shared" si="4"/>
        <v>100</v>
      </c>
      <c r="M46" s="409">
        <f t="shared" si="4"/>
        <v>0</v>
      </c>
      <c r="N46" s="412">
        <f t="shared" si="2"/>
        <v>100</v>
      </c>
      <c r="O46" s="408"/>
      <c r="P46" s="409">
        <v>44.6</v>
      </c>
      <c r="Q46" s="409"/>
      <c r="R46" s="410">
        <f t="shared" si="3"/>
        <v>44.6</v>
      </c>
      <c r="S46" s="455">
        <v>5</v>
      </c>
      <c r="T46" s="839"/>
      <c r="U46" s="852"/>
      <c r="V46" s="82" t="s">
        <v>506</v>
      </c>
      <c r="W46" s="73" t="s">
        <v>17</v>
      </c>
      <c r="X46" s="73" t="s">
        <v>18</v>
      </c>
      <c r="Y46" s="83">
        <v>42.4</v>
      </c>
      <c r="Z46" s="82" t="s">
        <v>508</v>
      </c>
      <c r="AA46" s="73" t="s">
        <v>88</v>
      </c>
      <c r="AB46" s="73" t="s">
        <v>18</v>
      </c>
      <c r="AC46" s="73">
        <v>2.2000000000000002</v>
      </c>
      <c r="AD46" s="82"/>
      <c r="AG46" s="83"/>
      <c r="AL46" s="82"/>
      <c r="AO46" s="83"/>
      <c r="AP46" s="82"/>
      <c r="AT46" s="147"/>
      <c r="AW46" s="83"/>
      <c r="BA46" s="84"/>
    </row>
    <row r="47" spans="1:53" s="292" customFormat="1">
      <c r="A47" s="338">
        <v>1976</v>
      </c>
      <c r="B47" s="836">
        <v>27803</v>
      </c>
      <c r="C47" s="916" t="s">
        <v>726</v>
      </c>
      <c r="D47" s="916"/>
      <c r="E47" s="456">
        <v>167</v>
      </c>
      <c r="F47" s="456">
        <v>5</v>
      </c>
      <c r="G47" s="425"/>
      <c r="H47" s="456">
        <v>22</v>
      </c>
      <c r="I47" s="456"/>
      <c r="J47" s="427">
        <v>22</v>
      </c>
      <c r="K47" s="423">
        <f t="shared" si="4"/>
        <v>0</v>
      </c>
      <c r="L47" s="423">
        <f t="shared" si="4"/>
        <v>100</v>
      </c>
      <c r="M47" s="423">
        <f t="shared" si="4"/>
        <v>0</v>
      </c>
      <c r="N47" s="426">
        <f t="shared" si="2"/>
        <v>100</v>
      </c>
      <c r="O47" s="422"/>
      <c r="P47" s="423">
        <v>42.4</v>
      </c>
      <c r="Q47" s="423"/>
      <c r="R47" s="424">
        <f t="shared" si="3"/>
        <v>42.4</v>
      </c>
      <c r="S47" s="456">
        <v>6</v>
      </c>
      <c r="T47" s="838"/>
      <c r="U47" s="836">
        <v>27803</v>
      </c>
      <c r="V47" s="299" t="s">
        <v>506</v>
      </c>
      <c r="W47" s="292" t="s">
        <v>17</v>
      </c>
      <c r="X47" s="292" t="s">
        <v>18</v>
      </c>
      <c r="Y47" s="300">
        <v>42.4</v>
      </c>
      <c r="Z47" s="299"/>
      <c r="AD47" s="299"/>
      <c r="AG47" s="300"/>
      <c r="AL47" s="299"/>
      <c r="AO47" s="300"/>
      <c r="AP47" s="299"/>
      <c r="AT47" s="388"/>
      <c r="AW47" s="300"/>
      <c r="BA47" s="301"/>
    </row>
    <row r="48" spans="1:53" s="73" customFormat="1">
      <c r="A48" s="101">
        <v>1976</v>
      </c>
      <c r="B48" s="852">
        <v>27970</v>
      </c>
      <c r="C48" s="917" t="s">
        <v>727</v>
      </c>
      <c r="D48" s="917"/>
      <c r="E48" s="455">
        <f>366-E47-E46</f>
        <v>156</v>
      </c>
      <c r="F48" s="455">
        <v>1</v>
      </c>
      <c r="G48" s="411"/>
      <c r="H48" s="455">
        <v>21</v>
      </c>
      <c r="I48" s="455"/>
      <c r="J48" s="413">
        <v>22</v>
      </c>
      <c r="K48" s="409">
        <f t="shared" si="4"/>
        <v>0</v>
      </c>
      <c r="L48" s="409">
        <f t="shared" si="4"/>
        <v>95.454545454545453</v>
      </c>
      <c r="M48" s="409">
        <f t="shared" si="4"/>
        <v>0</v>
      </c>
      <c r="N48" s="412">
        <f t="shared" si="2"/>
        <v>95.454545454545453</v>
      </c>
      <c r="O48" s="408"/>
      <c r="P48" s="409">
        <v>41.7</v>
      </c>
      <c r="Q48" s="409"/>
      <c r="R48" s="410">
        <f t="shared" si="3"/>
        <v>41.7</v>
      </c>
      <c r="S48" s="455">
        <v>4</v>
      </c>
      <c r="T48" s="839">
        <v>27931</v>
      </c>
      <c r="U48" s="852">
        <v>27970</v>
      </c>
      <c r="V48" s="82" t="s">
        <v>506</v>
      </c>
      <c r="W48" s="73" t="s">
        <v>17</v>
      </c>
      <c r="X48" s="73" t="s">
        <v>18</v>
      </c>
      <c r="Y48" s="83">
        <v>41.7</v>
      </c>
      <c r="AD48" s="82"/>
      <c r="AG48" s="83"/>
      <c r="AL48" s="82"/>
      <c r="AO48" s="83"/>
      <c r="AP48" s="82"/>
      <c r="AT48" s="147"/>
      <c r="AW48" s="83"/>
      <c r="BA48" s="84"/>
    </row>
    <row r="49" spans="1:53" s="73" customFormat="1">
      <c r="A49" s="101">
        <v>1977</v>
      </c>
      <c r="B49" s="852"/>
      <c r="C49" s="917" t="s">
        <v>727</v>
      </c>
      <c r="D49" s="917"/>
      <c r="E49" s="455">
        <v>0</v>
      </c>
      <c r="F49" s="455"/>
      <c r="G49" s="411"/>
      <c r="H49" s="455">
        <v>21</v>
      </c>
      <c r="I49" s="455"/>
      <c r="J49" s="413">
        <v>22</v>
      </c>
      <c r="K49" s="409">
        <f t="shared" si="4"/>
        <v>0</v>
      </c>
      <c r="L49" s="409">
        <f t="shared" si="4"/>
        <v>95.454545454545453</v>
      </c>
      <c r="M49" s="409">
        <f t="shared" si="4"/>
        <v>0</v>
      </c>
      <c r="N49" s="412">
        <f t="shared" si="2"/>
        <v>95.454545454545453</v>
      </c>
      <c r="O49" s="408"/>
      <c r="P49" s="409">
        <v>41.7</v>
      </c>
      <c r="Q49" s="409"/>
      <c r="R49" s="410">
        <f t="shared" si="3"/>
        <v>41.7</v>
      </c>
      <c r="S49" s="455">
        <v>4</v>
      </c>
      <c r="T49" s="839"/>
      <c r="U49" s="852"/>
      <c r="V49" s="82" t="s">
        <v>506</v>
      </c>
      <c r="W49" s="73" t="s">
        <v>17</v>
      </c>
      <c r="X49" s="73" t="s">
        <v>18</v>
      </c>
      <c r="Y49" s="83">
        <v>41.7</v>
      </c>
      <c r="AD49" s="82"/>
      <c r="AG49" s="83"/>
      <c r="AL49" s="82"/>
      <c r="AO49" s="83"/>
      <c r="AP49" s="82"/>
      <c r="AT49" s="147"/>
      <c r="AW49" s="83"/>
      <c r="BA49" s="84"/>
    </row>
    <row r="50" spans="1:53" s="73" customFormat="1">
      <c r="A50" s="101">
        <v>1977</v>
      </c>
      <c r="B50" s="852"/>
      <c r="C50" s="917" t="s">
        <v>727</v>
      </c>
      <c r="D50" s="917"/>
      <c r="E50" s="455">
        <v>365</v>
      </c>
      <c r="F50" s="455"/>
      <c r="G50" s="411"/>
      <c r="H50" s="455">
        <v>21</v>
      </c>
      <c r="I50" s="455"/>
      <c r="J50" s="413">
        <v>22</v>
      </c>
      <c r="K50" s="409">
        <f t="shared" si="4"/>
        <v>0</v>
      </c>
      <c r="L50" s="409">
        <f t="shared" si="4"/>
        <v>95.454545454545453</v>
      </c>
      <c r="M50" s="409">
        <f t="shared" si="4"/>
        <v>0</v>
      </c>
      <c r="N50" s="412">
        <f t="shared" si="2"/>
        <v>95.454545454545453</v>
      </c>
      <c r="O50" s="408"/>
      <c r="P50" s="409">
        <v>41.7</v>
      </c>
      <c r="Q50" s="409"/>
      <c r="R50" s="410">
        <f t="shared" si="3"/>
        <v>41.7</v>
      </c>
      <c r="S50" s="455">
        <v>4</v>
      </c>
      <c r="T50" s="839"/>
      <c r="U50" s="852"/>
      <c r="V50" s="82" t="s">
        <v>506</v>
      </c>
      <c r="W50" s="73" t="s">
        <v>17</v>
      </c>
      <c r="X50" s="73" t="s">
        <v>18</v>
      </c>
      <c r="Y50" s="83">
        <v>41.7</v>
      </c>
      <c r="AD50" s="82"/>
      <c r="AG50" s="83"/>
      <c r="AL50" s="82"/>
      <c r="AO50" s="83"/>
      <c r="AP50" s="82"/>
      <c r="AT50" s="147"/>
      <c r="AW50" s="83"/>
      <c r="BA50" s="84"/>
    </row>
    <row r="51" spans="1:53" s="73" customFormat="1">
      <c r="A51" s="101">
        <v>1978</v>
      </c>
      <c r="B51" s="852"/>
      <c r="C51" s="917" t="s">
        <v>727</v>
      </c>
      <c r="D51" s="917"/>
      <c r="E51" s="455">
        <v>71</v>
      </c>
      <c r="F51" s="455"/>
      <c r="G51" s="411"/>
      <c r="H51" s="455">
        <v>21</v>
      </c>
      <c r="I51" s="455"/>
      <c r="J51" s="413">
        <v>22</v>
      </c>
      <c r="K51" s="409">
        <f t="shared" si="4"/>
        <v>0</v>
      </c>
      <c r="L51" s="409">
        <f t="shared" si="4"/>
        <v>95.454545454545453</v>
      </c>
      <c r="M51" s="409">
        <f t="shared" si="4"/>
        <v>0</v>
      </c>
      <c r="N51" s="412">
        <f t="shared" si="2"/>
        <v>95.454545454545453</v>
      </c>
      <c r="O51" s="408"/>
      <c r="P51" s="409">
        <v>41.7</v>
      </c>
      <c r="Q51" s="409"/>
      <c r="R51" s="410">
        <f t="shared" si="3"/>
        <v>41.7</v>
      </c>
      <c r="S51" s="455">
        <v>4</v>
      </c>
      <c r="T51" s="839"/>
      <c r="U51" s="852"/>
      <c r="V51" s="82" t="s">
        <v>506</v>
      </c>
      <c r="W51" s="73" t="s">
        <v>17</v>
      </c>
      <c r="X51" s="73" t="s">
        <v>18</v>
      </c>
      <c r="Y51" s="83">
        <v>41.7</v>
      </c>
      <c r="AD51" s="82"/>
      <c r="AG51" s="83"/>
      <c r="AL51" s="82"/>
      <c r="AO51" s="83"/>
      <c r="AP51" s="82"/>
      <c r="AT51" s="147"/>
      <c r="AW51" s="83"/>
      <c r="BA51" s="84"/>
    </row>
    <row r="52" spans="1:53" s="292" customFormat="1">
      <c r="A52" s="338">
        <v>1978</v>
      </c>
      <c r="B52" s="836">
        <v>28562</v>
      </c>
      <c r="C52" s="916" t="s">
        <v>728</v>
      </c>
      <c r="D52" s="916"/>
      <c r="E52" s="456">
        <f>365-E51</f>
        <v>294</v>
      </c>
      <c r="F52" s="456">
        <v>5</v>
      </c>
      <c r="G52" s="425"/>
      <c r="H52" s="456">
        <v>20</v>
      </c>
      <c r="I52" s="456"/>
      <c r="J52" s="427">
        <v>21</v>
      </c>
      <c r="K52" s="423">
        <f t="shared" si="4"/>
        <v>0</v>
      </c>
      <c r="L52" s="423">
        <f t="shared" si="4"/>
        <v>95.238095238095227</v>
      </c>
      <c r="M52" s="423">
        <f t="shared" si="4"/>
        <v>0</v>
      </c>
      <c r="N52" s="426">
        <f t="shared" si="2"/>
        <v>95.238095238095227</v>
      </c>
      <c r="O52" s="422"/>
      <c r="P52" s="423">
        <v>41.7</v>
      </c>
      <c r="Q52" s="423"/>
      <c r="R52" s="424">
        <f t="shared" si="3"/>
        <v>41.7</v>
      </c>
      <c r="S52" s="456">
        <v>4</v>
      </c>
      <c r="T52" s="838"/>
      <c r="U52" s="836">
        <v>28562</v>
      </c>
      <c r="V52" s="299" t="s">
        <v>506</v>
      </c>
      <c r="W52" s="292" t="s">
        <v>17</v>
      </c>
      <c r="X52" s="292" t="s">
        <v>18</v>
      </c>
      <c r="Y52" s="300">
        <v>41.7</v>
      </c>
      <c r="AD52" s="299"/>
      <c r="AG52" s="300"/>
      <c r="AL52" s="299"/>
      <c r="AO52" s="300"/>
      <c r="AP52" s="299"/>
      <c r="AT52" s="388"/>
      <c r="AW52" s="300"/>
      <c r="BA52" s="301"/>
    </row>
    <row r="53" spans="1:53" s="292" customFormat="1">
      <c r="A53" s="338">
        <v>1979</v>
      </c>
      <c r="B53" s="836"/>
      <c r="C53" s="916" t="s">
        <v>728</v>
      </c>
      <c r="D53" s="916"/>
      <c r="E53" s="456">
        <v>79</v>
      </c>
      <c r="F53" s="456"/>
      <c r="G53" s="425"/>
      <c r="H53" s="456">
        <v>20</v>
      </c>
      <c r="I53" s="456"/>
      <c r="J53" s="427">
        <v>21</v>
      </c>
      <c r="K53" s="423">
        <f t="shared" si="4"/>
        <v>0</v>
      </c>
      <c r="L53" s="423">
        <f t="shared" si="4"/>
        <v>95.238095238095227</v>
      </c>
      <c r="M53" s="423">
        <f t="shared" si="4"/>
        <v>0</v>
      </c>
      <c r="N53" s="426">
        <f t="shared" si="2"/>
        <v>95.238095238095227</v>
      </c>
      <c r="O53" s="422"/>
      <c r="P53" s="423">
        <v>41.7</v>
      </c>
      <c r="Q53" s="423"/>
      <c r="R53" s="424">
        <f t="shared" si="3"/>
        <v>41.7</v>
      </c>
      <c r="S53" s="456">
        <v>4</v>
      </c>
      <c r="T53" s="838"/>
      <c r="U53" s="836"/>
      <c r="V53" s="299" t="s">
        <v>506</v>
      </c>
      <c r="W53" s="292" t="s">
        <v>17</v>
      </c>
      <c r="X53" s="292" t="s">
        <v>18</v>
      </c>
      <c r="Y53" s="300">
        <v>41.7</v>
      </c>
      <c r="AD53" s="299"/>
      <c r="AG53" s="300"/>
      <c r="AL53" s="299"/>
      <c r="AO53" s="300"/>
      <c r="AP53" s="299"/>
      <c r="AT53" s="388"/>
      <c r="AW53" s="300"/>
      <c r="BA53" s="301"/>
    </row>
    <row r="54" spans="1:53" s="73" customFormat="1">
      <c r="A54" s="101">
        <v>1979</v>
      </c>
      <c r="B54" s="852">
        <v>28935</v>
      </c>
      <c r="C54" s="917" t="s">
        <v>729</v>
      </c>
      <c r="D54" s="917"/>
      <c r="E54" s="455">
        <v>137</v>
      </c>
      <c r="F54" s="455">
        <v>5</v>
      </c>
      <c r="G54" s="411"/>
      <c r="H54" s="455">
        <v>17</v>
      </c>
      <c r="I54" s="455">
        <v>4</v>
      </c>
      <c r="J54" s="413">
        <v>21</v>
      </c>
      <c r="K54" s="409">
        <f t="shared" si="4"/>
        <v>0</v>
      </c>
      <c r="L54" s="409">
        <f t="shared" si="4"/>
        <v>80.952380952380949</v>
      </c>
      <c r="M54" s="409">
        <f t="shared" si="4"/>
        <v>19.047619047619047</v>
      </c>
      <c r="N54" s="412">
        <f t="shared" si="2"/>
        <v>100</v>
      </c>
      <c r="O54" s="408"/>
      <c r="P54" s="409">
        <v>43.9</v>
      </c>
      <c r="Q54" s="409">
        <v>2.4</v>
      </c>
      <c r="R54" s="410">
        <f t="shared" si="3"/>
        <v>46.3</v>
      </c>
      <c r="S54" s="455">
        <v>6</v>
      </c>
      <c r="T54" s="839"/>
      <c r="U54" s="852">
        <v>28935</v>
      </c>
      <c r="V54" s="82" t="s">
        <v>506</v>
      </c>
      <c r="W54" s="73" t="s">
        <v>17</v>
      </c>
      <c r="X54" s="73" t="s">
        <v>18</v>
      </c>
      <c r="Y54" s="83">
        <v>41.7</v>
      </c>
      <c r="Z54" s="73" t="s">
        <v>507</v>
      </c>
      <c r="AA54" s="73" t="s">
        <v>97</v>
      </c>
      <c r="AB54" s="73" t="s">
        <v>12</v>
      </c>
      <c r="AC54" s="73">
        <v>2.4</v>
      </c>
      <c r="AD54" s="82" t="s">
        <v>508</v>
      </c>
      <c r="AE54" s="73" t="s">
        <v>88</v>
      </c>
      <c r="AF54" s="73" t="s">
        <v>18</v>
      </c>
      <c r="AG54" s="83">
        <v>2.2000000000000002</v>
      </c>
      <c r="AL54" s="82"/>
      <c r="AO54" s="83"/>
      <c r="AP54" s="82"/>
      <c r="AT54" s="147"/>
      <c r="AW54" s="83"/>
      <c r="BA54" s="84"/>
    </row>
    <row r="55" spans="1:53" s="292" customFormat="1">
      <c r="A55" s="338">
        <v>1979</v>
      </c>
      <c r="B55" s="836">
        <v>29072</v>
      </c>
      <c r="C55" s="916" t="s">
        <v>730</v>
      </c>
      <c r="D55" s="916"/>
      <c r="E55" s="456">
        <f>365-E54-E53</f>
        <v>149</v>
      </c>
      <c r="F55" s="456">
        <v>1</v>
      </c>
      <c r="G55" s="425">
        <v>2</v>
      </c>
      <c r="H55" s="456">
        <v>17</v>
      </c>
      <c r="I55" s="456">
        <v>4</v>
      </c>
      <c r="J55" s="427">
        <v>25</v>
      </c>
      <c r="K55" s="423">
        <f t="shared" si="4"/>
        <v>8</v>
      </c>
      <c r="L55" s="423">
        <f t="shared" si="4"/>
        <v>68</v>
      </c>
      <c r="M55" s="423">
        <f t="shared" si="4"/>
        <v>16</v>
      </c>
      <c r="N55" s="426">
        <f t="shared" si="2"/>
        <v>92</v>
      </c>
      <c r="O55" s="422">
        <v>1.5</v>
      </c>
      <c r="P55" s="423">
        <v>41.4</v>
      </c>
      <c r="Q55" s="423">
        <v>3.3</v>
      </c>
      <c r="R55" s="424">
        <f t="shared" si="3"/>
        <v>46.199999999999996</v>
      </c>
      <c r="S55" s="456">
        <v>5</v>
      </c>
      <c r="T55" s="838">
        <v>29009</v>
      </c>
      <c r="U55" s="836">
        <v>29072</v>
      </c>
      <c r="V55" s="299" t="s">
        <v>506</v>
      </c>
      <c r="W55" s="292" t="s">
        <v>17</v>
      </c>
      <c r="X55" s="292" t="s">
        <v>18</v>
      </c>
      <c r="Y55" s="300">
        <v>41.4</v>
      </c>
      <c r="Z55" s="292" t="s">
        <v>507</v>
      </c>
      <c r="AA55" s="292" t="s">
        <v>97</v>
      </c>
      <c r="AB55" s="292" t="s">
        <v>12</v>
      </c>
      <c r="AC55" s="292">
        <v>3.3</v>
      </c>
      <c r="AD55" s="299" t="s">
        <v>511</v>
      </c>
      <c r="AE55" s="292" t="s">
        <v>22</v>
      </c>
      <c r="AF55" s="292" t="s">
        <v>11</v>
      </c>
      <c r="AG55" s="300">
        <v>1.5</v>
      </c>
      <c r="AL55" s="299"/>
      <c r="AO55" s="300"/>
      <c r="AP55" s="299"/>
      <c r="AT55" s="388"/>
      <c r="AW55" s="300"/>
      <c r="BA55" s="301"/>
    </row>
    <row r="56" spans="1:53" s="292" customFormat="1">
      <c r="A56" s="338">
        <v>1980</v>
      </c>
      <c r="B56" s="836"/>
      <c r="C56" s="916" t="s">
        <v>730</v>
      </c>
      <c r="D56" s="916"/>
      <c r="E56" s="456">
        <v>94</v>
      </c>
      <c r="F56" s="456"/>
      <c r="G56" s="425">
        <v>2</v>
      </c>
      <c r="H56" s="456">
        <v>17</v>
      </c>
      <c r="I56" s="456">
        <v>4</v>
      </c>
      <c r="J56" s="427">
        <v>25</v>
      </c>
      <c r="K56" s="423">
        <f t="shared" si="4"/>
        <v>8</v>
      </c>
      <c r="L56" s="423">
        <f t="shared" si="4"/>
        <v>68</v>
      </c>
      <c r="M56" s="423">
        <f t="shared" si="4"/>
        <v>16</v>
      </c>
      <c r="N56" s="426">
        <f t="shared" si="2"/>
        <v>92</v>
      </c>
      <c r="O56" s="422">
        <v>1.5</v>
      </c>
      <c r="P56" s="423">
        <v>41.4</v>
      </c>
      <c r="Q56" s="423">
        <v>3.3</v>
      </c>
      <c r="R56" s="424">
        <f t="shared" si="3"/>
        <v>46.199999999999996</v>
      </c>
      <c r="S56" s="456">
        <v>5</v>
      </c>
      <c r="T56" s="838"/>
      <c r="U56" s="836"/>
      <c r="V56" s="299" t="s">
        <v>506</v>
      </c>
      <c r="W56" s="292" t="s">
        <v>17</v>
      </c>
      <c r="X56" s="292" t="s">
        <v>18</v>
      </c>
      <c r="Y56" s="300">
        <v>41.4</v>
      </c>
      <c r="Z56" s="292" t="s">
        <v>507</v>
      </c>
      <c r="AA56" s="292" t="s">
        <v>97</v>
      </c>
      <c r="AB56" s="292" t="s">
        <v>12</v>
      </c>
      <c r="AC56" s="292">
        <v>3.3</v>
      </c>
      <c r="AD56" s="299" t="s">
        <v>511</v>
      </c>
      <c r="AE56" s="292" t="s">
        <v>22</v>
      </c>
      <c r="AF56" s="292" t="s">
        <v>11</v>
      </c>
      <c r="AG56" s="300">
        <v>1.5</v>
      </c>
      <c r="AL56" s="299"/>
      <c r="AO56" s="300"/>
      <c r="AP56" s="299"/>
      <c r="AT56" s="388"/>
      <c r="AW56" s="300"/>
      <c r="BA56" s="301"/>
    </row>
    <row r="57" spans="1:53" s="73" customFormat="1">
      <c r="A57" s="101">
        <v>1980</v>
      </c>
      <c r="B57" s="852">
        <v>29315</v>
      </c>
      <c r="C57" s="917" t="s">
        <v>731</v>
      </c>
      <c r="D57" s="917"/>
      <c r="E57" s="455">
        <v>198</v>
      </c>
      <c r="F57" s="455">
        <v>5</v>
      </c>
      <c r="G57" s="411"/>
      <c r="H57" s="455">
        <v>19</v>
      </c>
      <c r="I57" s="455">
        <v>9</v>
      </c>
      <c r="J57" s="413">
        <v>28</v>
      </c>
      <c r="K57" s="409">
        <f t="shared" si="4"/>
        <v>0</v>
      </c>
      <c r="L57" s="409">
        <f t="shared" si="4"/>
        <v>67.857142857142861</v>
      </c>
      <c r="M57" s="409">
        <f t="shared" si="4"/>
        <v>32.142857142857146</v>
      </c>
      <c r="N57" s="412">
        <f t="shared" si="2"/>
        <v>100</v>
      </c>
      <c r="O57" s="408"/>
      <c r="P57" s="409">
        <v>43.8</v>
      </c>
      <c r="Q57" s="409">
        <v>9.8000000000000007</v>
      </c>
      <c r="R57" s="410">
        <f t="shared" si="3"/>
        <v>53.599999999999994</v>
      </c>
      <c r="S57" s="455">
        <v>3</v>
      </c>
      <c r="T57" s="839"/>
      <c r="U57" s="852">
        <v>29315</v>
      </c>
      <c r="V57" s="82" t="s">
        <v>506</v>
      </c>
      <c r="W57" s="73" t="s">
        <v>17</v>
      </c>
      <c r="X57" s="73" t="s">
        <v>18</v>
      </c>
      <c r="Y57" s="83">
        <v>41.4</v>
      </c>
      <c r="Z57" s="73" t="s">
        <v>509</v>
      </c>
      <c r="AA57" s="73" t="s">
        <v>20</v>
      </c>
      <c r="AB57" s="73" t="s">
        <v>12</v>
      </c>
      <c r="AC57" s="73">
        <v>9.8000000000000007</v>
      </c>
      <c r="AD57" s="82" t="s">
        <v>508</v>
      </c>
      <c r="AE57" s="73" t="s">
        <v>88</v>
      </c>
      <c r="AF57" s="73" t="s">
        <v>18</v>
      </c>
      <c r="AG57" s="83">
        <v>2.4</v>
      </c>
      <c r="AL57" s="82"/>
      <c r="AO57" s="83"/>
      <c r="AP57" s="82"/>
      <c r="AT57" s="147"/>
      <c r="AW57" s="83"/>
      <c r="BA57" s="84"/>
    </row>
    <row r="58" spans="1:53" s="292" customFormat="1">
      <c r="A58" s="338">
        <v>1980</v>
      </c>
      <c r="B58" s="836">
        <v>29513</v>
      </c>
      <c r="C58" s="916" t="s">
        <v>732</v>
      </c>
      <c r="D58" s="916"/>
      <c r="E58" s="456">
        <f>366-E57-E56</f>
        <v>74</v>
      </c>
      <c r="F58" s="456">
        <v>5</v>
      </c>
      <c r="G58" s="425"/>
      <c r="H58" s="456">
        <v>17</v>
      </c>
      <c r="I58" s="456">
        <v>10</v>
      </c>
      <c r="J58" s="427">
        <v>27</v>
      </c>
      <c r="K58" s="423">
        <f>G58/$J58*100</f>
        <v>0</v>
      </c>
      <c r="L58" s="423">
        <f t="shared" si="4"/>
        <v>62.962962962962962</v>
      </c>
      <c r="M58" s="423">
        <f t="shared" si="4"/>
        <v>37.037037037037038</v>
      </c>
      <c r="N58" s="426">
        <f t="shared" si="2"/>
        <v>100</v>
      </c>
      <c r="O58" s="422"/>
      <c r="P58" s="423">
        <v>43.8</v>
      </c>
      <c r="Q58" s="423">
        <v>13.1</v>
      </c>
      <c r="R58" s="424">
        <f>O58+P58+Q58</f>
        <v>56.9</v>
      </c>
      <c r="S58" s="456">
        <v>3</v>
      </c>
      <c r="T58" s="838"/>
      <c r="U58" s="836">
        <v>29513</v>
      </c>
      <c r="V58" s="299" t="s">
        <v>506</v>
      </c>
      <c r="W58" s="292" t="s">
        <v>17</v>
      </c>
      <c r="X58" s="292" t="s">
        <v>18</v>
      </c>
      <c r="Y58" s="300">
        <v>41.4</v>
      </c>
      <c r="Z58" s="292" t="s">
        <v>509</v>
      </c>
      <c r="AA58" s="292" t="s">
        <v>20</v>
      </c>
      <c r="AB58" s="292" t="s">
        <v>12</v>
      </c>
      <c r="AC58" s="292">
        <v>9.8000000000000007</v>
      </c>
      <c r="AD58" s="299" t="s">
        <v>507</v>
      </c>
      <c r="AE58" s="292" t="s">
        <v>97</v>
      </c>
      <c r="AF58" s="292" t="s">
        <v>12</v>
      </c>
      <c r="AG58" s="300">
        <v>3.3</v>
      </c>
      <c r="AH58" s="299" t="s">
        <v>508</v>
      </c>
      <c r="AI58" s="292" t="s">
        <v>88</v>
      </c>
      <c r="AJ58" s="292" t="s">
        <v>18</v>
      </c>
      <c r="AK58" s="292">
        <v>2.4</v>
      </c>
      <c r="AL58" s="299"/>
      <c r="AO58" s="300"/>
      <c r="AP58" s="299"/>
      <c r="AT58" s="388"/>
      <c r="AW58" s="300"/>
      <c r="BA58" s="301"/>
    </row>
    <row r="59" spans="1:53" s="292" customFormat="1">
      <c r="A59" s="338">
        <v>1981</v>
      </c>
      <c r="B59" s="836"/>
      <c r="C59" s="916" t="s">
        <v>732</v>
      </c>
      <c r="D59" s="916"/>
      <c r="E59" s="456">
        <v>178</v>
      </c>
      <c r="F59" s="456"/>
      <c r="G59" s="425"/>
      <c r="H59" s="456">
        <v>17</v>
      </c>
      <c r="I59" s="456">
        <v>10</v>
      </c>
      <c r="J59" s="427">
        <v>27</v>
      </c>
      <c r="K59" s="423">
        <f t="shared" ref="K59:M101" si="5">G59/$J59*100</f>
        <v>0</v>
      </c>
      <c r="L59" s="423">
        <f t="shared" si="4"/>
        <v>62.962962962962962</v>
      </c>
      <c r="M59" s="423">
        <f t="shared" si="4"/>
        <v>37.037037037037038</v>
      </c>
      <c r="N59" s="426">
        <f t="shared" si="2"/>
        <v>100</v>
      </c>
      <c r="O59" s="422"/>
      <c r="P59" s="423">
        <v>43.8</v>
      </c>
      <c r="Q59" s="423">
        <v>13.1</v>
      </c>
      <c r="R59" s="424">
        <f t="shared" si="3"/>
        <v>56.9</v>
      </c>
      <c r="S59" s="456">
        <v>3</v>
      </c>
      <c r="T59" s="838"/>
      <c r="U59" s="836"/>
      <c r="V59" s="299" t="s">
        <v>506</v>
      </c>
      <c r="W59" s="292" t="s">
        <v>17</v>
      </c>
      <c r="X59" s="292" t="s">
        <v>18</v>
      </c>
      <c r="Y59" s="300">
        <v>41.4</v>
      </c>
      <c r="Z59" s="292" t="s">
        <v>509</v>
      </c>
      <c r="AA59" s="292" t="s">
        <v>20</v>
      </c>
      <c r="AB59" s="292" t="s">
        <v>12</v>
      </c>
      <c r="AC59" s="292">
        <v>9.8000000000000007</v>
      </c>
      <c r="AD59" s="299" t="s">
        <v>507</v>
      </c>
      <c r="AE59" s="292" t="s">
        <v>97</v>
      </c>
      <c r="AF59" s="292" t="s">
        <v>12</v>
      </c>
      <c r="AG59" s="300">
        <v>3.3</v>
      </c>
      <c r="AH59" s="299" t="s">
        <v>508</v>
      </c>
      <c r="AI59" s="292" t="s">
        <v>88</v>
      </c>
      <c r="AJ59" s="292" t="s">
        <v>18</v>
      </c>
      <c r="AK59" s="292">
        <v>2.4</v>
      </c>
      <c r="AL59" s="299"/>
      <c r="AO59" s="300"/>
      <c r="AP59" s="299"/>
      <c r="AT59" s="388"/>
      <c r="AW59" s="300"/>
      <c r="BA59" s="301"/>
    </row>
    <row r="60" spans="1:53" s="73" customFormat="1">
      <c r="A60" s="101">
        <v>1981</v>
      </c>
      <c r="B60" s="852">
        <v>29765</v>
      </c>
      <c r="C60" s="917" t="s">
        <v>733</v>
      </c>
      <c r="D60" s="917"/>
      <c r="E60" s="455">
        <f>365-E59</f>
        <v>187</v>
      </c>
      <c r="F60" s="455">
        <v>5</v>
      </c>
      <c r="G60" s="411">
        <v>1</v>
      </c>
      <c r="H60" s="455">
        <v>17</v>
      </c>
      <c r="I60" s="455">
        <v>10</v>
      </c>
      <c r="J60" s="413">
        <v>28</v>
      </c>
      <c r="K60" s="409">
        <f t="shared" si="5"/>
        <v>3.5714285714285712</v>
      </c>
      <c r="L60" s="409">
        <f t="shared" si="4"/>
        <v>60.714285714285708</v>
      </c>
      <c r="M60" s="409">
        <f t="shared" si="4"/>
        <v>35.714285714285715</v>
      </c>
      <c r="N60" s="412">
        <f t="shared" si="2"/>
        <v>100</v>
      </c>
      <c r="O60" s="408">
        <v>1.5</v>
      </c>
      <c r="P60" s="409">
        <v>43.8</v>
      </c>
      <c r="Q60" s="409">
        <v>13.1</v>
      </c>
      <c r="R60" s="410">
        <f t="shared" si="3"/>
        <v>58.4</v>
      </c>
      <c r="S60" s="455">
        <v>3</v>
      </c>
      <c r="T60" s="839"/>
      <c r="U60" s="852">
        <v>29765</v>
      </c>
      <c r="V60" s="82" t="s">
        <v>506</v>
      </c>
      <c r="W60" s="73" t="s">
        <v>17</v>
      </c>
      <c r="X60" s="73" t="s">
        <v>18</v>
      </c>
      <c r="Y60" s="83">
        <v>41.4</v>
      </c>
      <c r="Z60" s="73" t="s">
        <v>509</v>
      </c>
      <c r="AA60" s="73" t="s">
        <v>20</v>
      </c>
      <c r="AB60" s="73" t="s">
        <v>12</v>
      </c>
      <c r="AC60" s="73">
        <v>9.8000000000000007</v>
      </c>
      <c r="AD60" s="82" t="s">
        <v>507</v>
      </c>
      <c r="AE60" s="73" t="s">
        <v>97</v>
      </c>
      <c r="AF60" s="73" t="s">
        <v>12</v>
      </c>
      <c r="AG60" s="83">
        <v>3.3</v>
      </c>
      <c r="AH60" s="82" t="s">
        <v>508</v>
      </c>
      <c r="AI60" s="73" t="s">
        <v>88</v>
      </c>
      <c r="AJ60" s="73" t="s">
        <v>18</v>
      </c>
      <c r="AK60" s="73">
        <v>2.4</v>
      </c>
      <c r="AL60" s="82" t="s">
        <v>511</v>
      </c>
      <c r="AM60" s="73" t="s">
        <v>22</v>
      </c>
      <c r="AN60" s="73" t="s">
        <v>11</v>
      </c>
      <c r="AO60" s="83">
        <v>1.5</v>
      </c>
      <c r="AP60" s="82"/>
      <c r="AT60" s="147"/>
      <c r="AW60" s="83"/>
      <c r="BA60" s="84"/>
    </row>
    <row r="61" spans="1:53" s="73" customFormat="1">
      <c r="A61" s="101">
        <v>1982</v>
      </c>
      <c r="B61" s="852"/>
      <c r="C61" s="917" t="s">
        <v>733</v>
      </c>
      <c r="D61" s="917"/>
      <c r="E61" s="455">
        <v>234</v>
      </c>
      <c r="F61" s="455"/>
      <c r="G61" s="411">
        <v>1</v>
      </c>
      <c r="H61" s="455">
        <v>17</v>
      </c>
      <c r="I61" s="455">
        <v>10</v>
      </c>
      <c r="J61" s="413">
        <v>28</v>
      </c>
      <c r="K61" s="409">
        <f t="shared" si="5"/>
        <v>3.5714285714285712</v>
      </c>
      <c r="L61" s="409">
        <f t="shared" si="4"/>
        <v>60.714285714285708</v>
      </c>
      <c r="M61" s="409">
        <f t="shared" si="4"/>
        <v>35.714285714285715</v>
      </c>
      <c r="N61" s="412">
        <f t="shared" si="2"/>
        <v>100</v>
      </c>
      <c r="O61" s="408">
        <v>1.5</v>
      </c>
      <c r="P61" s="409">
        <v>43.8</v>
      </c>
      <c r="Q61" s="409">
        <v>13.1</v>
      </c>
      <c r="R61" s="410">
        <f t="shared" si="3"/>
        <v>58.4</v>
      </c>
      <c r="S61" s="455">
        <v>3</v>
      </c>
      <c r="T61" s="839"/>
      <c r="U61" s="852"/>
      <c r="V61" s="82" t="s">
        <v>506</v>
      </c>
      <c r="W61" s="73" t="s">
        <v>17</v>
      </c>
      <c r="X61" s="73" t="s">
        <v>18</v>
      </c>
      <c r="Y61" s="83">
        <v>41.4</v>
      </c>
      <c r="Z61" s="73" t="s">
        <v>509</v>
      </c>
      <c r="AA61" s="73" t="s">
        <v>20</v>
      </c>
      <c r="AB61" s="73" t="s">
        <v>12</v>
      </c>
      <c r="AC61" s="73">
        <v>9.8000000000000007</v>
      </c>
      <c r="AD61" s="82" t="s">
        <v>507</v>
      </c>
      <c r="AE61" s="73" t="s">
        <v>97</v>
      </c>
      <c r="AF61" s="73" t="s">
        <v>12</v>
      </c>
      <c r="AG61" s="83">
        <v>3.3</v>
      </c>
      <c r="AH61" s="82" t="s">
        <v>508</v>
      </c>
      <c r="AI61" s="73" t="s">
        <v>88</v>
      </c>
      <c r="AJ61" s="73" t="s">
        <v>18</v>
      </c>
      <c r="AK61" s="73">
        <v>2.4</v>
      </c>
      <c r="AL61" s="82" t="s">
        <v>511</v>
      </c>
      <c r="AM61" s="73" t="s">
        <v>22</v>
      </c>
      <c r="AN61" s="73" t="s">
        <v>11</v>
      </c>
      <c r="AO61" s="83">
        <v>1.5</v>
      </c>
      <c r="AP61" s="82"/>
      <c r="AT61" s="147"/>
      <c r="AW61" s="83"/>
      <c r="BA61" s="84"/>
    </row>
    <row r="62" spans="1:53" s="292" customFormat="1">
      <c r="A62" s="338">
        <v>1982</v>
      </c>
      <c r="B62" s="836">
        <v>30186</v>
      </c>
      <c r="C62" s="916" t="s">
        <v>734</v>
      </c>
      <c r="D62" s="916"/>
      <c r="E62" s="456">
        <v>110</v>
      </c>
      <c r="F62" s="456">
        <v>4</v>
      </c>
      <c r="G62" s="425">
        <v>1</v>
      </c>
      <c r="H62" s="456">
        <v>17</v>
      </c>
      <c r="I62" s="456">
        <v>10</v>
      </c>
      <c r="J62" s="427">
        <v>28</v>
      </c>
      <c r="K62" s="423">
        <f t="shared" si="5"/>
        <v>3.5714285714285712</v>
      </c>
      <c r="L62" s="423">
        <f t="shared" si="4"/>
        <v>60.714285714285708</v>
      </c>
      <c r="M62" s="423">
        <f t="shared" si="4"/>
        <v>35.714285714285715</v>
      </c>
      <c r="N62" s="426">
        <f t="shared" si="2"/>
        <v>100</v>
      </c>
      <c r="O62" s="422">
        <v>1.5</v>
      </c>
      <c r="P62" s="423">
        <v>43.8</v>
      </c>
      <c r="Q62" s="423">
        <v>13.1</v>
      </c>
      <c r="R62" s="424">
        <f t="shared" si="3"/>
        <v>58.4</v>
      </c>
      <c r="S62" s="456">
        <v>3</v>
      </c>
      <c r="T62" s="838"/>
      <c r="U62" s="836">
        <v>30186</v>
      </c>
      <c r="V62" s="299" t="s">
        <v>506</v>
      </c>
      <c r="W62" s="292" t="s">
        <v>17</v>
      </c>
      <c r="X62" s="292" t="s">
        <v>18</v>
      </c>
      <c r="Y62" s="300">
        <v>41.4</v>
      </c>
      <c r="Z62" s="292" t="s">
        <v>509</v>
      </c>
      <c r="AA62" s="292" t="s">
        <v>20</v>
      </c>
      <c r="AB62" s="292" t="s">
        <v>12</v>
      </c>
      <c r="AC62" s="292">
        <v>9.8000000000000007</v>
      </c>
      <c r="AD62" s="299" t="s">
        <v>507</v>
      </c>
      <c r="AE62" s="292" t="s">
        <v>97</v>
      </c>
      <c r="AF62" s="292" t="s">
        <v>12</v>
      </c>
      <c r="AG62" s="300">
        <v>3.3</v>
      </c>
      <c r="AH62" s="299" t="s">
        <v>508</v>
      </c>
      <c r="AI62" s="292" t="s">
        <v>88</v>
      </c>
      <c r="AJ62" s="292" t="s">
        <v>18</v>
      </c>
      <c r="AK62" s="292">
        <v>2.4</v>
      </c>
      <c r="AL62" s="299" t="s">
        <v>511</v>
      </c>
      <c r="AM62" s="292" t="s">
        <v>22</v>
      </c>
      <c r="AN62" s="292" t="s">
        <v>11</v>
      </c>
      <c r="AO62" s="300">
        <v>1.5</v>
      </c>
      <c r="AP62" s="299"/>
      <c r="AT62" s="388"/>
      <c r="AW62" s="300"/>
      <c r="BA62" s="301"/>
    </row>
    <row r="63" spans="1:53" s="73" customFormat="1">
      <c r="A63" s="101">
        <v>1982</v>
      </c>
      <c r="B63" s="852">
        <v>30296</v>
      </c>
      <c r="C63" s="917" t="s">
        <v>735</v>
      </c>
      <c r="D63" s="917"/>
      <c r="E63" s="455">
        <f>365-E62-E61</f>
        <v>21</v>
      </c>
      <c r="F63" s="455">
        <v>4</v>
      </c>
      <c r="G63" s="411">
        <v>2</v>
      </c>
      <c r="H63" s="455">
        <v>14</v>
      </c>
      <c r="I63" s="455">
        <v>12</v>
      </c>
      <c r="J63" s="413">
        <v>28</v>
      </c>
      <c r="K63" s="409">
        <f t="shared" si="5"/>
        <v>7.1428571428571423</v>
      </c>
      <c r="L63" s="409">
        <f t="shared" si="4"/>
        <v>50</v>
      </c>
      <c r="M63" s="409">
        <f t="shared" si="4"/>
        <v>42.857142857142854</v>
      </c>
      <c r="N63" s="412">
        <f t="shared" si="2"/>
        <v>100</v>
      </c>
      <c r="O63" s="408">
        <v>1.5</v>
      </c>
      <c r="P63" s="409">
        <v>41.4</v>
      </c>
      <c r="Q63" s="409">
        <v>13.1</v>
      </c>
      <c r="R63" s="410">
        <f t="shared" si="3"/>
        <v>56</v>
      </c>
      <c r="S63" s="455">
        <v>3</v>
      </c>
      <c r="T63" s="839"/>
      <c r="U63" s="852">
        <v>30296</v>
      </c>
      <c r="V63" s="82" t="s">
        <v>506</v>
      </c>
      <c r="W63" s="73" t="s">
        <v>17</v>
      </c>
      <c r="X63" s="73" t="s">
        <v>18</v>
      </c>
      <c r="Y63" s="83">
        <v>41.4</v>
      </c>
      <c r="Z63" s="73" t="s">
        <v>509</v>
      </c>
      <c r="AA63" s="73" t="s">
        <v>20</v>
      </c>
      <c r="AB63" s="73" t="s">
        <v>12</v>
      </c>
      <c r="AC63" s="73">
        <v>9.8000000000000007</v>
      </c>
      <c r="AD63" s="82" t="s">
        <v>507</v>
      </c>
      <c r="AE63" s="73" t="s">
        <v>97</v>
      </c>
      <c r="AF63" s="73" t="s">
        <v>12</v>
      </c>
      <c r="AG63" s="83">
        <v>3.3</v>
      </c>
      <c r="AH63" s="82" t="s">
        <v>511</v>
      </c>
      <c r="AI63" s="73" t="s">
        <v>22</v>
      </c>
      <c r="AJ63" s="73" t="s">
        <v>11</v>
      </c>
      <c r="AK63" s="73">
        <v>1.5</v>
      </c>
      <c r="AL63" s="82"/>
      <c r="AO63" s="83"/>
      <c r="AP63" s="82"/>
      <c r="AT63" s="147"/>
      <c r="AW63" s="83"/>
      <c r="BA63" s="84"/>
    </row>
    <row r="64" spans="1:53" s="73" customFormat="1">
      <c r="A64" s="101">
        <v>1983</v>
      </c>
      <c r="B64" s="852"/>
      <c r="C64" s="917" t="s">
        <v>735</v>
      </c>
      <c r="D64" s="917"/>
      <c r="E64" s="455">
        <v>215</v>
      </c>
      <c r="F64" s="455"/>
      <c r="G64" s="411">
        <v>2</v>
      </c>
      <c r="H64" s="455">
        <v>14</v>
      </c>
      <c r="I64" s="455">
        <v>12</v>
      </c>
      <c r="J64" s="413">
        <v>28</v>
      </c>
      <c r="K64" s="409">
        <f t="shared" si="5"/>
        <v>7.1428571428571423</v>
      </c>
      <c r="L64" s="409">
        <f t="shared" si="4"/>
        <v>50</v>
      </c>
      <c r="M64" s="409">
        <f t="shared" si="4"/>
        <v>42.857142857142854</v>
      </c>
      <c r="N64" s="412">
        <f t="shared" si="2"/>
        <v>100</v>
      </c>
      <c r="O64" s="408">
        <v>1.5</v>
      </c>
      <c r="P64" s="409">
        <v>41.4</v>
      </c>
      <c r="Q64" s="409">
        <v>13.1</v>
      </c>
      <c r="R64" s="410">
        <f t="shared" si="3"/>
        <v>56</v>
      </c>
      <c r="S64" s="455">
        <v>3</v>
      </c>
      <c r="T64" s="839"/>
      <c r="U64" s="852"/>
      <c r="V64" s="82" t="s">
        <v>506</v>
      </c>
      <c r="W64" s="73" t="s">
        <v>17</v>
      </c>
      <c r="X64" s="73" t="s">
        <v>18</v>
      </c>
      <c r="Y64" s="83">
        <v>41.4</v>
      </c>
      <c r="Z64" s="73" t="s">
        <v>509</v>
      </c>
      <c r="AA64" s="73" t="s">
        <v>20</v>
      </c>
      <c r="AB64" s="73" t="s">
        <v>12</v>
      </c>
      <c r="AC64" s="73">
        <v>9.8000000000000007</v>
      </c>
      <c r="AD64" s="82" t="s">
        <v>507</v>
      </c>
      <c r="AE64" s="73" t="s">
        <v>97</v>
      </c>
      <c r="AF64" s="73" t="s">
        <v>12</v>
      </c>
      <c r="AG64" s="83">
        <v>3.3</v>
      </c>
      <c r="AH64" s="82" t="s">
        <v>511</v>
      </c>
      <c r="AI64" s="73" t="s">
        <v>22</v>
      </c>
      <c r="AJ64" s="73" t="s">
        <v>11</v>
      </c>
      <c r="AK64" s="73">
        <v>1.5</v>
      </c>
      <c r="AL64" s="82"/>
      <c r="AO64" s="83"/>
      <c r="AP64" s="82"/>
      <c r="AT64" s="147"/>
      <c r="AW64" s="83"/>
      <c r="BA64" s="84"/>
    </row>
    <row r="65" spans="1:53" s="292" customFormat="1">
      <c r="A65" s="338">
        <v>1983</v>
      </c>
      <c r="B65" s="836">
        <v>30532</v>
      </c>
      <c r="C65" s="916" t="s">
        <v>736</v>
      </c>
      <c r="D65" s="916"/>
      <c r="E65" s="456">
        <f>365-E64</f>
        <v>150</v>
      </c>
      <c r="F65" s="456">
        <v>1</v>
      </c>
      <c r="G65" s="425">
        <v>2</v>
      </c>
      <c r="H65" s="456">
        <v>19</v>
      </c>
      <c r="I65" s="456">
        <v>9</v>
      </c>
      <c r="J65" s="427">
        <v>30</v>
      </c>
      <c r="K65" s="423">
        <f t="shared" si="5"/>
        <v>6.666666666666667</v>
      </c>
      <c r="L65" s="423">
        <f t="shared" si="4"/>
        <v>63.333333333333329</v>
      </c>
      <c r="M65" s="423">
        <f t="shared" si="4"/>
        <v>30</v>
      </c>
      <c r="N65" s="426">
        <f t="shared" si="2"/>
        <v>100</v>
      </c>
      <c r="O65" s="422">
        <v>2.5</v>
      </c>
      <c r="P65" s="423">
        <v>40.299999999999997</v>
      </c>
      <c r="Q65" s="423">
        <v>15.3</v>
      </c>
      <c r="R65" s="424">
        <f t="shared" si="3"/>
        <v>58.099999999999994</v>
      </c>
      <c r="S65" s="456">
        <v>3</v>
      </c>
      <c r="T65" s="838">
        <v>30493</v>
      </c>
      <c r="U65" s="836">
        <v>30532</v>
      </c>
      <c r="V65" s="299" t="s">
        <v>506</v>
      </c>
      <c r="W65" s="292" t="s">
        <v>17</v>
      </c>
      <c r="X65" s="292" t="s">
        <v>18</v>
      </c>
      <c r="Y65" s="300">
        <v>35.700000000000003</v>
      </c>
      <c r="Z65" s="292" t="s">
        <v>509</v>
      </c>
      <c r="AA65" s="292" t="s">
        <v>20</v>
      </c>
      <c r="AB65" s="292" t="s">
        <v>12</v>
      </c>
      <c r="AC65" s="292">
        <v>11.6</v>
      </c>
      <c r="AD65" s="299" t="s">
        <v>507</v>
      </c>
      <c r="AE65" s="292" t="s">
        <v>97</v>
      </c>
      <c r="AF65" s="292" t="s">
        <v>12</v>
      </c>
      <c r="AG65" s="300">
        <v>3.7</v>
      </c>
      <c r="AH65" s="299" t="s">
        <v>511</v>
      </c>
      <c r="AI65" s="292" t="s">
        <v>22</v>
      </c>
      <c r="AJ65" s="292" t="s">
        <v>11</v>
      </c>
      <c r="AK65" s="292">
        <v>2.5</v>
      </c>
      <c r="AL65" s="299" t="s">
        <v>508</v>
      </c>
      <c r="AM65" s="292" t="s">
        <v>88</v>
      </c>
      <c r="AN65" s="292" t="s">
        <v>18</v>
      </c>
      <c r="AO65" s="300">
        <v>4.5999999999999996</v>
      </c>
      <c r="AP65" s="299"/>
      <c r="AT65" s="388"/>
      <c r="AW65" s="300"/>
      <c r="BA65" s="301"/>
    </row>
    <row r="66" spans="1:53" s="292" customFormat="1">
      <c r="A66" s="338">
        <v>1984</v>
      </c>
      <c r="B66" s="836"/>
      <c r="C66" s="916" t="s">
        <v>736</v>
      </c>
      <c r="D66" s="916"/>
      <c r="E66" s="456">
        <v>0</v>
      </c>
      <c r="F66" s="456"/>
      <c r="G66" s="425">
        <v>2</v>
      </c>
      <c r="H66" s="456">
        <v>19</v>
      </c>
      <c r="I66" s="456">
        <v>9</v>
      </c>
      <c r="J66" s="427">
        <v>30</v>
      </c>
      <c r="K66" s="423">
        <f t="shared" si="5"/>
        <v>6.666666666666667</v>
      </c>
      <c r="L66" s="423">
        <f t="shared" si="4"/>
        <v>63.333333333333329</v>
      </c>
      <c r="M66" s="423">
        <f t="shared" si="4"/>
        <v>30</v>
      </c>
      <c r="N66" s="426">
        <f t="shared" si="2"/>
        <v>100</v>
      </c>
      <c r="O66" s="422">
        <v>2.5</v>
      </c>
      <c r="P66" s="423">
        <v>40.299999999999997</v>
      </c>
      <c r="Q66" s="423">
        <v>15.3</v>
      </c>
      <c r="R66" s="424">
        <f t="shared" si="3"/>
        <v>58.099999999999994</v>
      </c>
      <c r="S66" s="456">
        <v>3</v>
      </c>
      <c r="T66" s="838"/>
      <c r="U66" s="836"/>
      <c r="V66" s="299" t="s">
        <v>506</v>
      </c>
      <c r="W66" s="292" t="s">
        <v>17</v>
      </c>
      <c r="X66" s="292" t="s">
        <v>18</v>
      </c>
      <c r="Y66" s="300">
        <v>35.700000000000003</v>
      </c>
      <c r="Z66" s="292" t="s">
        <v>509</v>
      </c>
      <c r="AA66" s="292" t="s">
        <v>20</v>
      </c>
      <c r="AB66" s="292" t="s">
        <v>12</v>
      </c>
      <c r="AC66" s="292">
        <v>11.6</v>
      </c>
      <c r="AD66" s="299" t="s">
        <v>507</v>
      </c>
      <c r="AE66" s="292" t="s">
        <v>97</v>
      </c>
      <c r="AF66" s="292" t="s">
        <v>12</v>
      </c>
      <c r="AG66" s="300">
        <v>3.7</v>
      </c>
      <c r="AH66" s="299" t="s">
        <v>511</v>
      </c>
      <c r="AI66" s="292" t="s">
        <v>22</v>
      </c>
      <c r="AJ66" s="292" t="s">
        <v>11</v>
      </c>
      <c r="AK66" s="292">
        <v>2.5</v>
      </c>
      <c r="AL66" s="299" t="s">
        <v>508</v>
      </c>
      <c r="AM66" s="292" t="s">
        <v>88</v>
      </c>
      <c r="AN66" s="292" t="s">
        <v>18</v>
      </c>
      <c r="AO66" s="300">
        <v>4.5999999999999996</v>
      </c>
      <c r="AP66" s="299"/>
      <c r="AT66" s="388"/>
      <c r="AW66" s="300"/>
      <c r="BA66" s="301"/>
    </row>
    <row r="67" spans="1:53" s="292" customFormat="1">
      <c r="A67" s="338">
        <v>1984</v>
      </c>
      <c r="B67" s="836"/>
      <c r="C67" s="916" t="s">
        <v>736</v>
      </c>
      <c r="D67" s="916"/>
      <c r="E67" s="456">
        <v>366</v>
      </c>
      <c r="F67" s="456"/>
      <c r="G67" s="425">
        <v>2</v>
      </c>
      <c r="H67" s="456">
        <v>19</v>
      </c>
      <c r="I67" s="456">
        <v>9</v>
      </c>
      <c r="J67" s="427">
        <v>30</v>
      </c>
      <c r="K67" s="423">
        <f t="shared" si="5"/>
        <v>6.666666666666667</v>
      </c>
      <c r="L67" s="423">
        <f t="shared" si="5"/>
        <v>63.333333333333329</v>
      </c>
      <c r="M67" s="423">
        <f t="shared" si="5"/>
        <v>30</v>
      </c>
      <c r="N67" s="426">
        <f t="shared" si="2"/>
        <v>100</v>
      </c>
      <c r="O67" s="422">
        <v>2.5</v>
      </c>
      <c r="P67" s="423">
        <v>40.299999999999997</v>
      </c>
      <c r="Q67" s="423">
        <v>15.3</v>
      </c>
      <c r="R67" s="424">
        <f t="shared" si="3"/>
        <v>58.099999999999994</v>
      </c>
      <c r="S67" s="456">
        <v>3</v>
      </c>
      <c r="T67" s="838"/>
      <c r="U67" s="836"/>
      <c r="V67" s="299" t="s">
        <v>506</v>
      </c>
      <c r="W67" s="292" t="s">
        <v>17</v>
      </c>
      <c r="X67" s="292" t="s">
        <v>18</v>
      </c>
      <c r="Y67" s="300">
        <v>35.700000000000003</v>
      </c>
      <c r="Z67" s="292" t="s">
        <v>509</v>
      </c>
      <c r="AA67" s="292" t="s">
        <v>20</v>
      </c>
      <c r="AB67" s="292" t="s">
        <v>12</v>
      </c>
      <c r="AC67" s="292">
        <v>11.6</v>
      </c>
      <c r="AD67" s="299" t="s">
        <v>507</v>
      </c>
      <c r="AE67" s="292" t="s">
        <v>97</v>
      </c>
      <c r="AF67" s="292" t="s">
        <v>12</v>
      </c>
      <c r="AG67" s="300">
        <v>3.7</v>
      </c>
      <c r="AH67" s="299" t="s">
        <v>511</v>
      </c>
      <c r="AI67" s="292" t="s">
        <v>22</v>
      </c>
      <c r="AJ67" s="292" t="s">
        <v>11</v>
      </c>
      <c r="AK67" s="292">
        <v>2.5</v>
      </c>
      <c r="AL67" s="299" t="s">
        <v>508</v>
      </c>
      <c r="AM67" s="292" t="s">
        <v>88</v>
      </c>
      <c r="AN67" s="292" t="s">
        <v>18</v>
      </c>
      <c r="AO67" s="300">
        <v>4.5999999999999996</v>
      </c>
      <c r="AP67" s="299"/>
      <c r="AT67" s="388"/>
      <c r="AW67" s="300"/>
      <c r="BA67" s="301"/>
    </row>
    <row r="68" spans="1:53" s="292" customFormat="1">
      <c r="A68" s="338">
        <v>1985</v>
      </c>
      <c r="B68" s="836"/>
      <c r="C68" s="916" t="s">
        <v>736</v>
      </c>
      <c r="D68" s="916"/>
      <c r="E68" s="456">
        <v>0</v>
      </c>
      <c r="F68" s="456"/>
      <c r="G68" s="425">
        <v>2</v>
      </c>
      <c r="H68" s="456">
        <v>19</v>
      </c>
      <c r="I68" s="456">
        <v>9</v>
      </c>
      <c r="J68" s="427">
        <v>30</v>
      </c>
      <c r="K68" s="423">
        <f t="shared" si="5"/>
        <v>6.666666666666667</v>
      </c>
      <c r="L68" s="423">
        <f t="shared" si="5"/>
        <v>63.333333333333329</v>
      </c>
      <c r="M68" s="423">
        <f t="shared" si="5"/>
        <v>30</v>
      </c>
      <c r="N68" s="426">
        <f t="shared" si="2"/>
        <v>100</v>
      </c>
      <c r="O68" s="422">
        <v>2.5</v>
      </c>
      <c r="P68" s="423">
        <v>40.299999999999997</v>
      </c>
      <c r="Q68" s="423">
        <v>15.3</v>
      </c>
      <c r="R68" s="424">
        <f t="shared" si="3"/>
        <v>58.099999999999994</v>
      </c>
      <c r="S68" s="456">
        <v>3</v>
      </c>
      <c r="T68" s="838"/>
      <c r="U68" s="836"/>
      <c r="V68" s="299" t="s">
        <v>506</v>
      </c>
      <c r="W68" s="292" t="s">
        <v>17</v>
      </c>
      <c r="X68" s="292" t="s">
        <v>18</v>
      </c>
      <c r="Y68" s="300">
        <v>35.700000000000003</v>
      </c>
      <c r="Z68" s="292" t="s">
        <v>509</v>
      </c>
      <c r="AA68" s="292" t="s">
        <v>20</v>
      </c>
      <c r="AB68" s="292" t="s">
        <v>12</v>
      </c>
      <c r="AC68" s="292">
        <v>11.6</v>
      </c>
      <c r="AD68" s="299" t="s">
        <v>507</v>
      </c>
      <c r="AE68" s="292" t="s">
        <v>97</v>
      </c>
      <c r="AF68" s="292" t="s">
        <v>12</v>
      </c>
      <c r="AG68" s="300">
        <v>3.7</v>
      </c>
      <c r="AH68" s="299" t="s">
        <v>511</v>
      </c>
      <c r="AI68" s="292" t="s">
        <v>22</v>
      </c>
      <c r="AJ68" s="292" t="s">
        <v>11</v>
      </c>
      <c r="AK68" s="292">
        <v>2.5</v>
      </c>
      <c r="AL68" s="299" t="s">
        <v>508</v>
      </c>
      <c r="AM68" s="292" t="s">
        <v>88</v>
      </c>
      <c r="AN68" s="292" t="s">
        <v>18</v>
      </c>
      <c r="AO68" s="300">
        <v>4.5999999999999996</v>
      </c>
      <c r="AP68" s="299"/>
      <c r="AT68" s="388"/>
      <c r="AW68" s="300"/>
      <c r="BA68" s="301"/>
    </row>
    <row r="69" spans="1:53" s="292" customFormat="1">
      <c r="A69" s="338">
        <v>1985</v>
      </c>
      <c r="B69" s="836"/>
      <c r="C69" s="916" t="s">
        <v>736</v>
      </c>
      <c r="D69" s="916"/>
      <c r="E69" s="456">
        <v>365</v>
      </c>
      <c r="F69" s="456"/>
      <c r="G69" s="425">
        <v>2</v>
      </c>
      <c r="H69" s="456">
        <v>19</v>
      </c>
      <c r="I69" s="456">
        <v>9</v>
      </c>
      <c r="J69" s="427">
        <v>30</v>
      </c>
      <c r="K69" s="423">
        <f t="shared" si="5"/>
        <v>6.666666666666667</v>
      </c>
      <c r="L69" s="423">
        <f t="shared" si="5"/>
        <v>63.333333333333329</v>
      </c>
      <c r="M69" s="423">
        <f t="shared" si="5"/>
        <v>30</v>
      </c>
      <c r="N69" s="426">
        <f t="shared" si="2"/>
        <v>100</v>
      </c>
      <c r="O69" s="422">
        <v>2.5</v>
      </c>
      <c r="P69" s="423">
        <v>40.299999999999997</v>
      </c>
      <c r="Q69" s="423">
        <v>15.3</v>
      </c>
      <c r="R69" s="424">
        <f t="shared" si="3"/>
        <v>58.099999999999994</v>
      </c>
      <c r="S69" s="456">
        <v>3</v>
      </c>
      <c r="T69" s="838"/>
      <c r="U69" s="836"/>
      <c r="V69" s="299" t="s">
        <v>506</v>
      </c>
      <c r="W69" s="292" t="s">
        <v>17</v>
      </c>
      <c r="X69" s="292" t="s">
        <v>18</v>
      </c>
      <c r="Y69" s="300">
        <v>35.700000000000003</v>
      </c>
      <c r="Z69" s="292" t="s">
        <v>509</v>
      </c>
      <c r="AA69" s="292" t="s">
        <v>20</v>
      </c>
      <c r="AB69" s="292" t="s">
        <v>12</v>
      </c>
      <c r="AC69" s="292">
        <v>11.6</v>
      </c>
      <c r="AD69" s="299" t="s">
        <v>507</v>
      </c>
      <c r="AE69" s="292" t="s">
        <v>97</v>
      </c>
      <c r="AF69" s="292" t="s">
        <v>12</v>
      </c>
      <c r="AG69" s="300">
        <v>3.7</v>
      </c>
      <c r="AH69" s="299" t="s">
        <v>511</v>
      </c>
      <c r="AI69" s="292" t="s">
        <v>22</v>
      </c>
      <c r="AJ69" s="292" t="s">
        <v>11</v>
      </c>
      <c r="AK69" s="292">
        <v>2.5</v>
      </c>
      <c r="AL69" s="299" t="s">
        <v>508</v>
      </c>
      <c r="AM69" s="292" t="s">
        <v>88</v>
      </c>
      <c r="AN69" s="292" t="s">
        <v>18</v>
      </c>
      <c r="AO69" s="300">
        <v>4.5999999999999996</v>
      </c>
      <c r="AP69" s="299"/>
      <c r="AT69" s="388"/>
      <c r="AW69" s="300"/>
      <c r="BA69" s="301"/>
    </row>
    <row r="70" spans="1:53" s="292" customFormat="1">
      <c r="A70" s="338">
        <v>1986</v>
      </c>
      <c r="B70" s="836"/>
      <c r="C70" s="916" t="s">
        <v>736</v>
      </c>
      <c r="D70" s="916"/>
      <c r="E70" s="456">
        <v>213</v>
      </c>
      <c r="F70" s="456"/>
      <c r="G70" s="425">
        <v>2</v>
      </c>
      <c r="H70" s="456">
        <v>19</v>
      </c>
      <c r="I70" s="456">
        <v>9</v>
      </c>
      <c r="J70" s="427">
        <v>30</v>
      </c>
      <c r="K70" s="423">
        <f t="shared" si="5"/>
        <v>6.666666666666667</v>
      </c>
      <c r="L70" s="423">
        <f t="shared" si="5"/>
        <v>63.333333333333329</v>
      </c>
      <c r="M70" s="423">
        <f t="shared" si="5"/>
        <v>30</v>
      </c>
      <c r="N70" s="426">
        <f t="shared" si="2"/>
        <v>100</v>
      </c>
      <c r="O70" s="422">
        <v>2.5</v>
      </c>
      <c r="P70" s="423">
        <v>40.299999999999997</v>
      </c>
      <c r="Q70" s="423">
        <v>15.3</v>
      </c>
      <c r="R70" s="424">
        <f t="shared" si="3"/>
        <v>58.099999999999994</v>
      </c>
      <c r="S70" s="456">
        <v>3</v>
      </c>
      <c r="T70" s="838"/>
      <c r="U70" s="836"/>
      <c r="V70" s="299" t="s">
        <v>506</v>
      </c>
      <c r="W70" s="292" t="s">
        <v>17</v>
      </c>
      <c r="X70" s="292" t="s">
        <v>18</v>
      </c>
      <c r="Y70" s="300">
        <v>35.700000000000003</v>
      </c>
      <c r="Z70" s="292" t="s">
        <v>509</v>
      </c>
      <c r="AA70" s="292" t="s">
        <v>20</v>
      </c>
      <c r="AB70" s="292" t="s">
        <v>12</v>
      </c>
      <c r="AC70" s="292">
        <v>11.6</v>
      </c>
      <c r="AD70" s="299" t="s">
        <v>507</v>
      </c>
      <c r="AE70" s="292" t="s">
        <v>97</v>
      </c>
      <c r="AF70" s="292" t="s">
        <v>12</v>
      </c>
      <c r="AG70" s="300">
        <v>3.7</v>
      </c>
      <c r="AH70" s="299" t="s">
        <v>511</v>
      </c>
      <c r="AI70" s="292" t="s">
        <v>22</v>
      </c>
      <c r="AJ70" s="292" t="s">
        <v>11</v>
      </c>
      <c r="AK70" s="292">
        <v>2.5</v>
      </c>
      <c r="AL70" s="299" t="s">
        <v>508</v>
      </c>
      <c r="AM70" s="292" t="s">
        <v>88</v>
      </c>
      <c r="AN70" s="292" t="s">
        <v>18</v>
      </c>
      <c r="AO70" s="300">
        <v>4.5999999999999996</v>
      </c>
      <c r="AP70" s="299"/>
      <c r="AT70" s="388"/>
      <c r="AW70" s="300"/>
      <c r="BA70" s="301"/>
    </row>
    <row r="71" spans="1:53" s="73" customFormat="1">
      <c r="A71" s="101">
        <v>1986</v>
      </c>
      <c r="B71" s="852">
        <v>31626</v>
      </c>
      <c r="C71" s="917" t="s">
        <v>737</v>
      </c>
      <c r="D71" s="917"/>
      <c r="E71" s="455">
        <f>365-E70</f>
        <v>152</v>
      </c>
      <c r="F71" s="455">
        <v>5</v>
      </c>
      <c r="G71" s="411">
        <v>2</v>
      </c>
      <c r="H71" s="455">
        <v>19</v>
      </c>
      <c r="I71" s="455">
        <v>9</v>
      </c>
      <c r="J71" s="413">
        <v>30</v>
      </c>
      <c r="K71" s="409">
        <f t="shared" si="5"/>
        <v>6.666666666666667</v>
      </c>
      <c r="L71" s="409">
        <f t="shared" si="5"/>
        <v>63.333333333333329</v>
      </c>
      <c r="M71" s="409">
        <f t="shared" si="5"/>
        <v>30</v>
      </c>
      <c r="N71" s="412">
        <f t="shared" si="2"/>
        <v>100</v>
      </c>
      <c r="O71" s="408">
        <v>2.5</v>
      </c>
      <c r="P71" s="409">
        <v>40.299999999999997</v>
      </c>
      <c r="Q71" s="409">
        <v>15.3</v>
      </c>
      <c r="R71" s="410">
        <f t="shared" si="3"/>
        <v>58.099999999999994</v>
      </c>
      <c r="S71" s="455">
        <v>3</v>
      </c>
      <c r="T71" s="839"/>
      <c r="U71" s="852">
        <v>31626</v>
      </c>
      <c r="V71" s="82" t="s">
        <v>506</v>
      </c>
      <c r="W71" s="73" t="s">
        <v>17</v>
      </c>
      <c r="X71" s="73" t="s">
        <v>18</v>
      </c>
      <c r="Y71" s="83">
        <v>35.700000000000003</v>
      </c>
      <c r="Z71" s="73" t="s">
        <v>509</v>
      </c>
      <c r="AA71" s="73" t="s">
        <v>20</v>
      </c>
      <c r="AB71" s="73" t="s">
        <v>12</v>
      </c>
      <c r="AC71" s="73">
        <v>11.6</v>
      </c>
      <c r="AD71" s="82" t="s">
        <v>507</v>
      </c>
      <c r="AE71" s="73" t="s">
        <v>97</v>
      </c>
      <c r="AF71" s="73" t="s">
        <v>12</v>
      </c>
      <c r="AG71" s="83">
        <v>3.7</v>
      </c>
      <c r="AH71" s="82" t="s">
        <v>511</v>
      </c>
      <c r="AI71" s="73" t="s">
        <v>22</v>
      </c>
      <c r="AJ71" s="73" t="s">
        <v>11</v>
      </c>
      <c r="AK71" s="73">
        <v>2.5</v>
      </c>
      <c r="AL71" s="82" t="s">
        <v>508</v>
      </c>
      <c r="AM71" s="73" t="s">
        <v>88</v>
      </c>
      <c r="AN71" s="73" t="s">
        <v>18</v>
      </c>
      <c r="AO71" s="83">
        <v>4.5999999999999996</v>
      </c>
      <c r="AP71" s="82"/>
      <c r="AT71" s="147"/>
      <c r="AW71" s="83"/>
      <c r="BA71" s="84"/>
    </row>
    <row r="72" spans="1:53" s="73" customFormat="1">
      <c r="A72" s="101">
        <v>1987</v>
      </c>
      <c r="B72" s="852"/>
      <c r="C72" s="917" t="s">
        <v>737</v>
      </c>
      <c r="D72" s="917"/>
      <c r="E72" s="455">
        <v>107</v>
      </c>
      <c r="F72" s="455"/>
      <c r="G72" s="411">
        <v>2</v>
      </c>
      <c r="H72" s="455">
        <v>19</v>
      </c>
      <c r="I72" s="455">
        <v>9</v>
      </c>
      <c r="J72" s="413">
        <v>30</v>
      </c>
      <c r="K72" s="409">
        <f t="shared" si="5"/>
        <v>6.666666666666667</v>
      </c>
      <c r="L72" s="409">
        <f t="shared" si="5"/>
        <v>63.333333333333329</v>
      </c>
      <c r="M72" s="409">
        <f t="shared" si="5"/>
        <v>30</v>
      </c>
      <c r="N72" s="412">
        <f t="shared" si="2"/>
        <v>100</v>
      </c>
      <c r="O72" s="408">
        <v>2.5</v>
      </c>
      <c r="P72" s="409">
        <v>40.299999999999997</v>
      </c>
      <c r="Q72" s="409">
        <v>15.3</v>
      </c>
      <c r="R72" s="410">
        <f t="shared" si="3"/>
        <v>58.099999999999994</v>
      </c>
      <c r="S72" s="455">
        <v>3</v>
      </c>
      <c r="T72" s="839"/>
      <c r="U72" s="852"/>
      <c r="V72" s="82" t="s">
        <v>506</v>
      </c>
      <c r="W72" s="73" t="s">
        <v>17</v>
      </c>
      <c r="X72" s="73" t="s">
        <v>18</v>
      </c>
      <c r="Y72" s="83">
        <v>35.700000000000003</v>
      </c>
      <c r="Z72" s="73" t="s">
        <v>509</v>
      </c>
      <c r="AA72" s="73" t="s">
        <v>20</v>
      </c>
      <c r="AB72" s="73" t="s">
        <v>12</v>
      </c>
      <c r="AC72" s="73">
        <v>11.6</v>
      </c>
      <c r="AD72" s="82" t="s">
        <v>507</v>
      </c>
      <c r="AE72" s="73" t="s">
        <v>97</v>
      </c>
      <c r="AF72" s="73" t="s">
        <v>12</v>
      </c>
      <c r="AG72" s="83">
        <v>3.7</v>
      </c>
      <c r="AH72" s="82" t="s">
        <v>511</v>
      </c>
      <c r="AI72" s="73" t="s">
        <v>22</v>
      </c>
      <c r="AJ72" s="73" t="s">
        <v>11</v>
      </c>
      <c r="AK72" s="73">
        <v>2.5</v>
      </c>
      <c r="AL72" s="82" t="s">
        <v>508</v>
      </c>
      <c r="AM72" s="73" t="s">
        <v>88</v>
      </c>
      <c r="AN72" s="73" t="s">
        <v>18</v>
      </c>
      <c r="AO72" s="83">
        <v>4.5999999999999996</v>
      </c>
      <c r="AP72" s="82"/>
      <c r="AT72" s="147"/>
      <c r="AW72" s="83"/>
      <c r="BA72" s="84"/>
    </row>
    <row r="73" spans="1:53" s="292" customFormat="1">
      <c r="A73" s="338">
        <v>1987</v>
      </c>
      <c r="B73" s="836">
        <v>31885</v>
      </c>
      <c r="C73" s="916" t="s">
        <v>738</v>
      </c>
      <c r="D73" s="916"/>
      <c r="E73" s="456">
        <v>102</v>
      </c>
      <c r="F73" s="456">
        <v>1</v>
      </c>
      <c r="G73" s="425"/>
      <c r="H73" s="456">
        <v>16</v>
      </c>
      <c r="I73" s="456"/>
      <c r="J73" s="427">
        <v>25</v>
      </c>
      <c r="K73" s="423">
        <f t="shared" si="5"/>
        <v>0</v>
      </c>
      <c r="L73" s="423">
        <f t="shared" si="5"/>
        <v>64</v>
      </c>
      <c r="M73" s="423">
        <f t="shared" si="5"/>
        <v>0</v>
      </c>
      <c r="N73" s="426">
        <f t="shared" ref="N73:N133" si="6">K73+L73+M73</f>
        <v>64</v>
      </c>
      <c r="O73" s="422"/>
      <c r="P73" s="423">
        <v>35.700000000000003</v>
      </c>
      <c r="Q73" s="423"/>
      <c r="R73" s="424">
        <f t="shared" ref="R73:R136" si="7">O73+P73+Q73</f>
        <v>35.700000000000003</v>
      </c>
      <c r="S73" s="456">
        <v>4</v>
      </c>
      <c r="T73" s="838"/>
      <c r="U73" s="836">
        <v>31885</v>
      </c>
      <c r="V73" s="299" t="s">
        <v>506</v>
      </c>
      <c r="W73" s="292" t="s">
        <v>17</v>
      </c>
      <c r="X73" s="292" t="s">
        <v>18</v>
      </c>
      <c r="Y73" s="300">
        <v>35.700000000000003</v>
      </c>
      <c r="AD73" s="299"/>
      <c r="AG73" s="300"/>
      <c r="AL73" s="299"/>
      <c r="AO73" s="300"/>
      <c r="AP73" s="299"/>
      <c r="AT73" s="388"/>
      <c r="AW73" s="300"/>
      <c r="BA73" s="301"/>
    </row>
    <row r="74" spans="1:53" s="73" customFormat="1">
      <c r="A74" s="101">
        <v>1987</v>
      </c>
      <c r="B74" s="852">
        <v>31987</v>
      </c>
      <c r="C74" s="917" t="s">
        <v>739</v>
      </c>
      <c r="D74" s="917"/>
      <c r="E74" s="455">
        <f>365-E73-E72</f>
        <v>156</v>
      </c>
      <c r="F74" s="455">
        <v>1</v>
      </c>
      <c r="G74" s="411">
        <v>1</v>
      </c>
      <c r="H74" s="455">
        <v>18</v>
      </c>
      <c r="I74" s="455">
        <v>11</v>
      </c>
      <c r="J74" s="413">
        <v>30</v>
      </c>
      <c r="K74" s="409">
        <f t="shared" si="5"/>
        <v>3.3333333333333335</v>
      </c>
      <c r="L74" s="409">
        <f t="shared" si="5"/>
        <v>60</v>
      </c>
      <c r="M74" s="409">
        <f t="shared" si="5"/>
        <v>36.666666666666664</v>
      </c>
      <c r="N74" s="412">
        <f t="shared" si="6"/>
        <v>100</v>
      </c>
      <c r="O74" s="408">
        <v>1.7</v>
      </c>
      <c r="P74" s="409">
        <v>40.4</v>
      </c>
      <c r="Q74" s="409">
        <v>17.600000000000001</v>
      </c>
      <c r="R74" s="410">
        <f t="shared" si="7"/>
        <v>59.7</v>
      </c>
      <c r="S74" s="455">
        <v>3</v>
      </c>
      <c r="T74" s="839">
        <v>31942</v>
      </c>
      <c r="U74" s="852">
        <v>31987</v>
      </c>
      <c r="V74" s="82" t="s">
        <v>506</v>
      </c>
      <c r="W74" s="73" t="s">
        <v>17</v>
      </c>
      <c r="X74" s="73" t="s">
        <v>18</v>
      </c>
      <c r="Y74" s="83">
        <v>37.1</v>
      </c>
      <c r="Z74" s="73" t="s">
        <v>509</v>
      </c>
      <c r="AA74" s="73" t="s">
        <v>20</v>
      </c>
      <c r="AB74" s="73" t="s">
        <v>12</v>
      </c>
      <c r="AC74" s="73">
        <v>14.9</v>
      </c>
      <c r="AD74" s="82" t="s">
        <v>508</v>
      </c>
      <c r="AE74" s="73" t="s">
        <v>88</v>
      </c>
      <c r="AF74" s="73" t="s">
        <v>18</v>
      </c>
      <c r="AG74" s="83">
        <v>3.3</v>
      </c>
      <c r="AH74" s="73" t="s">
        <v>507</v>
      </c>
      <c r="AI74" s="73" t="s">
        <v>97</v>
      </c>
      <c r="AJ74" s="73" t="s">
        <v>12</v>
      </c>
      <c r="AK74" s="73">
        <v>2.7</v>
      </c>
      <c r="AL74" s="82" t="s">
        <v>511</v>
      </c>
      <c r="AM74" s="73" t="s">
        <v>22</v>
      </c>
      <c r="AN74" s="73" t="s">
        <v>11</v>
      </c>
      <c r="AO74" s="83">
        <v>1.7</v>
      </c>
      <c r="AP74" s="82"/>
      <c r="AT74" s="147"/>
      <c r="AW74" s="83"/>
      <c r="BA74" s="84"/>
    </row>
    <row r="75" spans="1:53" s="73" customFormat="1">
      <c r="A75" s="101">
        <v>1988</v>
      </c>
      <c r="B75" s="852"/>
      <c r="C75" s="917" t="s">
        <v>739</v>
      </c>
      <c r="D75" s="917"/>
      <c r="E75" s="455">
        <v>103</v>
      </c>
      <c r="F75" s="455"/>
      <c r="G75" s="411">
        <v>1</v>
      </c>
      <c r="H75" s="455">
        <v>18</v>
      </c>
      <c r="I75" s="455">
        <v>11</v>
      </c>
      <c r="J75" s="413">
        <v>30</v>
      </c>
      <c r="K75" s="409">
        <f t="shared" si="5"/>
        <v>3.3333333333333335</v>
      </c>
      <c r="L75" s="409">
        <f t="shared" si="5"/>
        <v>60</v>
      </c>
      <c r="M75" s="409">
        <f t="shared" si="5"/>
        <v>36.666666666666664</v>
      </c>
      <c r="N75" s="412">
        <f t="shared" si="6"/>
        <v>100</v>
      </c>
      <c r="O75" s="408">
        <v>1.7</v>
      </c>
      <c r="P75" s="409">
        <v>40.4</v>
      </c>
      <c r="Q75" s="409">
        <v>17.600000000000001</v>
      </c>
      <c r="R75" s="410">
        <f t="shared" si="7"/>
        <v>59.7</v>
      </c>
      <c r="S75" s="455">
        <v>3</v>
      </c>
      <c r="T75" s="839"/>
      <c r="U75" s="852"/>
      <c r="V75" s="82" t="s">
        <v>506</v>
      </c>
      <c r="W75" s="73" t="s">
        <v>17</v>
      </c>
      <c r="X75" s="73" t="s">
        <v>18</v>
      </c>
      <c r="Y75" s="83">
        <v>37.1</v>
      </c>
      <c r="Z75" s="73" t="s">
        <v>509</v>
      </c>
      <c r="AA75" s="73" t="s">
        <v>20</v>
      </c>
      <c r="AB75" s="73" t="s">
        <v>12</v>
      </c>
      <c r="AC75" s="73">
        <v>14.9</v>
      </c>
      <c r="AD75" s="82" t="s">
        <v>508</v>
      </c>
      <c r="AE75" s="73" t="s">
        <v>88</v>
      </c>
      <c r="AF75" s="73" t="s">
        <v>18</v>
      </c>
      <c r="AG75" s="83">
        <v>3.3</v>
      </c>
      <c r="AH75" s="73" t="s">
        <v>507</v>
      </c>
      <c r="AI75" s="73" t="s">
        <v>97</v>
      </c>
      <c r="AJ75" s="73" t="s">
        <v>12</v>
      </c>
      <c r="AK75" s="73">
        <v>2.7</v>
      </c>
      <c r="AL75" s="82" t="s">
        <v>511</v>
      </c>
      <c r="AM75" s="73" t="s">
        <v>22</v>
      </c>
      <c r="AN75" s="73" t="s">
        <v>11</v>
      </c>
      <c r="AO75" s="83">
        <v>1.7</v>
      </c>
      <c r="AP75" s="82"/>
      <c r="AT75" s="147"/>
      <c r="AW75" s="83"/>
      <c r="BA75" s="84"/>
    </row>
    <row r="76" spans="1:53" s="292" customFormat="1">
      <c r="A76" s="338">
        <v>1988</v>
      </c>
      <c r="B76" s="836">
        <v>32246</v>
      </c>
      <c r="C76" s="916" t="s">
        <v>740</v>
      </c>
      <c r="D76" s="916"/>
      <c r="E76" s="456">
        <f>366-E75</f>
        <v>263</v>
      </c>
      <c r="F76" s="456">
        <v>4</v>
      </c>
      <c r="G76" s="425">
        <v>1</v>
      </c>
      <c r="H76" s="456">
        <v>19</v>
      </c>
      <c r="I76" s="456">
        <v>10</v>
      </c>
      <c r="J76" s="427">
        <v>30</v>
      </c>
      <c r="K76" s="423">
        <f t="shared" si="5"/>
        <v>3.3333333333333335</v>
      </c>
      <c r="L76" s="423">
        <f t="shared" si="5"/>
        <v>63.333333333333329</v>
      </c>
      <c r="M76" s="423">
        <f t="shared" si="5"/>
        <v>33.333333333333329</v>
      </c>
      <c r="N76" s="426">
        <f t="shared" si="6"/>
        <v>99.999999999999986</v>
      </c>
      <c r="O76" s="422">
        <v>1.7</v>
      </c>
      <c r="P76" s="423">
        <v>40.4</v>
      </c>
      <c r="Q76" s="423">
        <v>17.600000000000001</v>
      </c>
      <c r="R76" s="424">
        <f t="shared" si="7"/>
        <v>59.7</v>
      </c>
      <c r="S76" s="456">
        <v>3</v>
      </c>
      <c r="T76" s="838"/>
      <c r="U76" s="836">
        <v>32246</v>
      </c>
      <c r="V76" s="299" t="s">
        <v>506</v>
      </c>
      <c r="W76" s="292" t="s">
        <v>17</v>
      </c>
      <c r="X76" s="292" t="s">
        <v>18</v>
      </c>
      <c r="Y76" s="300">
        <v>37.1</v>
      </c>
      <c r="Z76" s="292" t="s">
        <v>509</v>
      </c>
      <c r="AA76" s="292" t="s">
        <v>20</v>
      </c>
      <c r="AB76" s="292" t="s">
        <v>12</v>
      </c>
      <c r="AC76" s="292">
        <v>14.9</v>
      </c>
      <c r="AD76" s="299" t="s">
        <v>508</v>
      </c>
      <c r="AE76" s="292" t="s">
        <v>88</v>
      </c>
      <c r="AF76" s="292" t="s">
        <v>18</v>
      </c>
      <c r="AG76" s="300">
        <v>3.3</v>
      </c>
      <c r="AH76" s="292" t="s">
        <v>507</v>
      </c>
      <c r="AI76" s="292" t="s">
        <v>97</v>
      </c>
      <c r="AJ76" s="292" t="s">
        <v>12</v>
      </c>
      <c r="AK76" s="292">
        <v>2.7</v>
      </c>
      <c r="AL76" s="299" t="s">
        <v>511</v>
      </c>
      <c r="AM76" s="292" t="s">
        <v>22</v>
      </c>
      <c r="AN76" s="292" t="s">
        <v>11</v>
      </c>
      <c r="AO76" s="300">
        <v>1.7</v>
      </c>
      <c r="AP76" s="299"/>
      <c r="AT76" s="388"/>
      <c r="AW76" s="300"/>
      <c r="BA76" s="301"/>
    </row>
    <row r="77" spans="1:53" s="292" customFormat="1">
      <c r="A77" s="338">
        <v>1989</v>
      </c>
      <c r="B77" s="836"/>
      <c r="C77" s="916" t="s">
        <v>740</v>
      </c>
      <c r="D77" s="916"/>
      <c r="E77" s="456">
        <v>203</v>
      </c>
      <c r="F77" s="456"/>
      <c r="G77" s="425">
        <v>1</v>
      </c>
      <c r="H77" s="456">
        <v>19</v>
      </c>
      <c r="I77" s="456">
        <v>10</v>
      </c>
      <c r="J77" s="427">
        <v>30</v>
      </c>
      <c r="K77" s="423">
        <f t="shared" si="5"/>
        <v>3.3333333333333335</v>
      </c>
      <c r="L77" s="423">
        <f t="shared" si="5"/>
        <v>63.333333333333329</v>
      </c>
      <c r="M77" s="423">
        <f t="shared" si="5"/>
        <v>33.333333333333329</v>
      </c>
      <c r="N77" s="426">
        <f t="shared" si="6"/>
        <v>99.999999999999986</v>
      </c>
      <c r="O77" s="422">
        <v>1.7</v>
      </c>
      <c r="P77" s="423">
        <v>40.4</v>
      </c>
      <c r="Q77" s="423">
        <v>17.600000000000001</v>
      </c>
      <c r="R77" s="424">
        <f t="shared" si="7"/>
        <v>59.7</v>
      </c>
      <c r="S77" s="456">
        <v>3</v>
      </c>
      <c r="T77" s="838"/>
      <c r="U77" s="836"/>
      <c r="V77" s="299" t="s">
        <v>506</v>
      </c>
      <c r="W77" s="292" t="s">
        <v>17</v>
      </c>
      <c r="X77" s="292" t="s">
        <v>18</v>
      </c>
      <c r="Y77" s="300">
        <v>37.1</v>
      </c>
      <c r="Z77" s="292" t="s">
        <v>509</v>
      </c>
      <c r="AA77" s="292" t="s">
        <v>20</v>
      </c>
      <c r="AB77" s="292" t="s">
        <v>12</v>
      </c>
      <c r="AC77" s="292">
        <v>14.9</v>
      </c>
      <c r="AD77" s="299" t="s">
        <v>508</v>
      </c>
      <c r="AE77" s="292" t="s">
        <v>88</v>
      </c>
      <c r="AF77" s="292" t="s">
        <v>18</v>
      </c>
      <c r="AG77" s="300">
        <v>3.3</v>
      </c>
      <c r="AH77" s="292" t="s">
        <v>507</v>
      </c>
      <c r="AI77" s="292" t="s">
        <v>97</v>
      </c>
      <c r="AJ77" s="292" t="s">
        <v>12</v>
      </c>
      <c r="AK77" s="292">
        <v>2.7</v>
      </c>
      <c r="AL77" s="299" t="s">
        <v>511</v>
      </c>
      <c r="AM77" s="292" t="s">
        <v>22</v>
      </c>
      <c r="AN77" s="292" t="s">
        <v>11</v>
      </c>
      <c r="AO77" s="300">
        <v>1.7</v>
      </c>
      <c r="AP77" s="299"/>
      <c r="AT77" s="388"/>
      <c r="AW77" s="300"/>
      <c r="BA77" s="301"/>
    </row>
    <row r="78" spans="1:53" s="73" customFormat="1">
      <c r="A78" s="101">
        <v>1989</v>
      </c>
      <c r="B78" s="852">
        <v>32712</v>
      </c>
      <c r="C78" s="917" t="s">
        <v>741</v>
      </c>
      <c r="D78" s="917"/>
      <c r="E78" s="455">
        <f>365-E77</f>
        <v>162</v>
      </c>
      <c r="F78" s="455">
        <v>5</v>
      </c>
      <c r="G78" s="411">
        <v>2</v>
      </c>
      <c r="H78" s="455">
        <v>18</v>
      </c>
      <c r="I78" s="455">
        <v>12</v>
      </c>
      <c r="J78" s="413">
        <v>32</v>
      </c>
      <c r="K78" s="409">
        <f t="shared" si="5"/>
        <v>6.25</v>
      </c>
      <c r="L78" s="409">
        <f t="shared" si="5"/>
        <v>56.25</v>
      </c>
      <c r="M78" s="409">
        <f t="shared" si="5"/>
        <v>37.5</v>
      </c>
      <c r="N78" s="412">
        <f t="shared" si="6"/>
        <v>100</v>
      </c>
      <c r="O78" s="408">
        <v>1.7</v>
      </c>
      <c r="P78" s="409">
        <v>40.4</v>
      </c>
      <c r="Q78" s="409">
        <v>17.600000000000001</v>
      </c>
      <c r="R78" s="410">
        <f t="shared" si="7"/>
        <v>59.7</v>
      </c>
      <c r="S78" s="455">
        <v>3</v>
      </c>
      <c r="T78" s="839"/>
      <c r="U78" s="852">
        <v>32712</v>
      </c>
      <c r="V78" s="82" t="s">
        <v>506</v>
      </c>
      <c r="W78" s="73" t="s">
        <v>17</v>
      </c>
      <c r="X78" s="73" t="s">
        <v>18</v>
      </c>
      <c r="Y78" s="83">
        <v>37.1</v>
      </c>
      <c r="Z78" s="73" t="s">
        <v>509</v>
      </c>
      <c r="AA78" s="73" t="s">
        <v>20</v>
      </c>
      <c r="AB78" s="73" t="s">
        <v>12</v>
      </c>
      <c r="AC78" s="73">
        <v>14.9</v>
      </c>
      <c r="AD78" s="82" t="s">
        <v>508</v>
      </c>
      <c r="AE78" s="73" t="s">
        <v>88</v>
      </c>
      <c r="AF78" s="73" t="s">
        <v>18</v>
      </c>
      <c r="AG78" s="83">
        <v>3.3</v>
      </c>
      <c r="AH78" s="73" t="s">
        <v>507</v>
      </c>
      <c r="AI78" s="73" t="s">
        <v>97</v>
      </c>
      <c r="AJ78" s="73" t="s">
        <v>12</v>
      </c>
      <c r="AK78" s="73">
        <v>2.7</v>
      </c>
      <c r="AL78" s="82" t="s">
        <v>511</v>
      </c>
      <c r="AM78" s="73" t="s">
        <v>22</v>
      </c>
      <c r="AN78" s="73" t="s">
        <v>11</v>
      </c>
      <c r="AO78" s="83">
        <v>1.7</v>
      </c>
      <c r="AP78" s="82"/>
      <c r="AT78" s="147"/>
      <c r="AW78" s="83"/>
      <c r="BA78" s="84"/>
    </row>
    <row r="79" spans="1:53" s="140" customFormat="1">
      <c r="A79" s="458">
        <v>1990</v>
      </c>
      <c r="B79" s="874"/>
      <c r="C79" s="960" t="s">
        <v>741</v>
      </c>
      <c r="D79" s="960"/>
      <c r="E79" s="458">
        <v>0</v>
      </c>
      <c r="F79" s="458"/>
      <c r="G79" s="151">
        <v>2</v>
      </c>
      <c r="H79" s="458">
        <v>17</v>
      </c>
      <c r="I79" s="458">
        <v>11</v>
      </c>
      <c r="J79" s="152">
        <v>30</v>
      </c>
      <c r="K79" s="153">
        <f t="shared" si="5"/>
        <v>6.666666666666667</v>
      </c>
      <c r="L79" s="153">
        <f t="shared" si="5"/>
        <v>56.666666666666664</v>
      </c>
      <c r="M79" s="153">
        <f t="shared" si="5"/>
        <v>36.666666666666664</v>
      </c>
      <c r="N79" s="154">
        <f t="shared" si="6"/>
        <v>100</v>
      </c>
      <c r="O79" s="155">
        <v>1.7</v>
      </c>
      <c r="P79" s="153">
        <v>40.4</v>
      </c>
      <c r="Q79" s="153">
        <v>17.600000000000001</v>
      </c>
      <c r="R79" s="156">
        <f t="shared" si="7"/>
        <v>59.7</v>
      </c>
      <c r="S79" s="458">
        <v>3</v>
      </c>
      <c r="T79" s="875"/>
      <c r="U79" s="874"/>
      <c r="V79" s="157" t="s">
        <v>506</v>
      </c>
      <c r="W79" s="140" t="s">
        <v>17</v>
      </c>
      <c r="X79" s="140" t="s">
        <v>18</v>
      </c>
      <c r="Y79" s="158">
        <v>37.1</v>
      </c>
      <c r="Z79" s="140" t="s">
        <v>509</v>
      </c>
      <c r="AA79" s="140" t="s">
        <v>20</v>
      </c>
      <c r="AB79" s="140" t="s">
        <v>12</v>
      </c>
      <c r="AC79" s="140">
        <v>14.9</v>
      </c>
      <c r="AD79" s="157" t="s">
        <v>508</v>
      </c>
      <c r="AE79" s="140" t="s">
        <v>88</v>
      </c>
      <c r="AF79" s="140" t="s">
        <v>18</v>
      </c>
      <c r="AG79" s="158">
        <v>3.3</v>
      </c>
      <c r="AH79" s="140" t="s">
        <v>507</v>
      </c>
      <c r="AI79" s="140" t="s">
        <v>97</v>
      </c>
      <c r="AJ79" s="140" t="s">
        <v>12</v>
      </c>
      <c r="AK79" s="140">
        <v>2.7</v>
      </c>
      <c r="AL79" s="157" t="s">
        <v>511</v>
      </c>
      <c r="AM79" s="140" t="s">
        <v>22</v>
      </c>
      <c r="AN79" s="140" t="s">
        <v>11</v>
      </c>
      <c r="AO79" s="158">
        <v>1.7</v>
      </c>
      <c r="AP79" s="157"/>
      <c r="AT79" s="170"/>
      <c r="AW79" s="158"/>
      <c r="BA79" s="159"/>
    </row>
    <row r="80" spans="1:53" s="73" customFormat="1">
      <c r="A80" s="455">
        <v>1990</v>
      </c>
      <c r="B80" s="852"/>
      <c r="C80" s="917" t="s">
        <v>741</v>
      </c>
      <c r="D80" s="917"/>
      <c r="E80" s="455">
        <f>365-E79</f>
        <v>365</v>
      </c>
      <c r="F80" s="455"/>
      <c r="G80" s="411">
        <v>2</v>
      </c>
      <c r="H80" s="455">
        <v>17</v>
      </c>
      <c r="I80" s="455">
        <v>11</v>
      </c>
      <c r="J80" s="413">
        <v>30</v>
      </c>
      <c r="K80" s="409">
        <f t="shared" si="5"/>
        <v>6.666666666666667</v>
      </c>
      <c r="L80" s="409">
        <f t="shared" si="5"/>
        <v>56.666666666666664</v>
      </c>
      <c r="M80" s="409">
        <f t="shared" si="5"/>
        <v>36.666666666666664</v>
      </c>
      <c r="N80" s="412">
        <f t="shared" si="6"/>
        <v>100</v>
      </c>
      <c r="O80" s="408">
        <v>1.7</v>
      </c>
      <c r="P80" s="409">
        <v>40.4</v>
      </c>
      <c r="Q80" s="409">
        <v>17.600000000000001</v>
      </c>
      <c r="R80" s="410">
        <f t="shared" si="7"/>
        <v>59.7</v>
      </c>
      <c r="S80" s="455">
        <v>3</v>
      </c>
      <c r="T80" s="839"/>
      <c r="U80" s="852"/>
      <c r="V80" s="82" t="s">
        <v>506</v>
      </c>
      <c r="W80" s="73" t="s">
        <v>17</v>
      </c>
      <c r="X80" s="73" t="s">
        <v>18</v>
      </c>
      <c r="Y80" s="83">
        <v>37.1</v>
      </c>
      <c r="Z80" s="73" t="s">
        <v>509</v>
      </c>
      <c r="AA80" s="73" t="s">
        <v>20</v>
      </c>
      <c r="AB80" s="73" t="s">
        <v>12</v>
      </c>
      <c r="AC80" s="73">
        <v>14.9</v>
      </c>
      <c r="AD80" s="82" t="s">
        <v>508</v>
      </c>
      <c r="AE80" s="73" t="s">
        <v>88</v>
      </c>
      <c r="AF80" s="73" t="s">
        <v>18</v>
      </c>
      <c r="AG80" s="83">
        <v>3.3</v>
      </c>
      <c r="AH80" s="73" t="s">
        <v>507</v>
      </c>
      <c r="AI80" s="73" t="s">
        <v>97</v>
      </c>
      <c r="AJ80" s="73" t="s">
        <v>12</v>
      </c>
      <c r="AK80" s="73">
        <v>2.7</v>
      </c>
      <c r="AL80" s="82" t="s">
        <v>511</v>
      </c>
      <c r="AM80" s="73" t="s">
        <v>22</v>
      </c>
      <c r="AN80" s="73" t="s">
        <v>11</v>
      </c>
      <c r="AO80" s="83">
        <v>1.7</v>
      </c>
      <c r="AP80" s="82"/>
      <c r="AT80" s="147"/>
      <c r="AW80" s="83"/>
      <c r="BA80" s="84"/>
    </row>
    <row r="81" spans="1:53" s="73" customFormat="1">
      <c r="A81" s="455">
        <v>1991</v>
      </c>
      <c r="B81" s="852"/>
      <c r="C81" s="917" t="s">
        <v>741</v>
      </c>
      <c r="D81" s="917"/>
      <c r="E81" s="455">
        <v>108</v>
      </c>
      <c r="F81" s="455"/>
      <c r="G81" s="411">
        <v>2</v>
      </c>
      <c r="H81" s="455">
        <v>17</v>
      </c>
      <c r="I81" s="455">
        <v>11</v>
      </c>
      <c r="J81" s="413">
        <v>30</v>
      </c>
      <c r="K81" s="409">
        <f t="shared" si="5"/>
        <v>6.666666666666667</v>
      </c>
      <c r="L81" s="409">
        <f t="shared" si="5"/>
        <v>56.666666666666664</v>
      </c>
      <c r="M81" s="409">
        <f t="shared" si="5"/>
        <v>36.666666666666664</v>
      </c>
      <c r="N81" s="412">
        <f t="shared" si="6"/>
        <v>100</v>
      </c>
      <c r="O81" s="408">
        <v>1.7</v>
      </c>
      <c r="P81" s="409">
        <v>40.4</v>
      </c>
      <c r="Q81" s="409">
        <v>17.600000000000001</v>
      </c>
      <c r="R81" s="410">
        <f t="shared" si="7"/>
        <v>59.7</v>
      </c>
      <c r="S81" s="455">
        <v>3</v>
      </c>
      <c r="T81" s="839"/>
      <c r="U81" s="852"/>
      <c r="V81" s="82" t="s">
        <v>506</v>
      </c>
      <c r="W81" s="73" t="s">
        <v>17</v>
      </c>
      <c r="X81" s="73" t="s">
        <v>18</v>
      </c>
      <c r="Y81" s="83">
        <v>37.1</v>
      </c>
      <c r="Z81" s="73" t="s">
        <v>509</v>
      </c>
      <c r="AA81" s="73" t="s">
        <v>20</v>
      </c>
      <c r="AB81" s="73" t="s">
        <v>12</v>
      </c>
      <c r="AC81" s="73">
        <v>14.9</v>
      </c>
      <c r="AD81" s="82" t="s">
        <v>508</v>
      </c>
      <c r="AE81" s="73" t="s">
        <v>88</v>
      </c>
      <c r="AF81" s="73" t="s">
        <v>18</v>
      </c>
      <c r="AG81" s="83">
        <v>3.3</v>
      </c>
      <c r="AH81" s="73" t="s">
        <v>507</v>
      </c>
      <c r="AI81" s="73" t="s">
        <v>97</v>
      </c>
      <c r="AJ81" s="73" t="s">
        <v>12</v>
      </c>
      <c r="AK81" s="73">
        <v>2.7</v>
      </c>
      <c r="AL81" s="82" t="s">
        <v>511</v>
      </c>
      <c r="AM81" s="73" t="s">
        <v>22</v>
      </c>
      <c r="AN81" s="73" t="s">
        <v>11</v>
      </c>
      <c r="AO81" s="83">
        <v>1.7</v>
      </c>
      <c r="AP81" s="82"/>
      <c r="AT81" s="147"/>
      <c r="AW81" s="83"/>
      <c r="BA81" s="84"/>
    </row>
    <row r="82" spans="1:53" s="292" customFormat="1">
      <c r="A82" s="456">
        <v>1991</v>
      </c>
      <c r="B82" s="836">
        <v>33347</v>
      </c>
      <c r="C82" s="916" t="s">
        <v>293</v>
      </c>
      <c r="D82" s="916"/>
      <c r="E82" s="456">
        <f>365-E81</f>
        <v>257</v>
      </c>
      <c r="F82" s="456">
        <v>4</v>
      </c>
      <c r="G82" s="425">
        <v>2</v>
      </c>
      <c r="H82" s="456">
        <v>16</v>
      </c>
      <c r="I82" s="456">
        <v>12</v>
      </c>
      <c r="J82" s="427">
        <v>30</v>
      </c>
      <c r="K82" s="423">
        <f t="shared" si="5"/>
        <v>6.666666666666667</v>
      </c>
      <c r="L82" s="423">
        <f t="shared" si="5"/>
        <v>53.333333333333336</v>
      </c>
      <c r="M82" s="423">
        <f t="shared" si="5"/>
        <v>40</v>
      </c>
      <c r="N82" s="426">
        <f t="shared" si="6"/>
        <v>100</v>
      </c>
      <c r="O82" s="422">
        <v>1.7</v>
      </c>
      <c r="P82" s="423">
        <v>37.1</v>
      </c>
      <c r="Q82" s="423">
        <v>17.600000000000001</v>
      </c>
      <c r="R82" s="424">
        <f t="shared" si="7"/>
        <v>56.400000000000006</v>
      </c>
      <c r="S82" s="456">
        <v>3</v>
      </c>
      <c r="T82" s="838"/>
      <c r="U82" s="836">
        <v>33347</v>
      </c>
      <c r="V82" s="299" t="s">
        <v>506</v>
      </c>
      <c r="W82" s="292" t="s">
        <v>17</v>
      </c>
      <c r="X82" s="292" t="s">
        <v>18</v>
      </c>
      <c r="Y82" s="300">
        <v>37.1</v>
      </c>
      <c r="Z82" s="292" t="s">
        <v>509</v>
      </c>
      <c r="AA82" s="292" t="s">
        <v>20</v>
      </c>
      <c r="AB82" s="292" t="s">
        <v>12</v>
      </c>
      <c r="AC82" s="292">
        <v>14.9</v>
      </c>
      <c r="AD82" s="299" t="s">
        <v>507</v>
      </c>
      <c r="AE82" s="292" t="s">
        <v>97</v>
      </c>
      <c r="AF82" s="292" t="s">
        <v>12</v>
      </c>
      <c r="AG82" s="300">
        <v>2.7</v>
      </c>
      <c r="AH82" s="299" t="s">
        <v>511</v>
      </c>
      <c r="AI82" s="292" t="s">
        <v>22</v>
      </c>
      <c r="AJ82" s="292" t="s">
        <v>11</v>
      </c>
      <c r="AK82" s="292">
        <v>1.7</v>
      </c>
      <c r="AL82" s="299"/>
      <c r="AO82" s="300"/>
      <c r="AP82" s="299"/>
      <c r="AT82" s="388"/>
      <c r="AW82" s="300"/>
      <c r="BA82" s="301"/>
    </row>
    <row r="83" spans="1:53" s="292" customFormat="1">
      <c r="A83" s="456">
        <v>1992</v>
      </c>
      <c r="B83" s="836"/>
      <c r="C83" s="916" t="s">
        <v>293</v>
      </c>
      <c r="D83" s="916"/>
      <c r="E83" s="456">
        <v>8</v>
      </c>
      <c r="F83" s="456"/>
      <c r="G83" s="425">
        <v>2</v>
      </c>
      <c r="H83" s="456">
        <v>16</v>
      </c>
      <c r="I83" s="456">
        <v>12</v>
      </c>
      <c r="J83" s="427">
        <v>30</v>
      </c>
      <c r="K83" s="423">
        <f t="shared" si="5"/>
        <v>6.666666666666667</v>
      </c>
      <c r="L83" s="423">
        <f t="shared" si="5"/>
        <v>53.333333333333336</v>
      </c>
      <c r="M83" s="423">
        <f t="shared" si="5"/>
        <v>40</v>
      </c>
      <c r="N83" s="426">
        <f t="shared" si="6"/>
        <v>100</v>
      </c>
      <c r="O83" s="422">
        <v>1.7</v>
      </c>
      <c r="P83" s="423">
        <v>37.1</v>
      </c>
      <c r="Q83" s="423">
        <v>17.600000000000001</v>
      </c>
      <c r="R83" s="424">
        <f t="shared" si="7"/>
        <v>56.400000000000006</v>
      </c>
      <c r="S83" s="456">
        <v>3</v>
      </c>
      <c r="T83" s="838"/>
      <c r="U83" s="836"/>
      <c r="V83" s="299" t="s">
        <v>506</v>
      </c>
      <c r="W83" s="292" t="s">
        <v>17</v>
      </c>
      <c r="X83" s="292" t="s">
        <v>18</v>
      </c>
      <c r="Y83" s="300">
        <v>37.1</v>
      </c>
      <c r="Z83" s="292" t="s">
        <v>509</v>
      </c>
      <c r="AA83" s="292" t="s">
        <v>20</v>
      </c>
      <c r="AB83" s="292" t="s">
        <v>12</v>
      </c>
      <c r="AC83" s="292">
        <v>14.9</v>
      </c>
      <c r="AD83" s="299" t="s">
        <v>507</v>
      </c>
      <c r="AE83" s="292" t="s">
        <v>97</v>
      </c>
      <c r="AF83" s="292" t="s">
        <v>12</v>
      </c>
      <c r="AG83" s="300">
        <v>2.7</v>
      </c>
      <c r="AH83" s="299" t="s">
        <v>511</v>
      </c>
      <c r="AI83" s="292" t="s">
        <v>22</v>
      </c>
      <c r="AJ83" s="292" t="s">
        <v>11</v>
      </c>
      <c r="AK83" s="292">
        <v>1.7</v>
      </c>
      <c r="AL83" s="299"/>
      <c r="AO83" s="300"/>
      <c r="AP83" s="299"/>
      <c r="AT83" s="388"/>
      <c r="AW83" s="300"/>
      <c r="BA83" s="301"/>
    </row>
    <row r="84" spans="1:53" s="73" customFormat="1">
      <c r="A84" s="455">
        <v>1992</v>
      </c>
      <c r="B84" s="852">
        <v>33612</v>
      </c>
      <c r="C84" s="917" t="s">
        <v>742</v>
      </c>
      <c r="D84" s="917"/>
      <c r="E84" s="455">
        <v>171</v>
      </c>
      <c r="F84" s="455">
        <v>2</v>
      </c>
      <c r="G84" s="411">
        <v>2</v>
      </c>
      <c r="H84" s="455">
        <v>16</v>
      </c>
      <c r="I84" s="455">
        <v>12</v>
      </c>
      <c r="J84" s="413">
        <v>30</v>
      </c>
      <c r="K84" s="409">
        <f>G84/$J84*100</f>
        <v>6.666666666666667</v>
      </c>
      <c r="L84" s="409">
        <f>H84/$J84*100</f>
        <v>53.333333333333336</v>
      </c>
      <c r="M84" s="409">
        <f>I84/$J84*100</f>
        <v>40</v>
      </c>
      <c r="N84" s="412">
        <f>K84+L84+M84</f>
        <v>100</v>
      </c>
      <c r="O84" s="408">
        <v>1.7</v>
      </c>
      <c r="P84" s="409">
        <v>37.1</v>
      </c>
      <c r="Q84" s="409">
        <v>17.600000000000001</v>
      </c>
      <c r="R84" s="410">
        <f>O84+P84+Q84</f>
        <v>56.400000000000006</v>
      </c>
      <c r="S84" s="455">
        <v>6</v>
      </c>
      <c r="T84" s="839"/>
      <c r="U84" s="852">
        <v>33612</v>
      </c>
      <c r="V84" s="82" t="s">
        <v>506</v>
      </c>
      <c r="W84" s="73" t="s">
        <v>17</v>
      </c>
      <c r="X84" s="73" t="s">
        <v>18</v>
      </c>
      <c r="Y84" s="83">
        <v>37.1</v>
      </c>
      <c r="Z84" s="73" t="s">
        <v>509</v>
      </c>
      <c r="AA84" s="73" t="s">
        <v>20</v>
      </c>
      <c r="AB84" s="73" t="s">
        <v>12</v>
      </c>
      <c r="AC84" s="73">
        <v>14.9</v>
      </c>
      <c r="AD84" s="82" t="s">
        <v>507</v>
      </c>
      <c r="AE84" s="73" t="s">
        <v>97</v>
      </c>
      <c r="AF84" s="73" t="s">
        <v>12</v>
      </c>
      <c r="AG84" s="83">
        <v>2.7</v>
      </c>
      <c r="AH84" s="82" t="s">
        <v>511</v>
      </c>
      <c r="AI84" s="73" t="s">
        <v>22</v>
      </c>
      <c r="AJ84" s="73" t="s">
        <v>11</v>
      </c>
      <c r="AK84" s="73">
        <v>1.7</v>
      </c>
      <c r="AL84" s="82"/>
      <c r="AO84" s="83"/>
      <c r="AP84" s="82"/>
      <c r="AT84" s="147"/>
      <c r="AW84" s="83"/>
      <c r="BA84" s="84"/>
    </row>
    <row r="85" spans="1:53" s="292" customFormat="1">
      <c r="A85" s="456">
        <v>1992</v>
      </c>
      <c r="B85" s="836">
        <v>33783</v>
      </c>
      <c r="C85" s="916" t="s">
        <v>294</v>
      </c>
      <c r="D85" s="916"/>
      <c r="E85" s="456">
        <f>366-E83-E84</f>
        <v>187</v>
      </c>
      <c r="F85" s="456">
        <v>1</v>
      </c>
      <c r="G85" s="425">
        <v>2</v>
      </c>
      <c r="H85" s="456">
        <v>9</v>
      </c>
      <c r="I85" s="456">
        <v>9</v>
      </c>
      <c r="J85" s="427">
        <v>26</v>
      </c>
      <c r="K85" s="423">
        <f t="shared" si="5"/>
        <v>7.6923076923076925</v>
      </c>
      <c r="L85" s="423">
        <f t="shared" si="5"/>
        <v>34.615384615384613</v>
      </c>
      <c r="M85" s="423">
        <f t="shared" si="5"/>
        <v>34.615384615384613</v>
      </c>
      <c r="N85" s="426">
        <f t="shared" si="6"/>
        <v>76.92307692307692</v>
      </c>
      <c r="O85" s="422">
        <v>2.7</v>
      </c>
      <c r="P85" s="423">
        <v>32.700000000000003</v>
      </c>
      <c r="Q85" s="423">
        <v>17.100000000000001</v>
      </c>
      <c r="R85" s="424">
        <f t="shared" si="7"/>
        <v>52.500000000000007</v>
      </c>
      <c r="S85" s="456">
        <v>2</v>
      </c>
      <c r="T85" s="838">
        <v>33699</v>
      </c>
      <c r="U85" s="836">
        <v>33783</v>
      </c>
      <c r="V85" s="299" t="s">
        <v>506</v>
      </c>
      <c r="W85" s="292" t="s">
        <v>17</v>
      </c>
      <c r="X85" s="292" t="s">
        <v>18</v>
      </c>
      <c r="Y85" s="300">
        <v>32.700000000000003</v>
      </c>
      <c r="Z85" s="292" t="s">
        <v>509</v>
      </c>
      <c r="AA85" s="292" t="s">
        <v>20</v>
      </c>
      <c r="AB85" s="292" t="s">
        <v>12</v>
      </c>
      <c r="AC85" s="292">
        <v>14.6</v>
      </c>
      <c r="AD85" s="299" t="s">
        <v>507</v>
      </c>
      <c r="AE85" s="292" t="s">
        <v>97</v>
      </c>
      <c r="AF85" s="292" t="s">
        <v>12</v>
      </c>
      <c r="AG85" s="300">
        <v>2.5</v>
      </c>
      <c r="AH85" s="299" t="s">
        <v>511</v>
      </c>
      <c r="AI85" s="292" t="s">
        <v>22</v>
      </c>
      <c r="AJ85" s="292" t="s">
        <v>11</v>
      </c>
      <c r="AK85" s="292">
        <v>2.7</v>
      </c>
      <c r="AL85" s="299"/>
      <c r="AO85" s="300"/>
      <c r="AP85" s="299"/>
      <c r="AT85" s="388"/>
      <c r="AW85" s="300"/>
      <c r="BA85" s="301"/>
    </row>
    <row r="86" spans="1:53" s="292" customFormat="1">
      <c r="A86" s="456">
        <v>1993</v>
      </c>
      <c r="B86" s="836"/>
      <c r="C86" s="916" t="s">
        <v>294</v>
      </c>
      <c r="D86" s="916"/>
      <c r="E86" s="456">
        <v>126</v>
      </c>
      <c r="F86" s="456"/>
      <c r="G86" s="425">
        <v>2</v>
      </c>
      <c r="H86" s="456">
        <v>9</v>
      </c>
      <c r="I86" s="456">
        <v>9</v>
      </c>
      <c r="J86" s="427">
        <v>26</v>
      </c>
      <c r="K86" s="423">
        <f t="shared" si="5"/>
        <v>7.6923076923076925</v>
      </c>
      <c r="L86" s="423">
        <f t="shared" si="5"/>
        <v>34.615384615384613</v>
      </c>
      <c r="M86" s="423">
        <f t="shared" si="5"/>
        <v>34.615384615384613</v>
      </c>
      <c r="N86" s="426">
        <f t="shared" si="6"/>
        <v>76.92307692307692</v>
      </c>
      <c r="O86" s="422">
        <v>2.7</v>
      </c>
      <c r="P86" s="423">
        <v>32.700000000000003</v>
      </c>
      <c r="Q86" s="423">
        <v>17.100000000000001</v>
      </c>
      <c r="R86" s="424">
        <f t="shared" si="7"/>
        <v>52.500000000000007</v>
      </c>
      <c r="S86" s="456">
        <v>2</v>
      </c>
      <c r="T86" s="838"/>
      <c r="U86" s="836"/>
      <c r="V86" s="299" t="s">
        <v>506</v>
      </c>
      <c r="W86" s="292" t="s">
        <v>17</v>
      </c>
      <c r="X86" s="292" t="s">
        <v>18</v>
      </c>
      <c r="Y86" s="300">
        <v>32.700000000000003</v>
      </c>
      <c r="Z86" s="292" t="s">
        <v>509</v>
      </c>
      <c r="AA86" s="292" t="s">
        <v>20</v>
      </c>
      <c r="AB86" s="292" t="s">
        <v>12</v>
      </c>
      <c r="AC86" s="292">
        <v>14.6</v>
      </c>
      <c r="AD86" s="299" t="s">
        <v>507</v>
      </c>
      <c r="AE86" s="292" t="s">
        <v>97</v>
      </c>
      <c r="AF86" s="292" t="s">
        <v>12</v>
      </c>
      <c r="AG86" s="300">
        <v>2.5</v>
      </c>
      <c r="AH86" s="299" t="s">
        <v>511</v>
      </c>
      <c r="AI86" s="292" t="s">
        <v>22</v>
      </c>
      <c r="AJ86" s="292" t="s">
        <v>11</v>
      </c>
      <c r="AK86" s="292">
        <v>2.7</v>
      </c>
      <c r="AL86" s="299"/>
      <c r="AO86" s="300"/>
      <c r="AP86" s="299"/>
      <c r="AT86" s="388"/>
      <c r="AW86" s="300"/>
      <c r="BA86" s="301"/>
    </row>
    <row r="87" spans="1:53" s="73" customFormat="1">
      <c r="A87" s="455">
        <v>1993</v>
      </c>
      <c r="B87" s="852">
        <v>34096</v>
      </c>
      <c r="C87" s="917" t="s">
        <v>295</v>
      </c>
      <c r="D87" s="917"/>
      <c r="E87" s="455">
        <f>365-E86</f>
        <v>239</v>
      </c>
      <c r="F87" s="455">
        <v>4</v>
      </c>
      <c r="G87" s="411">
        <v>1</v>
      </c>
      <c r="H87" s="455">
        <v>7</v>
      </c>
      <c r="I87" s="455">
        <v>6</v>
      </c>
      <c r="J87" s="413">
        <v>25</v>
      </c>
      <c r="K87" s="409">
        <f t="shared" si="5"/>
        <v>4</v>
      </c>
      <c r="L87" s="409">
        <f t="shared" si="5"/>
        <v>28.000000000000004</v>
      </c>
      <c r="M87" s="409">
        <f t="shared" si="5"/>
        <v>24</v>
      </c>
      <c r="N87" s="412">
        <f t="shared" si="6"/>
        <v>56</v>
      </c>
      <c r="O87" s="408">
        <v>2.7</v>
      </c>
      <c r="P87" s="409">
        <v>32.700000000000003</v>
      </c>
      <c r="Q87" s="409">
        <v>17.100000000000001</v>
      </c>
      <c r="R87" s="410">
        <f t="shared" si="7"/>
        <v>52.500000000000007</v>
      </c>
      <c r="S87" s="455">
        <v>7</v>
      </c>
      <c r="T87" s="839"/>
      <c r="U87" s="852">
        <v>34096</v>
      </c>
      <c r="V87" s="145" t="s">
        <v>781</v>
      </c>
      <c r="Z87" s="82" t="s">
        <v>506</v>
      </c>
      <c r="AA87" s="73" t="s">
        <v>17</v>
      </c>
      <c r="AB87" s="73" t="s">
        <v>18</v>
      </c>
      <c r="AC87" s="83">
        <v>32.700000000000003</v>
      </c>
      <c r="AD87" s="73" t="s">
        <v>509</v>
      </c>
      <c r="AE87" s="73" t="s">
        <v>20</v>
      </c>
      <c r="AF87" s="73" t="s">
        <v>12</v>
      </c>
      <c r="AG87" s="73">
        <v>14.6</v>
      </c>
      <c r="AH87" s="82" t="s">
        <v>507</v>
      </c>
      <c r="AI87" s="73" t="s">
        <v>97</v>
      </c>
      <c r="AJ87" s="73" t="s">
        <v>12</v>
      </c>
      <c r="AK87" s="83">
        <v>2.5</v>
      </c>
      <c r="AL87" s="82" t="s">
        <v>511</v>
      </c>
      <c r="AM87" s="73" t="s">
        <v>22</v>
      </c>
      <c r="AN87" s="73" t="s">
        <v>11</v>
      </c>
      <c r="AO87" s="83">
        <v>2.7</v>
      </c>
      <c r="AP87" s="82"/>
      <c r="AT87" s="147"/>
      <c r="AW87" s="83"/>
      <c r="BA87" s="84"/>
    </row>
    <row r="88" spans="1:53" s="73" customFormat="1">
      <c r="A88" s="455">
        <v>1994</v>
      </c>
      <c r="B88" s="852"/>
      <c r="C88" s="917" t="s">
        <v>295</v>
      </c>
      <c r="D88" s="917"/>
      <c r="E88" s="455">
        <v>129</v>
      </c>
      <c r="F88" s="455"/>
      <c r="G88" s="411">
        <v>1</v>
      </c>
      <c r="H88" s="455">
        <v>7</v>
      </c>
      <c r="I88" s="455">
        <v>6</v>
      </c>
      <c r="J88" s="413">
        <v>25</v>
      </c>
      <c r="K88" s="409">
        <f t="shared" si="5"/>
        <v>4</v>
      </c>
      <c r="L88" s="409">
        <f t="shared" si="5"/>
        <v>28.000000000000004</v>
      </c>
      <c r="M88" s="409">
        <f t="shared" si="5"/>
        <v>24</v>
      </c>
      <c r="N88" s="412">
        <f t="shared" si="6"/>
        <v>56</v>
      </c>
      <c r="O88" s="408">
        <v>2.7</v>
      </c>
      <c r="P88" s="409">
        <v>32.700000000000003</v>
      </c>
      <c r="Q88" s="409">
        <v>17.100000000000001</v>
      </c>
      <c r="R88" s="410">
        <f t="shared" si="7"/>
        <v>52.500000000000007</v>
      </c>
      <c r="S88" s="455">
        <v>7</v>
      </c>
      <c r="T88" s="839"/>
      <c r="U88" s="852"/>
      <c r="V88" s="145" t="s">
        <v>781</v>
      </c>
      <c r="Z88" s="82" t="s">
        <v>506</v>
      </c>
      <c r="AA88" s="73" t="s">
        <v>17</v>
      </c>
      <c r="AB88" s="73" t="s">
        <v>18</v>
      </c>
      <c r="AC88" s="83">
        <v>32.700000000000003</v>
      </c>
      <c r="AD88" s="73" t="s">
        <v>509</v>
      </c>
      <c r="AE88" s="73" t="s">
        <v>20</v>
      </c>
      <c r="AF88" s="73" t="s">
        <v>12</v>
      </c>
      <c r="AG88" s="73">
        <v>14.6</v>
      </c>
      <c r="AH88" s="82" t="s">
        <v>507</v>
      </c>
      <c r="AI88" s="73" t="s">
        <v>97</v>
      </c>
      <c r="AJ88" s="73" t="s">
        <v>12</v>
      </c>
      <c r="AK88" s="83">
        <v>2.5</v>
      </c>
      <c r="AL88" s="82" t="s">
        <v>511</v>
      </c>
      <c r="AM88" s="73" t="s">
        <v>22</v>
      </c>
      <c r="AN88" s="73" t="s">
        <v>11</v>
      </c>
      <c r="AO88" s="83">
        <v>2.7</v>
      </c>
      <c r="AP88" s="82"/>
      <c r="AT88" s="147"/>
      <c r="AW88" s="83"/>
      <c r="BA88" s="84"/>
    </row>
    <row r="89" spans="1:53" s="292" customFormat="1">
      <c r="A89" s="456">
        <v>1994</v>
      </c>
      <c r="B89" s="836">
        <v>34464</v>
      </c>
      <c r="C89" s="916" t="s">
        <v>296</v>
      </c>
      <c r="D89" s="916"/>
      <c r="E89" s="456">
        <f>365-E88</f>
        <v>236</v>
      </c>
      <c r="F89" s="456">
        <v>1</v>
      </c>
      <c r="G89" s="425">
        <v>19</v>
      </c>
      <c r="H89" s="456">
        <v>4</v>
      </c>
      <c r="I89" s="456"/>
      <c r="J89" s="427">
        <v>26</v>
      </c>
      <c r="K89" s="423">
        <f t="shared" si="5"/>
        <v>73.076923076923066</v>
      </c>
      <c r="L89" s="423">
        <f t="shared" si="5"/>
        <v>15.384615384615385</v>
      </c>
      <c r="M89" s="423">
        <f t="shared" si="5"/>
        <v>0</v>
      </c>
      <c r="N89" s="426">
        <f t="shared" si="6"/>
        <v>88.461538461538453</v>
      </c>
      <c r="O89" s="422">
        <v>51.6</v>
      </c>
      <c r="P89" s="423">
        <v>5.2</v>
      </c>
      <c r="Q89" s="423"/>
      <c r="R89" s="424">
        <f t="shared" si="7"/>
        <v>56.800000000000004</v>
      </c>
      <c r="S89" s="456">
        <v>3</v>
      </c>
      <c r="T89" s="838">
        <v>34420</v>
      </c>
      <c r="U89" s="836">
        <v>34464</v>
      </c>
      <c r="V89" s="299" t="s">
        <v>512</v>
      </c>
      <c r="W89" s="292" t="s">
        <v>74</v>
      </c>
      <c r="X89" s="292" t="s">
        <v>11</v>
      </c>
      <c r="Y89" s="300">
        <v>15.7</v>
      </c>
      <c r="Z89" s="292" t="s">
        <v>513</v>
      </c>
      <c r="AA89" s="292" t="s">
        <v>297</v>
      </c>
      <c r="AB89" s="292" t="s">
        <v>11</v>
      </c>
      <c r="AC89" s="292">
        <v>18.600000000000001</v>
      </c>
      <c r="AD89" s="299" t="s">
        <v>517</v>
      </c>
      <c r="AE89" s="292" t="s">
        <v>27</v>
      </c>
      <c r="AF89" s="292" t="s">
        <v>11</v>
      </c>
      <c r="AG89" s="300">
        <v>17.3</v>
      </c>
      <c r="AH89" s="292" t="s">
        <v>574</v>
      </c>
      <c r="AI89" s="292" t="s">
        <v>330</v>
      </c>
      <c r="AJ89" s="292" t="s">
        <v>18</v>
      </c>
      <c r="AK89" s="292">
        <v>0.6</v>
      </c>
      <c r="AL89" s="299" t="s">
        <v>553</v>
      </c>
      <c r="AM89" s="292" t="s">
        <v>86</v>
      </c>
      <c r="AN89" s="292" t="s">
        <v>18</v>
      </c>
      <c r="AO89" s="300">
        <v>4.5999999999999996</v>
      </c>
      <c r="AP89" s="299"/>
      <c r="AT89" s="388"/>
      <c r="AW89" s="300"/>
      <c r="BA89" s="301"/>
    </row>
    <row r="90" spans="1:53" s="292" customFormat="1">
      <c r="A90" s="456">
        <v>1995</v>
      </c>
      <c r="B90" s="836"/>
      <c r="C90" s="916" t="s">
        <v>296</v>
      </c>
      <c r="D90" s="916"/>
      <c r="E90" s="456">
        <v>16</v>
      </c>
      <c r="F90" s="456"/>
      <c r="G90" s="425">
        <v>19</v>
      </c>
      <c r="H90" s="456">
        <v>4</v>
      </c>
      <c r="I90" s="456"/>
      <c r="J90" s="427">
        <v>26</v>
      </c>
      <c r="K90" s="423">
        <f t="shared" si="5"/>
        <v>73.076923076923066</v>
      </c>
      <c r="L90" s="423">
        <f t="shared" si="5"/>
        <v>15.384615384615385</v>
      </c>
      <c r="M90" s="423">
        <f t="shared" si="5"/>
        <v>0</v>
      </c>
      <c r="N90" s="426">
        <f t="shared" si="6"/>
        <v>88.461538461538453</v>
      </c>
      <c r="O90" s="422">
        <v>51.6</v>
      </c>
      <c r="P90" s="423">
        <v>5.2</v>
      </c>
      <c r="Q90" s="423"/>
      <c r="R90" s="424">
        <f t="shared" si="7"/>
        <v>56.800000000000004</v>
      </c>
      <c r="S90" s="456">
        <v>3</v>
      </c>
      <c r="T90" s="838"/>
      <c r="U90" s="836"/>
      <c r="V90" s="299" t="s">
        <v>512</v>
      </c>
      <c r="W90" s="292" t="s">
        <v>74</v>
      </c>
      <c r="X90" s="292" t="s">
        <v>11</v>
      </c>
      <c r="Y90" s="300">
        <v>15.7</v>
      </c>
      <c r="Z90" s="292" t="s">
        <v>513</v>
      </c>
      <c r="AA90" s="292" t="s">
        <v>297</v>
      </c>
      <c r="AB90" s="292" t="s">
        <v>11</v>
      </c>
      <c r="AC90" s="292">
        <v>18.600000000000001</v>
      </c>
      <c r="AD90" s="299" t="s">
        <v>517</v>
      </c>
      <c r="AE90" s="292" t="s">
        <v>27</v>
      </c>
      <c r="AF90" s="292" t="s">
        <v>11</v>
      </c>
      <c r="AG90" s="300">
        <v>17.3</v>
      </c>
      <c r="AH90" s="292" t="s">
        <v>574</v>
      </c>
      <c r="AI90" s="292" t="s">
        <v>330</v>
      </c>
      <c r="AJ90" s="292" t="s">
        <v>18</v>
      </c>
      <c r="AK90" s="292">
        <v>0.6</v>
      </c>
      <c r="AL90" s="299" t="s">
        <v>553</v>
      </c>
      <c r="AM90" s="292" t="s">
        <v>86</v>
      </c>
      <c r="AN90" s="292" t="s">
        <v>18</v>
      </c>
      <c r="AO90" s="300">
        <v>4.5999999999999996</v>
      </c>
      <c r="AP90" s="299"/>
      <c r="AT90" s="388"/>
      <c r="AW90" s="300"/>
      <c r="BA90" s="301"/>
    </row>
    <row r="91" spans="1:53" s="73" customFormat="1">
      <c r="A91" s="455">
        <v>1995</v>
      </c>
      <c r="B91" s="852">
        <v>34716</v>
      </c>
      <c r="C91" s="917" t="s">
        <v>298</v>
      </c>
      <c r="D91" s="917"/>
      <c r="E91" s="455">
        <f>365-E90</f>
        <v>349</v>
      </c>
      <c r="F91" s="455">
        <v>4</v>
      </c>
      <c r="G91" s="411">
        <v>0</v>
      </c>
      <c r="H91" s="455">
        <v>0</v>
      </c>
      <c r="I91" s="455">
        <v>0</v>
      </c>
      <c r="J91" s="413">
        <v>21</v>
      </c>
      <c r="K91" s="409">
        <f t="shared" si="5"/>
        <v>0</v>
      </c>
      <c r="L91" s="409">
        <f t="shared" si="5"/>
        <v>0</v>
      </c>
      <c r="M91" s="409">
        <f t="shared" si="5"/>
        <v>0</v>
      </c>
      <c r="N91" s="412">
        <f t="shared" si="6"/>
        <v>0</v>
      </c>
      <c r="O91" s="408">
        <v>0</v>
      </c>
      <c r="P91" s="409">
        <v>0</v>
      </c>
      <c r="Q91" s="409">
        <v>0</v>
      </c>
      <c r="R91" s="410">
        <f t="shared" si="7"/>
        <v>0</v>
      </c>
      <c r="S91" s="455">
        <v>7</v>
      </c>
      <c r="T91" s="839"/>
      <c r="U91" s="852">
        <v>34716</v>
      </c>
      <c r="V91" s="145" t="s">
        <v>801</v>
      </c>
      <c r="Y91" s="83"/>
      <c r="AD91" s="82"/>
      <c r="AG91" s="83"/>
      <c r="AL91" s="82"/>
      <c r="AO91" s="83"/>
      <c r="AP91" s="82"/>
      <c r="AT91" s="147"/>
      <c r="AW91" s="83"/>
      <c r="BA91" s="84"/>
    </row>
    <row r="92" spans="1:53" s="73" customFormat="1">
      <c r="A92" s="455">
        <v>1996</v>
      </c>
      <c r="B92" s="852"/>
      <c r="C92" s="917" t="s">
        <v>298</v>
      </c>
      <c r="D92" s="917"/>
      <c r="E92" s="455">
        <v>137</v>
      </c>
      <c r="F92" s="455"/>
      <c r="G92" s="411">
        <v>0</v>
      </c>
      <c r="H92" s="455">
        <v>0</v>
      </c>
      <c r="I92" s="455">
        <v>0</v>
      </c>
      <c r="J92" s="413">
        <v>21</v>
      </c>
      <c r="K92" s="409">
        <f t="shared" si="5"/>
        <v>0</v>
      </c>
      <c r="L92" s="409">
        <f t="shared" si="5"/>
        <v>0</v>
      </c>
      <c r="M92" s="409">
        <f t="shared" si="5"/>
        <v>0</v>
      </c>
      <c r="N92" s="412">
        <f t="shared" si="6"/>
        <v>0</v>
      </c>
      <c r="O92" s="408">
        <v>0</v>
      </c>
      <c r="P92" s="409">
        <v>0</v>
      </c>
      <c r="Q92" s="409">
        <v>0</v>
      </c>
      <c r="R92" s="410">
        <f t="shared" si="7"/>
        <v>0</v>
      </c>
      <c r="S92" s="455">
        <v>7</v>
      </c>
      <c r="T92" s="839"/>
      <c r="U92" s="852"/>
      <c r="V92" s="145" t="s">
        <v>801</v>
      </c>
      <c r="Y92" s="83"/>
      <c r="AD92" s="82"/>
      <c r="AG92" s="83"/>
      <c r="AL92" s="82"/>
      <c r="AO92" s="83"/>
      <c r="AP92" s="82"/>
      <c r="AT92" s="147"/>
      <c r="AW92" s="83"/>
      <c r="BA92" s="84"/>
    </row>
    <row r="93" spans="1:53" s="292" customFormat="1">
      <c r="A93" s="456">
        <v>1996</v>
      </c>
      <c r="B93" s="836">
        <v>35202</v>
      </c>
      <c r="C93" s="916" t="s">
        <v>299</v>
      </c>
      <c r="D93" s="916"/>
      <c r="E93" s="456">
        <f>366-E92</f>
        <v>229</v>
      </c>
      <c r="F93" s="456">
        <v>6</v>
      </c>
      <c r="G93" s="425"/>
      <c r="H93" s="456">
        <v>8</v>
      </c>
      <c r="I93" s="456">
        <v>10</v>
      </c>
      <c r="J93" s="427">
        <v>21</v>
      </c>
      <c r="K93" s="423">
        <f t="shared" si="5"/>
        <v>0</v>
      </c>
      <c r="L93" s="423">
        <f t="shared" si="5"/>
        <v>38.095238095238095</v>
      </c>
      <c r="M93" s="423">
        <f t="shared" si="5"/>
        <v>47.619047619047613</v>
      </c>
      <c r="N93" s="426">
        <f t="shared" si="6"/>
        <v>85.714285714285708</v>
      </c>
      <c r="O93" s="422"/>
      <c r="P93" s="423">
        <v>16.2</v>
      </c>
      <c r="Q93" s="423">
        <v>29.7</v>
      </c>
      <c r="R93" s="424">
        <f t="shared" si="7"/>
        <v>45.9</v>
      </c>
      <c r="S93" s="456">
        <v>5</v>
      </c>
      <c r="T93" s="838">
        <v>35176</v>
      </c>
      <c r="U93" s="836">
        <v>35202</v>
      </c>
      <c r="V93" s="299" t="s">
        <v>515</v>
      </c>
      <c r="W93" s="292" t="s">
        <v>300</v>
      </c>
      <c r="X93" s="292" t="s">
        <v>12</v>
      </c>
      <c r="Y93" s="300">
        <v>27.2</v>
      </c>
      <c r="Z93" s="292" t="s">
        <v>514</v>
      </c>
      <c r="AA93" s="292" t="s">
        <v>17</v>
      </c>
      <c r="AB93" s="292" t="s">
        <v>18</v>
      </c>
      <c r="AC93" s="292">
        <v>11.9</v>
      </c>
      <c r="AD93" s="299" t="s">
        <v>554</v>
      </c>
      <c r="AE93" s="292" t="s">
        <v>330</v>
      </c>
      <c r="AF93" s="292" t="s">
        <v>18</v>
      </c>
      <c r="AG93" s="393">
        <v>11.9</v>
      </c>
      <c r="AH93" s="292" t="s">
        <v>516</v>
      </c>
      <c r="AI93" s="292" t="s">
        <v>107</v>
      </c>
      <c r="AJ93" s="292" t="s">
        <v>18</v>
      </c>
      <c r="AK93" s="292">
        <v>4.3</v>
      </c>
      <c r="AL93" s="299" t="s">
        <v>301</v>
      </c>
      <c r="AM93" s="292" t="s">
        <v>218</v>
      </c>
      <c r="AN93" s="292" t="s">
        <v>12</v>
      </c>
      <c r="AO93" s="300">
        <v>2.5</v>
      </c>
      <c r="AP93" s="299"/>
      <c r="AT93" s="388"/>
      <c r="AW93" s="300"/>
      <c r="BA93" s="301"/>
    </row>
    <row r="94" spans="1:53" s="292" customFormat="1">
      <c r="A94" s="456">
        <v>1997</v>
      </c>
      <c r="B94" s="836"/>
      <c r="C94" s="916" t="s">
        <v>299</v>
      </c>
      <c r="D94" s="916"/>
      <c r="E94" s="456">
        <v>0</v>
      </c>
      <c r="F94" s="456"/>
      <c r="G94" s="425"/>
      <c r="H94" s="456">
        <v>8</v>
      </c>
      <c r="I94" s="456">
        <v>11</v>
      </c>
      <c r="J94" s="427">
        <v>22</v>
      </c>
      <c r="K94" s="423">
        <f t="shared" si="5"/>
        <v>0</v>
      </c>
      <c r="L94" s="423">
        <f t="shared" si="5"/>
        <v>36.363636363636367</v>
      </c>
      <c r="M94" s="423">
        <f t="shared" si="5"/>
        <v>50</v>
      </c>
      <c r="N94" s="426">
        <f t="shared" si="6"/>
        <v>86.363636363636374</v>
      </c>
      <c r="O94" s="422"/>
      <c r="P94" s="423">
        <v>16.2</v>
      </c>
      <c r="Q94" s="423">
        <v>29.7</v>
      </c>
      <c r="R94" s="424">
        <f t="shared" si="7"/>
        <v>45.9</v>
      </c>
      <c r="S94" s="456">
        <v>5</v>
      </c>
      <c r="T94" s="838"/>
      <c r="U94" s="836"/>
      <c r="V94" s="299" t="s">
        <v>515</v>
      </c>
      <c r="W94" s="292" t="s">
        <v>300</v>
      </c>
      <c r="X94" s="292" t="s">
        <v>12</v>
      </c>
      <c r="Y94" s="300">
        <v>27.2</v>
      </c>
      <c r="Z94" s="292" t="s">
        <v>514</v>
      </c>
      <c r="AA94" s="292" t="s">
        <v>17</v>
      </c>
      <c r="AB94" s="292" t="s">
        <v>18</v>
      </c>
      <c r="AC94" s="292">
        <v>11.9</v>
      </c>
      <c r="AD94" s="299" t="s">
        <v>554</v>
      </c>
      <c r="AE94" s="292" t="s">
        <v>330</v>
      </c>
      <c r="AF94" s="292" t="s">
        <v>18</v>
      </c>
      <c r="AG94" s="393">
        <v>11.9</v>
      </c>
      <c r="AH94" s="292" t="s">
        <v>516</v>
      </c>
      <c r="AI94" s="292" t="s">
        <v>107</v>
      </c>
      <c r="AJ94" s="292" t="s">
        <v>18</v>
      </c>
      <c r="AK94" s="292">
        <v>4.3</v>
      </c>
      <c r="AL94" s="299" t="s">
        <v>301</v>
      </c>
      <c r="AM94" s="292" t="s">
        <v>218</v>
      </c>
      <c r="AN94" s="292" t="s">
        <v>12</v>
      </c>
      <c r="AO94" s="300">
        <v>2.5</v>
      </c>
      <c r="AP94" s="299"/>
      <c r="AT94" s="388"/>
      <c r="AW94" s="300"/>
      <c r="BA94" s="301"/>
    </row>
    <row r="95" spans="1:53" s="292" customFormat="1">
      <c r="A95" s="456">
        <v>1997</v>
      </c>
      <c r="B95" s="836"/>
      <c r="C95" s="916" t="s">
        <v>299</v>
      </c>
      <c r="D95" s="916"/>
      <c r="E95" s="456">
        <f>365-E94</f>
        <v>365</v>
      </c>
      <c r="F95" s="456"/>
      <c r="G95" s="425"/>
      <c r="H95" s="456">
        <v>8</v>
      </c>
      <c r="I95" s="456">
        <v>11</v>
      </c>
      <c r="J95" s="427">
        <v>22</v>
      </c>
      <c r="K95" s="423">
        <f t="shared" si="5"/>
        <v>0</v>
      </c>
      <c r="L95" s="423">
        <f t="shared" si="5"/>
        <v>36.363636363636367</v>
      </c>
      <c r="M95" s="423">
        <f t="shared" si="5"/>
        <v>50</v>
      </c>
      <c r="N95" s="426">
        <f t="shared" si="6"/>
        <v>86.363636363636374</v>
      </c>
      <c r="O95" s="422"/>
      <c r="P95" s="423">
        <v>16.2</v>
      </c>
      <c r="Q95" s="423">
        <v>29.7</v>
      </c>
      <c r="R95" s="424">
        <f t="shared" si="7"/>
        <v>45.9</v>
      </c>
      <c r="S95" s="456">
        <v>5</v>
      </c>
      <c r="T95" s="838"/>
      <c r="U95" s="836"/>
      <c r="V95" s="299" t="s">
        <v>515</v>
      </c>
      <c r="W95" s="292" t="s">
        <v>300</v>
      </c>
      <c r="X95" s="292" t="s">
        <v>12</v>
      </c>
      <c r="Y95" s="300">
        <v>27.2</v>
      </c>
      <c r="Z95" s="292" t="s">
        <v>514</v>
      </c>
      <c r="AA95" s="292" t="s">
        <v>17</v>
      </c>
      <c r="AB95" s="292" t="s">
        <v>18</v>
      </c>
      <c r="AC95" s="292">
        <v>11.9</v>
      </c>
      <c r="AD95" s="299" t="s">
        <v>554</v>
      </c>
      <c r="AE95" s="292" t="s">
        <v>330</v>
      </c>
      <c r="AF95" s="292" t="s">
        <v>18</v>
      </c>
      <c r="AG95" s="393">
        <v>11.9</v>
      </c>
      <c r="AH95" s="292" t="s">
        <v>516</v>
      </c>
      <c r="AI95" s="292" t="s">
        <v>107</v>
      </c>
      <c r="AJ95" s="292" t="s">
        <v>18</v>
      </c>
      <c r="AK95" s="292">
        <v>4.3</v>
      </c>
      <c r="AL95" s="299" t="s">
        <v>301</v>
      </c>
      <c r="AM95" s="292" t="s">
        <v>218</v>
      </c>
      <c r="AN95" s="292" t="s">
        <v>12</v>
      </c>
      <c r="AO95" s="300">
        <v>2.5</v>
      </c>
      <c r="AP95" s="299"/>
      <c r="AT95" s="388"/>
      <c r="AW95" s="300"/>
      <c r="BA95" s="301"/>
    </row>
    <row r="96" spans="1:53" s="292" customFormat="1">
      <c r="A96" s="456">
        <v>1998</v>
      </c>
      <c r="B96" s="836"/>
      <c r="C96" s="916" t="s">
        <v>299</v>
      </c>
      <c r="D96" s="916"/>
      <c r="E96" s="456">
        <v>300</v>
      </c>
      <c r="F96" s="456"/>
      <c r="G96" s="425"/>
      <c r="H96" s="456">
        <v>8</v>
      </c>
      <c r="I96" s="456">
        <v>11</v>
      </c>
      <c r="J96" s="427">
        <v>22</v>
      </c>
      <c r="K96" s="423">
        <f t="shared" si="5"/>
        <v>0</v>
      </c>
      <c r="L96" s="423">
        <f t="shared" si="5"/>
        <v>36.363636363636367</v>
      </c>
      <c r="M96" s="423">
        <f t="shared" si="5"/>
        <v>50</v>
      </c>
      <c r="N96" s="426">
        <f t="shared" si="6"/>
        <v>86.363636363636374</v>
      </c>
      <c r="O96" s="422"/>
      <c r="P96" s="423">
        <v>16.2</v>
      </c>
      <c r="Q96" s="423">
        <v>29.7</v>
      </c>
      <c r="R96" s="424">
        <f t="shared" si="7"/>
        <v>45.9</v>
      </c>
      <c r="S96" s="456">
        <v>5</v>
      </c>
      <c r="T96" s="838"/>
      <c r="U96" s="836"/>
      <c r="V96" s="299" t="s">
        <v>515</v>
      </c>
      <c r="W96" s="292" t="s">
        <v>300</v>
      </c>
      <c r="X96" s="292" t="s">
        <v>12</v>
      </c>
      <c r="Y96" s="300">
        <v>27.2</v>
      </c>
      <c r="Z96" s="292" t="s">
        <v>514</v>
      </c>
      <c r="AA96" s="292" t="s">
        <v>17</v>
      </c>
      <c r="AB96" s="292" t="s">
        <v>18</v>
      </c>
      <c r="AC96" s="292">
        <v>11.9</v>
      </c>
      <c r="AD96" s="299" t="s">
        <v>554</v>
      </c>
      <c r="AE96" s="292" t="s">
        <v>330</v>
      </c>
      <c r="AF96" s="292" t="s">
        <v>18</v>
      </c>
      <c r="AG96" s="393">
        <v>11.9</v>
      </c>
      <c r="AH96" s="292" t="s">
        <v>516</v>
      </c>
      <c r="AI96" s="292" t="s">
        <v>107</v>
      </c>
      <c r="AJ96" s="292" t="s">
        <v>18</v>
      </c>
      <c r="AK96" s="292">
        <v>4.3</v>
      </c>
      <c r="AL96" s="299" t="s">
        <v>301</v>
      </c>
      <c r="AM96" s="292" t="s">
        <v>218</v>
      </c>
      <c r="AN96" s="292" t="s">
        <v>12</v>
      </c>
      <c r="AO96" s="300">
        <v>2.5</v>
      </c>
      <c r="AP96" s="299"/>
      <c r="AT96" s="388"/>
      <c r="AW96" s="300"/>
      <c r="BA96" s="301"/>
    </row>
    <row r="97" spans="1:53" s="73" customFormat="1">
      <c r="A97" s="455">
        <v>1998</v>
      </c>
      <c r="B97" s="852">
        <v>36096</v>
      </c>
      <c r="C97" s="917" t="s">
        <v>302</v>
      </c>
      <c r="D97" s="917"/>
      <c r="E97" s="455">
        <f>365-E96</f>
        <v>65</v>
      </c>
      <c r="F97" s="455">
        <v>5</v>
      </c>
      <c r="G97" s="411"/>
      <c r="H97" s="455">
        <v>12</v>
      </c>
      <c r="I97" s="455">
        <v>13</v>
      </c>
      <c r="J97" s="413">
        <v>27</v>
      </c>
      <c r="K97" s="409">
        <f t="shared" si="5"/>
        <v>0</v>
      </c>
      <c r="L97" s="409">
        <f t="shared" si="5"/>
        <v>44.444444444444443</v>
      </c>
      <c r="M97" s="409">
        <f t="shared" si="5"/>
        <v>48.148148148148145</v>
      </c>
      <c r="N97" s="412">
        <f t="shared" si="6"/>
        <v>92.592592592592581</v>
      </c>
      <c r="O97" s="408"/>
      <c r="P97" s="409">
        <v>16.2</v>
      </c>
      <c r="Q97" s="409">
        <v>29.7</v>
      </c>
      <c r="R97" s="410">
        <f t="shared" si="7"/>
        <v>45.9</v>
      </c>
      <c r="S97" s="455">
        <v>5</v>
      </c>
      <c r="T97" s="839"/>
      <c r="U97" s="852">
        <v>36096</v>
      </c>
      <c r="V97" s="82" t="s">
        <v>515</v>
      </c>
      <c r="W97" s="73" t="s">
        <v>300</v>
      </c>
      <c r="X97" s="73" t="s">
        <v>12</v>
      </c>
      <c r="Y97" s="83">
        <v>27.2</v>
      </c>
      <c r="Z97" s="73" t="s">
        <v>514</v>
      </c>
      <c r="AA97" s="73" t="s">
        <v>17</v>
      </c>
      <c r="AB97" s="73" t="s">
        <v>18</v>
      </c>
      <c r="AC97" s="73">
        <v>11.9</v>
      </c>
      <c r="AD97" s="82" t="s">
        <v>520</v>
      </c>
      <c r="AE97" s="73" t="s">
        <v>330</v>
      </c>
      <c r="AF97" s="73" t="s">
        <v>18</v>
      </c>
      <c r="AG97" s="83">
        <v>0</v>
      </c>
      <c r="AH97" s="82" t="s">
        <v>301</v>
      </c>
      <c r="AI97" s="73" t="s">
        <v>218</v>
      </c>
      <c r="AJ97" s="73" t="s">
        <v>12</v>
      </c>
      <c r="AK97" s="83">
        <v>2.5</v>
      </c>
      <c r="AL97" s="82" t="s">
        <v>523</v>
      </c>
      <c r="AM97" s="73" t="s">
        <v>114</v>
      </c>
      <c r="AN97" s="73" t="s">
        <v>12</v>
      </c>
      <c r="AO97" s="83">
        <v>0</v>
      </c>
      <c r="AP97" s="73" t="s">
        <v>516</v>
      </c>
      <c r="AQ97" s="73" t="s">
        <v>107</v>
      </c>
      <c r="AR97" s="73" t="s">
        <v>18</v>
      </c>
      <c r="AS97" s="73">
        <v>4.3</v>
      </c>
      <c r="AT97" s="147" t="s">
        <v>522</v>
      </c>
      <c r="AU97" s="73" t="s">
        <v>330</v>
      </c>
      <c r="AV97" s="73" t="s">
        <v>12</v>
      </c>
      <c r="AW97" s="83">
        <v>0</v>
      </c>
      <c r="BA97" s="84"/>
    </row>
    <row r="98" spans="1:53" s="73" customFormat="1">
      <c r="A98" s="455">
        <v>1999</v>
      </c>
      <c r="B98" s="852"/>
      <c r="C98" s="917" t="s">
        <v>302</v>
      </c>
      <c r="D98" s="917"/>
      <c r="E98" s="455">
        <v>354</v>
      </c>
      <c r="F98" s="455"/>
      <c r="G98" s="411"/>
      <c r="H98" s="455">
        <v>12</v>
      </c>
      <c r="I98" s="455">
        <v>13</v>
      </c>
      <c r="J98" s="413">
        <v>27</v>
      </c>
      <c r="K98" s="409">
        <f t="shared" si="5"/>
        <v>0</v>
      </c>
      <c r="L98" s="409">
        <f t="shared" si="5"/>
        <v>44.444444444444443</v>
      </c>
      <c r="M98" s="409">
        <f t="shared" si="5"/>
        <v>48.148148148148145</v>
      </c>
      <c r="N98" s="412">
        <f t="shared" si="6"/>
        <v>92.592592592592581</v>
      </c>
      <c r="O98" s="408"/>
      <c r="P98" s="409">
        <v>16.2</v>
      </c>
      <c r="Q98" s="409">
        <v>29.7</v>
      </c>
      <c r="R98" s="410">
        <f t="shared" si="7"/>
        <v>45.9</v>
      </c>
      <c r="S98" s="455">
        <v>5</v>
      </c>
      <c r="T98" s="839"/>
      <c r="U98" s="852"/>
      <c r="V98" s="82" t="s">
        <v>515</v>
      </c>
      <c r="W98" s="73" t="s">
        <v>300</v>
      </c>
      <c r="X98" s="73" t="s">
        <v>12</v>
      </c>
      <c r="Y98" s="83">
        <v>27.2</v>
      </c>
      <c r="Z98" s="73" t="s">
        <v>514</v>
      </c>
      <c r="AA98" s="73" t="s">
        <v>17</v>
      </c>
      <c r="AB98" s="73" t="s">
        <v>18</v>
      </c>
      <c r="AC98" s="73">
        <v>11.9</v>
      </c>
      <c r="AD98" s="82" t="s">
        <v>520</v>
      </c>
      <c r="AE98" s="73" t="s">
        <v>330</v>
      </c>
      <c r="AF98" s="73" t="s">
        <v>18</v>
      </c>
      <c r="AG98" s="83">
        <v>0</v>
      </c>
      <c r="AH98" s="73" t="s">
        <v>301</v>
      </c>
      <c r="AI98" s="73" t="s">
        <v>218</v>
      </c>
      <c r="AJ98" s="73" t="s">
        <v>12</v>
      </c>
      <c r="AK98" s="73">
        <v>2.5</v>
      </c>
      <c r="AL98" s="82" t="s">
        <v>523</v>
      </c>
      <c r="AM98" s="73" t="s">
        <v>114</v>
      </c>
      <c r="AN98" s="73" t="s">
        <v>12</v>
      </c>
      <c r="AO98" s="83">
        <v>0</v>
      </c>
      <c r="AP98" s="73" t="s">
        <v>516</v>
      </c>
      <c r="AQ98" s="73" t="s">
        <v>107</v>
      </c>
      <c r="AR98" s="73" t="s">
        <v>18</v>
      </c>
      <c r="AS98" s="73">
        <v>4.3</v>
      </c>
      <c r="AT98" s="147" t="s">
        <v>522</v>
      </c>
      <c r="AU98" s="73" t="s">
        <v>330</v>
      </c>
      <c r="AV98" s="73" t="s">
        <v>12</v>
      </c>
      <c r="AW98" s="83">
        <v>0</v>
      </c>
      <c r="BA98" s="84"/>
    </row>
    <row r="99" spans="1:53" s="292" customFormat="1">
      <c r="A99" s="456">
        <v>1999</v>
      </c>
      <c r="B99" s="836">
        <v>36515</v>
      </c>
      <c r="C99" s="916" t="s">
        <v>303</v>
      </c>
      <c r="D99" s="916"/>
      <c r="E99" s="456">
        <f>365-E98</f>
        <v>11</v>
      </c>
      <c r="F99" s="456">
        <v>4</v>
      </c>
      <c r="G99" s="425"/>
      <c r="H99" s="456">
        <v>8</v>
      </c>
      <c r="I99" s="456">
        <v>14</v>
      </c>
      <c r="J99" s="427">
        <v>24</v>
      </c>
      <c r="K99" s="423">
        <f t="shared" si="5"/>
        <v>0</v>
      </c>
      <c r="L99" s="423">
        <f t="shared" si="5"/>
        <v>33.333333333333329</v>
      </c>
      <c r="M99" s="423">
        <f t="shared" si="5"/>
        <v>58.333333333333336</v>
      </c>
      <c r="N99" s="426">
        <f t="shared" si="6"/>
        <v>91.666666666666657</v>
      </c>
      <c r="O99" s="422"/>
      <c r="P99" s="423">
        <v>16.2</v>
      </c>
      <c r="Q99" s="423">
        <v>29.7</v>
      </c>
      <c r="R99" s="424">
        <f t="shared" si="7"/>
        <v>45.9</v>
      </c>
      <c r="S99" s="456">
        <v>5</v>
      </c>
      <c r="T99" s="838"/>
      <c r="U99" s="836">
        <v>36515</v>
      </c>
      <c r="V99" s="299" t="s">
        <v>515</v>
      </c>
      <c r="W99" s="292" t="s">
        <v>300</v>
      </c>
      <c r="X99" s="292" t="s">
        <v>12</v>
      </c>
      <c r="Y99" s="300">
        <v>27.2</v>
      </c>
      <c r="Z99" s="292" t="s">
        <v>514</v>
      </c>
      <c r="AA99" s="292" t="s">
        <v>17</v>
      </c>
      <c r="AB99" s="292" t="s">
        <v>18</v>
      </c>
      <c r="AC99" s="292">
        <v>11.9</v>
      </c>
      <c r="AD99" s="299" t="s">
        <v>520</v>
      </c>
      <c r="AE99" s="292" t="s">
        <v>330</v>
      </c>
      <c r="AF99" s="292" t="s">
        <v>18</v>
      </c>
      <c r="AG99" s="300">
        <v>0</v>
      </c>
      <c r="AH99" s="292" t="s">
        <v>301</v>
      </c>
      <c r="AI99" s="292" t="s">
        <v>218</v>
      </c>
      <c r="AJ99" s="292" t="s">
        <v>12</v>
      </c>
      <c r="AK99" s="292">
        <v>2.5</v>
      </c>
      <c r="AL99" s="299" t="s">
        <v>523</v>
      </c>
      <c r="AM99" s="292" t="s">
        <v>114</v>
      </c>
      <c r="AN99" s="292" t="s">
        <v>12</v>
      </c>
      <c r="AO99" s="300">
        <v>0</v>
      </c>
      <c r="AP99" s="292" t="s">
        <v>516</v>
      </c>
      <c r="AQ99" s="292" t="s">
        <v>107</v>
      </c>
      <c r="AR99" s="292" t="s">
        <v>18</v>
      </c>
      <c r="AS99" s="292">
        <v>4.3</v>
      </c>
      <c r="AT99" s="388" t="s">
        <v>555</v>
      </c>
      <c r="AU99" s="292" t="s">
        <v>330</v>
      </c>
      <c r="AV99" s="292" t="s">
        <v>12</v>
      </c>
      <c r="AW99" s="300">
        <v>0</v>
      </c>
      <c r="BA99" s="301"/>
    </row>
    <row r="100" spans="1:53" s="292" customFormat="1">
      <c r="A100" s="456">
        <v>2000</v>
      </c>
      <c r="B100" s="836"/>
      <c r="C100" s="916" t="s">
        <v>303</v>
      </c>
      <c r="D100" s="916"/>
      <c r="E100" s="456">
        <v>118</v>
      </c>
      <c r="F100" s="456"/>
      <c r="G100" s="425"/>
      <c r="H100" s="456">
        <v>8</v>
      </c>
      <c r="I100" s="456">
        <v>17</v>
      </c>
      <c r="J100" s="427">
        <v>27</v>
      </c>
      <c r="K100" s="423">
        <f t="shared" si="5"/>
        <v>0</v>
      </c>
      <c r="L100" s="423">
        <f t="shared" si="5"/>
        <v>29.629629629629626</v>
      </c>
      <c r="M100" s="423">
        <f t="shared" si="5"/>
        <v>62.962962962962962</v>
      </c>
      <c r="N100" s="426">
        <f t="shared" si="6"/>
        <v>92.592592592592581</v>
      </c>
      <c r="O100" s="422"/>
      <c r="P100" s="423">
        <v>16.2</v>
      </c>
      <c r="Q100" s="423">
        <v>29.7</v>
      </c>
      <c r="R100" s="424">
        <f t="shared" si="7"/>
        <v>45.9</v>
      </c>
      <c r="S100" s="456">
        <v>5</v>
      </c>
      <c r="T100" s="838"/>
      <c r="U100" s="836"/>
      <c r="V100" s="299" t="s">
        <v>515</v>
      </c>
      <c r="W100" s="292" t="s">
        <v>300</v>
      </c>
      <c r="X100" s="292" t="s">
        <v>12</v>
      </c>
      <c r="Y100" s="300">
        <v>27.2</v>
      </c>
      <c r="Z100" s="292" t="s">
        <v>514</v>
      </c>
      <c r="AA100" s="292" t="s">
        <v>17</v>
      </c>
      <c r="AB100" s="292" t="s">
        <v>18</v>
      </c>
      <c r="AC100" s="292">
        <v>11.9</v>
      </c>
      <c r="AD100" s="299" t="s">
        <v>520</v>
      </c>
      <c r="AE100" s="292" t="s">
        <v>330</v>
      </c>
      <c r="AF100" s="292" t="s">
        <v>18</v>
      </c>
      <c r="AG100" s="300">
        <v>0</v>
      </c>
      <c r="AH100" s="292" t="s">
        <v>301</v>
      </c>
      <c r="AI100" s="292" t="s">
        <v>218</v>
      </c>
      <c r="AJ100" s="292" t="s">
        <v>12</v>
      </c>
      <c r="AK100" s="292">
        <v>2.5</v>
      </c>
      <c r="AL100" s="299" t="s">
        <v>523</v>
      </c>
      <c r="AM100" s="292" t="s">
        <v>114</v>
      </c>
      <c r="AN100" s="292" t="s">
        <v>12</v>
      </c>
      <c r="AO100" s="300">
        <v>0</v>
      </c>
      <c r="AP100" s="292" t="s">
        <v>516</v>
      </c>
      <c r="AQ100" s="292" t="s">
        <v>107</v>
      </c>
      <c r="AR100" s="292" t="s">
        <v>18</v>
      </c>
      <c r="AS100" s="292">
        <v>4.3</v>
      </c>
      <c r="AT100" s="388" t="s">
        <v>555</v>
      </c>
      <c r="AU100" s="292" t="s">
        <v>330</v>
      </c>
      <c r="AV100" s="292" t="s">
        <v>12</v>
      </c>
      <c r="AW100" s="300">
        <v>0</v>
      </c>
      <c r="BA100" s="301"/>
    </row>
    <row r="101" spans="1:53" s="73" customFormat="1">
      <c r="A101" s="455">
        <v>2000</v>
      </c>
      <c r="B101" s="852">
        <v>36644</v>
      </c>
      <c r="C101" s="917" t="s">
        <v>304</v>
      </c>
      <c r="D101" s="917"/>
      <c r="E101" s="455">
        <f>366-E100</f>
        <v>248</v>
      </c>
      <c r="F101" s="455">
        <v>2</v>
      </c>
      <c r="G101" s="411"/>
      <c r="H101" s="455">
        <v>7</v>
      </c>
      <c r="I101" s="455">
        <v>15</v>
      </c>
      <c r="J101" s="413">
        <v>27</v>
      </c>
      <c r="K101" s="409">
        <f t="shared" si="5"/>
        <v>0</v>
      </c>
      <c r="L101" s="409">
        <f t="shared" si="5"/>
        <v>25.925925925925924</v>
      </c>
      <c r="M101" s="409">
        <f t="shared" si="5"/>
        <v>55.555555555555557</v>
      </c>
      <c r="N101" s="412">
        <f t="shared" si="6"/>
        <v>81.481481481481481</v>
      </c>
      <c r="O101" s="408"/>
      <c r="P101" s="409">
        <v>16.2</v>
      </c>
      <c r="Q101" s="409">
        <v>29.7</v>
      </c>
      <c r="R101" s="410">
        <f t="shared" si="7"/>
        <v>45.9</v>
      </c>
      <c r="S101" s="455">
        <v>5</v>
      </c>
      <c r="T101" s="839"/>
      <c r="U101" s="852">
        <v>36644</v>
      </c>
      <c r="V101" s="82" t="s">
        <v>515</v>
      </c>
      <c r="W101" s="73" t="s">
        <v>300</v>
      </c>
      <c r="X101" s="73" t="s">
        <v>12</v>
      </c>
      <c r="Y101" s="83">
        <v>27.2</v>
      </c>
      <c r="Z101" s="73" t="s">
        <v>514</v>
      </c>
      <c r="AA101" s="73" t="s">
        <v>17</v>
      </c>
      <c r="AB101" s="73" t="s">
        <v>18</v>
      </c>
      <c r="AC101" s="73">
        <v>11.9</v>
      </c>
      <c r="AD101" s="82" t="s">
        <v>520</v>
      </c>
      <c r="AE101" s="73" t="s">
        <v>330</v>
      </c>
      <c r="AF101" s="73" t="s">
        <v>18</v>
      </c>
      <c r="AG101" s="83">
        <v>0</v>
      </c>
      <c r="AH101" s="73" t="s">
        <v>301</v>
      </c>
      <c r="AI101" s="73" t="s">
        <v>218</v>
      </c>
      <c r="AJ101" s="73" t="s">
        <v>12</v>
      </c>
      <c r="AK101" s="73">
        <v>2.5</v>
      </c>
      <c r="AL101" s="82" t="s">
        <v>523</v>
      </c>
      <c r="AM101" s="73" t="s">
        <v>114</v>
      </c>
      <c r="AN101" s="73" t="s">
        <v>12</v>
      </c>
      <c r="AO101" s="83">
        <v>0</v>
      </c>
      <c r="AP101" s="73" t="s">
        <v>516</v>
      </c>
      <c r="AQ101" s="73" t="s">
        <v>107</v>
      </c>
      <c r="AR101" s="73" t="s">
        <v>18</v>
      </c>
      <c r="AS101" s="73">
        <v>4.3</v>
      </c>
      <c r="AT101" s="147" t="s">
        <v>555</v>
      </c>
      <c r="AU101" s="73" t="s">
        <v>330</v>
      </c>
      <c r="AV101" s="73" t="s">
        <v>12</v>
      </c>
      <c r="AW101" s="83">
        <v>0</v>
      </c>
      <c r="AX101" s="150" t="s">
        <v>522</v>
      </c>
      <c r="AY101" s="73" t="s">
        <v>330</v>
      </c>
      <c r="AZ101" s="73" t="s">
        <v>12</v>
      </c>
      <c r="BA101" s="84">
        <v>0</v>
      </c>
    </row>
    <row r="102" spans="1:53" s="73" customFormat="1">
      <c r="A102" s="455">
        <v>2001</v>
      </c>
      <c r="B102" s="852"/>
      <c r="C102" s="917" t="s">
        <v>304</v>
      </c>
      <c r="D102" s="917"/>
      <c r="E102" s="455">
        <v>161</v>
      </c>
      <c r="F102" s="455"/>
      <c r="G102" s="411"/>
      <c r="H102" s="455">
        <v>7</v>
      </c>
      <c r="I102" s="455">
        <v>15</v>
      </c>
      <c r="J102" s="413">
        <v>27</v>
      </c>
      <c r="K102" s="409">
        <f>G102/$J102*100</f>
        <v>0</v>
      </c>
      <c r="L102" s="409">
        <f>H102/$J102*100</f>
        <v>25.925925925925924</v>
      </c>
      <c r="M102" s="409">
        <f>I102/$J102*100</f>
        <v>55.555555555555557</v>
      </c>
      <c r="N102" s="412">
        <f t="shared" si="6"/>
        <v>81.481481481481481</v>
      </c>
      <c r="O102" s="408"/>
      <c r="P102" s="409">
        <v>16.2</v>
      </c>
      <c r="Q102" s="409">
        <v>29.7</v>
      </c>
      <c r="R102" s="410">
        <f t="shared" si="7"/>
        <v>45.9</v>
      </c>
      <c r="S102" s="455">
        <v>5</v>
      </c>
      <c r="T102" s="839"/>
      <c r="U102" s="852"/>
      <c r="V102" s="82" t="s">
        <v>515</v>
      </c>
      <c r="W102" s="73" t="s">
        <v>300</v>
      </c>
      <c r="X102" s="73" t="s">
        <v>12</v>
      </c>
      <c r="Y102" s="83">
        <v>27.2</v>
      </c>
      <c r="Z102" s="73" t="s">
        <v>514</v>
      </c>
      <c r="AA102" s="73" t="s">
        <v>17</v>
      </c>
      <c r="AB102" s="73" t="s">
        <v>18</v>
      </c>
      <c r="AC102" s="73">
        <v>11.9</v>
      </c>
      <c r="AD102" s="82" t="s">
        <v>520</v>
      </c>
      <c r="AE102" s="73" t="s">
        <v>330</v>
      </c>
      <c r="AF102" s="73" t="s">
        <v>18</v>
      </c>
      <c r="AG102" s="83">
        <v>0</v>
      </c>
      <c r="AH102" s="73" t="s">
        <v>301</v>
      </c>
      <c r="AI102" s="73" t="s">
        <v>218</v>
      </c>
      <c r="AJ102" s="73" t="s">
        <v>12</v>
      </c>
      <c r="AK102" s="73">
        <v>2.5</v>
      </c>
      <c r="AL102" s="82" t="s">
        <v>523</v>
      </c>
      <c r="AM102" s="73" t="s">
        <v>114</v>
      </c>
      <c r="AN102" s="73" t="s">
        <v>12</v>
      </c>
      <c r="AO102" s="83">
        <v>0</v>
      </c>
      <c r="AP102" s="73" t="s">
        <v>516</v>
      </c>
      <c r="AQ102" s="73" t="s">
        <v>107</v>
      </c>
      <c r="AR102" s="73" t="s">
        <v>18</v>
      </c>
      <c r="AS102" s="73">
        <v>4.3</v>
      </c>
      <c r="AT102" s="147" t="s">
        <v>555</v>
      </c>
      <c r="AU102" s="73" t="s">
        <v>330</v>
      </c>
      <c r="AV102" s="73" t="s">
        <v>12</v>
      </c>
      <c r="AW102" s="83">
        <v>0</v>
      </c>
      <c r="AX102" s="150" t="s">
        <v>522</v>
      </c>
      <c r="AY102" s="73" t="s">
        <v>330</v>
      </c>
      <c r="AZ102" s="73" t="s">
        <v>12</v>
      </c>
      <c r="BA102" s="84">
        <v>0</v>
      </c>
    </row>
    <row r="103" spans="1:53" s="292" customFormat="1">
      <c r="A103" s="456">
        <v>2001</v>
      </c>
      <c r="B103" s="836">
        <v>37053</v>
      </c>
      <c r="C103" s="916" t="s">
        <v>305</v>
      </c>
      <c r="D103" s="916"/>
      <c r="E103" s="456">
        <f>365-E102</f>
        <v>204</v>
      </c>
      <c r="F103" s="456">
        <v>1</v>
      </c>
      <c r="G103" s="425">
        <v>18</v>
      </c>
      <c r="H103" s="456">
        <v>2</v>
      </c>
      <c r="I103" s="456"/>
      <c r="J103" s="427">
        <v>25</v>
      </c>
      <c r="K103" s="423">
        <f t="shared" ref="K103:K129" si="8">G103/$J103*100</f>
        <v>72</v>
      </c>
      <c r="L103" s="423">
        <f t="shared" ref="L103:L133" si="9">H103/$J103*100</f>
        <v>8</v>
      </c>
      <c r="M103" s="423">
        <f t="shared" ref="M103:M133" si="10">I103/$J103*100</f>
        <v>0</v>
      </c>
      <c r="N103" s="426">
        <f t="shared" si="6"/>
        <v>80</v>
      </c>
      <c r="O103" s="422">
        <v>49.9</v>
      </c>
      <c r="P103" s="423">
        <v>6.5</v>
      </c>
      <c r="Q103" s="423"/>
      <c r="R103" s="424">
        <f t="shared" si="7"/>
        <v>56.4</v>
      </c>
      <c r="S103" s="456">
        <v>3</v>
      </c>
      <c r="T103" s="838">
        <v>37024</v>
      </c>
      <c r="U103" s="836">
        <v>37053</v>
      </c>
      <c r="V103" s="299" t="s">
        <v>512</v>
      </c>
      <c r="W103" s="292" t="s">
        <v>74</v>
      </c>
      <c r="X103" s="292" t="s">
        <v>11</v>
      </c>
      <c r="Y103" s="300">
        <v>28.9</v>
      </c>
      <c r="Z103" s="299" t="s">
        <v>517</v>
      </c>
      <c r="AA103" s="292" t="s">
        <v>27</v>
      </c>
      <c r="AB103" s="292" t="s">
        <v>11</v>
      </c>
      <c r="AC103" s="292">
        <v>16.100000000000001</v>
      </c>
      <c r="AD103" s="299" t="s">
        <v>513</v>
      </c>
      <c r="AE103" s="292" t="s">
        <v>297</v>
      </c>
      <c r="AF103" s="292" t="s">
        <v>11</v>
      </c>
      <c r="AG103" s="300">
        <v>4.9000000000000004</v>
      </c>
      <c r="AH103" s="299" t="s">
        <v>553</v>
      </c>
      <c r="AI103" s="292" t="s">
        <v>86</v>
      </c>
      <c r="AJ103" s="292" t="s">
        <v>18</v>
      </c>
      <c r="AK103" s="292">
        <v>6.5</v>
      </c>
      <c r="AL103" s="299"/>
      <c r="AO103" s="300"/>
      <c r="AP103" s="299"/>
      <c r="AT103" s="388"/>
      <c r="AW103" s="300"/>
      <c r="BA103" s="301"/>
    </row>
    <row r="104" spans="1:53" s="292" customFormat="1">
      <c r="A104" s="456">
        <v>2002</v>
      </c>
      <c r="B104" s="836"/>
      <c r="C104" s="916" t="s">
        <v>305</v>
      </c>
      <c r="D104" s="916"/>
      <c r="E104" s="456">
        <v>0</v>
      </c>
      <c r="F104" s="456"/>
      <c r="G104" s="425">
        <v>18</v>
      </c>
      <c r="H104" s="456">
        <v>2</v>
      </c>
      <c r="I104" s="456"/>
      <c r="J104" s="427">
        <v>25</v>
      </c>
      <c r="K104" s="423">
        <f t="shared" si="8"/>
        <v>72</v>
      </c>
      <c r="L104" s="423">
        <f t="shared" si="9"/>
        <v>8</v>
      </c>
      <c r="M104" s="423">
        <f t="shared" si="10"/>
        <v>0</v>
      </c>
      <c r="N104" s="426">
        <f t="shared" si="6"/>
        <v>80</v>
      </c>
      <c r="O104" s="422">
        <v>49.9</v>
      </c>
      <c r="P104" s="423">
        <v>6.5</v>
      </c>
      <c r="Q104" s="423"/>
      <c r="R104" s="424">
        <f t="shared" si="7"/>
        <v>56.4</v>
      </c>
      <c r="S104" s="456">
        <v>3</v>
      </c>
      <c r="T104" s="838"/>
      <c r="U104" s="836"/>
      <c r="V104" s="299" t="s">
        <v>512</v>
      </c>
      <c r="W104" s="292" t="s">
        <v>74</v>
      </c>
      <c r="X104" s="292" t="s">
        <v>11</v>
      </c>
      <c r="Y104" s="300">
        <v>28.9</v>
      </c>
      <c r="Z104" s="299" t="s">
        <v>517</v>
      </c>
      <c r="AA104" s="292" t="s">
        <v>27</v>
      </c>
      <c r="AB104" s="292" t="s">
        <v>11</v>
      </c>
      <c r="AC104" s="292">
        <v>16.100000000000001</v>
      </c>
      <c r="AD104" s="299" t="s">
        <v>513</v>
      </c>
      <c r="AE104" s="292" t="s">
        <v>297</v>
      </c>
      <c r="AF104" s="292" t="s">
        <v>11</v>
      </c>
      <c r="AG104" s="300">
        <v>4.9000000000000004</v>
      </c>
      <c r="AH104" s="299" t="s">
        <v>553</v>
      </c>
      <c r="AI104" s="292" t="s">
        <v>86</v>
      </c>
      <c r="AJ104" s="292" t="s">
        <v>18</v>
      </c>
      <c r="AK104" s="292">
        <v>6.5</v>
      </c>
      <c r="AL104" s="299"/>
      <c r="AO104" s="300"/>
      <c r="AP104" s="299"/>
      <c r="AT104" s="388"/>
      <c r="AW104" s="300"/>
      <c r="BA104" s="301"/>
    </row>
    <row r="105" spans="1:53" s="292" customFormat="1">
      <c r="A105" s="456">
        <v>2002</v>
      </c>
      <c r="B105" s="836"/>
      <c r="C105" s="916" t="s">
        <v>305</v>
      </c>
      <c r="D105" s="916"/>
      <c r="E105" s="456">
        <f>365-E104</f>
        <v>365</v>
      </c>
      <c r="F105" s="456"/>
      <c r="G105" s="425">
        <v>18</v>
      </c>
      <c r="H105" s="456">
        <v>2</v>
      </c>
      <c r="I105" s="456"/>
      <c r="J105" s="427">
        <v>25</v>
      </c>
      <c r="K105" s="423">
        <f t="shared" si="8"/>
        <v>72</v>
      </c>
      <c r="L105" s="423">
        <f t="shared" si="9"/>
        <v>8</v>
      </c>
      <c r="M105" s="423">
        <f t="shared" si="10"/>
        <v>0</v>
      </c>
      <c r="N105" s="426">
        <f t="shared" si="6"/>
        <v>80</v>
      </c>
      <c r="O105" s="422">
        <v>49.9</v>
      </c>
      <c r="P105" s="423">
        <v>6.5</v>
      </c>
      <c r="Q105" s="423"/>
      <c r="R105" s="424">
        <f t="shared" si="7"/>
        <v>56.4</v>
      </c>
      <c r="S105" s="456">
        <v>3</v>
      </c>
      <c r="T105" s="838"/>
      <c r="U105" s="836"/>
      <c r="V105" s="299" t="s">
        <v>512</v>
      </c>
      <c r="W105" s="292" t="s">
        <v>74</v>
      </c>
      <c r="X105" s="292" t="s">
        <v>11</v>
      </c>
      <c r="Y105" s="300">
        <v>28.9</v>
      </c>
      <c r="Z105" s="299" t="s">
        <v>517</v>
      </c>
      <c r="AA105" s="292" t="s">
        <v>27</v>
      </c>
      <c r="AB105" s="292" t="s">
        <v>11</v>
      </c>
      <c r="AC105" s="292">
        <v>16.100000000000001</v>
      </c>
      <c r="AD105" s="299" t="s">
        <v>513</v>
      </c>
      <c r="AE105" s="292" t="s">
        <v>297</v>
      </c>
      <c r="AF105" s="292" t="s">
        <v>11</v>
      </c>
      <c r="AG105" s="300">
        <v>4.9000000000000004</v>
      </c>
      <c r="AH105" s="299" t="s">
        <v>553</v>
      </c>
      <c r="AI105" s="292" t="s">
        <v>86</v>
      </c>
      <c r="AJ105" s="292" t="s">
        <v>18</v>
      </c>
      <c r="AK105" s="292">
        <v>6.5</v>
      </c>
      <c r="AL105" s="299"/>
      <c r="AO105" s="300"/>
      <c r="AP105" s="299"/>
      <c r="AT105" s="388"/>
      <c r="AW105" s="300"/>
      <c r="BA105" s="301"/>
    </row>
    <row r="106" spans="1:53" s="292" customFormat="1">
      <c r="A106" s="456">
        <v>2003</v>
      </c>
      <c r="B106" s="836"/>
      <c r="C106" s="916" t="s">
        <v>305</v>
      </c>
      <c r="D106" s="916"/>
      <c r="E106" s="456">
        <v>0</v>
      </c>
      <c r="F106" s="456"/>
      <c r="G106" s="425">
        <v>18</v>
      </c>
      <c r="H106" s="456">
        <v>2</v>
      </c>
      <c r="I106" s="456"/>
      <c r="J106" s="427">
        <v>25</v>
      </c>
      <c r="K106" s="423">
        <f t="shared" si="8"/>
        <v>72</v>
      </c>
      <c r="L106" s="423">
        <f t="shared" si="9"/>
        <v>8</v>
      </c>
      <c r="M106" s="423">
        <f t="shared" si="10"/>
        <v>0</v>
      </c>
      <c r="N106" s="426">
        <f t="shared" si="6"/>
        <v>80</v>
      </c>
      <c r="O106" s="422">
        <v>49.9</v>
      </c>
      <c r="P106" s="423">
        <v>6.5</v>
      </c>
      <c r="Q106" s="423"/>
      <c r="R106" s="424">
        <f t="shared" si="7"/>
        <v>56.4</v>
      </c>
      <c r="S106" s="456">
        <v>3</v>
      </c>
      <c r="T106" s="838"/>
      <c r="U106" s="836"/>
      <c r="V106" s="299" t="s">
        <v>512</v>
      </c>
      <c r="W106" s="292" t="s">
        <v>74</v>
      </c>
      <c r="X106" s="292" t="s">
        <v>11</v>
      </c>
      <c r="Y106" s="300">
        <v>28.9</v>
      </c>
      <c r="Z106" s="299" t="s">
        <v>517</v>
      </c>
      <c r="AA106" s="292" t="s">
        <v>27</v>
      </c>
      <c r="AB106" s="292" t="s">
        <v>11</v>
      </c>
      <c r="AC106" s="292">
        <v>16.100000000000001</v>
      </c>
      <c r="AD106" s="299" t="s">
        <v>513</v>
      </c>
      <c r="AE106" s="292" t="s">
        <v>297</v>
      </c>
      <c r="AF106" s="292" t="s">
        <v>11</v>
      </c>
      <c r="AG106" s="300">
        <v>4.9000000000000004</v>
      </c>
      <c r="AH106" s="299" t="s">
        <v>553</v>
      </c>
      <c r="AI106" s="292" t="s">
        <v>86</v>
      </c>
      <c r="AJ106" s="292" t="s">
        <v>18</v>
      </c>
      <c r="AK106" s="292">
        <v>6.5</v>
      </c>
      <c r="AL106" s="299"/>
      <c r="AO106" s="300"/>
      <c r="AP106" s="299"/>
      <c r="AT106" s="388"/>
      <c r="AW106" s="300"/>
      <c r="BA106" s="301"/>
    </row>
    <row r="107" spans="1:53" s="292" customFormat="1">
      <c r="A107" s="456">
        <v>2003</v>
      </c>
      <c r="B107" s="836"/>
      <c r="C107" s="916" t="s">
        <v>305</v>
      </c>
      <c r="D107" s="916"/>
      <c r="E107" s="456">
        <f>365-E106</f>
        <v>365</v>
      </c>
      <c r="F107" s="456"/>
      <c r="G107" s="425">
        <v>18</v>
      </c>
      <c r="H107" s="456">
        <v>2</v>
      </c>
      <c r="I107" s="456"/>
      <c r="J107" s="427">
        <v>25</v>
      </c>
      <c r="K107" s="423">
        <f t="shared" si="8"/>
        <v>72</v>
      </c>
      <c r="L107" s="423">
        <f t="shared" si="9"/>
        <v>8</v>
      </c>
      <c r="M107" s="423">
        <f t="shared" si="10"/>
        <v>0</v>
      </c>
      <c r="N107" s="426">
        <f t="shared" si="6"/>
        <v>80</v>
      </c>
      <c r="O107" s="422">
        <v>49.9</v>
      </c>
      <c r="P107" s="423">
        <v>6.5</v>
      </c>
      <c r="Q107" s="423"/>
      <c r="R107" s="424">
        <f t="shared" si="7"/>
        <v>56.4</v>
      </c>
      <c r="S107" s="456">
        <v>3</v>
      </c>
      <c r="T107" s="838"/>
      <c r="U107" s="836"/>
      <c r="V107" s="299" t="s">
        <v>512</v>
      </c>
      <c r="W107" s="292" t="s">
        <v>74</v>
      </c>
      <c r="X107" s="292" t="s">
        <v>11</v>
      </c>
      <c r="Y107" s="300">
        <v>28.9</v>
      </c>
      <c r="Z107" s="299" t="s">
        <v>517</v>
      </c>
      <c r="AA107" s="292" t="s">
        <v>27</v>
      </c>
      <c r="AB107" s="292" t="s">
        <v>11</v>
      </c>
      <c r="AC107" s="292">
        <v>16.100000000000001</v>
      </c>
      <c r="AD107" s="299" t="s">
        <v>513</v>
      </c>
      <c r="AE107" s="292" t="s">
        <v>297</v>
      </c>
      <c r="AF107" s="292" t="s">
        <v>11</v>
      </c>
      <c r="AG107" s="300">
        <v>4.9000000000000004</v>
      </c>
      <c r="AH107" s="299" t="s">
        <v>553</v>
      </c>
      <c r="AI107" s="292" t="s">
        <v>86</v>
      </c>
      <c r="AJ107" s="292" t="s">
        <v>18</v>
      </c>
      <c r="AK107" s="292">
        <v>6.5</v>
      </c>
      <c r="AL107" s="299"/>
      <c r="AO107" s="300"/>
      <c r="AP107" s="299"/>
      <c r="AT107" s="388"/>
      <c r="AW107" s="300"/>
      <c r="BA107" s="301"/>
    </row>
    <row r="108" spans="1:53" s="292" customFormat="1">
      <c r="A108" s="456">
        <v>2004</v>
      </c>
      <c r="B108" s="836"/>
      <c r="C108" s="916" t="s">
        <v>305</v>
      </c>
      <c r="D108" s="916"/>
      <c r="E108" s="456">
        <v>0</v>
      </c>
      <c r="F108" s="456"/>
      <c r="G108" s="425">
        <v>19</v>
      </c>
      <c r="H108" s="456">
        <v>2</v>
      </c>
      <c r="I108" s="456"/>
      <c r="J108" s="427">
        <v>25</v>
      </c>
      <c r="K108" s="423">
        <f t="shared" si="8"/>
        <v>76</v>
      </c>
      <c r="L108" s="423">
        <f t="shared" si="9"/>
        <v>8</v>
      </c>
      <c r="M108" s="423">
        <f t="shared" si="10"/>
        <v>0</v>
      </c>
      <c r="N108" s="426">
        <f t="shared" si="6"/>
        <v>84</v>
      </c>
      <c r="O108" s="422">
        <v>49.9</v>
      </c>
      <c r="P108" s="423">
        <v>6.5</v>
      </c>
      <c r="Q108" s="423"/>
      <c r="R108" s="424">
        <f t="shared" si="7"/>
        <v>56.4</v>
      </c>
      <c r="S108" s="456">
        <v>3</v>
      </c>
      <c r="T108" s="838"/>
      <c r="U108" s="836"/>
      <c r="V108" s="299" t="s">
        <v>512</v>
      </c>
      <c r="W108" s="292" t="s">
        <v>74</v>
      </c>
      <c r="X108" s="292" t="s">
        <v>11</v>
      </c>
      <c r="Y108" s="300">
        <v>28.9</v>
      </c>
      <c r="Z108" s="299" t="s">
        <v>517</v>
      </c>
      <c r="AA108" s="292" t="s">
        <v>27</v>
      </c>
      <c r="AB108" s="292" t="s">
        <v>11</v>
      </c>
      <c r="AC108" s="292">
        <v>16.100000000000001</v>
      </c>
      <c r="AD108" s="299" t="s">
        <v>513</v>
      </c>
      <c r="AE108" s="292" t="s">
        <v>297</v>
      </c>
      <c r="AF108" s="292" t="s">
        <v>11</v>
      </c>
      <c r="AG108" s="300">
        <v>4.9000000000000004</v>
      </c>
      <c r="AH108" s="299" t="s">
        <v>553</v>
      </c>
      <c r="AI108" s="292" t="s">
        <v>86</v>
      </c>
      <c r="AJ108" s="292" t="s">
        <v>18</v>
      </c>
      <c r="AK108" s="292">
        <v>6.5</v>
      </c>
      <c r="AL108" s="299"/>
      <c r="AO108" s="300"/>
      <c r="AP108" s="299"/>
      <c r="AT108" s="388"/>
      <c r="AW108" s="300"/>
      <c r="BA108" s="301"/>
    </row>
    <row r="109" spans="1:53" s="292" customFormat="1">
      <c r="A109" s="456">
        <v>2004</v>
      </c>
      <c r="B109" s="836"/>
      <c r="C109" s="916" t="s">
        <v>305</v>
      </c>
      <c r="D109" s="916"/>
      <c r="E109" s="456">
        <f>366-E108</f>
        <v>366</v>
      </c>
      <c r="F109" s="456"/>
      <c r="G109" s="425">
        <v>19</v>
      </c>
      <c r="H109" s="456">
        <v>2</v>
      </c>
      <c r="I109" s="456"/>
      <c r="J109" s="427">
        <v>25</v>
      </c>
      <c r="K109" s="423">
        <f t="shared" si="8"/>
        <v>76</v>
      </c>
      <c r="L109" s="423">
        <f t="shared" si="9"/>
        <v>8</v>
      </c>
      <c r="M109" s="423">
        <f t="shared" si="10"/>
        <v>0</v>
      </c>
      <c r="N109" s="426">
        <f t="shared" si="6"/>
        <v>84</v>
      </c>
      <c r="O109" s="422">
        <v>49.9</v>
      </c>
      <c r="P109" s="423">
        <v>6.5</v>
      </c>
      <c r="Q109" s="423"/>
      <c r="R109" s="424">
        <f t="shared" si="7"/>
        <v>56.4</v>
      </c>
      <c r="S109" s="456">
        <v>3</v>
      </c>
      <c r="T109" s="838"/>
      <c r="U109" s="836"/>
      <c r="V109" s="299" t="s">
        <v>512</v>
      </c>
      <c r="W109" s="292" t="s">
        <v>74</v>
      </c>
      <c r="X109" s="292" t="s">
        <v>11</v>
      </c>
      <c r="Y109" s="300">
        <v>28.9</v>
      </c>
      <c r="Z109" s="299" t="s">
        <v>517</v>
      </c>
      <c r="AA109" s="292" t="s">
        <v>27</v>
      </c>
      <c r="AB109" s="292" t="s">
        <v>11</v>
      </c>
      <c r="AC109" s="292">
        <v>16.100000000000001</v>
      </c>
      <c r="AD109" s="299" t="s">
        <v>513</v>
      </c>
      <c r="AE109" s="292" t="s">
        <v>297</v>
      </c>
      <c r="AF109" s="292" t="s">
        <v>11</v>
      </c>
      <c r="AG109" s="300">
        <v>4.9000000000000004</v>
      </c>
      <c r="AH109" s="299" t="s">
        <v>553</v>
      </c>
      <c r="AI109" s="292" t="s">
        <v>86</v>
      </c>
      <c r="AJ109" s="292" t="s">
        <v>18</v>
      </c>
      <c r="AK109" s="292">
        <v>6.5</v>
      </c>
      <c r="AL109" s="299"/>
      <c r="AO109" s="300"/>
      <c r="AP109" s="299"/>
      <c r="AT109" s="388"/>
      <c r="AW109" s="300"/>
      <c r="BA109" s="301"/>
    </row>
    <row r="110" spans="1:53" s="292" customFormat="1">
      <c r="A110" s="456">
        <v>2005</v>
      </c>
      <c r="B110" s="836"/>
      <c r="C110" s="916" t="s">
        <v>305</v>
      </c>
      <c r="D110" s="916"/>
      <c r="E110" s="456">
        <v>147</v>
      </c>
      <c r="F110" s="456"/>
      <c r="G110" s="425">
        <v>19</v>
      </c>
      <c r="H110" s="456">
        <v>2</v>
      </c>
      <c r="I110" s="456"/>
      <c r="J110" s="427">
        <v>25</v>
      </c>
      <c r="K110" s="423">
        <f t="shared" si="8"/>
        <v>76</v>
      </c>
      <c r="L110" s="423">
        <f t="shared" si="9"/>
        <v>8</v>
      </c>
      <c r="M110" s="423">
        <f t="shared" si="10"/>
        <v>0</v>
      </c>
      <c r="N110" s="426">
        <f t="shared" si="6"/>
        <v>84</v>
      </c>
      <c r="O110" s="422">
        <v>49.9</v>
      </c>
      <c r="P110" s="423">
        <v>6.5</v>
      </c>
      <c r="Q110" s="423"/>
      <c r="R110" s="424">
        <f t="shared" si="7"/>
        <v>56.4</v>
      </c>
      <c r="S110" s="456">
        <v>3</v>
      </c>
      <c r="T110" s="838"/>
      <c r="U110" s="836"/>
      <c r="V110" s="299" t="s">
        <v>512</v>
      </c>
      <c r="W110" s="292" t="s">
        <v>74</v>
      </c>
      <c r="X110" s="292" t="s">
        <v>11</v>
      </c>
      <c r="Y110" s="300">
        <v>28.9</v>
      </c>
      <c r="Z110" s="299" t="s">
        <v>517</v>
      </c>
      <c r="AA110" s="292" t="s">
        <v>27</v>
      </c>
      <c r="AB110" s="292" t="s">
        <v>11</v>
      </c>
      <c r="AC110" s="292">
        <v>16.100000000000001</v>
      </c>
      <c r="AD110" s="299" t="s">
        <v>513</v>
      </c>
      <c r="AE110" s="292" t="s">
        <v>297</v>
      </c>
      <c r="AF110" s="292" t="s">
        <v>11</v>
      </c>
      <c r="AG110" s="300">
        <v>4.9000000000000004</v>
      </c>
      <c r="AH110" s="299" t="s">
        <v>553</v>
      </c>
      <c r="AI110" s="292" t="s">
        <v>86</v>
      </c>
      <c r="AJ110" s="292" t="s">
        <v>18</v>
      </c>
      <c r="AK110" s="292">
        <v>6.5</v>
      </c>
      <c r="AL110" s="299"/>
      <c r="AO110" s="300"/>
      <c r="AP110" s="299"/>
      <c r="AT110" s="388"/>
      <c r="AW110" s="300"/>
      <c r="BA110" s="301"/>
    </row>
    <row r="111" spans="1:53" s="73" customFormat="1">
      <c r="A111" s="455">
        <v>2005</v>
      </c>
      <c r="B111" s="852">
        <v>38500</v>
      </c>
      <c r="C111" s="917" t="s">
        <v>306</v>
      </c>
      <c r="D111" s="917"/>
      <c r="E111" s="455">
        <f>365-E110</f>
        <v>218</v>
      </c>
      <c r="F111" s="455">
        <v>4</v>
      </c>
      <c r="G111" s="411">
        <v>12</v>
      </c>
      <c r="H111" s="455">
        <v>1</v>
      </c>
      <c r="I111" s="455"/>
      <c r="J111" s="413">
        <v>15</v>
      </c>
      <c r="K111" s="409">
        <f t="shared" si="8"/>
        <v>80</v>
      </c>
      <c r="L111" s="409">
        <f t="shared" si="9"/>
        <v>6.666666666666667</v>
      </c>
      <c r="M111" s="409">
        <f t="shared" si="10"/>
        <v>0</v>
      </c>
      <c r="N111" s="412">
        <f t="shared" si="6"/>
        <v>86.666666666666671</v>
      </c>
      <c r="O111" s="408">
        <v>49.9</v>
      </c>
      <c r="P111" s="409">
        <v>6.5</v>
      </c>
      <c r="Q111" s="409"/>
      <c r="R111" s="410">
        <f t="shared" si="7"/>
        <v>56.4</v>
      </c>
      <c r="S111" s="455">
        <v>3</v>
      </c>
      <c r="T111" s="839"/>
      <c r="U111" s="852">
        <v>38500</v>
      </c>
      <c r="V111" s="82" t="s">
        <v>512</v>
      </c>
      <c r="W111" s="73" t="s">
        <v>74</v>
      </c>
      <c r="X111" s="73" t="s">
        <v>11</v>
      </c>
      <c r="Y111" s="83">
        <v>28.9</v>
      </c>
      <c r="Z111" s="82" t="s">
        <v>517</v>
      </c>
      <c r="AA111" s="73" t="s">
        <v>27</v>
      </c>
      <c r="AB111" s="73" t="s">
        <v>11</v>
      </c>
      <c r="AC111" s="73">
        <v>16.100000000000001</v>
      </c>
      <c r="AD111" s="82" t="s">
        <v>513</v>
      </c>
      <c r="AE111" s="73" t="s">
        <v>297</v>
      </c>
      <c r="AF111" s="73" t="s">
        <v>11</v>
      </c>
      <c r="AG111" s="83">
        <v>4.9000000000000004</v>
      </c>
      <c r="AH111" s="82" t="s">
        <v>553</v>
      </c>
      <c r="AI111" s="73" t="s">
        <v>86</v>
      </c>
      <c r="AJ111" s="73" t="s">
        <v>18</v>
      </c>
      <c r="AK111" s="73">
        <v>6.5</v>
      </c>
      <c r="AL111" s="82" t="s">
        <v>805</v>
      </c>
      <c r="AM111" s="73" t="s">
        <v>330</v>
      </c>
      <c r="AN111" s="73" t="s">
        <v>12</v>
      </c>
      <c r="AO111" s="83">
        <v>0</v>
      </c>
      <c r="AP111" s="82" t="s">
        <v>508</v>
      </c>
      <c r="AQ111" s="73" t="s">
        <v>88</v>
      </c>
      <c r="AR111" s="73" t="s">
        <v>18</v>
      </c>
      <c r="AS111" s="73">
        <v>0</v>
      </c>
      <c r="AT111" s="147"/>
      <c r="AW111" s="83"/>
      <c r="BA111" s="84"/>
    </row>
    <row r="112" spans="1:53" s="73" customFormat="1">
      <c r="A112" s="455">
        <v>2006</v>
      </c>
      <c r="B112" s="852"/>
      <c r="C112" s="917" t="s">
        <v>306</v>
      </c>
      <c r="D112" s="917"/>
      <c r="E112" s="455">
        <v>47</v>
      </c>
      <c r="F112" s="455"/>
      <c r="G112" s="411">
        <v>12</v>
      </c>
      <c r="H112" s="455">
        <v>1</v>
      </c>
      <c r="I112" s="455"/>
      <c r="J112" s="413">
        <v>15</v>
      </c>
      <c r="K112" s="409">
        <f>G112/$J112*100</f>
        <v>80</v>
      </c>
      <c r="L112" s="409">
        <f>H112/$J112*100</f>
        <v>6.666666666666667</v>
      </c>
      <c r="M112" s="409">
        <f>I112/$J112*100</f>
        <v>0</v>
      </c>
      <c r="N112" s="412">
        <f>K112+L112+M112</f>
        <v>86.666666666666671</v>
      </c>
      <c r="O112" s="408">
        <v>49.9</v>
      </c>
      <c r="P112" s="409">
        <v>6.5</v>
      </c>
      <c r="Q112" s="409"/>
      <c r="R112" s="410">
        <f>O112+P112+Q112</f>
        <v>56.4</v>
      </c>
      <c r="S112" s="455">
        <v>3</v>
      </c>
      <c r="T112" s="839"/>
      <c r="U112" s="852"/>
      <c r="V112" s="82" t="s">
        <v>512</v>
      </c>
      <c r="W112" s="73" t="s">
        <v>74</v>
      </c>
      <c r="X112" s="73" t="s">
        <v>11</v>
      </c>
      <c r="Y112" s="83">
        <v>28.9</v>
      </c>
      <c r="Z112" s="82" t="s">
        <v>517</v>
      </c>
      <c r="AA112" s="73" t="s">
        <v>27</v>
      </c>
      <c r="AB112" s="73" t="s">
        <v>11</v>
      </c>
      <c r="AC112" s="73">
        <v>16.100000000000001</v>
      </c>
      <c r="AD112" s="82" t="s">
        <v>513</v>
      </c>
      <c r="AE112" s="73" t="s">
        <v>297</v>
      </c>
      <c r="AF112" s="73" t="s">
        <v>11</v>
      </c>
      <c r="AG112" s="83">
        <v>4.9000000000000004</v>
      </c>
      <c r="AH112" s="82" t="s">
        <v>553</v>
      </c>
      <c r="AI112" s="73" t="s">
        <v>86</v>
      </c>
      <c r="AJ112" s="73" t="s">
        <v>18</v>
      </c>
      <c r="AK112" s="73">
        <v>6.5</v>
      </c>
      <c r="AL112" s="82" t="s">
        <v>805</v>
      </c>
      <c r="AM112" s="73" t="s">
        <v>330</v>
      </c>
      <c r="AN112" s="73" t="s">
        <v>12</v>
      </c>
      <c r="AO112" s="83">
        <v>0</v>
      </c>
      <c r="AP112" s="82" t="s">
        <v>508</v>
      </c>
      <c r="AQ112" s="73" t="s">
        <v>88</v>
      </c>
      <c r="AR112" s="73" t="s">
        <v>18</v>
      </c>
      <c r="AS112" s="73">
        <v>0</v>
      </c>
      <c r="AT112" s="147"/>
      <c r="AW112" s="83"/>
      <c r="BA112" s="84"/>
    </row>
    <row r="113" spans="1:53" s="73" customFormat="1">
      <c r="A113" s="455">
        <v>2006</v>
      </c>
      <c r="B113" s="860">
        <v>38765</v>
      </c>
      <c r="C113" s="917" t="s">
        <v>306</v>
      </c>
      <c r="D113" s="917"/>
      <c r="E113" s="455">
        <v>21</v>
      </c>
      <c r="F113" s="414">
        <v>0</v>
      </c>
      <c r="G113" s="411">
        <v>11</v>
      </c>
      <c r="H113" s="455">
        <v>1</v>
      </c>
      <c r="I113" s="455"/>
      <c r="J113" s="413">
        <v>14</v>
      </c>
      <c r="K113" s="409">
        <f t="shared" si="8"/>
        <v>78.571428571428569</v>
      </c>
      <c r="L113" s="409">
        <f t="shared" si="9"/>
        <v>7.1428571428571423</v>
      </c>
      <c r="M113" s="409">
        <f t="shared" si="10"/>
        <v>0</v>
      </c>
      <c r="N113" s="412">
        <f t="shared" si="6"/>
        <v>85.714285714285708</v>
      </c>
      <c r="O113" s="408">
        <v>49.9</v>
      </c>
      <c r="P113" s="409">
        <v>6.5</v>
      </c>
      <c r="Q113" s="409"/>
      <c r="R113" s="410">
        <f t="shared" si="7"/>
        <v>56.4</v>
      </c>
      <c r="S113" s="455">
        <v>3</v>
      </c>
      <c r="T113" s="839"/>
      <c r="U113" s="852"/>
      <c r="V113" s="82" t="s">
        <v>512</v>
      </c>
      <c r="W113" s="73" t="s">
        <v>74</v>
      </c>
      <c r="X113" s="73" t="s">
        <v>11</v>
      </c>
      <c r="Y113" s="83">
        <v>28.9</v>
      </c>
      <c r="Z113" s="82" t="s">
        <v>517</v>
      </c>
      <c r="AA113" s="73" t="s">
        <v>27</v>
      </c>
      <c r="AB113" s="73" t="s">
        <v>11</v>
      </c>
      <c r="AC113" s="73">
        <v>16.100000000000001</v>
      </c>
      <c r="AD113" s="82" t="s">
        <v>513</v>
      </c>
      <c r="AE113" s="73" t="s">
        <v>297</v>
      </c>
      <c r="AF113" s="73" t="s">
        <v>11</v>
      </c>
      <c r="AG113" s="83">
        <v>4.9000000000000004</v>
      </c>
      <c r="AH113" s="82" t="s">
        <v>553</v>
      </c>
      <c r="AI113" s="73" t="s">
        <v>86</v>
      </c>
      <c r="AJ113" s="73" t="s">
        <v>18</v>
      </c>
      <c r="AK113" s="73">
        <v>6.5</v>
      </c>
      <c r="AL113" s="82" t="s">
        <v>805</v>
      </c>
      <c r="AM113" s="73" t="s">
        <v>330</v>
      </c>
      <c r="AN113" s="73" t="s">
        <v>12</v>
      </c>
      <c r="AO113" s="83">
        <v>0</v>
      </c>
      <c r="AP113" s="82" t="s">
        <v>508</v>
      </c>
      <c r="AQ113" s="73" t="s">
        <v>88</v>
      </c>
      <c r="AR113" s="73" t="s">
        <v>18</v>
      </c>
      <c r="AS113" s="73">
        <v>0</v>
      </c>
      <c r="AT113" s="147"/>
      <c r="AW113" s="83"/>
      <c r="BA113" s="84"/>
    </row>
    <row r="114" spans="1:53" s="73" customFormat="1">
      <c r="A114" s="455">
        <v>2006</v>
      </c>
      <c r="B114" s="860">
        <v>38786</v>
      </c>
      <c r="C114" s="917" t="s">
        <v>306</v>
      </c>
      <c r="D114" s="917"/>
      <c r="E114" s="455">
        <v>68</v>
      </c>
      <c r="F114" s="414">
        <v>0</v>
      </c>
      <c r="G114" s="411">
        <v>10</v>
      </c>
      <c r="H114" s="455">
        <v>1</v>
      </c>
      <c r="I114" s="455"/>
      <c r="J114" s="413">
        <v>13</v>
      </c>
      <c r="K114" s="409">
        <f>G114/$J114*100</f>
        <v>76.923076923076934</v>
      </c>
      <c r="L114" s="409">
        <f>H114/$J114*100</f>
        <v>7.6923076923076925</v>
      </c>
      <c r="M114" s="409">
        <f>I114/$J114*100</f>
        <v>0</v>
      </c>
      <c r="N114" s="412">
        <f>K114+L114+M114</f>
        <v>84.615384615384627</v>
      </c>
      <c r="O114" s="408">
        <v>49.9</v>
      </c>
      <c r="P114" s="409">
        <v>6.5</v>
      </c>
      <c r="Q114" s="409"/>
      <c r="R114" s="410">
        <f>O114+P114+Q114</f>
        <v>56.4</v>
      </c>
      <c r="S114" s="455">
        <v>3</v>
      </c>
      <c r="T114" s="839"/>
      <c r="U114" s="852"/>
      <c r="V114" s="82" t="s">
        <v>512</v>
      </c>
      <c r="W114" s="73" t="s">
        <v>74</v>
      </c>
      <c r="X114" s="73" t="s">
        <v>11</v>
      </c>
      <c r="Y114" s="83">
        <v>28.9</v>
      </c>
      <c r="Z114" s="82" t="s">
        <v>517</v>
      </c>
      <c r="AA114" s="73" t="s">
        <v>27</v>
      </c>
      <c r="AB114" s="73" t="s">
        <v>11</v>
      </c>
      <c r="AC114" s="73">
        <v>16.100000000000001</v>
      </c>
      <c r="AD114" s="82" t="s">
        <v>513</v>
      </c>
      <c r="AE114" s="73" t="s">
        <v>297</v>
      </c>
      <c r="AF114" s="73" t="s">
        <v>11</v>
      </c>
      <c r="AG114" s="83">
        <v>4.9000000000000004</v>
      </c>
      <c r="AH114" s="82" t="s">
        <v>553</v>
      </c>
      <c r="AI114" s="73" t="s">
        <v>86</v>
      </c>
      <c r="AJ114" s="73" t="s">
        <v>18</v>
      </c>
      <c r="AK114" s="73">
        <v>6.5</v>
      </c>
      <c r="AL114" s="82" t="s">
        <v>805</v>
      </c>
      <c r="AM114" s="73" t="s">
        <v>330</v>
      </c>
      <c r="AN114" s="73" t="s">
        <v>12</v>
      </c>
      <c r="AO114" s="83">
        <v>0</v>
      </c>
      <c r="AP114" s="82" t="s">
        <v>508</v>
      </c>
      <c r="AQ114" s="73" t="s">
        <v>88</v>
      </c>
      <c r="AR114" s="73" t="s">
        <v>18</v>
      </c>
      <c r="AS114" s="73">
        <v>0</v>
      </c>
      <c r="AT114" s="147"/>
      <c r="AW114" s="83"/>
      <c r="BA114" s="84"/>
    </row>
    <row r="115" spans="1:53" s="292" customFormat="1">
      <c r="A115" s="456">
        <v>2006</v>
      </c>
      <c r="B115" s="836">
        <v>38854</v>
      </c>
      <c r="C115" s="916" t="s">
        <v>806</v>
      </c>
      <c r="D115" s="916"/>
      <c r="E115" s="456">
        <f>365-E113-E112-E114</f>
        <v>229</v>
      </c>
      <c r="F115" s="456">
        <v>1</v>
      </c>
      <c r="G115" s="425"/>
      <c r="H115" s="456">
        <v>1</v>
      </c>
      <c r="I115" s="456">
        <v>23</v>
      </c>
      <c r="J115" s="427">
        <v>27</v>
      </c>
      <c r="K115" s="423">
        <f t="shared" si="8"/>
        <v>0</v>
      </c>
      <c r="L115" s="423">
        <f t="shared" si="9"/>
        <v>3.7037037037037033</v>
      </c>
      <c r="M115" s="423">
        <f t="shared" si="10"/>
        <v>85.18518518518519</v>
      </c>
      <c r="N115" s="426">
        <f t="shared" si="6"/>
        <v>88.8888888888889</v>
      </c>
      <c r="O115" s="422"/>
      <c r="P115" s="423">
        <v>1.6</v>
      </c>
      <c r="Q115" s="423">
        <v>49.4</v>
      </c>
      <c r="R115" s="424">
        <f t="shared" si="7"/>
        <v>51</v>
      </c>
      <c r="S115" s="456">
        <v>2</v>
      </c>
      <c r="T115" s="838">
        <v>38816</v>
      </c>
      <c r="U115" s="836">
        <v>38854</v>
      </c>
      <c r="V115" s="299" t="s">
        <v>803</v>
      </c>
      <c r="W115" s="292" t="s">
        <v>307</v>
      </c>
      <c r="X115" s="292" t="s">
        <v>12</v>
      </c>
      <c r="Y115" s="300">
        <v>34.9</v>
      </c>
      <c r="Z115" s="299" t="s">
        <v>521</v>
      </c>
      <c r="AA115" s="292" t="s">
        <v>308</v>
      </c>
      <c r="AB115" s="292" t="s">
        <v>12</v>
      </c>
      <c r="AC115" s="300">
        <v>6.5</v>
      </c>
      <c r="AD115" s="292" t="s">
        <v>804</v>
      </c>
      <c r="AE115" s="292" t="s">
        <v>97</v>
      </c>
      <c r="AF115" s="292" t="s">
        <v>12</v>
      </c>
      <c r="AG115" s="292">
        <v>2.9</v>
      </c>
      <c r="AH115" s="299" t="s">
        <v>573</v>
      </c>
      <c r="AI115" s="292" t="s">
        <v>309</v>
      </c>
      <c r="AJ115" s="292" t="s">
        <v>12</v>
      </c>
      <c r="AK115" s="292">
        <v>2.7</v>
      </c>
      <c r="AL115" s="299" t="s">
        <v>301</v>
      </c>
      <c r="AM115" s="292" t="s">
        <v>218</v>
      </c>
      <c r="AN115" s="292" t="s">
        <v>12</v>
      </c>
      <c r="AO115" s="300">
        <v>2.4</v>
      </c>
      <c r="AP115" s="299" t="s">
        <v>520</v>
      </c>
      <c r="AQ115" s="292" t="s">
        <v>330</v>
      </c>
      <c r="AR115" s="292" t="s">
        <v>18</v>
      </c>
      <c r="AS115" s="292">
        <v>1.6</v>
      </c>
      <c r="AT115" s="388"/>
      <c r="AW115" s="300"/>
      <c r="BA115" s="301"/>
    </row>
    <row r="116" spans="1:53" s="292" customFormat="1">
      <c r="A116" s="456">
        <v>2007</v>
      </c>
      <c r="B116" s="836"/>
      <c r="C116" s="916" t="s">
        <v>806</v>
      </c>
      <c r="D116" s="916"/>
      <c r="E116" s="456">
        <v>0</v>
      </c>
      <c r="F116" s="456"/>
      <c r="G116" s="425"/>
      <c r="H116" s="456">
        <v>1</v>
      </c>
      <c r="I116" s="456">
        <v>23</v>
      </c>
      <c r="J116" s="427">
        <v>27</v>
      </c>
      <c r="K116" s="423">
        <f t="shared" si="8"/>
        <v>0</v>
      </c>
      <c r="L116" s="423">
        <f t="shared" si="9"/>
        <v>3.7037037037037033</v>
      </c>
      <c r="M116" s="423">
        <f t="shared" si="10"/>
        <v>85.18518518518519</v>
      </c>
      <c r="N116" s="426">
        <f t="shared" si="6"/>
        <v>88.8888888888889</v>
      </c>
      <c r="O116" s="422"/>
      <c r="P116" s="423">
        <v>1.6</v>
      </c>
      <c r="Q116" s="423">
        <v>49.4</v>
      </c>
      <c r="R116" s="424">
        <f t="shared" si="7"/>
        <v>51</v>
      </c>
      <c r="S116" s="456">
        <v>2</v>
      </c>
      <c r="T116" s="838"/>
      <c r="U116" s="836"/>
      <c r="V116" s="299" t="s">
        <v>803</v>
      </c>
      <c r="W116" s="292" t="s">
        <v>307</v>
      </c>
      <c r="X116" s="292" t="s">
        <v>12</v>
      </c>
      <c r="Y116" s="300">
        <v>34.9</v>
      </c>
      <c r="Z116" s="299" t="s">
        <v>521</v>
      </c>
      <c r="AA116" s="292" t="s">
        <v>308</v>
      </c>
      <c r="AB116" s="292" t="s">
        <v>12</v>
      </c>
      <c r="AC116" s="300">
        <v>6.5</v>
      </c>
      <c r="AD116" s="292" t="s">
        <v>804</v>
      </c>
      <c r="AE116" s="292" t="s">
        <v>97</v>
      </c>
      <c r="AF116" s="292" t="s">
        <v>12</v>
      </c>
      <c r="AG116" s="292">
        <v>2.9</v>
      </c>
      <c r="AH116" s="299" t="s">
        <v>573</v>
      </c>
      <c r="AI116" s="292" t="s">
        <v>309</v>
      </c>
      <c r="AJ116" s="292" t="s">
        <v>12</v>
      </c>
      <c r="AK116" s="292">
        <v>2.7</v>
      </c>
      <c r="AL116" s="299" t="s">
        <v>301</v>
      </c>
      <c r="AM116" s="292" t="s">
        <v>218</v>
      </c>
      <c r="AN116" s="292" t="s">
        <v>12</v>
      </c>
      <c r="AO116" s="300">
        <v>2.4</v>
      </c>
      <c r="AP116" s="299" t="s">
        <v>520</v>
      </c>
      <c r="AQ116" s="292" t="s">
        <v>330</v>
      </c>
      <c r="AR116" s="292" t="s">
        <v>18</v>
      </c>
      <c r="AS116" s="292">
        <v>1.6</v>
      </c>
      <c r="AT116" s="388"/>
      <c r="AW116" s="300"/>
      <c r="BA116" s="301"/>
    </row>
    <row r="117" spans="1:53" s="292" customFormat="1">
      <c r="A117" s="456">
        <v>2007</v>
      </c>
      <c r="B117" s="836"/>
      <c r="C117" s="916" t="s">
        <v>806</v>
      </c>
      <c r="D117" s="916"/>
      <c r="E117" s="456">
        <v>365</v>
      </c>
      <c r="F117" s="456"/>
      <c r="G117" s="425"/>
      <c r="H117" s="456">
        <v>1</v>
      </c>
      <c r="I117" s="456">
        <v>23</v>
      </c>
      <c r="J117" s="427">
        <v>27</v>
      </c>
      <c r="K117" s="423">
        <f t="shared" si="8"/>
        <v>0</v>
      </c>
      <c r="L117" s="423">
        <f t="shared" si="9"/>
        <v>3.7037037037037033</v>
      </c>
      <c r="M117" s="423">
        <f t="shared" si="10"/>
        <v>85.18518518518519</v>
      </c>
      <c r="N117" s="426">
        <f t="shared" si="6"/>
        <v>88.8888888888889</v>
      </c>
      <c r="O117" s="422"/>
      <c r="P117" s="423">
        <v>1.6</v>
      </c>
      <c r="Q117" s="423">
        <v>49.4</v>
      </c>
      <c r="R117" s="424">
        <f t="shared" si="7"/>
        <v>51</v>
      </c>
      <c r="S117" s="456">
        <v>2</v>
      </c>
      <c r="T117" s="838"/>
      <c r="U117" s="836"/>
      <c r="V117" s="299" t="s">
        <v>803</v>
      </c>
      <c r="W117" s="292" t="s">
        <v>307</v>
      </c>
      <c r="X117" s="292" t="s">
        <v>12</v>
      </c>
      <c r="Y117" s="300">
        <v>34.9</v>
      </c>
      <c r="Z117" s="299" t="s">
        <v>521</v>
      </c>
      <c r="AA117" s="292" t="s">
        <v>308</v>
      </c>
      <c r="AB117" s="292" t="s">
        <v>12</v>
      </c>
      <c r="AC117" s="300">
        <v>6.5</v>
      </c>
      <c r="AD117" s="292" t="s">
        <v>804</v>
      </c>
      <c r="AE117" s="292" t="s">
        <v>97</v>
      </c>
      <c r="AF117" s="292" t="s">
        <v>12</v>
      </c>
      <c r="AG117" s="292">
        <v>2.9</v>
      </c>
      <c r="AH117" s="299" t="s">
        <v>573</v>
      </c>
      <c r="AI117" s="292" t="s">
        <v>309</v>
      </c>
      <c r="AJ117" s="292" t="s">
        <v>12</v>
      </c>
      <c r="AK117" s="292">
        <v>2.7</v>
      </c>
      <c r="AL117" s="299" t="s">
        <v>301</v>
      </c>
      <c r="AM117" s="292" t="s">
        <v>218</v>
      </c>
      <c r="AN117" s="292" t="s">
        <v>12</v>
      </c>
      <c r="AO117" s="300">
        <v>2.4</v>
      </c>
      <c r="AP117" s="299" t="s">
        <v>520</v>
      </c>
      <c r="AQ117" s="292" t="s">
        <v>330</v>
      </c>
      <c r="AR117" s="292" t="s">
        <v>18</v>
      </c>
      <c r="AS117" s="292">
        <v>1.6</v>
      </c>
      <c r="AT117" s="388"/>
      <c r="AW117" s="300"/>
      <c r="BA117" s="301"/>
    </row>
    <row r="118" spans="1:53" s="292" customFormat="1">
      <c r="A118" s="456">
        <v>2008</v>
      </c>
      <c r="B118" s="836"/>
      <c r="C118" s="916" t="s">
        <v>806</v>
      </c>
      <c r="D118" s="916"/>
      <c r="E118" s="456">
        <v>128</v>
      </c>
      <c r="F118" s="456"/>
      <c r="G118" s="425"/>
      <c r="H118" s="456">
        <v>1</v>
      </c>
      <c r="I118" s="456">
        <v>23</v>
      </c>
      <c r="J118" s="427">
        <v>27</v>
      </c>
      <c r="K118" s="423">
        <f t="shared" si="8"/>
        <v>0</v>
      </c>
      <c r="L118" s="423">
        <f t="shared" si="9"/>
        <v>3.7037037037037033</v>
      </c>
      <c r="M118" s="423">
        <f t="shared" si="10"/>
        <v>85.18518518518519</v>
      </c>
      <c r="N118" s="426">
        <f t="shared" si="6"/>
        <v>88.8888888888889</v>
      </c>
      <c r="O118" s="422"/>
      <c r="P118" s="423">
        <v>1.6</v>
      </c>
      <c r="Q118" s="423">
        <v>49.4</v>
      </c>
      <c r="R118" s="424">
        <f t="shared" si="7"/>
        <v>51</v>
      </c>
      <c r="S118" s="456">
        <v>2</v>
      </c>
      <c r="T118" s="838"/>
      <c r="U118" s="836"/>
      <c r="V118" s="299" t="s">
        <v>803</v>
      </c>
      <c r="W118" s="292" t="s">
        <v>307</v>
      </c>
      <c r="X118" s="292" t="s">
        <v>12</v>
      </c>
      <c r="Y118" s="300">
        <v>34.9</v>
      </c>
      <c r="Z118" s="299" t="s">
        <v>521</v>
      </c>
      <c r="AA118" s="292" t="s">
        <v>308</v>
      </c>
      <c r="AB118" s="292" t="s">
        <v>12</v>
      </c>
      <c r="AC118" s="300">
        <v>6.5</v>
      </c>
      <c r="AD118" s="292" t="s">
        <v>804</v>
      </c>
      <c r="AE118" s="292" t="s">
        <v>97</v>
      </c>
      <c r="AF118" s="292" t="s">
        <v>12</v>
      </c>
      <c r="AG118" s="292">
        <v>2.9</v>
      </c>
      <c r="AH118" s="299" t="s">
        <v>573</v>
      </c>
      <c r="AI118" s="292" t="s">
        <v>309</v>
      </c>
      <c r="AJ118" s="292" t="s">
        <v>12</v>
      </c>
      <c r="AK118" s="292">
        <v>2.7</v>
      </c>
      <c r="AL118" s="299" t="s">
        <v>301</v>
      </c>
      <c r="AM118" s="292" t="s">
        <v>218</v>
      </c>
      <c r="AN118" s="292" t="s">
        <v>12</v>
      </c>
      <c r="AO118" s="300">
        <v>2.4</v>
      </c>
      <c r="AP118" s="299" t="s">
        <v>520</v>
      </c>
      <c r="AQ118" s="292" t="s">
        <v>330</v>
      </c>
      <c r="AR118" s="292" t="s">
        <v>18</v>
      </c>
      <c r="AS118" s="292">
        <v>1.6</v>
      </c>
      <c r="AT118" s="388"/>
      <c r="AW118" s="300"/>
      <c r="BA118" s="301"/>
    </row>
    <row r="119" spans="1:53" s="73" customFormat="1">
      <c r="A119" s="455">
        <v>2008</v>
      </c>
      <c r="B119" s="852">
        <v>39576</v>
      </c>
      <c r="C119" s="917" t="s">
        <v>310</v>
      </c>
      <c r="D119" s="917"/>
      <c r="E119" s="455">
        <f>366-E118</f>
        <v>238</v>
      </c>
      <c r="F119" s="455">
        <v>1</v>
      </c>
      <c r="G119" s="411">
        <f>13+4+4</f>
        <v>21</v>
      </c>
      <c r="H119" s="455">
        <v>1</v>
      </c>
      <c r="I119" s="455"/>
      <c r="J119" s="413">
        <v>22</v>
      </c>
      <c r="K119" s="409">
        <f t="shared" si="8"/>
        <v>95.454545454545453</v>
      </c>
      <c r="L119" s="409">
        <f t="shared" si="9"/>
        <v>4.5454545454545459</v>
      </c>
      <c r="M119" s="409">
        <f t="shared" si="10"/>
        <v>0</v>
      </c>
      <c r="N119" s="412">
        <f t="shared" si="6"/>
        <v>100</v>
      </c>
      <c r="O119" s="408">
        <f>43.8+9.5</f>
        <v>53.3</v>
      </c>
      <c r="P119" s="409"/>
      <c r="Q119" s="409"/>
      <c r="R119" s="410">
        <f t="shared" si="7"/>
        <v>53.3</v>
      </c>
      <c r="S119" s="455">
        <v>2</v>
      </c>
      <c r="T119" s="839">
        <v>39551</v>
      </c>
      <c r="U119" s="852">
        <v>39576</v>
      </c>
      <c r="V119" s="82" t="s">
        <v>518</v>
      </c>
      <c r="W119" s="73" t="s">
        <v>79</v>
      </c>
      <c r="X119" s="73" t="s">
        <v>11</v>
      </c>
      <c r="Y119" s="83">
        <v>43.8</v>
      </c>
      <c r="Z119" s="73" t="s">
        <v>513</v>
      </c>
      <c r="AA119" s="73" t="s">
        <v>297</v>
      </c>
      <c r="AB119" s="73" t="s">
        <v>11</v>
      </c>
      <c r="AC119" s="83">
        <v>9.5</v>
      </c>
      <c r="AD119" s="73" t="s">
        <v>519</v>
      </c>
      <c r="AE119" s="73" t="s">
        <v>330</v>
      </c>
      <c r="AF119" s="73" t="s">
        <v>18</v>
      </c>
      <c r="AG119" s="73">
        <v>0</v>
      </c>
      <c r="AH119" s="82"/>
      <c r="AL119" s="82"/>
      <c r="AO119" s="83"/>
      <c r="AP119" s="82"/>
      <c r="AT119" s="147"/>
      <c r="AW119" s="83"/>
      <c r="BA119" s="84"/>
    </row>
    <row r="120" spans="1:53" s="73" customFormat="1">
      <c r="A120" s="455">
        <v>2009</v>
      </c>
      <c r="B120" s="852"/>
      <c r="C120" s="917" t="s">
        <v>310</v>
      </c>
      <c r="D120" s="917"/>
      <c r="E120" s="455">
        <v>127</v>
      </c>
      <c r="F120" s="455"/>
      <c r="G120" s="411">
        <v>21</v>
      </c>
      <c r="H120" s="455">
        <v>1</v>
      </c>
      <c r="I120" s="455"/>
      <c r="J120" s="413">
        <v>22</v>
      </c>
      <c r="K120" s="409">
        <f t="shared" si="8"/>
        <v>95.454545454545453</v>
      </c>
      <c r="L120" s="409">
        <f t="shared" si="9"/>
        <v>4.5454545454545459</v>
      </c>
      <c r="M120" s="409">
        <f t="shared" si="10"/>
        <v>0</v>
      </c>
      <c r="N120" s="412">
        <f t="shared" si="6"/>
        <v>100</v>
      </c>
      <c r="O120" s="408">
        <v>53.3</v>
      </c>
      <c r="P120" s="409"/>
      <c r="Q120" s="409"/>
      <c r="R120" s="410">
        <f t="shared" si="7"/>
        <v>53.3</v>
      </c>
      <c r="S120" s="455">
        <v>2</v>
      </c>
      <c r="T120" s="839"/>
      <c r="U120" s="852"/>
      <c r="V120" s="82" t="s">
        <v>518</v>
      </c>
      <c r="W120" s="73" t="s">
        <v>79</v>
      </c>
      <c r="X120" s="73" t="s">
        <v>11</v>
      </c>
      <c r="Y120" s="83">
        <v>43.8</v>
      </c>
      <c r="Z120" s="73" t="s">
        <v>513</v>
      </c>
      <c r="AA120" s="73" t="s">
        <v>297</v>
      </c>
      <c r="AB120" s="73" t="s">
        <v>11</v>
      </c>
      <c r="AC120" s="83">
        <v>9.5</v>
      </c>
      <c r="AD120" s="73" t="s">
        <v>519</v>
      </c>
      <c r="AE120" s="73" t="s">
        <v>330</v>
      </c>
      <c r="AF120" s="73" t="s">
        <v>18</v>
      </c>
      <c r="AG120" s="73">
        <v>0</v>
      </c>
      <c r="AH120" s="82"/>
      <c r="AL120" s="82"/>
      <c r="AO120" s="83"/>
      <c r="AP120" s="82"/>
      <c r="AT120" s="147"/>
      <c r="AW120" s="83"/>
      <c r="BA120" s="84"/>
    </row>
    <row r="121" spans="1:53" s="73" customFormat="1">
      <c r="A121" s="455">
        <v>2009</v>
      </c>
      <c r="B121" s="860">
        <v>39941</v>
      </c>
      <c r="C121" s="917" t="s">
        <v>310</v>
      </c>
      <c r="D121" s="917"/>
      <c r="E121" s="455">
        <v>220</v>
      </c>
      <c r="F121" s="414">
        <v>0</v>
      </c>
      <c r="G121" s="411">
        <v>23</v>
      </c>
      <c r="H121" s="455"/>
      <c r="I121" s="455"/>
      <c r="J121" s="413">
        <v>23</v>
      </c>
      <c r="K121" s="409">
        <f t="shared" si="8"/>
        <v>100</v>
      </c>
      <c r="L121" s="409">
        <f t="shared" si="9"/>
        <v>0</v>
      </c>
      <c r="M121" s="409">
        <f t="shared" si="10"/>
        <v>0</v>
      </c>
      <c r="N121" s="412">
        <f t="shared" si="6"/>
        <v>100</v>
      </c>
      <c r="O121" s="408">
        <v>53.3</v>
      </c>
      <c r="P121" s="409"/>
      <c r="Q121" s="409"/>
      <c r="R121" s="410">
        <f t="shared" si="7"/>
        <v>53.3</v>
      </c>
      <c r="S121" s="455">
        <v>2</v>
      </c>
      <c r="T121" s="839"/>
      <c r="U121" s="852"/>
      <c r="V121" s="82" t="s">
        <v>518</v>
      </c>
      <c r="W121" s="73" t="s">
        <v>79</v>
      </c>
      <c r="X121" s="73" t="s">
        <v>11</v>
      </c>
      <c r="Y121" s="83">
        <v>43.8</v>
      </c>
      <c r="Z121" s="73" t="s">
        <v>513</v>
      </c>
      <c r="AA121" s="73" t="s">
        <v>297</v>
      </c>
      <c r="AB121" s="73" t="s">
        <v>11</v>
      </c>
      <c r="AC121" s="83">
        <v>9.5</v>
      </c>
      <c r="AD121" s="73" t="s">
        <v>519</v>
      </c>
      <c r="AE121" s="73" t="s">
        <v>330</v>
      </c>
      <c r="AF121" s="73" t="s">
        <v>18</v>
      </c>
      <c r="AG121" s="73">
        <v>0</v>
      </c>
      <c r="AH121" s="82"/>
      <c r="AL121" s="82"/>
      <c r="AO121" s="83"/>
      <c r="AP121" s="82"/>
      <c r="AT121" s="147"/>
      <c r="AW121" s="83"/>
      <c r="BA121" s="84"/>
    </row>
    <row r="122" spans="1:53" s="73" customFormat="1">
      <c r="A122" s="455">
        <v>2009</v>
      </c>
      <c r="B122" s="860">
        <v>40161</v>
      </c>
      <c r="C122" s="917" t="s">
        <v>310</v>
      </c>
      <c r="D122" s="917"/>
      <c r="E122" s="455">
        <f>365-E121-E120</f>
        <v>18</v>
      </c>
      <c r="F122" s="414">
        <v>0</v>
      </c>
      <c r="G122" s="411">
        <v>24</v>
      </c>
      <c r="H122" s="455"/>
      <c r="I122" s="455"/>
      <c r="J122" s="413">
        <v>24</v>
      </c>
      <c r="K122" s="409">
        <f t="shared" si="8"/>
        <v>100</v>
      </c>
      <c r="L122" s="409">
        <f t="shared" si="9"/>
        <v>0</v>
      </c>
      <c r="M122" s="409">
        <f t="shared" si="10"/>
        <v>0</v>
      </c>
      <c r="N122" s="412">
        <f t="shared" si="6"/>
        <v>100</v>
      </c>
      <c r="O122" s="408">
        <v>53.3</v>
      </c>
      <c r="P122" s="409"/>
      <c r="Q122" s="409"/>
      <c r="R122" s="410">
        <f t="shared" si="7"/>
        <v>53.3</v>
      </c>
      <c r="S122" s="455">
        <v>2</v>
      </c>
      <c r="T122" s="839"/>
      <c r="U122" s="852"/>
      <c r="V122" s="82" t="s">
        <v>518</v>
      </c>
      <c r="W122" s="73" t="s">
        <v>79</v>
      </c>
      <c r="X122" s="73" t="s">
        <v>11</v>
      </c>
      <c r="Y122" s="83">
        <v>43.8</v>
      </c>
      <c r="Z122" s="73" t="s">
        <v>513</v>
      </c>
      <c r="AA122" s="73" t="s">
        <v>297</v>
      </c>
      <c r="AB122" s="73" t="s">
        <v>11</v>
      </c>
      <c r="AC122" s="83">
        <v>9.5</v>
      </c>
      <c r="AD122" s="73" t="s">
        <v>519</v>
      </c>
      <c r="AE122" s="73" t="s">
        <v>330</v>
      </c>
      <c r="AF122" s="73" t="s">
        <v>18</v>
      </c>
      <c r="AG122" s="73">
        <v>0</v>
      </c>
      <c r="AH122" s="82"/>
      <c r="AL122" s="82"/>
      <c r="AO122" s="83"/>
      <c r="AP122" s="82"/>
      <c r="AT122" s="147"/>
      <c r="AW122" s="83"/>
      <c r="BA122" s="84"/>
    </row>
    <row r="123" spans="1:53" s="73" customFormat="1">
      <c r="A123" s="455">
        <v>2010</v>
      </c>
      <c r="B123" s="860"/>
      <c r="C123" s="917" t="s">
        <v>310</v>
      </c>
      <c r="D123" s="917"/>
      <c r="E123" s="455">
        <v>168</v>
      </c>
      <c r="F123" s="414"/>
      <c r="G123" s="411">
        <v>24</v>
      </c>
      <c r="H123" s="455"/>
      <c r="I123" s="455"/>
      <c r="J123" s="413">
        <v>24</v>
      </c>
      <c r="K123" s="409">
        <f t="shared" si="8"/>
        <v>100</v>
      </c>
      <c r="L123" s="409">
        <f t="shared" si="9"/>
        <v>0</v>
      </c>
      <c r="M123" s="409">
        <f t="shared" si="10"/>
        <v>0</v>
      </c>
      <c r="N123" s="412">
        <f t="shared" si="6"/>
        <v>100</v>
      </c>
      <c r="O123" s="408">
        <v>53.3</v>
      </c>
      <c r="P123" s="409"/>
      <c r="Q123" s="409"/>
      <c r="R123" s="410">
        <f t="shared" si="7"/>
        <v>53.3</v>
      </c>
      <c r="S123" s="455">
        <v>2</v>
      </c>
      <c r="T123" s="839"/>
      <c r="U123" s="852"/>
      <c r="V123" s="82" t="s">
        <v>518</v>
      </c>
      <c r="W123" s="73" t="s">
        <v>79</v>
      </c>
      <c r="X123" s="73" t="s">
        <v>11</v>
      </c>
      <c r="Y123" s="83">
        <v>43.8</v>
      </c>
      <c r="Z123" s="73" t="s">
        <v>513</v>
      </c>
      <c r="AA123" s="73" t="s">
        <v>297</v>
      </c>
      <c r="AB123" s="73" t="s">
        <v>11</v>
      </c>
      <c r="AC123" s="83">
        <v>9.5</v>
      </c>
      <c r="AD123" s="73" t="s">
        <v>519</v>
      </c>
      <c r="AE123" s="73" t="s">
        <v>330</v>
      </c>
      <c r="AF123" s="73" t="s">
        <v>18</v>
      </c>
      <c r="AG123" s="73">
        <v>0</v>
      </c>
      <c r="AH123" s="82"/>
      <c r="AL123" s="82"/>
      <c r="AO123" s="83"/>
      <c r="AP123" s="82"/>
      <c r="AT123" s="147"/>
      <c r="AW123" s="83"/>
      <c r="BA123" s="84"/>
    </row>
    <row r="124" spans="1:53" s="73" customFormat="1">
      <c r="A124" s="455">
        <v>2010</v>
      </c>
      <c r="B124" s="860">
        <v>40347</v>
      </c>
      <c r="C124" s="917" t="s">
        <v>310</v>
      </c>
      <c r="D124" s="917"/>
      <c r="E124" s="455">
        <v>18</v>
      </c>
      <c r="F124" s="414">
        <v>0</v>
      </c>
      <c r="G124" s="411">
        <v>25</v>
      </c>
      <c r="H124" s="455"/>
      <c r="I124" s="455"/>
      <c r="J124" s="413">
        <v>25</v>
      </c>
      <c r="K124" s="409">
        <f t="shared" si="8"/>
        <v>100</v>
      </c>
      <c r="L124" s="409">
        <f t="shared" si="9"/>
        <v>0</v>
      </c>
      <c r="M124" s="409">
        <f t="shared" si="10"/>
        <v>0</v>
      </c>
      <c r="N124" s="412">
        <f t="shared" si="6"/>
        <v>100</v>
      </c>
      <c r="O124" s="408">
        <v>53.3</v>
      </c>
      <c r="P124" s="409"/>
      <c r="Q124" s="409"/>
      <c r="R124" s="410">
        <f t="shared" si="7"/>
        <v>53.3</v>
      </c>
      <c r="S124" s="455">
        <v>2</v>
      </c>
      <c r="T124" s="839"/>
      <c r="U124" s="852"/>
      <c r="V124" s="82" t="s">
        <v>518</v>
      </c>
      <c r="W124" s="73" t="s">
        <v>79</v>
      </c>
      <c r="X124" s="73" t="s">
        <v>11</v>
      </c>
      <c r="Y124" s="83">
        <v>43.8</v>
      </c>
      <c r="Z124" s="73" t="s">
        <v>513</v>
      </c>
      <c r="AA124" s="73" t="s">
        <v>297</v>
      </c>
      <c r="AB124" s="73" t="s">
        <v>11</v>
      </c>
      <c r="AC124" s="83">
        <v>9.5</v>
      </c>
      <c r="AD124" s="73" t="s">
        <v>519</v>
      </c>
      <c r="AE124" s="73" t="s">
        <v>330</v>
      </c>
      <c r="AF124" s="73" t="s">
        <v>18</v>
      </c>
      <c r="AG124" s="73">
        <v>0</v>
      </c>
      <c r="AH124" s="82"/>
      <c r="AL124" s="82"/>
      <c r="AO124" s="83"/>
      <c r="AP124" s="82"/>
      <c r="AT124" s="147"/>
      <c r="AW124" s="83"/>
      <c r="BA124" s="84"/>
    </row>
    <row r="125" spans="1:53" s="73" customFormat="1">
      <c r="A125" s="455">
        <v>2010</v>
      </c>
      <c r="B125" s="860">
        <v>40365</v>
      </c>
      <c r="C125" s="917" t="s">
        <v>310</v>
      </c>
      <c r="D125" s="917"/>
      <c r="E125" s="455">
        <f>365-E124-E123</f>
        <v>179</v>
      </c>
      <c r="F125" s="414">
        <v>0</v>
      </c>
      <c r="G125" s="411">
        <v>24</v>
      </c>
      <c r="H125" s="455"/>
      <c r="I125" s="455"/>
      <c r="J125" s="413">
        <v>24</v>
      </c>
      <c r="K125" s="409">
        <f t="shared" si="8"/>
        <v>100</v>
      </c>
      <c r="L125" s="409">
        <f t="shared" si="9"/>
        <v>0</v>
      </c>
      <c r="M125" s="409">
        <f t="shared" si="10"/>
        <v>0</v>
      </c>
      <c r="N125" s="412">
        <f t="shared" si="6"/>
        <v>100</v>
      </c>
      <c r="O125" s="408">
        <v>53.3</v>
      </c>
      <c r="P125" s="409"/>
      <c r="Q125" s="409"/>
      <c r="R125" s="410">
        <f t="shared" si="7"/>
        <v>53.3</v>
      </c>
      <c r="S125" s="455">
        <v>2</v>
      </c>
      <c r="T125" s="839"/>
      <c r="U125" s="852"/>
      <c r="V125" s="82" t="s">
        <v>518</v>
      </c>
      <c r="W125" s="73" t="s">
        <v>79</v>
      </c>
      <c r="X125" s="73" t="s">
        <v>11</v>
      </c>
      <c r="Y125" s="83">
        <v>43.8</v>
      </c>
      <c r="Z125" s="73" t="s">
        <v>513</v>
      </c>
      <c r="AA125" s="73" t="s">
        <v>297</v>
      </c>
      <c r="AB125" s="73" t="s">
        <v>11</v>
      </c>
      <c r="AC125" s="83">
        <v>9.5</v>
      </c>
      <c r="AD125" s="73" t="s">
        <v>519</v>
      </c>
      <c r="AE125" s="73" t="s">
        <v>330</v>
      </c>
      <c r="AF125" s="73" t="s">
        <v>18</v>
      </c>
      <c r="AG125" s="73">
        <v>0</v>
      </c>
      <c r="AH125" s="82"/>
      <c r="AL125" s="82"/>
      <c r="AO125" s="83"/>
      <c r="AP125" s="82"/>
      <c r="AT125" s="147"/>
      <c r="AW125" s="83"/>
      <c r="BA125" s="84"/>
    </row>
    <row r="126" spans="1:53" s="73" customFormat="1">
      <c r="A126" s="455">
        <v>2011</v>
      </c>
      <c r="B126" s="860"/>
      <c r="C126" s="917" t="s">
        <v>310</v>
      </c>
      <c r="D126" s="917"/>
      <c r="E126" s="455">
        <v>207</v>
      </c>
      <c r="F126" s="414"/>
      <c r="G126" s="411">
        <v>24</v>
      </c>
      <c r="H126" s="455"/>
      <c r="I126" s="455"/>
      <c r="J126" s="413">
        <v>24</v>
      </c>
      <c r="K126" s="409">
        <f t="shared" si="8"/>
        <v>100</v>
      </c>
      <c r="L126" s="409">
        <f t="shared" si="9"/>
        <v>0</v>
      </c>
      <c r="M126" s="409">
        <f t="shared" si="10"/>
        <v>0</v>
      </c>
      <c r="N126" s="412">
        <f t="shared" si="6"/>
        <v>100</v>
      </c>
      <c r="O126" s="408">
        <v>53.3</v>
      </c>
      <c r="P126" s="409"/>
      <c r="Q126" s="409"/>
      <c r="R126" s="410">
        <f t="shared" si="7"/>
        <v>53.3</v>
      </c>
      <c r="S126" s="455">
        <v>2</v>
      </c>
      <c r="T126" s="839"/>
      <c r="U126" s="852"/>
      <c r="V126" s="82" t="s">
        <v>518</v>
      </c>
      <c r="W126" s="73" t="s">
        <v>79</v>
      </c>
      <c r="X126" s="73" t="s">
        <v>11</v>
      </c>
      <c r="Y126" s="83">
        <v>43.8</v>
      </c>
      <c r="Z126" s="73" t="s">
        <v>513</v>
      </c>
      <c r="AA126" s="73" t="s">
        <v>297</v>
      </c>
      <c r="AB126" s="73" t="s">
        <v>11</v>
      </c>
      <c r="AC126" s="83">
        <v>9.5</v>
      </c>
      <c r="AD126" s="73" t="s">
        <v>519</v>
      </c>
      <c r="AE126" s="73" t="s">
        <v>330</v>
      </c>
      <c r="AF126" s="73" t="s">
        <v>18</v>
      </c>
      <c r="AG126" s="73">
        <v>0</v>
      </c>
      <c r="AH126" s="82"/>
      <c r="AL126" s="82"/>
      <c r="AO126" s="83"/>
      <c r="AP126" s="82"/>
      <c r="AT126" s="147"/>
      <c r="AW126" s="83"/>
      <c r="BA126" s="84"/>
    </row>
    <row r="127" spans="1:53" s="73" customFormat="1">
      <c r="A127" s="455">
        <v>2011</v>
      </c>
      <c r="B127" s="860">
        <v>40751</v>
      </c>
      <c r="C127" s="917" t="s">
        <v>310</v>
      </c>
      <c r="D127" s="917"/>
      <c r="E127" s="455">
        <v>114</v>
      </c>
      <c r="F127" s="414">
        <v>0</v>
      </c>
      <c r="G127" s="411">
        <v>25</v>
      </c>
      <c r="H127" s="455"/>
      <c r="I127" s="455"/>
      <c r="J127" s="413">
        <v>25</v>
      </c>
      <c r="K127" s="409">
        <f t="shared" si="8"/>
        <v>100</v>
      </c>
      <c r="L127" s="409">
        <f t="shared" si="9"/>
        <v>0</v>
      </c>
      <c r="M127" s="409">
        <f t="shared" si="10"/>
        <v>0</v>
      </c>
      <c r="N127" s="412">
        <f t="shared" si="6"/>
        <v>100</v>
      </c>
      <c r="O127" s="408">
        <v>53.3</v>
      </c>
      <c r="P127" s="409"/>
      <c r="Q127" s="409"/>
      <c r="R127" s="410">
        <f t="shared" si="7"/>
        <v>53.3</v>
      </c>
      <c r="S127" s="455">
        <v>2</v>
      </c>
      <c r="T127" s="839"/>
      <c r="U127" s="852"/>
      <c r="V127" s="82" t="s">
        <v>518</v>
      </c>
      <c r="W127" s="73" t="s">
        <v>79</v>
      </c>
      <c r="X127" s="73" t="s">
        <v>11</v>
      </c>
      <c r="Y127" s="83">
        <v>43.8</v>
      </c>
      <c r="Z127" s="73" t="s">
        <v>513</v>
      </c>
      <c r="AA127" s="73" t="s">
        <v>297</v>
      </c>
      <c r="AB127" s="73" t="s">
        <v>11</v>
      </c>
      <c r="AC127" s="83">
        <v>9.5</v>
      </c>
      <c r="AD127" s="73" t="s">
        <v>519</v>
      </c>
      <c r="AE127" s="73" t="s">
        <v>330</v>
      </c>
      <c r="AF127" s="73" t="s">
        <v>18</v>
      </c>
      <c r="AG127" s="73">
        <v>0</v>
      </c>
      <c r="AH127" s="82"/>
      <c r="AL127" s="82"/>
      <c r="AO127" s="83"/>
      <c r="AP127" s="82"/>
      <c r="AT127" s="147"/>
      <c r="AW127" s="83"/>
      <c r="BA127" s="84"/>
    </row>
    <row r="128" spans="1:53" s="292" customFormat="1">
      <c r="A128" s="456">
        <v>2011</v>
      </c>
      <c r="B128" s="836">
        <v>40865</v>
      </c>
      <c r="C128" s="958" t="s">
        <v>311</v>
      </c>
      <c r="D128" s="958"/>
      <c r="E128" s="456">
        <v>44</v>
      </c>
      <c r="F128" s="456">
        <v>2</v>
      </c>
      <c r="G128" s="425">
        <v>0</v>
      </c>
      <c r="H128" s="456">
        <v>0</v>
      </c>
      <c r="I128" s="456">
        <v>0</v>
      </c>
      <c r="J128" s="427">
        <v>19</v>
      </c>
      <c r="K128" s="423">
        <f t="shared" si="8"/>
        <v>0</v>
      </c>
      <c r="L128" s="423">
        <f t="shared" si="9"/>
        <v>0</v>
      </c>
      <c r="M128" s="423">
        <f t="shared" si="10"/>
        <v>0</v>
      </c>
      <c r="N128" s="426">
        <f t="shared" si="6"/>
        <v>0</v>
      </c>
      <c r="O128" s="422">
        <v>0</v>
      </c>
      <c r="P128" s="423">
        <v>0</v>
      </c>
      <c r="Q128" s="423">
        <v>0</v>
      </c>
      <c r="R128" s="424">
        <f t="shared" si="7"/>
        <v>0</v>
      </c>
      <c r="S128" s="456">
        <v>7</v>
      </c>
      <c r="T128" s="838"/>
      <c r="U128" s="836">
        <v>40865</v>
      </c>
      <c r="V128" s="379" t="s">
        <v>801</v>
      </c>
      <c r="Y128" s="300"/>
      <c r="AD128" s="299"/>
      <c r="AG128" s="300"/>
      <c r="AL128" s="299"/>
      <c r="AO128" s="300"/>
      <c r="AP128" s="299"/>
      <c r="AT128" s="388"/>
      <c r="AW128" s="300"/>
      <c r="BA128" s="301"/>
    </row>
    <row r="129" spans="1:53" s="292" customFormat="1">
      <c r="A129" s="456">
        <v>2012</v>
      </c>
      <c r="B129" s="836"/>
      <c r="C129" s="958" t="s">
        <v>311</v>
      </c>
      <c r="D129" s="958"/>
      <c r="E129" s="456">
        <v>0</v>
      </c>
      <c r="F129" s="456"/>
      <c r="G129" s="425">
        <v>0</v>
      </c>
      <c r="H129" s="456">
        <v>0</v>
      </c>
      <c r="I129" s="456">
        <v>0</v>
      </c>
      <c r="J129" s="427">
        <v>19</v>
      </c>
      <c r="K129" s="423">
        <f t="shared" si="8"/>
        <v>0</v>
      </c>
      <c r="L129" s="423">
        <f t="shared" si="9"/>
        <v>0</v>
      </c>
      <c r="M129" s="423">
        <f t="shared" si="10"/>
        <v>0</v>
      </c>
      <c r="N129" s="426">
        <f t="shared" si="6"/>
        <v>0</v>
      </c>
      <c r="O129" s="422">
        <v>0</v>
      </c>
      <c r="P129" s="423">
        <v>0</v>
      </c>
      <c r="Q129" s="423">
        <v>0</v>
      </c>
      <c r="R129" s="424">
        <f t="shared" si="7"/>
        <v>0</v>
      </c>
      <c r="S129" s="456">
        <v>7</v>
      </c>
      <c r="T129" s="838"/>
      <c r="U129" s="836"/>
      <c r="V129" s="379" t="s">
        <v>801</v>
      </c>
      <c r="Y129" s="300"/>
      <c r="AD129" s="299"/>
      <c r="AG129" s="300"/>
      <c r="AL129" s="299"/>
      <c r="AO129" s="300"/>
      <c r="AP129" s="299"/>
      <c r="AT129" s="388"/>
      <c r="AW129" s="300"/>
      <c r="BA129" s="301"/>
    </row>
    <row r="130" spans="1:53" s="292" customFormat="1">
      <c r="A130" s="456">
        <v>2012</v>
      </c>
      <c r="B130" s="836"/>
      <c r="C130" s="958" t="s">
        <v>311</v>
      </c>
      <c r="D130" s="958"/>
      <c r="E130" s="456">
        <v>366</v>
      </c>
      <c r="F130" s="456"/>
      <c r="G130" s="425">
        <v>0</v>
      </c>
      <c r="H130" s="456">
        <v>0</v>
      </c>
      <c r="I130" s="456">
        <v>0</v>
      </c>
      <c r="J130" s="427">
        <v>19</v>
      </c>
      <c r="K130" s="423">
        <f t="shared" ref="K130:K136" si="11">G130/$J130*100</f>
        <v>0</v>
      </c>
      <c r="L130" s="423">
        <f t="shared" si="9"/>
        <v>0</v>
      </c>
      <c r="M130" s="423">
        <f t="shared" si="10"/>
        <v>0</v>
      </c>
      <c r="N130" s="426">
        <f t="shared" si="6"/>
        <v>0</v>
      </c>
      <c r="O130" s="422">
        <v>0</v>
      </c>
      <c r="P130" s="423">
        <v>0</v>
      </c>
      <c r="Q130" s="423">
        <v>0</v>
      </c>
      <c r="R130" s="424">
        <f t="shared" si="7"/>
        <v>0</v>
      </c>
      <c r="S130" s="456">
        <v>7</v>
      </c>
      <c r="T130" s="838"/>
      <c r="U130" s="836"/>
      <c r="V130" s="379" t="s">
        <v>801</v>
      </c>
      <c r="Y130" s="300"/>
      <c r="AD130" s="299"/>
      <c r="AG130" s="300"/>
      <c r="AL130" s="299"/>
      <c r="AO130" s="300"/>
      <c r="AP130" s="299"/>
      <c r="AT130" s="388"/>
      <c r="AW130" s="300"/>
      <c r="BA130" s="301"/>
    </row>
    <row r="131" spans="1:53" s="292" customFormat="1">
      <c r="A131" s="456">
        <v>2013</v>
      </c>
      <c r="B131" s="836"/>
      <c r="C131" s="958" t="s">
        <v>311</v>
      </c>
      <c r="D131" s="958"/>
      <c r="E131" s="456">
        <v>117</v>
      </c>
      <c r="F131" s="456"/>
      <c r="G131" s="425">
        <v>0</v>
      </c>
      <c r="H131" s="456">
        <v>0</v>
      </c>
      <c r="I131" s="456">
        <v>0</v>
      </c>
      <c r="J131" s="427">
        <v>19</v>
      </c>
      <c r="K131" s="423">
        <f t="shared" si="11"/>
        <v>0</v>
      </c>
      <c r="L131" s="423">
        <f t="shared" si="9"/>
        <v>0</v>
      </c>
      <c r="M131" s="423">
        <f t="shared" si="10"/>
        <v>0</v>
      </c>
      <c r="N131" s="426">
        <f t="shared" si="6"/>
        <v>0</v>
      </c>
      <c r="O131" s="422">
        <v>0</v>
      </c>
      <c r="P131" s="423">
        <v>0</v>
      </c>
      <c r="Q131" s="423">
        <v>0</v>
      </c>
      <c r="R131" s="424">
        <f t="shared" si="7"/>
        <v>0</v>
      </c>
      <c r="S131" s="456">
        <v>7</v>
      </c>
      <c r="T131" s="838"/>
      <c r="U131" s="836"/>
      <c r="V131" s="379" t="s">
        <v>801</v>
      </c>
      <c r="Y131" s="300"/>
      <c r="AD131" s="299"/>
      <c r="AG131" s="300"/>
      <c r="AL131" s="299"/>
      <c r="AO131" s="300"/>
      <c r="AP131" s="299"/>
      <c r="AT131" s="388"/>
      <c r="AW131" s="300"/>
      <c r="BA131" s="301"/>
    </row>
    <row r="132" spans="1:53" s="280" customFormat="1">
      <c r="A132" s="455">
        <v>2013</v>
      </c>
      <c r="B132" s="852">
        <v>41392</v>
      </c>
      <c r="C132" s="917" t="s">
        <v>1255</v>
      </c>
      <c r="D132" s="917"/>
      <c r="E132" s="455">
        <v>202</v>
      </c>
      <c r="F132" s="286">
        <v>1</v>
      </c>
      <c r="G132" s="411">
        <v>8</v>
      </c>
      <c r="H132" s="455">
        <v>1</v>
      </c>
      <c r="I132" s="455">
        <v>10</v>
      </c>
      <c r="J132" s="413">
        <v>22</v>
      </c>
      <c r="K132" s="409">
        <f t="shared" si="11"/>
        <v>36.363636363636367</v>
      </c>
      <c r="L132" s="409">
        <f t="shared" si="9"/>
        <v>4.5454545454545459</v>
      </c>
      <c r="M132" s="409">
        <f t="shared" si="10"/>
        <v>45.454545454545453</v>
      </c>
      <c r="N132" s="412">
        <f t="shared" si="6"/>
        <v>86.363636363636374</v>
      </c>
      <c r="O132" s="408">
        <v>21.8</v>
      </c>
      <c r="P132" s="409">
        <v>1.3</v>
      </c>
      <c r="Q132" s="409">
        <v>47.1</v>
      </c>
      <c r="R132" s="410">
        <f t="shared" si="7"/>
        <v>70.2</v>
      </c>
      <c r="S132" s="455">
        <v>3</v>
      </c>
      <c r="T132" s="839">
        <v>41329</v>
      </c>
      <c r="U132" s="852">
        <v>41392</v>
      </c>
      <c r="V132" s="82" t="s">
        <v>558</v>
      </c>
      <c r="W132" s="280" t="s">
        <v>307</v>
      </c>
      <c r="X132" s="280" t="s">
        <v>12</v>
      </c>
      <c r="Y132" s="83">
        <v>47.1</v>
      </c>
      <c r="Z132" s="280" t="s">
        <v>518</v>
      </c>
      <c r="AA132" s="280" t="s">
        <v>79</v>
      </c>
      <c r="AB132" s="280" t="s">
        <v>11</v>
      </c>
      <c r="AC132" s="83">
        <v>15.6</v>
      </c>
      <c r="AD132" s="280" t="s">
        <v>1262</v>
      </c>
      <c r="AE132" s="280" t="s">
        <v>897</v>
      </c>
      <c r="AF132" s="280" t="s">
        <v>11</v>
      </c>
      <c r="AG132" s="280">
        <v>6.2</v>
      </c>
      <c r="AH132" s="82" t="s">
        <v>574</v>
      </c>
      <c r="AI132" s="280" t="s">
        <v>330</v>
      </c>
      <c r="AJ132" s="280" t="s">
        <v>18</v>
      </c>
      <c r="AK132" s="280">
        <v>1.3</v>
      </c>
      <c r="AL132" s="82" t="s">
        <v>1261</v>
      </c>
      <c r="AM132" s="280" t="s">
        <v>330</v>
      </c>
      <c r="AN132" s="280" t="s">
        <v>11</v>
      </c>
      <c r="AO132" s="83">
        <v>0</v>
      </c>
      <c r="AP132" s="82"/>
      <c r="AT132" s="147"/>
      <c r="AW132" s="83"/>
      <c r="BA132" s="84"/>
    </row>
    <row r="133" spans="1:53" s="491" customFormat="1">
      <c r="A133" s="491">
        <v>2013</v>
      </c>
      <c r="B133" s="860">
        <v>41594</v>
      </c>
      <c r="C133" s="917" t="s">
        <v>1255</v>
      </c>
      <c r="D133" s="917"/>
      <c r="E133" s="491">
        <v>46</v>
      </c>
      <c r="F133" s="502">
        <v>0</v>
      </c>
      <c r="G133" s="498">
        <v>3</v>
      </c>
      <c r="H133" s="491">
        <v>6</v>
      </c>
      <c r="I133" s="491">
        <v>10</v>
      </c>
      <c r="J133" s="500">
        <v>22</v>
      </c>
      <c r="K133" s="496">
        <f t="shared" si="11"/>
        <v>13.636363636363635</v>
      </c>
      <c r="L133" s="496">
        <f t="shared" si="9"/>
        <v>27.27272727272727</v>
      </c>
      <c r="M133" s="496">
        <f t="shared" si="10"/>
        <v>45.454545454545453</v>
      </c>
      <c r="N133" s="499">
        <f t="shared" si="6"/>
        <v>86.36363636363636</v>
      </c>
      <c r="O133" s="495">
        <v>6.2</v>
      </c>
      <c r="P133" s="496">
        <v>5.9</v>
      </c>
      <c r="Q133" s="496">
        <v>47.1</v>
      </c>
      <c r="R133" s="497">
        <f t="shared" si="7"/>
        <v>59.2</v>
      </c>
      <c r="S133" s="491">
        <v>3</v>
      </c>
      <c r="T133" s="839"/>
      <c r="U133" s="852"/>
      <c r="V133" s="492" t="s">
        <v>558</v>
      </c>
      <c r="W133" s="491" t="s">
        <v>307</v>
      </c>
      <c r="X133" s="491" t="s">
        <v>12</v>
      </c>
      <c r="Y133" s="493">
        <v>47.1</v>
      </c>
      <c r="Z133" s="491" t="s">
        <v>1262</v>
      </c>
      <c r="AA133" s="491" t="s">
        <v>897</v>
      </c>
      <c r="AB133" s="491" t="s">
        <v>11</v>
      </c>
      <c r="AC133" s="491">
        <v>6.2</v>
      </c>
      <c r="AD133" s="492" t="s">
        <v>574</v>
      </c>
      <c r="AE133" s="491" t="s">
        <v>330</v>
      </c>
      <c r="AF133" s="491" t="s">
        <v>18</v>
      </c>
      <c r="AG133" s="491">
        <v>1.3</v>
      </c>
      <c r="AH133" s="492" t="s">
        <v>1261</v>
      </c>
      <c r="AI133" s="491" t="s">
        <v>330</v>
      </c>
      <c r="AJ133" s="491" t="s">
        <v>11</v>
      </c>
      <c r="AK133" s="493">
        <v>0</v>
      </c>
      <c r="AL133" s="492" t="s">
        <v>1300</v>
      </c>
      <c r="AM133" s="491" t="s">
        <v>330</v>
      </c>
      <c r="AN133" s="491" t="s">
        <v>18</v>
      </c>
      <c r="AO133" s="493">
        <v>4.5999999999999996</v>
      </c>
      <c r="AP133" s="492"/>
      <c r="AS133" s="493"/>
      <c r="AT133" s="147"/>
      <c r="AW133" s="493"/>
      <c r="BA133" s="494"/>
    </row>
    <row r="134" spans="1:53" s="491" customFormat="1">
      <c r="A134" s="491">
        <v>2014</v>
      </c>
      <c r="B134" s="852"/>
      <c r="C134" s="917" t="s">
        <v>1255</v>
      </c>
      <c r="D134" s="917"/>
      <c r="E134" s="491">
        <v>26</v>
      </c>
      <c r="G134" s="498">
        <v>3</v>
      </c>
      <c r="H134" s="491">
        <v>6</v>
      </c>
      <c r="I134" s="491">
        <v>10</v>
      </c>
      <c r="J134" s="500">
        <v>22</v>
      </c>
      <c r="K134" s="496">
        <f t="shared" si="11"/>
        <v>13.636363636363635</v>
      </c>
      <c r="L134" s="496">
        <f t="shared" ref="L134:M136" si="12">H134/$J134*100</f>
        <v>27.27272727272727</v>
      </c>
      <c r="M134" s="496">
        <f t="shared" si="12"/>
        <v>45.454545454545453</v>
      </c>
      <c r="N134" s="499">
        <f>K134+L134+M134</f>
        <v>86.36363636363636</v>
      </c>
      <c r="O134" s="495">
        <v>6.2</v>
      </c>
      <c r="P134" s="496">
        <v>5.9</v>
      </c>
      <c r="Q134" s="496">
        <v>47.1</v>
      </c>
      <c r="R134" s="497">
        <f t="shared" si="7"/>
        <v>59.2</v>
      </c>
      <c r="S134" s="491">
        <v>3</v>
      </c>
      <c r="T134" s="839"/>
      <c r="U134" s="852"/>
      <c r="V134" s="492" t="s">
        <v>558</v>
      </c>
      <c r="W134" s="491" t="s">
        <v>307</v>
      </c>
      <c r="X134" s="491" t="s">
        <v>12</v>
      </c>
      <c r="Y134" s="493">
        <v>47.1</v>
      </c>
      <c r="Z134" s="491" t="s">
        <v>1262</v>
      </c>
      <c r="AA134" s="491" t="s">
        <v>897</v>
      </c>
      <c r="AB134" s="491" t="s">
        <v>11</v>
      </c>
      <c r="AC134" s="491">
        <v>6.2</v>
      </c>
      <c r="AD134" s="492" t="s">
        <v>574</v>
      </c>
      <c r="AE134" s="491" t="s">
        <v>330</v>
      </c>
      <c r="AF134" s="491" t="s">
        <v>18</v>
      </c>
      <c r="AG134" s="491">
        <v>1.3</v>
      </c>
      <c r="AH134" s="492" t="s">
        <v>1261</v>
      </c>
      <c r="AI134" s="491" t="s">
        <v>330</v>
      </c>
      <c r="AJ134" s="491" t="s">
        <v>11</v>
      </c>
      <c r="AK134" s="493">
        <v>0</v>
      </c>
      <c r="AL134" s="492" t="s">
        <v>1300</v>
      </c>
      <c r="AM134" s="491" t="s">
        <v>330</v>
      </c>
      <c r="AN134" s="491" t="s">
        <v>18</v>
      </c>
      <c r="AO134" s="493">
        <v>4.5999999999999996</v>
      </c>
      <c r="AP134" s="492"/>
      <c r="AT134" s="147"/>
      <c r="AW134" s="493"/>
      <c r="BA134" s="494"/>
    </row>
    <row r="135" spans="1:53" s="455" customFormat="1">
      <c r="A135" s="455">
        <v>2014</v>
      </c>
      <c r="B135" s="860">
        <v>41666</v>
      </c>
      <c r="C135" s="917" t="s">
        <v>1255</v>
      </c>
      <c r="D135" s="917"/>
      <c r="E135" s="455">
        <v>26</v>
      </c>
      <c r="F135" s="502">
        <v>0</v>
      </c>
      <c r="G135" s="411">
        <v>3</v>
      </c>
      <c r="H135" s="455">
        <v>5</v>
      </c>
      <c r="I135" s="455">
        <v>10</v>
      </c>
      <c r="J135" s="413">
        <v>21</v>
      </c>
      <c r="K135" s="496">
        <f t="shared" si="11"/>
        <v>14.285714285714285</v>
      </c>
      <c r="L135" s="496">
        <f t="shared" si="12"/>
        <v>23.809523809523807</v>
      </c>
      <c r="M135" s="496">
        <f t="shared" si="12"/>
        <v>47.619047619047613</v>
      </c>
      <c r="N135" s="499">
        <f>K135+L135+M135</f>
        <v>85.714285714285694</v>
      </c>
      <c r="O135" s="495">
        <v>6.2</v>
      </c>
      <c r="P135" s="496">
        <v>5.9</v>
      </c>
      <c r="Q135" s="496">
        <v>47.1</v>
      </c>
      <c r="R135" s="497">
        <f t="shared" si="7"/>
        <v>59.2</v>
      </c>
      <c r="S135" s="455">
        <v>3</v>
      </c>
      <c r="T135" s="839"/>
      <c r="U135" s="852"/>
      <c r="V135" s="492" t="s">
        <v>558</v>
      </c>
      <c r="W135" s="491" t="s">
        <v>307</v>
      </c>
      <c r="X135" s="491" t="s">
        <v>12</v>
      </c>
      <c r="Y135" s="493">
        <v>47.1</v>
      </c>
      <c r="Z135" s="491" t="s">
        <v>1262</v>
      </c>
      <c r="AA135" s="491" t="s">
        <v>897</v>
      </c>
      <c r="AB135" s="491" t="s">
        <v>11</v>
      </c>
      <c r="AC135" s="491">
        <v>6.2</v>
      </c>
      <c r="AD135" s="492" t="s">
        <v>574</v>
      </c>
      <c r="AE135" s="491" t="s">
        <v>330</v>
      </c>
      <c r="AF135" s="491" t="s">
        <v>18</v>
      </c>
      <c r="AG135" s="491">
        <v>1.3</v>
      </c>
      <c r="AH135" s="492" t="s">
        <v>1261</v>
      </c>
      <c r="AI135" s="491" t="s">
        <v>330</v>
      </c>
      <c r="AJ135" s="491" t="s">
        <v>11</v>
      </c>
      <c r="AK135" s="493">
        <v>0</v>
      </c>
      <c r="AL135" s="492" t="s">
        <v>1300</v>
      </c>
      <c r="AM135" s="491" t="s">
        <v>330</v>
      </c>
      <c r="AN135" s="491" t="s">
        <v>18</v>
      </c>
      <c r="AO135" s="493">
        <v>4.5999999999999996</v>
      </c>
      <c r="AP135" s="405"/>
      <c r="AT135" s="147"/>
      <c r="AW135" s="406"/>
      <c r="BA135" s="407"/>
    </row>
    <row r="136" spans="1:53" s="531" customFormat="1">
      <c r="A136" s="531">
        <v>2014</v>
      </c>
      <c r="B136" s="836">
        <v>41692</v>
      </c>
      <c r="C136" s="916" t="s">
        <v>1294</v>
      </c>
      <c r="D136" s="916"/>
      <c r="E136" s="531">
        <v>313</v>
      </c>
      <c r="F136" s="531">
        <v>2</v>
      </c>
      <c r="G136" s="539">
        <v>1</v>
      </c>
      <c r="H136" s="531">
        <v>4</v>
      </c>
      <c r="I136" s="531">
        <v>11</v>
      </c>
      <c r="J136" s="541">
        <v>17</v>
      </c>
      <c r="K136" s="537">
        <f t="shared" si="11"/>
        <v>5.8823529411764701</v>
      </c>
      <c r="L136" s="537">
        <f t="shared" si="12"/>
        <v>23.52941176470588</v>
      </c>
      <c r="M136" s="537">
        <f t="shared" si="12"/>
        <v>64.705882352941174</v>
      </c>
      <c r="N136" s="540">
        <f>K136+L136+M136</f>
        <v>94.117647058823522</v>
      </c>
      <c r="O136" s="536">
        <v>4.3</v>
      </c>
      <c r="P136" s="537">
        <v>4.5999999999999996</v>
      </c>
      <c r="Q136" s="537">
        <v>47.3</v>
      </c>
      <c r="R136" s="538">
        <f t="shared" si="7"/>
        <v>56.199999999999996</v>
      </c>
      <c r="S136" s="531">
        <v>3</v>
      </c>
      <c r="T136" s="838"/>
      <c r="U136" s="836">
        <v>41692</v>
      </c>
      <c r="V136" s="532" t="s">
        <v>558</v>
      </c>
      <c r="W136" s="531" t="s">
        <v>307</v>
      </c>
      <c r="X136" s="531" t="s">
        <v>12</v>
      </c>
      <c r="Y136" s="533">
        <v>47.3</v>
      </c>
      <c r="Z136" s="532" t="s">
        <v>1301</v>
      </c>
      <c r="AA136" s="531" t="s">
        <v>330</v>
      </c>
      <c r="AB136" s="531" t="s">
        <v>18</v>
      </c>
      <c r="AC136" s="533">
        <v>4.5999999999999996</v>
      </c>
      <c r="AD136" s="532" t="s">
        <v>1262</v>
      </c>
      <c r="AE136" s="531" t="s">
        <v>897</v>
      </c>
      <c r="AF136" s="531" t="s">
        <v>11</v>
      </c>
      <c r="AG136" s="531">
        <v>4.3</v>
      </c>
      <c r="AH136" s="532"/>
      <c r="AL136" s="532"/>
      <c r="AO136" s="533"/>
      <c r="AP136" s="532"/>
      <c r="AT136" s="388"/>
      <c r="AW136" s="533"/>
      <c r="BA136" s="534"/>
    </row>
    <row r="137" spans="1:53" s="608" customFormat="1">
      <c r="A137" s="608">
        <v>2015</v>
      </c>
      <c r="B137" s="865"/>
      <c r="C137" s="916" t="s">
        <v>1294</v>
      </c>
      <c r="D137" s="916"/>
      <c r="E137" s="608">
        <v>28</v>
      </c>
      <c r="G137" s="539">
        <v>1</v>
      </c>
      <c r="H137" s="608">
        <v>4</v>
      </c>
      <c r="I137" s="608">
        <v>11</v>
      </c>
      <c r="J137" s="541">
        <v>17</v>
      </c>
      <c r="K137" s="537">
        <f t="shared" ref="K137:K140" si="13">G137/$J137*100</f>
        <v>5.8823529411764701</v>
      </c>
      <c r="L137" s="537">
        <f t="shared" ref="L137:L140" si="14">H137/$J137*100</f>
        <v>23.52941176470588</v>
      </c>
      <c r="M137" s="537">
        <f t="shared" ref="M137:M140" si="15">I137/$J137*100</f>
        <v>64.705882352941174</v>
      </c>
      <c r="N137" s="540">
        <f t="shared" ref="N137:N140" si="16">K137+L137+M137</f>
        <v>94.117647058823522</v>
      </c>
      <c r="O137" s="536">
        <v>4.3</v>
      </c>
      <c r="P137" s="537">
        <v>4.5999999999999996</v>
      </c>
      <c r="Q137" s="537">
        <v>47.3</v>
      </c>
      <c r="R137" s="538">
        <f t="shared" ref="R137:R138" si="17">O137+P137+Q137</f>
        <v>56.199999999999996</v>
      </c>
      <c r="S137" s="608">
        <v>3</v>
      </c>
      <c r="T137" s="838"/>
      <c r="U137" s="836"/>
      <c r="V137" s="532" t="s">
        <v>558</v>
      </c>
      <c r="W137" s="608" t="s">
        <v>307</v>
      </c>
      <c r="X137" s="608" t="s">
        <v>12</v>
      </c>
      <c r="Y137" s="533">
        <v>47.3</v>
      </c>
      <c r="Z137" s="532" t="s">
        <v>1301</v>
      </c>
      <c r="AA137" s="608" t="s">
        <v>330</v>
      </c>
      <c r="AB137" s="608" t="s">
        <v>18</v>
      </c>
      <c r="AC137" s="533">
        <v>4.5999999999999996</v>
      </c>
      <c r="AD137" s="532" t="s">
        <v>1262</v>
      </c>
      <c r="AE137" s="608" t="s">
        <v>897</v>
      </c>
      <c r="AF137" s="608" t="s">
        <v>11</v>
      </c>
      <c r="AG137" s="608">
        <v>4.3</v>
      </c>
      <c r="AH137" s="532"/>
      <c r="AL137" s="532"/>
      <c r="AO137" s="533"/>
      <c r="AP137" s="532"/>
      <c r="AT137" s="388"/>
      <c r="AW137" s="533"/>
      <c r="BA137" s="534"/>
    </row>
    <row r="138" spans="1:53" s="608" customFormat="1">
      <c r="A138" s="608">
        <v>2015</v>
      </c>
      <c r="B138" s="865">
        <v>42033</v>
      </c>
      <c r="C138" s="916" t="s">
        <v>1294</v>
      </c>
      <c r="D138" s="916"/>
      <c r="E138" s="608">
        <v>8</v>
      </c>
      <c r="F138" s="428">
        <v>0</v>
      </c>
      <c r="G138" s="539">
        <v>1</v>
      </c>
      <c r="H138" s="608">
        <v>5</v>
      </c>
      <c r="I138" s="608">
        <v>10</v>
      </c>
      <c r="J138" s="541">
        <v>17</v>
      </c>
      <c r="K138" s="537">
        <f t="shared" si="13"/>
        <v>5.8823529411764701</v>
      </c>
      <c r="L138" s="537">
        <f t="shared" si="14"/>
        <v>29.411764705882355</v>
      </c>
      <c r="M138" s="537">
        <f t="shared" si="15"/>
        <v>58.82352941176471</v>
      </c>
      <c r="N138" s="540">
        <f t="shared" si="16"/>
        <v>94.117647058823536</v>
      </c>
      <c r="O138" s="536">
        <v>4.3</v>
      </c>
      <c r="P138" s="537">
        <v>4.5999999999999996</v>
      </c>
      <c r="Q138" s="537">
        <v>47.3</v>
      </c>
      <c r="R138" s="538">
        <f t="shared" si="17"/>
        <v>56.199999999999996</v>
      </c>
      <c r="S138" s="608">
        <v>3</v>
      </c>
      <c r="T138" s="838"/>
      <c r="U138" s="836"/>
      <c r="V138" s="532" t="s">
        <v>558</v>
      </c>
      <c r="W138" s="608" t="s">
        <v>307</v>
      </c>
      <c r="X138" s="608" t="s">
        <v>12</v>
      </c>
      <c r="Y138" s="533">
        <v>47.3</v>
      </c>
      <c r="Z138" s="532" t="s">
        <v>1301</v>
      </c>
      <c r="AA138" s="608" t="s">
        <v>330</v>
      </c>
      <c r="AB138" s="608" t="s">
        <v>18</v>
      </c>
      <c r="AC138" s="533">
        <v>4.5999999999999996</v>
      </c>
      <c r="AD138" s="532" t="s">
        <v>1262</v>
      </c>
      <c r="AE138" s="608" t="s">
        <v>897</v>
      </c>
      <c r="AF138" s="608" t="s">
        <v>11</v>
      </c>
      <c r="AG138" s="608">
        <v>4.3</v>
      </c>
      <c r="AH138" s="532"/>
      <c r="AL138" s="532"/>
      <c r="AO138" s="533"/>
      <c r="AP138" s="532"/>
      <c r="AT138" s="388"/>
      <c r="AW138" s="533"/>
      <c r="BA138" s="534"/>
    </row>
    <row r="139" spans="1:53" s="608" customFormat="1">
      <c r="A139" s="608">
        <v>2015</v>
      </c>
      <c r="B139" s="865">
        <v>42041</v>
      </c>
      <c r="C139" s="916" t="s">
        <v>1294</v>
      </c>
      <c r="D139" s="916"/>
      <c r="E139" s="608">
        <v>55</v>
      </c>
      <c r="F139" s="428">
        <v>0</v>
      </c>
      <c r="G139" s="539"/>
      <c r="H139" s="608">
        <v>5</v>
      </c>
      <c r="I139" s="608">
        <v>11</v>
      </c>
      <c r="J139" s="541">
        <v>17</v>
      </c>
      <c r="K139" s="537">
        <f t="shared" si="13"/>
        <v>0</v>
      </c>
      <c r="L139" s="537">
        <f t="shared" si="14"/>
        <v>29.411764705882355</v>
      </c>
      <c r="M139" s="537">
        <f t="shared" si="15"/>
        <v>64.705882352941174</v>
      </c>
      <c r="N139" s="540">
        <f t="shared" si="16"/>
        <v>94.117647058823536</v>
      </c>
      <c r="O139" s="536"/>
      <c r="P139" s="537">
        <v>4.5999999999999996</v>
      </c>
      <c r="Q139" s="537">
        <v>47.3</v>
      </c>
      <c r="R139" s="538">
        <f t="shared" ref="R139:R142" si="18">O139+P139+Q139</f>
        <v>51.9</v>
      </c>
      <c r="S139" s="608">
        <v>2</v>
      </c>
      <c r="T139" s="838"/>
      <c r="U139" s="836"/>
      <c r="V139" s="532" t="s">
        <v>558</v>
      </c>
      <c r="W139" s="608" t="s">
        <v>307</v>
      </c>
      <c r="X139" s="608" t="s">
        <v>12</v>
      </c>
      <c r="Y139" s="533">
        <v>47.3</v>
      </c>
      <c r="Z139" s="532" t="s">
        <v>1301</v>
      </c>
      <c r="AA139" s="608" t="s">
        <v>330</v>
      </c>
      <c r="AB139" s="608" t="s">
        <v>18</v>
      </c>
      <c r="AC139" s="533">
        <v>4.5999999999999996</v>
      </c>
      <c r="AD139" s="532"/>
      <c r="AG139" s="533"/>
      <c r="AH139" s="532"/>
      <c r="AL139" s="532"/>
      <c r="AO139" s="533"/>
      <c r="AP139" s="532"/>
      <c r="AT139" s="388"/>
      <c r="AW139" s="533"/>
      <c r="BA139" s="534"/>
    </row>
    <row r="140" spans="1:53" s="608" customFormat="1">
      <c r="A140" s="608">
        <v>2015</v>
      </c>
      <c r="B140" s="865">
        <v>42096</v>
      </c>
      <c r="C140" s="916" t="s">
        <v>1294</v>
      </c>
      <c r="D140" s="916"/>
      <c r="E140" s="608">
        <v>274</v>
      </c>
      <c r="F140" s="428">
        <v>0</v>
      </c>
      <c r="G140" s="539"/>
      <c r="H140" s="608">
        <v>4</v>
      </c>
      <c r="I140" s="608">
        <v>12</v>
      </c>
      <c r="J140" s="541">
        <v>17</v>
      </c>
      <c r="K140" s="537">
        <f t="shared" si="13"/>
        <v>0</v>
      </c>
      <c r="L140" s="537">
        <f t="shared" si="14"/>
        <v>23.52941176470588</v>
      </c>
      <c r="M140" s="537">
        <f t="shared" si="15"/>
        <v>70.588235294117652</v>
      </c>
      <c r="N140" s="540">
        <f t="shared" si="16"/>
        <v>94.117647058823536</v>
      </c>
      <c r="O140" s="536"/>
      <c r="P140" s="537">
        <v>4.5999999999999996</v>
      </c>
      <c r="Q140" s="537">
        <v>47.3</v>
      </c>
      <c r="R140" s="538">
        <f t="shared" si="18"/>
        <v>51.9</v>
      </c>
      <c r="S140" s="608">
        <v>2</v>
      </c>
      <c r="T140" s="838"/>
      <c r="U140" s="836"/>
      <c r="V140" s="532" t="s">
        <v>558</v>
      </c>
      <c r="W140" s="608" t="s">
        <v>307</v>
      </c>
      <c r="X140" s="608" t="s">
        <v>12</v>
      </c>
      <c r="Y140" s="533">
        <v>47.3</v>
      </c>
      <c r="Z140" s="532" t="s">
        <v>1301</v>
      </c>
      <c r="AA140" s="608" t="s">
        <v>330</v>
      </c>
      <c r="AB140" s="608" t="s">
        <v>18</v>
      </c>
      <c r="AC140" s="533">
        <v>4.5999999999999996</v>
      </c>
      <c r="AD140" s="532"/>
      <c r="AG140" s="533"/>
      <c r="AH140" s="532"/>
      <c r="AL140" s="532"/>
      <c r="AO140" s="533"/>
      <c r="AP140" s="532"/>
      <c r="AT140" s="388"/>
      <c r="AW140" s="533"/>
      <c r="BA140" s="534"/>
    </row>
    <row r="141" spans="1:53" s="664" customFormat="1">
      <c r="A141" s="664">
        <v>2016</v>
      </c>
      <c r="B141" s="865"/>
      <c r="C141" s="916" t="s">
        <v>1294</v>
      </c>
      <c r="D141" s="916"/>
      <c r="E141" s="664">
        <v>95</v>
      </c>
      <c r="F141" s="428"/>
      <c r="G141" s="539"/>
      <c r="H141" s="706">
        <v>4</v>
      </c>
      <c r="I141" s="706">
        <v>12</v>
      </c>
      <c r="J141" s="541">
        <v>17</v>
      </c>
      <c r="K141" s="537">
        <f t="shared" ref="K141" si="19">G141/$J141*100</f>
        <v>0</v>
      </c>
      <c r="L141" s="537">
        <f t="shared" ref="L141" si="20">H141/$J141*100</f>
        <v>23.52941176470588</v>
      </c>
      <c r="M141" s="537">
        <f t="shared" ref="M141" si="21">I141/$J141*100</f>
        <v>70.588235294117652</v>
      </c>
      <c r="N141" s="540">
        <f t="shared" ref="N141" si="22">K141+L141+M141</f>
        <v>94.117647058823536</v>
      </c>
      <c r="O141" s="536"/>
      <c r="P141" s="537">
        <v>4.5999999999999996</v>
      </c>
      <c r="Q141" s="537">
        <v>47.3</v>
      </c>
      <c r="R141" s="538">
        <f t="shared" si="18"/>
        <v>51.9</v>
      </c>
      <c r="S141" s="673">
        <v>2</v>
      </c>
      <c r="T141" s="838"/>
      <c r="U141" s="836"/>
      <c r="V141" s="532" t="s">
        <v>558</v>
      </c>
      <c r="W141" s="673" t="s">
        <v>307</v>
      </c>
      <c r="X141" s="673" t="s">
        <v>12</v>
      </c>
      <c r="Y141" s="533">
        <v>47.3</v>
      </c>
      <c r="Z141" s="532" t="s">
        <v>1301</v>
      </c>
      <c r="AA141" s="673" t="s">
        <v>330</v>
      </c>
      <c r="AB141" s="673" t="s">
        <v>18</v>
      </c>
      <c r="AC141" s="533">
        <v>4.5999999999999996</v>
      </c>
      <c r="AD141" s="532"/>
      <c r="AG141" s="533"/>
      <c r="AH141" s="532"/>
      <c r="AL141" s="532"/>
      <c r="AO141" s="533"/>
      <c r="AP141" s="532"/>
      <c r="AT141" s="388"/>
      <c r="AW141" s="533"/>
      <c r="BA141" s="534"/>
    </row>
    <row r="142" spans="1:53" s="664" customFormat="1">
      <c r="A142" s="664">
        <v>2016</v>
      </c>
      <c r="B142" s="865">
        <v>42465</v>
      </c>
      <c r="C142" s="916" t="s">
        <v>1294</v>
      </c>
      <c r="D142" s="916"/>
      <c r="E142" s="664">
        <v>251</v>
      </c>
      <c r="F142" s="428">
        <v>0</v>
      </c>
      <c r="G142" s="539"/>
      <c r="H142" s="664">
        <v>3</v>
      </c>
      <c r="I142" s="664">
        <v>12</v>
      </c>
      <c r="J142" s="541">
        <v>16</v>
      </c>
      <c r="K142" s="537">
        <f t="shared" ref="K142" si="23">G142/$J142*100</f>
        <v>0</v>
      </c>
      <c r="L142" s="537">
        <f t="shared" ref="L142" si="24">H142/$J142*100</f>
        <v>18.75</v>
      </c>
      <c r="M142" s="537">
        <f t="shared" ref="M142" si="25">I142/$J142*100</f>
        <v>75</v>
      </c>
      <c r="N142" s="540">
        <f t="shared" ref="N142" si="26">K142+L142+M142</f>
        <v>93.75</v>
      </c>
      <c r="O142" s="536"/>
      <c r="P142" s="537">
        <v>4.5999999999999996</v>
      </c>
      <c r="Q142" s="537">
        <v>47.3</v>
      </c>
      <c r="R142" s="538">
        <f t="shared" si="18"/>
        <v>51.9</v>
      </c>
      <c r="S142" s="673">
        <v>2</v>
      </c>
      <c r="T142" s="838"/>
      <c r="U142" s="836"/>
      <c r="V142" s="532" t="s">
        <v>558</v>
      </c>
      <c r="W142" s="673" t="s">
        <v>307</v>
      </c>
      <c r="X142" s="673" t="s">
        <v>12</v>
      </c>
      <c r="Y142" s="533">
        <v>47.3</v>
      </c>
      <c r="Z142" s="532" t="s">
        <v>1301</v>
      </c>
      <c r="AA142" s="673" t="s">
        <v>330</v>
      </c>
      <c r="AB142" s="673" t="s">
        <v>18</v>
      </c>
      <c r="AC142" s="533">
        <v>4.5999999999999996</v>
      </c>
      <c r="AD142" s="532"/>
      <c r="AG142" s="533"/>
      <c r="AH142" s="532"/>
      <c r="AL142" s="532"/>
      <c r="AO142" s="533"/>
      <c r="AP142" s="532"/>
      <c r="AT142" s="388"/>
      <c r="AW142" s="533"/>
      <c r="BA142" s="534"/>
    </row>
    <row r="143" spans="1:53" s="672" customFormat="1">
      <c r="A143" s="672">
        <v>2016</v>
      </c>
      <c r="B143" s="852">
        <v>42716</v>
      </c>
      <c r="C143" s="917" t="s">
        <v>1348</v>
      </c>
      <c r="D143" s="917"/>
      <c r="E143" s="672">
        <v>20</v>
      </c>
      <c r="F143" s="672">
        <v>2</v>
      </c>
      <c r="G143" s="498"/>
      <c r="H143" s="672">
        <v>4</v>
      </c>
      <c r="I143" s="672">
        <v>13</v>
      </c>
      <c r="J143" s="500">
        <v>19</v>
      </c>
      <c r="K143" s="496">
        <f>G143/$J143*100</f>
        <v>0</v>
      </c>
      <c r="L143" s="496">
        <f>H143/$J143*100</f>
        <v>21.052631578947366</v>
      </c>
      <c r="M143" s="496">
        <f>I143/$J143*100</f>
        <v>68.421052631578945</v>
      </c>
      <c r="N143" s="499">
        <f>K143+L143+M143</f>
        <v>89.473684210526315</v>
      </c>
      <c r="O143" s="495"/>
      <c r="P143" s="496">
        <v>4.0999999999999996</v>
      </c>
      <c r="Q143" s="496">
        <v>48.1</v>
      </c>
      <c r="R143" s="497">
        <f t="shared" ref="R143:R151" si="27">O143+P143+Q143</f>
        <v>52.2</v>
      </c>
      <c r="S143" s="672">
        <v>2</v>
      </c>
      <c r="T143" s="839"/>
      <c r="U143" s="852">
        <v>42716</v>
      </c>
      <c r="V143" s="492" t="s">
        <v>558</v>
      </c>
      <c r="W143" s="672" t="s">
        <v>307</v>
      </c>
      <c r="X143" s="672" t="s">
        <v>12</v>
      </c>
      <c r="Y143" s="493">
        <v>48.1</v>
      </c>
      <c r="Z143" s="492" t="s">
        <v>1300</v>
      </c>
      <c r="AA143" s="672" t="s">
        <v>330</v>
      </c>
      <c r="AB143" s="672" t="s">
        <v>18</v>
      </c>
      <c r="AC143" s="493">
        <v>4.0999999999999996</v>
      </c>
      <c r="AD143" s="492"/>
      <c r="AG143" s="493"/>
      <c r="AH143" s="492"/>
      <c r="AL143" s="492"/>
      <c r="AO143" s="493"/>
      <c r="AP143" s="492"/>
      <c r="AT143" s="147"/>
      <c r="AW143" s="493"/>
      <c r="BA143" s="494"/>
    </row>
    <row r="144" spans="1:53" s="727" customFormat="1">
      <c r="A144" s="727">
        <v>2017</v>
      </c>
      <c r="B144" s="852"/>
      <c r="C144" s="917" t="s">
        <v>1348</v>
      </c>
      <c r="D144" s="917"/>
      <c r="E144" s="727">
        <v>209</v>
      </c>
      <c r="G144" s="498"/>
      <c r="H144" s="727">
        <v>4</v>
      </c>
      <c r="I144" s="727">
        <v>13</v>
      </c>
      <c r="J144" s="500">
        <v>19</v>
      </c>
      <c r="K144" s="496">
        <f t="shared" ref="K144:K146" si="28">G144/$J144*100</f>
        <v>0</v>
      </c>
      <c r="L144" s="496">
        <f t="shared" ref="L144:L146" si="29">H144/$J144*100</f>
        <v>21.052631578947366</v>
      </c>
      <c r="M144" s="496">
        <f t="shared" ref="M144:M146" si="30">I144/$J144*100</f>
        <v>68.421052631578945</v>
      </c>
      <c r="N144" s="499">
        <f t="shared" ref="N144:N146" si="31">K144+L144+M144</f>
        <v>89.473684210526315</v>
      </c>
      <c r="O144" s="495"/>
      <c r="P144" s="496">
        <v>4.0999999999999996</v>
      </c>
      <c r="Q144" s="496">
        <v>48.1</v>
      </c>
      <c r="R144" s="497">
        <f t="shared" si="27"/>
        <v>52.2</v>
      </c>
      <c r="S144" s="727">
        <v>2</v>
      </c>
      <c r="T144" s="839"/>
      <c r="U144" s="852"/>
      <c r="V144" s="492" t="s">
        <v>558</v>
      </c>
      <c r="W144" s="727" t="s">
        <v>307</v>
      </c>
      <c r="X144" s="727" t="s">
        <v>12</v>
      </c>
      <c r="Y144" s="493">
        <v>48.1</v>
      </c>
      <c r="Z144" s="492" t="s">
        <v>1300</v>
      </c>
      <c r="AA144" s="727" t="s">
        <v>330</v>
      </c>
      <c r="AB144" s="727" t="s">
        <v>18</v>
      </c>
      <c r="AC144" s="493">
        <v>4.0999999999999996</v>
      </c>
      <c r="AD144" s="492"/>
      <c r="AG144" s="493"/>
      <c r="AH144" s="492"/>
      <c r="AL144" s="492"/>
      <c r="AO144" s="493"/>
      <c r="AP144" s="492"/>
      <c r="AT144" s="147"/>
      <c r="AW144" s="493"/>
      <c r="BA144" s="494"/>
    </row>
    <row r="145" spans="1:54" s="727" customFormat="1">
      <c r="A145" s="727">
        <v>2017</v>
      </c>
      <c r="B145" s="860">
        <v>42945</v>
      </c>
      <c r="C145" s="917" t="s">
        <v>1348</v>
      </c>
      <c r="D145" s="917"/>
      <c r="E145" s="727">
        <v>156</v>
      </c>
      <c r="F145" s="502">
        <v>0</v>
      </c>
      <c r="G145" s="498"/>
      <c r="H145" s="727">
        <v>3</v>
      </c>
      <c r="I145" s="727">
        <v>14</v>
      </c>
      <c r="J145" s="500">
        <v>19</v>
      </c>
      <c r="K145" s="496">
        <f t="shared" si="28"/>
        <v>0</v>
      </c>
      <c r="L145" s="496">
        <f t="shared" si="29"/>
        <v>15.789473684210526</v>
      </c>
      <c r="M145" s="496">
        <f t="shared" si="30"/>
        <v>73.68421052631578</v>
      </c>
      <c r="N145" s="499">
        <f t="shared" si="31"/>
        <v>89.473684210526301</v>
      </c>
      <c r="O145" s="495"/>
      <c r="P145" s="496">
        <v>4.0999999999999996</v>
      </c>
      <c r="Q145" s="496">
        <v>48.1</v>
      </c>
      <c r="R145" s="497">
        <f t="shared" si="27"/>
        <v>52.2</v>
      </c>
      <c r="S145" s="727">
        <v>2</v>
      </c>
      <c r="T145" s="839"/>
      <c r="U145" s="852"/>
      <c r="V145" s="492" t="s">
        <v>558</v>
      </c>
      <c r="W145" s="727" t="s">
        <v>307</v>
      </c>
      <c r="X145" s="727" t="s">
        <v>12</v>
      </c>
      <c r="Y145" s="493">
        <v>48.1</v>
      </c>
      <c r="Z145" s="492" t="s">
        <v>1300</v>
      </c>
      <c r="AA145" s="727" t="s">
        <v>330</v>
      </c>
      <c r="AB145" s="727" t="s">
        <v>18</v>
      </c>
      <c r="AC145" s="493">
        <v>4.0999999999999996</v>
      </c>
      <c r="AD145" s="492"/>
      <c r="AG145" s="493"/>
      <c r="AH145" s="492"/>
      <c r="AL145" s="492"/>
      <c r="AO145" s="493"/>
      <c r="AP145" s="492"/>
      <c r="AT145" s="147"/>
      <c r="AW145" s="493"/>
      <c r="BA145" s="494"/>
    </row>
    <row r="146" spans="1:54" s="760" customFormat="1">
      <c r="A146" s="760">
        <v>2018</v>
      </c>
      <c r="B146" s="860"/>
      <c r="C146" s="917" t="s">
        <v>1348</v>
      </c>
      <c r="D146" s="917"/>
      <c r="E146" s="760">
        <v>151</v>
      </c>
      <c r="F146" s="502"/>
      <c r="G146" s="498"/>
      <c r="H146" s="760">
        <v>3</v>
      </c>
      <c r="I146" s="760">
        <v>14</v>
      </c>
      <c r="J146" s="500">
        <v>19</v>
      </c>
      <c r="K146" s="496">
        <f t="shared" si="28"/>
        <v>0</v>
      </c>
      <c r="L146" s="496">
        <f t="shared" si="29"/>
        <v>15.789473684210526</v>
      </c>
      <c r="M146" s="496">
        <f t="shared" si="30"/>
        <v>73.68421052631578</v>
      </c>
      <c r="N146" s="499">
        <f t="shared" si="31"/>
        <v>89.473684210526301</v>
      </c>
      <c r="O146" s="495"/>
      <c r="P146" s="496">
        <v>4.0999999999999996</v>
      </c>
      <c r="Q146" s="496">
        <v>48.1</v>
      </c>
      <c r="R146" s="497">
        <f t="shared" si="27"/>
        <v>52.2</v>
      </c>
      <c r="S146" s="760">
        <v>2</v>
      </c>
      <c r="T146" s="839"/>
      <c r="U146" s="852"/>
      <c r="V146" s="492" t="s">
        <v>558</v>
      </c>
      <c r="W146" s="760" t="s">
        <v>307</v>
      </c>
      <c r="X146" s="760" t="s">
        <v>12</v>
      </c>
      <c r="Y146" s="493">
        <v>48.1</v>
      </c>
      <c r="Z146" s="492" t="s">
        <v>1300</v>
      </c>
      <c r="AA146" s="760" t="s">
        <v>330</v>
      </c>
      <c r="AB146" s="760" t="s">
        <v>18</v>
      </c>
      <c r="AC146" s="493">
        <v>4.0999999999999996</v>
      </c>
      <c r="AD146" s="492"/>
      <c r="AG146" s="493"/>
      <c r="AH146" s="492"/>
      <c r="AL146" s="492"/>
      <c r="AO146" s="493"/>
      <c r="AP146" s="492"/>
      <c r="AT146" s="147"/>
      <c r="AW146" s="493"/>
      <c r="BA146" s="494"/>
    </row>
    <row r="147" spans="1:54" s="759" customFormat="1">
      <c r="A147" s="759">
        <v>2018</v>
      </c>
      <c r="B147" s="836">
        <v>43252</v>
      </c>
      <c r="C147" s="916" t="s">
        <v>1400</v>
      </c>
      <c r="D147" s="916"/>
      <c r="E147" s="759">
        <v>214</v>
      </c>
      <c r="F147" s="800">
        <v>1</v>
      </c>
      <c r="G147" s="539">
        <v>5</v>
      </c>
      <c r="H147" s="759">
        <v>8</v>
      </c>
      <c r="J147" s="541">
        <v>19</v>
      </c>
      <c r="K147" s="537">
        <f t="shared" ref="K147:L151" si="32">G147/$J147*100</f>
        <v>26.315789473684209</v>
      </c>
      <c r="L147" s="537">
        <f t="shared" si="32"/>
        <v>42.105263157894733</v>
      </c>
      <c r="M147" s="537">
        <f t="shared" ref="M147" si="33">I147/$J147*100</f>
        <v>0</v>
      </c>
      <c r="N147" s="540">
        <f t="shared" ref="N147" si="34">K147+L147+M147</f>
        <v>68.421052631578945</v>
      </c>
      <c r="O147" s="536">
        <v>19.600000000000001</v>
      </c>
      <c r="P147" s="537">
        <v>35.9</v>
      </c>
      <c r="Q147" s="537"/>
      <c r="R147" s="538">
        <f t="shared" si="27"/>
        <v>55.5</v>
      </c>
      <c r="S147" s="759">
        <v>2</v>
      </c>
      <c r="T147" s="838">
        <v>43252</v>
      </c>
      <c r="U147" s="836">
        <v>43163</v>
      </c>
      <c r="V147" s="532" t="s">
        <v>1401</v>
      </c>
      <c r="W147" s="759" t="s">
        <v>1402</v>
      </c>
      <c r="X147" s="777" t="s">
        <v>18</v>
      </c>
      <c r="Y147" s="533">
        <v>35.9</v>
      </c>
      <c r="Z147" s="532" t="s">
        <v>1403</v>
      </c>
      <c r="AA147" s="759" t="s">
        <v>297</v>
      </c>
      <c r="AB147" s="759" t="s">
        <v>11</v>
      </c>
      <c r="AC147" s="533">
        <v>19.600000000000001</v>
      </c>
      <c r="AD147" s="532"/>
      <c r="AH147" s="532"/>
      <c r="AL147" s="532"/>
      <c r="AO147" s="533"/>
      <c r="AP147" s="532"/>
      <c r="AT147" s="388"/>
      <c r="AW147" s="533"/>
      <c r="BA147" s="534"/>
    </row>
    <row r="148" spans="1:54" s="800" customFormat="1">
      <c r="A148" s="800">
        <v>2019</v>
      </c>
      <c r="B148" s="836"/>
      <c r="C148" s="916" t="s">
        <v>1400</v>
      </c>
      <c r="D148" s="916"/>
      <c r="E148" s="800">
        <v>66</v>
      </c>
      <c r="G148" s="539">
        <v>5</v>
      </c>
      <c r="H148" s="800">
        <v>8</v>
      </c>
      <c r="J148" s="541">
        <v>19</v>
      </c>
      <c r="K148" s="537">
        <f t="shared" si="32"/>
        <v>26.315789473684209</v>
      </c>
      <c r="L148" s="537">
        <f t="shared" si="32"/>
        <v>42.105263157894733</v>
      </c>
      <c r="M148" s="537">
        <f t="shared" ref="M148" si="35">I148/$J148*100</f>
        <v>0</v>
      </c>
      <c r="N148" s="540">
        <f t="shared" ref="N148" si="36">K148+L148+M148</f>
        <v>68.421052631578945</v>
      </c>
      <c r="O148" s="536">
        <v>19.600000000000001</v>
      </c>
      <c r="P148" s="537">
        <v>35.9</v>
      </c>
      <c r="Q148" s="537"/>
      <c r="R148" s="538">
        <f t="shared" si="27"/>
        <v>55.5</v>
      </c>
      <c r="S148" s="800">
        <v>2</v>
      </c>
      <c r="T148" s="838"/>
      <c r="U148" s="836"/>
      <c r="V148" s="532" t="s">
        <v>1401</v>
      </c>
      <c r="W148" s="800" t="s">
        <v>1402</v>
      </c>
      <c r="X148" s="800" t="s">
        <v>18</v>
      </c>
      <c r="Y148" s="533">
        <v>35.9</v>
      </c>
      <c r="Z148" s="532" t="s">
        <v>1403</v>
      </c>
      <c r="AA148" s="800" t="s">
        <v>297</v>
      </c>
      <c r="AB148" s="800" t="s">
        <v>11</v>
      </c>
      <c r="AC148" s="533">
        <v>19.600000000000001</v>
      </c>
      <c r="AD148" s="532"/>
      <c r="AH148" s="532"/>
      <c r="AL148" s="532"/>
      <c r="AO148" s="533"/>
      <c r="AP148" s="532"/>
      <c r="AT148" s="388"/>
      <c r="AW148" s="533"/>
      <c r="BA148" s="534"/>
    </row>
    <row r="149" spans="1:54" s="800" customFormat="1">
      <c r="A149" s="800">
        <v>2019</v>
      </c>
      <c r="B149" s="865">
        <v>43532</v>
      </c>
      <c r="C149" s="916" t="s">
        <v>1400</v>
      </c>
      <c r="D149" s="916"/>
      <c r="E149" s="800">
        <v>181</v>
      </c>
      <c r="F149" s="428">
        <v>0</v>
      </c>
      <c r="G149" s="539">
        <v>6</v>
      </c>
      <c r="H149" s="800">
        <v>8</v>
      </c>
      <c r="J149" s="541">
        <v>19</v>
      </c>
      <c r="K149" s="537">
        <f t="shared" si="32"/>
        <v>31.578947368421051</v>
      </c>
      <c r="L149" s="537">
        <f t="shared" si="32"/>
        <v>42.105263157894733</v>
      </c>
      <c r="M149" s="537">
        <f t="shared" ref="M149" si="37">I149/$J149*100</f>
        <v>0</v>
      </c>
      <c r="N149" s="540">
        <f t="shared" ref="N149" si="38">K149+L149+M149</f>
        <v>73.68421052631578</v>
      </c>
      <c r="O149" s="536">
        <v>19.600000000000001</v>
      </c>
      <c r="P149" s="537">
        <v>35.9</v>
      </c>
      <c r="Q149" s="537"/>
      <c r="R149" s="538">
        <f t="shared" si="27"/>
        <v>55.5</v>
      </c>
      <c r="S149" s="800">
        <v>2</v>
      </c>
      <c r="T149" s="838"/>
      <c r="U149" s="836"/>
      <c r="V149" s="532" t="s">
        <v>1401</v>
      </c>
      <c r="W149" s="800" t="s">
        <v>1402</v>
      </c>
      <c r="X149" s="800" t="s">
        <v>18</v>
      </c>
      <c r="Y149" s="533">
        <v>35.9</v>
      </c>
      <c r="Z149" s="532" t="s">
        <v>1403</v>
      </c>
      <c r="AA149" s="800" t="s">
        <v>297</v>
      </c>
      <c r="AB149" s="800" t="s">
        <v>11</v>
      </c>
      <c r="AC149" s="533">
        <v>19.600000000000001</v>
      </c>
      <c r="AD149" s="532"/>
      <c r="AH149" s="532"/>
      <c r="AL149" s="532"/>
      <c r="AO149" s="533"/>
      <c r="AP149" s="532"/>
      <c r="AT149" s="388"/>
      <c r="AW149" s="533"/>
      <c r="BA149" s="534"/>
    </row>
    <row r="150" spans="1:54" s="799" customFormat="1">
      <c r="A150" s="799">
        <v>2019</v>
      </c>
      <c r="B150" s="852">
        <v>43713</v>
      </c>
      <c r="C150" s="917" t="s">
        <v>1422</v>
      </c>
      <c r="D150" s="917"/>
      <c r="E150" s="799">
        <v>117</v>
      </c>
      <c r="F150" s="16">
        <v>4</v>
      </c>
      <c r="G150" s="498"/>
      <c r="H150" s="799">
        <v>10</v>
      </c>
      <c r="I150" s="799">
        <v>10</v>
      </c>
      <c r="J150" s="500">
        <v>23</v>
      </c>
      <c r="K150" s="496">
        <f t="shared" si="32"/>
        <v>0</v>
      </c>
      <c r="L150" s="496">
        <f t="shared" si="32"/>
        <v>43.478260869565219</v>
      </c>
      <c r="M150" s="496">
        <f>I150/$J150*100</f>
        <v>43.478260869565219</v>
      </c>
      <c r="N150" s="499">
        <f t="shared" ref="N150" si="39">K150+L150+M150</f>
        <v>86.956521739130437</v>
      </c>
      <c r="O150" s="495"/>
      <c r="P150" s="496">
        <v>33.9</v>
      </c>
      <c r="Q150" s="496">
        <v>20.5</v>
      </c>
      <c r="R150" s="497">
        <f t="shared" si="27"/>
        <v>54.4</v>
      </c>
      <c r="S150" s="799">
        <v>2</v>
      </c>
      <c r="T150" s="839"/>
      <c r="U150" s="852">
        <v>43713</v>
      </c>
      <c r="V150" s="492" t="s">
        <v>1401</v>
      </c>
      <c r="W150" s="799" t="s">
        <v>1402</v>
      </c>
      <c r="X150" s="799" t="s">
        <v>18</v>
      </c>
      <c r="Y150" s="493">
        <v>33.9</v>
      </c>
      <c r="Z150" s="492" t="s">
        <v>558</v>
      </c>
      <c r="AA150" s="799" t="s">
        <v>307</v>
      </c>
      <c r="AB150" s="799" t="s">
        <v>12</v>
      </c>
      <c r="AC150" s="493">
        <v>14</v>
      </c>
      <c r="AD150" s="492" t="s">
        <v>1423</v>
      </c>
      <c r="AE150" s="799" t="s">
        <v>1424</v>
      </c>
      <c r="AF150" s="804" t="s">
        <v>12</v>
      </c>
      <c r="AG150" s="493">
        <v>1.9</v>
      </c>
      <c r="AH150" s="492" t="s">
        <v>1425</v>
      </c>
      <c r="AI150" s="799" t="s">
        <v>1036</v>
      </c>
      <c r="AJ150" s="799" t="s">
        <v>12</v>
      </c>
      <c r="AK150" s="799">
        <v>4.5999999999999996</v>
      </c>
      <c r="AL150" s="492"/>
      <c r="AO150" s="493"/>
      <c r="AP150" s="492"/>
      <c r="AT150" s="147"/>
      <c r="AW150" s="493"/>
      <c r="BA150" s="494"/>
    </row>
    <row r="151" spans="1:54" s="799" customFormat="1">
      <c r="A151" s="799">
        <v>2019</v>
      </c>
      <c r="B151" s="860">
        <v>43829</v>
      </c>
      <c r="C151" s="917" t="s">
        <v>1422</v>
      </c>
      <c r="D151" s="917"/>
      <c r="E151" s="799">
        <v>1</v>
      </c>
      <c r="F151" s="502">
        <v>0</v>
      </c>
      <c r="G151" s="498"/>
      <c r="H151" s="799">
        <v>10</v>
      </c>
      <c r="I151" s="799">
        <v>10</v>
      </c>
      <c r="J151" s="500">
        <v>24</v>
      </c>
      <c r="K151" s="496">
        <f t="shared" si="32"/>
        <v>0</v>
      </c>
      <c r="L151" s="496">
        <f t="shared" si="32"/>
        <v>41.666666666666671</v>
      </c>
      <c r="M151" s="496">
        <f>I151/$J151*100</f>
        <v>41.666666666666671</v>
      </c>
      <c r="N151" s="499">
        <f t="shared" ref="N151" si="40">K151+L151+M151</f>
        <v>83.333333333333343</v>
      </c>
      <c r="O151" s="495"/>
      <c r="P151" s="496">
        <v>33.9</v>
      </c>
      <c r="Q151" s="496">
        <v>20.5</v>
      </c>
      <c r="R151" s="497">
        <f t="shared" si="27"/>
        <v>54.4</v>
      </c>
      <c r="S151" s="799">
        <v>2</v>
      </c>
      <c r="T151" s="839"/>
      <c r="U151" s="852"/>
      <c r="V151" s="492" t="s">
        <v>1401</v>
      </c>
      <c r="W151" s="799" t="s">
        <v>1402</v>
      </c>
      <c r="X151" s="799" t="s">
        <v>18</v>
      </c>
      <c r="Y151" s="493">
        <v>33.9</v>
      </c>
      <c r="Z151" s="492" t="s">
        <v>558</v>
      </c>
      <c r="AA151" s="799" t="s">
        <v>307</v>
      </c>
      <c r="AB151" s="799" t="s">
        <v>12</v>
      </c>
      <c r="AC151" s="493">
        <v>14</v>
      </c>
      <c r="AD151" s="492" t="s">
        <v>1423</v>
      </c>
      <c r="AE151" s="799" t="s">
        <v>1424</v>
      </c>
      <c r="AF151" s="804" t="s">
        <v>12</v>
      </c>
      <c r="AG151" s="493">
        <v>1.9</v>
      </c>
      <c r="AH151" s="492" t="s">
        <v>1425</v>
      </c>
      <c r="AI151" s="804" t="s">
        <v>1036</v>
      </c>
      <c r="AJ151" s="804" t="s">
        <v>12</v>
      </c>
      <c r="AK151" s="799">
        <v>4.5999999999999996</v>
      </c>
      <c r="AL151" s="492"/>
      <c r="AO151" s="493"/>
      <c r="AP151" s="492"/>
      <c r="AT151" s="147"/>
      <c r="AW151" s="493"/>
      <c r="BA151" s="494"/>
    </row>
    <row r="152" spans="1:54" s="727" customFormat="1">
      <c r="B152" s="725"/>
      <c r="C152" s="917"/>
      <c r="D152" s="917"/>
      <c r="G152" s="498"/>
      <c r="J152" s="500"/>
      <c r="K152" s="496"/>
      <c r="L152" s="496"/>
      <c r="M152" s="496"/>
      <c r="N152" s="499"/>
      <c r="O152" s="495"/>
      <c r="P152" s="496"/>
      <c r="Q152" s="496"/>
      <c r="R152" s="497"/>
      <c r="T152" s="839"/>
      <c r="U152" s="852"/>
      <c r="V152" s="492"/>
      <c r="Y152" s="493"/>
      <c r="Z152" s="492"/>
      <c r="AC152" s="493"/>
      <c r="AD152" s="492"/>
      <c r="AG152" s="493"/>
      <c r="AH152" s="492"/>
      <c r="AL152" s="492"/>
      <c r="AO152" s="493"/>
      <c r="AP152" s="492"/>
      <c r="AT152" s="147"/>
      <c r="AW152" s="493"/>
      <c r="BA152" s="494"/>
    </row>
    <row r="153" spans="1:54" s="2" customFormat="1" ht="18" customHeight="1">
      <c r="B153" s="22" t="s">
        <v>1269</v>
      </c>
      <c r="H153" s="6"/>
    </row>
    <row r="154" spans="1:54" s="2" customFormat="1" ht="9" customHeight="1">
      <c r="H154" s="6"/>
    </row>
    <row r="155" spans="1:54" s="317" customFormat="1" ht="9" customHeight="1">
      <c r="A155" s="315"/>
      <c r="B155" s="316" t="s">
        <v>1220</v>
      </c>
      <c r="C155" s="316"/>
      <c r="D155" s="316"/>
      <c r="E155" s="316"/>
      <c r="F155" s="316"/>
      <c r="G155" s="316" t="s">
        <v>1221</v>
      </c>
      <c r="H155" s="316"/>
      <c r="I155" s="316"/>
      <c r="J155" s="316"/>
      <c r="K155" s="316"/>
      <c r="L155" s="316"/>
      <c r="M155" s="316"/>
      <c r="N155" s="316"/>
      <c r="R155" s="895" t="s">
        <v>1222</v>
      </c>
      <c r="S155" s="895"/>
      <c r="T155" s="895"/>
      <c r="U155" s="895"/>
      <c r="V155" s="895"/>
      <c r="W155" s="895"/>
      <c r="X155" s="318"/>
      <c r="Y155" s="318"/>
      <c r="AA155" s="318"/>
      <c r="AB155" s="318"/>
      <c r="AC155" s="318"/>
      <c r="AD155" s="318"/>
    </row>
    <row r="156" spans="1:54" s="322" customFormat="1" ht="9" customHeight="1">
      <c r="A156" s="319"/>
      <c r="B156" s="320" t="s">
        <v>1224</v>
      </c>
      <c r="C156" s="321"/>
      <c r="D156" s="321"/>
      <c r="E156" s="321"/>
      <c r="F156" s="321"/>
      <c r="G156" s="320" t="s">
        <v>1223</v>
      </c>
      <c r="H156" s="321"/>
      <c r="I156" s="321"/>
      <c r="J156" s="321"/>
      <c r="K156" s="321"/>
      <c r="L156" s="321"/>
      <c r="M156" s="321"/>
      <c r="N156" s="321"/>
      <c r="R156" s="323" t="s">
        <v>1225</v>
      </c>
      <c r="S156" s="324"/>
      <c r="T156" s="325"/>
      <c r="U156" s="325"/>
      <c r="V156" s="325"/>
      <c r="W156" s="323" t="s">
        <v>1226</v>
      </c>
      <c r="X156" s="325"/>
      <c r="Y156" s="325"/>
      <c r="AA156" s="325"/>
      <c r="AB156" s="325"/>
      <c r="AC156" s="325"/>
      <c r="AD156" s="325"/>
    </row>
    <row r="157" spans="1:54" s="307" customFormat="1" ht="12" customHeight="1">
      <c r="A157" s="326" t="s">
        <v>3</v>
      </c>
      <c r="B157" s="327" t="s">
        <v>8</v>
      </c>
      <c r="C157" s="327" t="s">
        <v>9</v>
      </c>
      <c r="D157" s="327" t="s">
        <v>10</v>
      </c>
      <c r="E157" s="328" t="s">
        <v>1200</v>
      </c>
      <c r="F157" s="327"/>
      <c r="G157" s="307" t="s">
        <v>3</v>
      </c>
      <c r="H157" s="896" t="s">
        <v>0</v>
      </c>
      <c r="I157" s="896"/>
      <c r="J157" s="896" t="s">
        <v>1</v>
      </c>
      <c r="K157" s="896"/>
      <c r="L157" s="896" t="s">
        <v>2</v>
      </c>
      <c r="M157" s="896"/>
      <c r="N157" s="897" t="s">
        <v>1200</v>
      </c>
      <c r="O157" s="897"/>
      <c r="P157" s="329"/>
      <c r="Q157" s="329"/>
      <c r="R157" s="330" t="s">
        <v>3</v>
      </c>
      <c r="S157" s="331" t="s">
        <v>136</v>
      </c>
      <c r="T157" s="329" t="s">
        <v>134</v>
      </c>
      <c r="U157" s="327" t="s">
        <v>135</v>
      </c>
      <c r="V157" s="329"/>
      <c r="W157" s="332" t="s">
        <v>26</v>
      </c>
    </row>
    <row r="158" spans="1:54" s="243" customFormat="1">
      <c r="A158" s="243">
        <v>1959</v>
      </c>
      <c r="B158" s="230">
        <f>(K6*($E6/365)) + (K7*($E7/365))</f>
        <v>0</v>
      </c>
      <c r="C158" s="230">
        <f>(L6*($E6/365)) + (L7*($E7/365))</f>
        <v>98.109589041095887</v>
      </c>
      <c r="D158" s="230">
        <f>(M6*($E6/365)) + (M7*($E7/365))</f>
        <v>1.8904109589041098</v>
      </c>
      <c r="E158" s="231">
        <f>B158+C158+D158</f>
        <v>100</v>
      </c>
      <c r="G158" s="243">
        <v>1959</v>
      </c>
      <c r="H158" s="927">
        <f>(O6/$R6*100*($E6/365))+(O7/$R7*100*($E7/365))</f>
        <v>0</v>
      </c>
      <c r="I158" s="927"/>
      <c r="J158" s="927">
        <f>(P6/$R6*100*($E6/365))+(P7/$R7*100*($E7/365))</f>
        <v>99.057977030579778</v>
      </c>
      <c r="K158" s="927"/>
      <c r="L158" s="927">
        <f>(Q6/$R6*100*($E6/365))+(Q7/$R7*100*($E7/365))</f>
        <v>0.94202296942022989</v>
      </c>
      <c r="M158" s="927"/>
      <c r="N158" s="926">
        <f>H158+J158+L158</f>
        <v>100.00000000000001</v>
      </c>
      <c r="O158" s="926"/>
      <c r="R158" s="243">
        <v>1959</v>
      </c>
      <c r="S158" s="230">
        <f>(O6*($E6/365)) + (O7*($E7/365))</f>
        <v>0</v>
      </c>
      <c r="T158" s="230">
        <f>(P6*($E6/365)) + (P7*($E7/365))</f>
        <v>45.8</v>
      </c>
      <c r="U158" s="230">
        <f>(Q6*($E6/365)) + (Q7*($E7/365))</f>
        <v>0.46630136986301374</v>
      </c>
      <c r="V158" s="245"/>
      <c r="W158" s="244">
        <f>S158+T158+U158</f>
        <v>46.266301369863008</v>
      </c>
      <c r="AT158" s="250"/>
      <c r="BA158" s="285"/>
      <c r="BB158" s="258"/>
    </row>
    <row r="159" spans="1:54">
      <c r="A159" s="1">
        <v>1960</v>
      </c>
      <c r="B159" s="8">
        <f>(K8*($E8/366))+(K9*($E9/366))+(K10*($E10/366))</f>
        <v>0</v>
      </c>
      <c r="C159" s="8">
        <f>(L8*($E8/366))+(L9*($E9/366))+(L10*($E10/366))</f>
        <v>100</v>
      </c>
      <c r="D159" s="8">
        <f>(M8*($E8/366))+(M9*($E9/366))+(M10*($E10/366))</f>
        <v>0</v>
      </c>
      <c r="E159" s="48">
        <f>B159+C159+D159</f>
        <v>100</v>
      </c>
      <c r="G159" s="1">
        <v>1960</v>
      </c>
      <c r="H159" s="918">
        <f>(O8/$R8*100*($E8/366))+(O9/$R9*100*($E9/366))+(O10/$R10*100*($E10/366))</f>
        <v>0</v>
      </c>
      <c r="I159" s="918"/>
      <c r="J159" s="918">
        <f>(P8/$R8*100*($E8/366))+(P9/$R9*100*($E9/366))+(P10/$R10*100*($E10/366))</f>
        <v>100</v>
      </c>
      <c r="K159" s="918"/>
      <c r="L159" s="918">
        <f>(Q8/$R8*100*($E8/366))+(Q9/$R9*100*($E9/366))+(Q10/$R10*100*($E10/366))</f>
        <v>0</v>
      </c>
      <c r="M159" s="918"/>
      <c r="N159" s="919">
        <f>H159+J159+L159</f>
        <v>100</v>
      </c>
      <c r="O159" s="919"/>
      <c r="R159" s="1">
        <v>1960</v>
      </c>
      <c r="S159" s="8">
        <f>(O8*($E8/366))+(O9*($E9/366))+(O10*($E10/366))</f>
        <v>0</v>
      </c>
      <c r="T159" s="8">
        <f>(P8*($E8/366))+(P9*($E9/366))+(P10*($E10/366))</f>
        <v>45.8</v>
      </c>
      <c r="U159" s="8">
        <f>(Q8*($E8/366))+(Q9*($E9/366))+(Q10*($E10/366))</f>
        <v>0</v>
      </c>
      <c r="V159" s="12"/>
      <c r="W159" s="7">
        <f>S159+T159+U159</f>
        <v>45.8</v>
      </c>
    </row>
    <row r="160" spans="1:54">
      <c r="A160" s="1">
        <v>1961</v>
      </c>
      <c r="B160" s="8">
        <f>(K11*($E11/365))+(K12*($E12/365))</f>
        <v>0</v>
      </c>
      <c r="C160" s="8">
        <f>(L11*($E11/365))+(L12*($E12/365))</f>
        <v>100</v>
      </c>
      <c r="D160" s="8">
        <f>(M11*($E11/365))+(M12*($E12/365))</f>
        <v>0</v>
      </c>
      <c r="E160" s="48">
        <f t="shared" ref="E160:E211" si="41">B160+C160+D160</f>
        <v>100</v>
      </c>
      <c r="G160" s="1">
        <v>1961</v>
      </c>
      <c r="H160" s="918">
        <f>(O11/$R11*100*($E11/365))+(O12/$R12*100*($E12/365))</f>
        <v>0</v>
      </c>
      <c r="I160" s="918"/>
      <c r="J160" s="918">
        <f>(P11/$R11*100*($E11/365))+(P12/$R12*100*($E12/365))</f>
        <v>100</v>
      </c>
      <c r="K160" s="918"/>
      <c r="L160" s="918">
        <f>(Q11/$R11*100*($E11/365))+(Q12/$R12*100*($E12/365))</f>
        <v>0</v>
      </c>
      <c r="M160" s="918"/>
      <c r="N160" s="919">
        <f t="shared" ref="N160:N210" si="42">H160+J160+L160</f>
        <v>100</v>
      </c>
      <c r="O160" s="919"/>
      <c r="R160" s="1">
        <v>1961</v>
      </c>
      <c r="S160" s="8">
        <f>(O11*($E11/365))+(O12*($E12/365))</f>
        <v>0</v>
      </c>
      <c r="T160" s="8">
        <f>(P11*($E11/365))+(P12*($E12/365))</f>
        <v>45.8</v>
      </c>
      <c r="U160" s="8">
        <f>(Q11*($E11/365))+(Q12*($E12/365))</f>
        <v>0</v>
      </c>
      <c r="V160" s="12"/>
      <c r="W160" s="7">
        <f t="shared" ref="W160:W211" si="43">S160+T160+U160</f>
        <v>45.8</v>
      </c>
    </row>
    <row r="161" spans="1:23">
      <c r="A161" s="1">
        <v>1962</v>
      </c>
      <c r="B161" s="8">
        <f>(K13*($E13/365))+(K14*($E14/365))</f>
        <v>0</v>
      </c>
      <c r="C161" s="8">
        <f>(L13*($E13/365))+(L14*($E14/365))</f>
        <v>89.246575342465761</v>
      </c>
      <c r="D161" s="8">
        <f>(M13*($E13/365))+(M14*($E14/365))</f>
        <v>10.753424657534246</v>
      </c>
      <c r="E161" s="48">
        <f t="shared" si="41"/>
        <v>100</v>
      </c>
      <c r="G161" s="1">
        <v>1962</v>
      </c>
      <c r="H161" s="918">
        <f>(O13/$R13*100*($E13/365))+(O14/$R14*100*($E14/365))</f>
        <v>0</v>
      </c>
      <c r="I161" s="918"/>
      <c r="J161" s="918">
        <f>(P13/$R13*100*($E13/365))+(P14/$R14*100*($E14/365))</f>
        <v>93.697002576970021</v>
      </c>
      <c r="K161" s="918"/>
      <c r="L161" s="918">
        <f>(Q13/$R13*100*($E13/365))+(Q14/$R14*100*($E14/365))</f>
        <v>6.302997423029975</v>
      </c>
      <c r="M161" s="918"/>
      <c r="N161" s="887">
        <f t="shared" si="42"/>
        <v>100</v>
      </c>
      <c r="O161" s="887"/>
      <c r="R161" s="1">
        <v>1962</v>
      </c>
      <c r="S161" s="8">
        <f>(O13*($E13/365))+(O14*($E14/365))</f>
        <v>0</v>
      </c>
      <c r="T161" s="8">
        <f>(P13*($E13/365))+(P14*($E14/365))</f>
        <v>46.660273972602738</v>
      </c>
      <c r="U161" s="8">
        <f>(Q13*($E13/365))+(Q14*($E14/365))</f>
        <v>3.1830136986301372</v>
      </c>
      <c r="V161" s="12"/>
      <c r="W161" s="7">
        <f t="shared" si="43"/>
        <v>49.843287671232872</v>
      </c>
    </row>
    <row r="162" spans="1:23">
      <c r="A162" s="1">
        <v>1963</v>
      </c>
      <c r="B162" s="8">
        <f>(K15*($E15/365))+(K16*($E16/365))+(K17*($E17/365))</f>
        <v>0</v>
      </c>
      <c r="C162" s="8">
        <f>(L15*($E15/365))+(L16*($E16/365))+(L17*($E17/365))</f>
        <v>91.583245521601683</v>
      </c>
      <c r="D162" s="8">
        <f>(M15*($E15/365))+(M16*($E16/365))+(M17*($E17/365))</f>
        <v>8.4167544783983139</v>
      </c>
      <c r="E162" s="48">
        <f t="shared" si="41"/>
        <v>100</v>
      </c>
      <c r="G162" s="1">
        <v>1963</v>
      </c>
      <c r="H162" s="918">
        <f>(O15/$R15*100*($E15/365))+(O16/$R16*100*($E16/365))+(O17/$R17*100*($E17/365))</f>
        <v>0</v>
      </c>
      <c r="I162" s="918"/>
      <c r="J162" s="918">
        <f>(P15/$R15*100*($E15/365))+(P16/$R16*100*($E16/365))+(P17/$R17*100*($E17/365))</f>
        <v>94.283027899889106</v>
      </c>
      <c r="K162" s="918"/>
      <c r="L162" s="918">
        <f>(Q15/$R15*100*($E15/365))+(Q16/$R16*100*($E16/365))+(Q17/$R17*100*($E17/365))</f>
        <v>5.7169721001108984</v>
      </c>
      <c r="M162" s="918"/>
      <c r="N162" s="887">
        <f t="shared" si="42"/>
        <v>100</v>
      </c>
      <c r="O162" s="887"/>
      <c r="R162" s="1">
        <v>1963</v>
      </c>
      <c r="S162" s="8">
        <f>(O15*($E15/365))+(O16*($E16/365))+(O17*($E17/365))</f>
        <v>0</v>
      </c>
      <c r="T162" s="8">
        <f>(P15*($E15/365))+(P16*($E16/365))+(P17*($E17/365))</f>
        <v>43.950684931506849</v>
      </c>
      <c r="U162" s="8">
        <f>(Q15*($E15/365))+(Q16*($E16/365))+(Q17*($E17/365))</f>
        <v>3.1315068493150688</v>
      </c>
      <c r="V162" s="12"/>
      <c r="W162" s="7">
        <f t="shared" si="43"/>
        <v>47.082191780821915</v>
      </c>
    </row>
    <row r="163" spans="1:23">
      <c r="A163" s="1">
        <v>1964</v>
      </c>
      <c r="B163" s="8">
        <f>(K18*($E18/366))+(K19*($E19/366))</f>
        <v>0</v>
      </c>
      <c r="C163" s="8">
        <f>(L18*($E18/366))+(L19*($E19/366))</f>
        <v>65.384615384615387</v>
      </c>
      <c r="D163" s="8">
        <f>(M18*($E18/366))+(M19*($E19/366))</f>
        <v>34.615384615384613</v>
      </c>
      <c r="E163" s="48">
        <f t="shared" si="41"/>
        <v>100</v>
      </c>
      <c r="G163" s="1">
        <v>1964</v>
      </c>
      <c r="H163" s="918">
        <f>(O18/$R18*100*($E18/366))+(O19/$R19*100*($E19/366))</f>
        <v>0</v>
      </c>
      <c r="I163" s="918"/>
      <c r="J163" s="918">
        <f>(P18/$R18*100*($E18/366))+(P19/$R19*100*($E19/366))</f>
        <v>69.117647058823522</v>
      </c>
      <c r="K163" s="918"/>
      <c r="L163" s="918">
        <f>(Q18/$R18*100*($E18/366))+(Q19/$R19*100*($E19/366))</f>
        <v>30.882352941176471</v>
      </c>
      <c r="M163" s="918"/>
      <c r="N163" s="887">
        <f t="shared" si="42"/>
        <v>100</v>
      </c>
      <c r="O163" s="887"/>
      <c r="R163" s="1">
        <v>1964</v>
      </c>
      <c r="S163" s="8">
        <f>(O18*($E18/366))+(O19*($E19/366))</f>
        <v>0</v>
      </c>
      <c r="T163" s="8">
        <f>(P18*($E18/366))+(P19*($E19/366))</f>
        <v>42.3</v>
      </c>
      <c r="U163" s="8">
        <f>(Q18*($E18/366))+(Q19*($E19/366))</f>
        <v>18.899999999999999</v>
      </c>
      <c r="V163" s="12"/>
      <c r="W163" s="7">
        <f t="shared" si="43"/>
        <v>61.199999999999996</v>
      </c>
    </row>
    <row r="164" spans="1:23">
      <c r="A164" s="1">
        <v>1965</v>
      </c>
      <c r="B164" s="8">
        <f>(K20*($E20/365))+(K21*($E21/365))</f>
        <v>0</v>
      </c>
      <c r="C164" s="8">
        <f>(L20*($E20/365))+(L21*($E21/365))</f>
        <v>65.384615384615387</v>
      </c>
      <c r="D164" s="8">
        <f>(M20*($E20/365))+(M21*($E21/365))</f>
        <v>34.615384615384613</v>
      </c>
      <c r="E164" s="48">
        <f t="shared" si="41"/>
        <v>100</v>
      </c>
      <c r="G164" s="1">
        <v>1965</v>
      </c>
      <c r="H164" s="918">
        <f>(O20/$R20*100*($E20/365))+(O21/$R21*100*($E21/365))</f>
        <v>0</v>
      </c>
      <c r="I164" s="918"/>
      <c r="J164" s="918">
        <f>(P20/$R20*100*($E20/365))+(P21/$R21*100*($E21/365))</f>
        <v>69.117647058823522</v>
      </c>
      <c r="K164" s="918"/>
      <c r="L164" s="918">
        <f>(Q20/$R20*100*($E20/365))+(Q21/$R21*100*($E21/365))</f>
        <v>30.882352941176471</v>
      </c>
      <c r="M164" s="918"/>
      <c r="N164" s="887">
        <f t="shared" si="42"/>
        <v>100</v>
      </c>
      <c r="O164" s="887"/>
      <c r="R164" s="1">
        <v>1965</v>
      </c>
      <c r="S164" s="8">
        <f>(O20*($E20/365))+(O21*($E21/365))</f>
        <v>0</v>
      </c>
      <c r="T164" s="8">
        <f>(P20*($E20/365))+(P21*($E21/365))</f>
        <v>42.3</v>
      </c>
      <c r="U164" s="8">
        <f>(Q20*($E20/365))+(Q21*($E21/365))</f>
        <v>18.899999999999999</v>
      </c>
      <c r="V164" s="12"/>
      <c r="W164" s="7">
        <f t="shared" si="43"/>
        <v>61.199999999999996</v>
      </c>
    </row>
    <row r="165" spans="1:23">
      <c r="A165" s="1">
        <v>1966</v>
      </c>
      <c r="B165" s="8">
        <f>(K22*($E22/365))+(K23*($E23/365))</f>
        <v>0</v>
      </c>
      <c r="C165" s="8">
        <f>(L22*($E22/365))+(L23*($E23/365))</f>
        <v>65.384615384615387</v>
      </c>
      <c r="D165" s="8">
        <f>(M22*($E22/365))+(M23*($E23/365))</f>
        <v>34.615384615384613</v>
      </c>
      <c r="E165" s="48">
        <f t="shared" si="41"/>
        <v>100</v>
      </c>
      <c r="G165" s="1">
        <v>1966</v>
      </c>
      <c r="H165" s="918">
        <f>(O22/$R22*100*($E22/365))+(O23/$R23*100*($E23/365))</f>
        <v>0</v>
      </c>
      <c r="I165" s="918"/>
      <c r="J165" s="918">
        <f>(P22/$R22*100*($E22/365))+(P23/$R23*100*($E23/365))</f>
        <v>69.117647058823522</v>
      </c>
      <c r="K165" s="918"/>
      <c r="L165" s="918">
        <f>(Q22/$R22*100*($E22/365))+(Q23/$R23*100*($E23/365))</f>
        <v>30.882352941176471</v>
      </c>
      <c r="M165" s="918"/>
      <c r="N165" s="887">
        <f t="shared" si="42"/>
        <v>100</v>
      </c>
      <c r="O165" s="887"/>
      <c r="R165" s="1">
        <v>1966</v>
      </c>
      <c r="S165" s="8">
        <f>(O22*($E22/365))+(O23*($E23/365))</f>
        <v>0</v>
      </c>
      <c r="T165" s="8">
        <f>(P22*($E22/365))+(P23*($E23/365))</f>
        <v>42.3</v>
      </c>
      <c r="U165" s="8">
        <f>(Q22*($E22/365))+(Q23*($E23/365))</f>
        <v>18.899999999999999</v>
      </c>
      <c r="V165" s="12"/>
      <c r="W165" s="7">
        <f t="shared" si="43"/>
        <v>61.199999999999996</v>
      </c>
    </row>
    <row r="166" spans="1:23">
      <c r="A166" s="1">
        <v>1967</v>
      </c>
      <c r="B166" s="8">
        <f>(K24*($E24/365))+(K25*($E25/365))</f>
        <v>0</v>
      </c>
      <c r="C166" s="8">
        <f>(L24*($E24/365))+(L25*($E25/365))</f>
        <v>65.384615384615387</v>
      </c>
      <c r="D166" s="8">
        <f>(M24*($E24/365))+(M25*($E25/365))</f>
        <v>34.615384615384613</v>
      </c>
      <c r="E166" s="48">
        <f t="shared" si="41"/>
        <v>100</v>
      </c>
      <c r="G166" s="1">
        <v>1967</v>
      </c>
      <c r="H166" s="918">
        <f>(O24/$R24*100*($E24/365))+(O25/$R25*100*($E25/365))</f>
        <v>0</v>
      </c>
      <c r="I166" s="918"/>
      <c r="J166" s="918">
        <f>(P24/$R24*100*($E24/365))+(P25/$R25*100*($E25/365))</f>
        <v>69.117647058823522</v>
      </c>
      <c r="K166" s="918"/>
      <c r="L166" s="918">
        <f>(Q24/$R24*100*($E24/365))+(Q25/$R25*100*($E25/365))</f>
        <v>30.882352941176471</v>
      </c>
      <c r="M166" s="918"/>
      <c r="N166" s="887">
        <f t="shared" si="42"/>
        <v>100</v>
      </c>
      <c r="O166" s="887"/>
      <c r="R166" s="1">
        <v>1967</v>
      </c>
      <c r="S166" s="8">
        <f>(O24*($E24/365))+(O25*($E25/365))</f>
        <v>0</v>
      </c>
      <c r="T166" s="8">
        <f>(P24*($E24/365))+(P25*($E25/365))</f>
        <v>42.3</v>
      </c>
      <c r="U166" s="8">
        <f>(Q24*($E24/365))+(Q25*($E25/365))</f>
        <v>18.899999999999999</v>
      </c>
      <c r="V166" s="12"/>
      <c r="W166" s="7">
        <f t="shared" si="43"/>
        <v>61.199999999999996</v>
      </c>
    </row>
    <row r="167" spans="1:23">
      <c r="A167" s="1">
        <v>1968</v>
      </c>
      <c r="B167" s="8">
        <f>(K26*($E26/366))+(K27*($E27/366))+(K28*($E28/366))</f>
        <v>0</v>
      </c>
      <c r="C167" s="8">
        <f>(L26*($E26/366))+(L27*($E27/366))+(L28*($E28/366))</f>
        <v>81.532856942693016</v>
      </c>
      <c r="D167" s="8">
        <f>(M26*($E26/366))+(M27*($E27/366))+(M28*($E28/366))</f>
        <v>18.467143057306988</v>
      </c>
      <c r="E167" s="48">
        <f t="shared" si="41"/>
        <v>100</v>
      </c>
      <c r="G167" s="1">
        <v>1968</v>
      </c>
      <c r="H167" s="918">
        <f>(O26/$R26*100*($E26/366))+(O27/$R27*100*($E27/366))+(O28/$R28*100*($E28/366))</f>
        <v>0</v>
      </c>
      <c r="I167" s="918"/>
      <c r="J167" s="918">
        <f>(P26/$R26*100*($E26/366))+(P27/$R27*100*($E27/366))+(P28/$R28*100*($E28/366))</f>
        <v>83.792770924084735</v>
      </c>
      <c r="K167" s="918"/>
      <c r="L167" s="918">
        <f>(Q26/$R26*100*($E26/366))+(Q27/$R27*100*($E27/366))+(Q28/$R28*100*($E28/366))</f>
        <v>16.207229075915272</v>
      </c>
      <c r="M167" s="918"/>
      <c r="N167" s="887">
        <f t="shared" si="42"/>
        <v>100</v>
      </c>
      <c r="O167" s="887"/>
      <c r="R167" s="1">
        <v>1968</v>
      </c>
      <c r="S167" s="8">
        <f>(O26*($E26/366))+(O27*($E27/366))+(O28*($E28/366))</f>
        <v>0</v>
      </c>
      <c r="T167" s="8">
        <f>(P26*($E26/366))+(P27*($E27/366))+(P28*($E28/366))</f>
        <v>42.324590163934431</v>
      </c>
      <c r="U167" s="8">
        <f>(Q26*($E26/366))+(Q27*($E27/366))+(Q28*($E28/366))</f>
        <v>9.8754098360655718</v>
      </c>
      <c r="V167" s="12"/>
      <c r="W167" s="7">
        <f t="shared" si="43"/>
        <v>52.2</v>
      </c>
    </row>
    <row r="168" spans="1:23">
      <c r="A168" s="1">
        <v>1969</v>
      </c>
      <c r="B168" s="8">
        <f>(K29*($E29/365))+(K30*($E30/365))</f>
        <v>0</v>
      </c>
      <c r="C168" s="8">
        <f>(L29*($E29/365))+(L30*($E30/365))</f>
        <v>80.273972602739718</v>
      </c>
      <c r="D168" s="8">
        <f>(M29*($E29/365))+(M30*($E30/365))</f>
        <v>19.726027397260271</v>
      </c>
      <c r="E168" s="48">
        <f t="shared" si="41"/>
        <v>99.999999999999986</v>
      </c>
      <c r="G168" s="1">
        <v>1969</v>
      </c>
      <c r="H168" s="918">
        <f>(O29/$R29*100*($E29/365))+(O30/$R30*100*($E30/365))</f>
        <v>0</v>
      </c>
      <c r="I168" s="918"/>
      <c r="J168" s="918">
        <f>(P29/$R29*100*($E29/365))+(P30/$R30*100*($E30/365))</f>
        <v>85.307510628247528</v>
      </c>
      <c r="K168" s="918"/>
      <c r="L168" s="918">
        <f>(Q29/$R29*100*($E29/365))+(Q30/$R30*100*($E30/365))</f>
        <v>14.69248937175248</v>
      </c>
      <c r="M168" s="918"/>
      <c r="N168" s="887">
        <f t="shared" si="42"/>
        <v>100</v>
      </c>
      <c r="O168" s="887"/>
      <c r="R168" s="1">
        <v>1969</v>
      </c>
      <c r="S168" s="8">
        <f>(O29*($E29/365))+(O30*($E30/365))</f>
        <v>0</v>
      </c>
      <c r="T168" s="8">
        <f>(P29*($E29/365))+(P30*($E30/365))</f>
        <v>43.028493150684938</v>
      </c>
      <c r="U168" s="8">
        <f>(Q29*($E29/365))+(Q30*($E30/365))</f>
        <v>8.5216438356164392</v>
      </c>
      <c r="V168" s="12"/>
      <c r="W168" s="7">
        <f t="shared" si="43"/>
        <v>51.550136986301375</v>
      </c>
    </row>
    <row r="169" spans="1:23">
      <c r="A169" s="1">
        <v>1970</v>
      </c>
      <c r="B169" s="8">
        <f>(K31*($E31/365))+(K32*($E32/365))+(K33*($E33/365))</f>
        <v>0</v>
      </c>
      <c r="C169" s="8">
        <f>(L31*($E31/365))+(L32*($E32/365))+(L33*($E33/365))</f>
        <v>73.463796477495109</v>
      </c>
      <c r="D169" s="8">
        <f>(M31*($E31/365))+(M32*($E32/365))+(M33*($E33/365))</f>
        <v>26.536203522504891</v>
      </c>
      <c r="E169" s="48">
        <f t="shared" si="41"/>
        <v>100</v>
      </c>
      <c r="G169" s="1">
        <v>1970</v>
      </c>
      <c r="H169" s="918">
        <f>(O31/$R31*100*($E31/365))+(O32/$R32*100*($E32/365))+(O33/$R33*100*($E33/365))</f>
        <v>0</v>
      </c>
      <c r="I169" s="918"/>
      <c r="J169" s="918">
        <f>(P31/$R31*100*($E31/365))+(P32/$R32*100*($E32/365))+(P33/$R33*100*($E33/365))</f>
        <v>80.954180444024558</v>
      </c>
      <c r="K169" s="918"/>
      <c r="L169" s="918">
        <f>(Q31/$R31*100*($E31/365))+(Q32/$R32*100*($E32/365))+(Q33/$R33*100*($E33/365))</f>
        <v>19.045819555975438</v>
      </c>
      <c r="M169" s="918"/>
      <c r="N169" s="887">
        <f t="shared" si="42"/>
        <v>100</v>
      </c>
      <c r="O169" s="887"/>
      <c r="R169" s="1">
        <v>1970</v>
      </c>
      <c r="S169" s="8">
        <f>(O31*($E31/365))+(O32*($E32/365))+(O33*($E33/365))</f>
        <v>0</v>
      </c>
      <c r="T169" s="8">
        <f>(P31*($E31/365))+(P32*($E32/365))+(P33*($E33/365))</f>
        <v>43.273972602739725</v>
      </c>
      <c r="U169" s="8">
        <f>(Q31*($E31/365))+(Q32*($E32/365))+(Q33*($E33/365))</f>
        <v>11.046575342465754</v>
      </c>
      <c r="V169" s="12"/>
      <c r="W169" s="7">
        <f t="shared" si="43"/>
        <v>54.320547945205476</v>
      </c>
    </row>
    <row r="170" spans="1:23">
      <c r="A170" s="1">
        <v>1971</v>
      </c>
      <c r="B170" s="8">
        <f>(K34*($E34/365))+(K35*($E35/365))</f>
        <v>0</v>
      </c>
      <c r="C170" s="8">
        <f>(L34*($E34/365))+(L35*($E35/365))</f>
        <v>63.169529607885771</v>
      </c>
      <c r="D170" s="8">
        <f>(M34*($E34/365))+(M35*($E35/365))</f>
        <v>36.830470392114229</v>
      </c>
      <c r="E170" s="48">
        <f t="shared" si="41"/>
        <v>100</v>
      </c>
      <c r="G170" s="1">
        <v>1971</v>
      </c>
      <c r="H170" s="918">
        <f>(O34/$R34*100*($E34/365))+(O35/$R35*100*($E35/365))</f>
        <v>0</v>
      </c>
      <c r="I170" s="918"/>
      <c r="J170" s="918">
        <f>(P34/$R34*100*($E34/365))+(P35/$R35*100*($E35/365))</f>
        <v>74.654205981863129</v>
      </c>
      <c r="K170" s="918"/>
      <c r="L170" s="918">
        <f>(Q34/$R34*100*($E34/365))+(Q35/$R35*100*($E35/365))</f>
        <v>25.345794018136868</v>
      </c>
      <c r="M170" s="918"/>
      <c r="N170" s="887">
        <f t="shared" si="42"/>
        <v>100</v>
      </c>
      <c r="O170" s="887"/>
      <c r="R170" s="1">
        <v>1971</v>
      </c>
      <c r="S170" s="8">
        <f>(O34*($E34/365))+(O35*($E35/365))</f>
        <v>0</v>
      </c>
      <c r="T170" s="8">
        <f>(P34*($E34/365))+(P35*($E35/365))</f>
        <v>42.418630136986302</v>
      </c>
      <c r="U170" s="8">
        <f>(Q34*($E34/365))+(Q35*($E35/365))</f>
        <v>14.399999999999999</v>
      </c>
      <c r="V170" s="12"/>
      <c r="W170" s="7">
        <f t="shared" si="43"/>
        <v>56.8186301369863</v>
      </c>
    </row>
    <row r="171" spans="1:23">
      <c r="A171" s="1">
        <v>1972</v>
      </c>
      <c r="B171" s="8">
        <f>(K36*($E36/366))+(K37*($E37/366))+(K38*($E38/366))</f>
        <v>7.9445145018915513</v>
      </c>
      <c r="C171" s="8">
        <f>(L36*($E36/366))+(L37*($E37/366))+(L38*($E38/366))</f>
        <v>77.267526038017849</v>
      </c>
      <c r="D171" s="8">
        <f>(M36*($E36/366))+(M37*($E37/366))+(M38*($E38/366))</f>
        <v>14.78795946009061</v>
      </c>
      <c r="E171" s="48">
        <f t="shared" si="41"/>
        <v>100</v>
      </c>
      <c r="G171" s="1">
        <v>1972</v>
      </c>
      <c r="H171" s="918">
        <f>(O36/$R36*100*($E36/366))+(O37/$R37*100*($E37/366))+(O38/$R38*100*($E38/366))</f>
        <v>3.3878695042857614</v>
      </c>
      <c r="I171" s="918"/>
      <c r="J171" s="918">
        <f>(P36/$R36*100*($E36/366))+(P37/$R37*100*($E37/366))+(P38/$R38*100*($E38/366))</f>
        <v>88.553029848482538</v>
      </c>
      <c r="K171" s="918"/>
      <c r="L171" s="918">
        <f>(Q36/$R36*100*($E36/366))+(Q37/$R37*100*($E37/366))+(Q38/$R38*100*($E38/366))</f>
        <v>8.0591006472317108</v>
      </c>
      <c r="M171" s="918"/>
      <c r="N171" s="887">
        <f t="shared" si="42"/>
        <v>100.00000000000001</v>
      </c>
      <c r="O171" s="887"/>
      <c r="R171" s="1">
        <v>1972</v>
      </c>
      <c r="S171" s="8">
        <f>(O36*($E36/366))+(O37*($E37/366))+(O38*($E38/366))</f>
        <v>1.7040983606557376</v>
      </c>
      <c r="T171" s="8">
        <f>(P36*($E36/366))+(P37*($E37/366))+(P38*($E38/366))</f>
        <v>42.303278688524593</v>
      </c>
      <c r="U171" s="8">
        <f>(Q36*($E36/366))+(Q37*($E37/366))+(Q38*($E38/366))</f>
        <v>4.2639344262295076</v>
      </c>
      <c r="V171" s="12"/>
      <c r="W171" s="7">
        <f t="shared" si="43"/>
        <v>48.271311475409831</v>
      </c>
    </row>
    <row r="172" spans="1:23">
      <c r="A172" s="1">
        <v>1973</v>
      </c>
      <c r="B172" s="8">
        <f>(K39*($E39/365))+(K40*($E40/365))</f>
        <v>10.537407797681769</v>
      </c>
      <c r="C172" s="8">
        <f>(L39*($E39/365))+(L40*($E40/365))</f>
        <v>65.426401656916539</v>
      </c>
      <c r="D172" s="8">
        <f>(M39*($E39/365))+(M40*($E40/365))</f>
        <v>24.036190545401695</v>
      </c>
      <c r="E172" s="48">
        <f t="shared" si="41"/>
        <v>100</v>
      </c>
      <c r="G172" s="1">
        <v>1973</v>
      </c>
      <c r="H172" s="918">
        <f>(O39/$R39*100*($E39/365))+(O40/$R40*100*($E40/365))</f>
        <v>4.4935864266456065</v>
      </c>
      <c r="I172" s="918"/>
      <c r="J172" s="918">
        <f>(P39/$R39*100*($E39/365))+(P40/$R40*100*($E40/365))</f>
        <v>81.593255546840822</v>
      </c>
      <c r="K172" s="918"/>
      <c r="L172" s="918">
        <f>(Q39/$R39*100*($E39/365))+(Q40/$R40*100*($E40/365))</f>
        <v>13.913158026513569</v>
      </c>
      <c r="M172" s="918"/>
      <c r="N172" s="887">
        <f t="shared" si="42"/>
        <v>100</v>
      </c>
      <c r="O172" s="887"/>
      <c r="R172" s="1">
        <v>1973</v>
      </c>
      <c r="S172" s="8">
        <f>(O39*($E39/365))+(O40*($E40/365))</f>
        <v>2.2602739726027394</v>
      </c>
      <c r="T172" s="8">
        <f>(P39*($E39/365))+(P40*($E40/365))</f>
        <v>43.093150684931501</v>
      </c>
      <c r="U172" s="8">
        <f>(Q39*($E39/365))+(Q40*($E40/365))</f>
        <v>7.6561643835616433</v>
      </c>
      <c r="V172" s="12"/>
      <c r="W172" s="7">
        <f t="shared" si="43"/>
        <v>53.009589041095886</v>
      </c>
    </row>
    <row r="173" spans="1:23">
      <c r="A173" s="1">
        <v>1974</v>
      </c>
      <c r="B173" s="8">
        <f>(K41*($E41/365))+(K42*($E42/365))+(K43*($E43/365))</f>
        <v>0</v>
      </c>
      <c r="C173" s="8">
        <f>(L41*($E41/365))+(L42*($E42/365))+(L43*($E43/365))</f>
        <v>66.432905781039935</v>
      </c>
      <c r="D173" s="8">
        <f>(M41*($E41/365))+(M42*($E42/365))+(M43*($E43/365))</f>
        <v>33.567094218960072</v>
      </c>
      <c r="E173" s="48">
        <f t="shared" si="41"/>
        <v>100</v>
      </c>
      <c r="G173" s="1">
        <v>1974</v>
      </c>
      <c r="H173" s="918">
        <f>(O41/$R41*100*($E41/365))+(O42/$R42*100*($E42/365))+(O43/$R43*100*($E43/365))</f>
        <v>0</v>
      </c>
      <c r="I173" s="918"/>
      <c r="J173" s="918">
        <f>(P41/$R41*100*($E41/365))+(P42/$R42*100*($E42/365))+(P43/$R43*100*($E43/365))</f>
        <v>77.660153394894579</v>
      </c>
      <c r="K173" s="918"/>
      <c r="L173" s="918">
        <f>(Q41/$R41*100*($E41/365))+(Q42/$R42*100*($E42/365))+(Q43/$R43*100*($E43/365))</f>
        <v>22.339846605105421</v>
      </c>
      <c r="M173" s="918"/>
      <c r="N173" s="887">
        <f t="shared" si="42"/>
        <v>100</v>
      </c>
      <c r="O173" s="887"/>
      <c r="R173" s="1">
        <v>1974</v>
      </c>
      <c r="S173" s="8">
        <f>(O41*($E41/365))+(O42*($E42/365))+(O43*($E43/365))</f>
        <v>0</v>
      </c>
      <c r="T173" s="8">
        <f>(P41*($E41/365))+(P42*($E42/365))+(P43*($E43/365))</f>
        <v>43.069041095890412</v>
      </c>
      <c r="U173" s="8">
        <f>(Q41*($E41/365))+(Q42*($E42/365))+(Q43*($E43/365))</f>
        <v>12.77205479452055</v>
      </c>
      <c r="V173" s="12"/>
      <c r="W173" s="7">
        <f t="shared" si="43"/>
        <v>55.841095890410962</v>
      </c>
    </row>
    <row r="174" spans="1:23">
      <c r="A174" s="1">
        <v>1975</v>
      </c>
      <c r="B174" s="8">
        <f>(K44*($E44/365))+(K45*($E45/365))</f>
        <v>0</v>
      </c>
      <c r="C174" s="8">
        <f>(L44*($E44/365))+(L45*($E45/365))</f>
        <v>100</v>
      </c>
      <c r="D174" s="8">
        <f>(M44*($E44/365))+(M45*($E45/365))</f>
        <v>0</v>
      </c>
      <c r="E174" s="48">
        <f t="shared" si="41"/>
        <v>100</v>
      </c>
      <c r="G174" s="1">
        <v>1975</v>
      </c>
      <c r="H174" s="918">
        <f>(O44/$R44*100*($E44/365))+(O45/$R45*100*($E45/365))</f>
        <v>0</v>
      </c>
      <c r="I174" s="918"/>
      <c r="J174" s="918">
        <f>(P44/$R44*100*($E44/365))+(P45/$R45*100*($E45/365))</f>
        <v>100</v>
      </c>
      <c r="K174" s="918"/>
      <c r="L174" s="918">
        <f>(Q44/$R44*100*($E44/365))+(Q45/$R45*100*($E45/365))</f>
        <v>0</v>
      </c>
      <c r="M174" s="918"/>
      <c r="N174" s="887">
        <f t="shared" si="42"/>
        <v>100</v>
      </c>
      <c r="O174" s="887"/>
      <c r="R174" s="1">
        <v>1975</v>
      </c>
      <c r="S174" s="8">
        <f>(O44*($E44/365))+(O45*($E45/365))</f>
        <v>0</v>
      </c>
      <c r="T174" s="8">
        <f>(P44*($E44/365))+(P45*($E45/365))</f>
        <v>44.6</v>
      </c>
      <c r="U174" s="8">
        <f>(Q44*($E44/365))+(Q45*($E45/365))</f>
        <v>0</v>
      </c>
      <c r="V174" s="12"/>
      <c r="W174" s="7">
        <f t="shared" si="43"/>
        <v>44.6</v>
      </c>
    </row>
    <row r="175" spans="1:23">
      <c r="A175" s="1">
        <v>1976</v>
      </c>
      <c r="B175" s="8">
        <f>(K46*($E46/366))+(K47*($E47/366))+(K48*($E48/366))</f>
        <v>0</v>
      </c>
      <c r="C175" s="8">
        <f>(L46*($E46/366))+(L47*($E47/366))+(L48*($E48/366))</f>
        <v>98.062593144560367</v>
      </c>
      <c r="D175" s="8">
        <f>(M46*($E46/366))+(M47*($E47/366))+(M48*($E48/366))</f>
        <v>0</v>
      </c>
      <c r="E175" s="48">
        <f t="shared" si="41"/>
        <v>98.062593144560367</v>
      </c>
      <c r="G175" s="1">
        <v>1976</v>
      </c>
      <c r="H175" s="918">
        <f>(O46/$R46*100*($E46/366))+(O47/$R47*100*($E47/366))+(O48/$R48*100*($E48/366))</f>
        <v>0</v>
      </c>
      <c r="I175" s="918"/>
      <c r="J175" s="918">
        <f>(P46/$R46*100*($E46/366))+(P47/$R47*100*($E47/366))+(P48/$R48*100*($E48/366))</f>
        <v>100</v>
      </c>
      <c r="K175" s="918"/>
      <c r="L175" s="918">
        <f>(Q46/$R46*100*($E46/366))+(Q47/$R47*100*($E47/366))+(Q48/$R48*100*($E48/366))</f>
        <v>0</v>
      </c>
      <c r="M175" s="918"/>
      <c r="N175" s="887">
        <f t="shared" si="42"/>
        <v>100</v>
      </c>
      <c r="O175" s="887"/>
      <c r="R175" s="1">
        <v>1976</v>
      </c>
      <c r="S175" s="8">
        <f>(O46*($E46/366))+(O47*($E47/366))+(O48*($E48/366))</f>
        <v>0</v>
      </c>
      <c r="T175" s="8">
        <f>(P46*($E46/366))+(P47*($E47/366))+(P48*($E48/366))</f>
        <v>42.360109289617483</v>
      </c>
      <c r="U175" s="8">
        <f>(Q46*($E46/366))+(Q47*($E47/366))+(Q48*($E48/366))</f>
        <v>0</v>
      </c>
      <c r="V175" s="12"/>
      <c r="W175" s="7">
        <f t="shared" si="43"/>
        <v>42.360109289617483</v>
      </c>
    </row>
    <row r="176" spans="1:23">
      <c r="A176" s="1">
        <v>1977</v>
      </c>
      <c r="B176" s="8">
        <f>(K49*($E49/365))+(K50*($E50/365))</f>
        <v>0</v>
      </c>
      <c r="C176" s="8">
        <f>(L49*($E49/365))+(L50*($E50/365))</f>
        <v>95.454545454545453</v>
      </c>
      <c r="D176" s="8">
        <f>(M49*($E49/365))+(M50*($E50/365))</f>
        <v>0</v>
      </c>
      <c r="E176" s="48">
        <f t="shared" si="41"/>
        <v>95.454545454545453</v>
      </c>
      <c r="G176" s="1">
        <v>1977</v>
      </c>
      <c r="H176" s="918">
        <f>(O49/$R49*100*($E49/365))+(O50/$R50*100*($E50/365))</f>
        <v>0</v>
      </c>
      <c r="I176" s="918"/>
      <c r="J176" s="918">
        <f>(P49/$R49*100*($E49/365))+(P50/$R50*100*($E50/365))</f>
        <v>100</v>
      </c>
      <c r="K176" s="918"/>
      <c r="L176" s="918">
        <f>(Q49/$R49*100*($E49/365))+(Q50/$R50*100*($E50/365))</f>
        <v>0</v>
      </c>
      <c r="M176" s="918"/>
      <c r="N176" s="887">
        <f t="shared" si="42"/>
        <v>100</v>
      </c>
      <c r="O176" s="887"/>
      <c r="R176" s="1">
        <v>1977</v>
      </c>
      <c r="S176" s="8">
        <f>(O49*($E49/365))+(O50*($E50/365))</f>
        <v>0</v>
      </c>
      <c r="T176" s="8">
        <f>(P49*($E49/365))+(P50*($E50/365))</f>
        <v>41.7</v>
      </c>
      <c r="U176" s="8">
        <f>(Q49*($E49/365))+(Q50*($E50/365))</f>
        <v>0</v>
      </c>
      <c r="V176" s="12"/>
      <c r="W176" s="7">
        <f t="shared" si="43"/>
        <v>41.7</v>
      </c>
    </row>
    <row r="177" spans="1:25">
      <c r="A177" s="1">
        <v>1978</v>
      </c>
      <c r="B177" s="8">
        <f>(K51*($E51/365))+(K52*($E52/365))</f>
        <v>0</v>
      </c>
      <c r="C177" s="8">
        <f>(L51*($E51/365))+(L52*($E52/365))</f>
        <v>95.280199252801992</v>
      </c>
      <c r="D177" s="8">
        <f>(M51*($E51/365))+(M52*($E52/365))</f>
        <v>0</v>
      </c>
      <c r="E177" s="48">
        <f t="shared" si="41"/>
        <v>95.280199252801992</v>
      </c>
      <c r="G177" s="1">
        <v>1978</v>
      </c>
      <c r="H177" s="918">
        <f>(O51/$R51*100*($E51/365))+(O52/$R52*100*($E52/365))</f>
        <v>0</v>
      </c>
      <c r="I177" s="918"/>
      <c r="J177" s="918">
        <f>(P51/$R51*100*($E51/365))+(P52/$R52*100*($E52/365))</f>
        <v>100</v>
      </c>
      <c r="K177" s="918"/>
      <c r="L177" s="918">
        <f>(Q51/$R51*100*($E51/365))+(Q52/$R52*100*($E52/365))</f>
        <v>0</v>
      </c>
      <c r="M177" s="918"/>
      <c r="N177" s="887">
        <f t="shared" si="42"/>
        <v>100</v>
      </c>
      <c r="O177" s="887"/>
      <c r="R177" s="1">
        <v>1978</v>
      </c>
      <c r="S177" s="8">
        <f>(O51*($E51/365))+(O52*($E52/365))</f>
        <v>0</v>
      </c>
      <c r="T177" s="8">
        <f>(P51*($E51/365))+(P52*($E52/365))</f>
        <v>41.7</v>
      </c>
      <c r="U177" s="8">
        <f>(Q51*($E51/365))+(Q52*($E52/365))</f>
        <v>0</v>
      </c>
      <c r="V177" s="12"/>
      <c r="W177" s="7">
        <f t="shared" si="43"/>
        <v>41.7</v>
      </c>
    </row>
    <row r="178" spans="1:25">
      <c r="A178" s="1">
        <v>1979</v>
      </c>
      <c r="B178" s="8">
        <f>(K53*($E53/365))+(K54*($E54/365))+(K55*($E55/365))</f>
        <v>3.2657534246575342</v>
      </c>
      <c r="C178" s="8">
        <f>(L53*($E53/365))+(L54*($E54/365))+(L55*($E55/365))</f>
        <v>78.756947162426613</v>
      </c>
      <c r="D178" s="8">
        <f>(M53*($E53/365))+(M54*($E54/365))+(M55*($E55/365))</f>
        <v>13.6808871493803</v>
      </c>
      <c r="E178" s="48">
        <f t="shared" si="41"/>
        <v>95.703587736464442</v>
      </c>
      <c r="G178" s="1">
        <v>1979</v>
      </c>
      <c r="H178" s="918">
        <f>(O53/$R53*100*($E53/365))+(O54/$R54*100*($E54/365))+(O55/$R55*100*($E55/365))</f>
        <v>1.3253869418252981</v>
      </c>
      <c r="I178" s="918"/>
      <c r="J178" s="918">
        <f>(P53/$R53*100*($E53/365))+(P54/$R54*100*($E54/365))+(P55/$R55*100*($E55/365))</f>
        <v>93.813142093268723</v>
      </c>
      <c r="K178" s="918"/>
      <c r="L178" s="918">
        <f>(Q53/$R53*100*($E53/365))+(Q54/$R54*100*($E54/365))+(Q55/$R55*100*($E55/365))</f>
        <v>4.861470964905978</v>
      </c>
      <c r="M178" s="918"/>
      <c r="N178" s="887">
        <f t="shared" si="42"/>
        <v>100</v>
      </c>
      <c r="O178" s="887"/>
      <c r="R178" s="1">
        <v>1979</v>
      </c>
      <c r="S178" s="8">
        <f>(O53*($E53/365))+(O54*($E54/365))+(O55*($E55/365))</f>
        <v>0.61232876712328765</v>
      </c>
      <c r="T178" s="8">
        <f>(P53*($E53/365))+(P54*($E54/365))+(P55*($E55/365))</f>
        <v>42.403287671232874</v>
      </c>
      <c r="U178" s="8">
        <f>(Q53*($E53/365))+(Q54*($E54/365))+(Q55*($E55/365))</f>
        <v>2.2479452054794518</v>
      </c>
      <c r="V178" s="12"/>
      <c r="W178" s="7">
        <f t="shared" si="43"/>
        <v>45.263561643835615</v>
      </c>
    </row>
    <row r="179" spans="1:25">
      <c r="A179" s="1">
        <v>1980</v>
      </c>
      <c r="B179" s="8">
        <f>(K56*($E56/366))+(K57*($E57/366))+(K58*($E58/366))</f>
        <v>2.0546448087431695</v>
      </c>
      <c r="C179" s="8">
        <f>(L56*($E56/366))+(L57*($E57/366))+(L58*($E58/366))</f>
        <v>66.904299303206415</v>
      </c>
      <c r="D179" s="8">
        <f>(M56*($E56/366))+(M57*($E57/366))+(M58*($E58/366))</f>
        <v>28.986411079307256</v>
      </c>
      <c r="E179" s="48">
        <f t="shared" si="41"/>
        <v>97.945355191256837</v>
      </c>
      <c r="G179" s="1">
        <v>1980</v>
      </c>
      <c r="H179" s="918">
        <f>(O56/$R56*100*($E56/366))+(O57/$R57*100*($E57/366))+(O58/$R58*100*($E58/366))</f>
        <v>0.83386558796394872</v>
      </c>
      <c r="I179" s="918"/>
      <c r="J179" s="918">
        <f>(P56/$R56*100*($E56/366))+(P57/$R57*100*($E57/366))+(P58/$R58*100*($E58/366))</f>
        <v>82.785619355825901</v>
      </c>
      <c r="K179" s="918"/>
      <c r="L179" s="918">
        <f>(Q56/$R56*100*($E56/366))+(Q57/$R57*100*($E57/366))+(Q58/$R58*100*($E58/366))</f>
        <v>16.380515056210164</v>
      </c>
      <c r="M179" s="918"/>
      <c r="N179" s="887">
        <f t="shared" si="42"/>
        <v>100</v>
      </c>
      <c r="O179" s="887"/>
      <c r="R179" s="1">
        <v>1980</v>
      </c>
      <c r="S179" s="8">
        <f>(O56*($E56/366))+(O57*($E57/366))+(O58*($E58/366))</f>
        <v>0.38524590163934425</v>
      </c>
      <c r="T179" s="8">
        <f>(P56*($E56/366))+(P57*($E57/366))+(P58*($E58/366))</f>
        <v>43.183606557377054</v>
      </c>
      <c r="U179" s="8">
        <f>(Q56*($E56/366))+(Q57*($E57/366))+(Q58*($E58/366))</f>
        <v>8.7978142076502746</v>
      </c>
      <c r="V179" s="12"/>
      <c r="W179" s="7">
        <f t="shared" si="43"/>
        <v>52.366666666666674</v>
      </c>
    </row>
    <row r="180" spans="1:25">
      <c r="A180" s="1">
        <v>1981</v>
      </c>
      <c r="B180" s="8">
        <f>(K59*($E59/365))+(K60*($E60/365))</f>
        <v>1.8297455968688845</v>
      </c>
      <c r="C180" s="8">
        <f>(L59*($E59/365))+(L60*($E60/365))</f>
        <v>61.810900920489956</v>
      </c>
      <c r="D180" s="8">
        <f>(M59*($E59/365))+(M60*($E60/365))</f>
        <v>36.359353482641154</v>
      </c>
      <c r="E180" s="48">
        <f t="shared" si="41"/>
        <v>100</v>
      </c>
      <c r="G180" s="1">
        <v>1981</v>
      </c>
      <c r="H180" s="918">
        <f>(O59/$R59*100*($E59/365))+(O60/$R60*100*($E60/365))</f>
        <v>1.3159129292550198</v>
      </c>
      <c r="I180" s="918"/>
      <c r="J180" s="918">
        <f>(P59/$R59*100*($E59/365))+(P60/$R60*100*($E60/365))</f>
        <v>75.96420059224306</v>
      </c>
      <c r="K180" s="918"/>
      <c r="L180" s="918">
        <f>(Q59/$R59*100*($E59/365))+(Q60/$R60*100*($E60/365))</f>
        <v>22.71988647850192</v>
      </c>
      <c r="M180" s="918"/>
      <c r="N180" s="887">
        <f t="shared" si="42"/>
        <v>100</v>
      </c>
      <c r="O180" s="887"/>
      <c r="R180" s="1">
        <v>1981</v>
      </c>
      <c r="S180" s="8">
        <f>(O59*($E59/365))+(O60*($E60/365))</f>
        <v>0.76849315068493151</v>
      </c>
      <c r="T180" s="8">
        <f>(P59*($E59/365))+(P60*($E60/365))</f>
        <v>43.8</v>
      </c>
      <c r="U180" s="8">
        <f>(Q59*($E59/365))+(Q60*($E60/365))</f>
        <v>13.1</v>
      </c>
      <c r="V180" s="12"/>
      <c r="W180" s="7">
        <f t="shared" si="43"/>
        <v>57.668493150684931</v>
      </c>
    </row>
    <row r="181" spans="1:25">
      <c r="A181" s="1">
        <v>1982</v>
      </c>
      <c r="B181" s="8">
        <f>(K61*($E61/365))+(K62*($E62/365))+(K63*($E63/365))</f>
        <v>3.7769080234833652</v>
      </c>
      <c r="C181" s="8">
        <f>(L61*($E61/365))+(L62*($E62/365))+(L63*($E63/365))</f>
        <v>60.097847358121328</v>
      </c>
      <c r="D181" s="8">
        <f>(M61*($E61/365))+(M62*($E62/365))+(M63*($E63/365))</f>
        <v>36.125244618395307</v>
      </c>
      <c r="E181" s="48">
        <f t="shared" si="41"/>
        <v>100</v>
      </c>
      <c r="G181" s="1">
        <v>1982</v>
      </c>
      <c r="H181" s="918">
        <f>(O61/$R61*100*($E61/365))+(O62/$R62*100*($E62/365))+(O63/$R63*100*($E63/365))</f>
        <v>2.5748264214674426</v>
      </c>
      <c r="I181" s="918"/>
      <c r="J181" s="918">
        <f>(P61/$R61*100*($E61/365))+(P62/$R62*100*($E62/365))+(P63/$R63*100*($E63/365))</f>
        <v>74.938356164383563</v>
      </c>
      <c r="K181" s="918"/>
      <c r="L181" s="918">
        <f>(Q61/$R61*100*($E61/365))+(Q62/$R62*100*($E62/365))+(Q63/$R63*100*($E63/365))</f>
        <v>22.486817414148998</v>
      </c>
      <c r="M181" s="918"/>
      <c r="N181" s="887">
        <f t="shared" si="42"/>
        <v>100.00000000000001</v>
      </c>
      <c r="O181" s="887"/>
      <c r="R181" s="1">
        <v>1982</v>
      </c>
      <c r="S181" s="8">
        <f>(O61*($E61/365))+(O62*($E62/365))+(O63*($E63/365))</f>
        <v>1.5</v>
      </c>
      <c r="T181" s="8">
        <f>(P61*($E61/365))+(P62*($E62/365))+(P63*($E63/365))</f>
        <v>43.661917808219179</v>
      </c>
      <c r="U181" s="8">
        <f>(Q61*($E61/365))+(Q62*($E62/365))+(Q63*($E63/365))</f>
        <v>13.1</v>
      </c>
      <c r="V181" s="12"/>
      <c r="W181" s="7">
        <f t="shared" si="43"/>
        <v>58.261917808219181</v>
      </c>
    </row>
    <row r="182" spans="1:25">
      <c r="A182" s="1">
        <v>1983</v>
      </c>
      <c r="B182" s="8">
        <f>(K64*($E64/365))+(K65*($E65/365))</f>
        <v>6.9471624266144811</v>
      </c>
      <c r="C182" s="8">
        <f>(L64*($E64/365))+(L65*($E65/365))</f>
        <v>55.479452054794521</v>
      </c>
      <c r="D182" s="8">
        <f>(M64*($E64/365))+(M65*($E65/365))</f>
        <v>37.573385518590996</v>
      </c>
      <c r="E182" s="48">
        <f t="shared" si="41"/>
        <v>100</v>
      </c>
      <c r="G182" s="1">
        <v>1983</v>
      </c>
      <c r="H182" s="918">
        <f>(O64/$R64*100*($E64/365))+(O65/$R65*100*($E65/365))</f>
        <v>3.346114398887134</v>
      </c>
      <c r="I182" s="918"/>
      <c r="J182" s="918">
        <f>(P64/$R64*100*($E64/365))+(P65/$R65*100*($E65/365))</f>
        <v>72.052377808690721</v>
      </c>
      <c r="K182" s="918"/>
      <c r="L182" s="918">
        <f>(Q64/$R64*100*($E64/365))+(Q65/$R65*100*($E65/365))</f>
        <v>24.601507792422137</v>
      </c>
      <c r="M182" s="918"/>
      <c r="N182" s="887">
        <f t="shared" si="42"/>
        <v>100</v>
      </c>
      <c r="O182" s="887"/>
      <c r="R182" s="1">
        <v>1983</v>
      </c>
      <c r="S182" s="8">
        <f>(O64*($E64/365))+(O65*($E65/365))</f>
        <v>1.9109589041095889</v>
      </c>
      <c r="T182" s="8">
        <f>(P64*($E64/365))+(P65*($E65/365))</f>
        <v>40.947945205479449</v>
      </c>
      <c r="U182" s="8">
        <f>(Q64*($E64/365))+(Q65*($E65/365))</f>
        <v>14.004109589041096</v>
      </c>
      <c r="V182" s="12"/>
      <c r="W182" s="7">
        <f t="shared" si="43"/>
        <v>56.863013698630141</v>
      </c>
    </row>
    <row r="183" spans="1:25">
      <c r="A183" s="1">
        <v>1984</v>
      </c>
      <c r="B183" s="8">
        <f>(K66*($E66/366))+(K67*($E67/366))</f>
        <v>6.666666666666667</v>
      </c>
      <c r="C183" s="8">
        <f>(L66*($E66/366))+(L67*($E67/366))</f>
        <v>63.333333333333329</v>
      </c>
      <c r="D183" s="8">
        <f>(M66*($E66/366))+(M67*($E67/366))</f>
        <v>30</v>
      </c>
      <c r="E183" s="48">
        <f t="shared" si="41"/>
        <v>100</v>
      </c>
      <c r="G183" s="1">
        <v>1984</v>
      </c>
      <c r="H183" s="918">
        <f>(O66/$R66*100*($E66/366))+(O67/$R67*100*($E67/366))</f>
        <v>4.3029259896729783</v>
      </c>
      <c r="I183" s="918"/>
      <c r="J183" s="918">
        <f>(P66/$R66*100*($E66/366))+(P67/$R67*100*($E67/366))</f>
        <v>69.363166953528406</v>
      </c>
      <c r="K183" s="918"/>
      <c r="L183" s="918">
        <f>(Q66/$R66*100*($E66/366))+(Q67/$R67*100*($E67/366))</f>
        <v>26.333907056798626</v>
      </c>
      <c r="M183" s="918"/>
      <c r="N183" s="887">
        <f t="shared" si="42"/>
        <v>100.00000000000001</v>
      </c>
      <c r="O183" s="887"/>
      <c r="R183" s="1">
        <v>1984</v>
      </c>
      <c r="S183" s="8">
        <f>(O66*($E66/366))+(O67*($E67/366))</f>
        <v>2.5</v>
      </c>
      <c r="T183" s="8">
        <f>(P66*($E66/366))+(P67*($E67/366))</f>
        <v>40.299999999999997</v>
      </c>
      <c r="U183" s="8">
        <f>(Q66*($E66/366))+(Q67*($E67/366))</f>
        <v>15.3</v>
      </c>
      <c r="V183" s="12"/>
      <c r="W183" s="7">
        <f t="shared" si="43"/>
        <v>58.099999999999994</v>
      </c>
    </row>
    <row r="184" spans="1:25">
      <c r="A184" s="1">
        <v>1985</v>
      </c>
      <c r="B184" s="8">
        <f>(K68*($E68/365))+(K69*($E69/365))</f>
        <v>6.666666666666667</v>
      </c>
      <c r="C184" s="8">
        <f>(L68*($E68/365))+(L69*($E69/365))</f>
        <v>63.333333333333329</v>
      </c>
      <c r="D184" s="8">
        <f>(M68*($E68/365))+(M69*($E69/365))</f>
        <v>30</v>
      </c>
      <c r="E184" s="48">
        <f t="shared" si="41"/>
        <v>100</v>
      </c>
      <c r="G184" s="1">
        <v>1985</v>
      </c>
      <c r="H184" s="918">
        <f>(O68/$R68*100*($E68/365))+(O69/$R69*100*($E69/365))</f>
        <v>4.3029259896729783</v>
      </c>
      <c r="I184" s="918"/>
      <c r="J184" s="918">
        <f>(P68/$R68*100*($E68/365))+(P69/$R69*100*($E69/365))</f>
        <v>69.363166953528406</v>
      </c>
      <c r="K184" s="918"/>
      <c r="L184" s="918">
        <f>(Q68/$R68*100*($E68/365))+(Q69/$R69*100*($E69/365))</f>
        <v>26.333907056798626</v>
      </c>
      <c r="M184" s="918"/>
      <c r="N184" s="887">
        <f t="shared" si="42"/>
        <v>100.00000000000001</v>
      </c>
      <c r="O184" s="887"/>
      <c r="R184" s="1">
        <v>1985</v>
      </c>
      <c r="S184" s="8">
        <f>(O68*($E68/365))+(O69*($E69/365))</f>
        <v>2.5</v>
      </c>
      <c r="T184" s="8">
        <f>(P68*($E68/365))+(P69*($E69/365))</f>
        <v>40.299999999999997</v>
      </c>
      <c r="U184" s="8">
        <f>(Q68*($E68/365))+(Q69*($E69/365))</f>
        <v>15.3</v>
      </c>
      <c r="V184" s="12"/>
      <c r="W184" s="7">
        <f t="shared" si="43"/>
        <v>58.099999999999994</v>
      </c>
    </row>
    <row r="185" spans="1:25">
      <c r="A185" s="1">
        <v>1986</v>
      </c>
      <c r="B185" s="8">
        <f>(K70*($E70/365))+(K71*($E71/365))</f>
        <v>6.6666666666666679</v>
      </c>
      <c r="C185" s="8">
        <f>(L70*($E70/365))+(L71*($E71/365))</f>
        <v>63.333333333333329</v>
      </c>
      <c r="D185" s="8">
        <f>(M70*($E70/365))+(M71*($E71/365))</f>
        <v>30</v>
      </c>
      <c r="E185" s="48">
        <f t="shared" si="41"/>
        <v>100</v>
      </c>
      <c r="G185" s="1">
        <v>1986</v>
      </c>
      <c r="H185" s="918">
        <f>(O71/$R71*100*($E71/365))+(O70/$R70*100*($E70/365))</f>
        <v>4.3029259896729783</v>
      </c>
      <c r="I185" s="918"/>
      <c r="J185" s="918">
        <f>(P71/$R71*100*($E71/365))+(P70/$R70*100*($E70/365))</f>
        <v>69.363166953528406</v>
      </c>
      <c r="K185" s="918"/>
      <c r="L185" s="918">
        <f>(Q71/$R71*100*($E71/365))+(Q70/$R70*100*($E70/365))</f>
        <v>26.33390705679863</v>
      </c>
      <c r="M185" s="918"/>
      <c r="N185" s="887">
        <f>H185+J185+L185</f>
        <v>100.00000000000003</v>
      </c>
      <c r="O185" s="887"/>
      <c r="R185" s="1">
        <v>1986</v>
      </c>
      <c r="S185" s="8">
        <f>(O70*($E70/365))+(O71*($E71/365))</f>
        <v>2.5</v>
      </c>
      <c r="T185" s="8">
        <f>(P70*($E70/365))+(P71*($E71/365))</f>
        <v>40.299999999999997</v>
      </c>
      <c r="U185" s="8">
        <f>(Q70*($E70/365))+(Q71*($E71/365))</f>
        <v>15.3</v>
      </c>
      <c r="V185" s="12"/>
      <c r="W185" s="7">
        <f t="shared" si="43"/>
        <v>58.099999999999994</v>
      </c>
    </row>
    <row r="186" spans="1:25">
      <c r="A186" s="1">
        <v>1987</v>
      </c>
      <c r="B186" s="8">
        <f>(K72*($E72/365))+(K73*($E73/365))+(K74*($E74/365))</f>
        <v>3.3789954337899548</v>
      </c>
      <c r="C186" s="8">
        <f>(L72*($E72/365))+(L73*($E73/365))+(L74*($E74/365))</f>
        <v>62.094977168949775</v>
      </c>
      <c r="D186" s="8">
        <f>(M72*($E72/365))+(M73*($E73/365))+(M74*($E74/365))</f>
        <v>24.465753424657535</v>
      </c>
      <c r="E186" s="48">
        <f t="shared" si="41"/>
        <v>89.939726027397271</v>
      </c>
      <c r="G186" s="1">
        <v>1987</v>
      </c>
      <c r="H186" s="918">
        <f>(O72/$R72*100*($E72/365))+(O73/$R73*100*($E73/365))+(O74/$R74*100*($E74/365))</f>
        <v>2.478449825815471</v>
      </c>
      <c r="I186" s="918"/>
      <c r="J186" s="918">
        <f>(P72/$R72*100*($E72/365))+(P73/$R73*100*($E73/365))+(P74/$R74*100*($E74/365))</f>
        <v>77.201761051028853</v>
      </c>
      <c r="K186" s="918"/>
      <c r="L186" s="918">
        <f>(Q72/$R72*100*($E72/365))+(Q73/$R73*100*($E73/365))+(Q74/$R74*100*($E74/365))</f>
        <v>20.319789123155687</v>
      </c>
      <c r="M186" s="918"/>
      <c r="N186" s="887">
        <f t="shared" si="42"/>
        <v>100.00000000000001</v>
      </c>
      <c r="O186" s="887"/>
      <c r="R186" s="1">
        <v>1987</v>
      </c>
      <c r="S186" s="8">
        <f>(O72*($E72/365))+(O73*($E73/365))+(O74*($E74/365))</f>
        <v>1.4594520547945207</v>
      </c>
      <c r="T186" s="8">
        <f>(P72*($E72/365))+(P73*($E73/365))+(P74*($E74/365))</f>
        <v>39.057260273972602</v>
      </c>
      <c r="U186" s="8">
        <f>(Q72*($E72/365))+(Q73*($E73/365))+(Q74*($E74/365))</f>
        <v>12.007397260273974</v>
      </c>
      <c r="V186" s="12"/>
      <c r="W186" s="7">
        <f t="shared" si="43"/>
        <v>52.524109589041096</v>
      </c>
    </row>
    <row r="187" spans="1:25">
      <c r="A187" s="1">
        <v>1988</v>
      </c>
      <c r="B187" s="8">
        <f>(K75*($E75/366))+(K76*($E76/366))</f>
        <v>3.3333333333333339</v>
      </c>
      <c r="C187" s="8">
        <f>(L75*($E75/366))+(L76*($E76/366))</f>
        <v>62.395264116575589</v>
      </c>
      <c r="D187" s="8">
        <f>(M75*($E75/366))+(M76*($E76/366))</f>
        <v>34.271402550091068</v>
      </c>
      <c r="E187" s="48">
        <f t="shared" si="41"/>
        <v>99.999999999999986</v>
      </c>
      <c r="G187" s="1">
        <v>1988</v>
      </c>
      <c r="H187" s="918">
        <f>(O75/$R75*100*($E75/366))+(O76/$R76*100*($E76/366))</f>
        <v>2.8475711892797317</v>
      </c>
      <c r="I187" s="918"/>
      <c r="J187" s="918">
        <f>(P75/$R75*100*($E75/366))+(P76/$R76*100*($E76/366))</f>
        <v>67.671691792294794</v>
      </c>
      <c r="K187" s="918"/>
      <c r="L187" s="918">
        <f>(Q75/$R75*100*($E75/366))+(Q76/$R76*100*($E76/366))</f>
        <v>29.480737018425465</v>
      </c>
      <c r="M187" s="918"/>
      <c r="N187" s="887">
        <f t="shared" si="42"/>
        <v>100</v>
      </c>
      <c r="O187" s="887"/>
      <c r="R187" s="1">
        <v>1988</v>
      </c>
      <c r="S187" s="8">
        <f>(O75*($E75/366))+(O76*($E76/366))</f>
        <v>1.7</v>
      </c>
      <c r="T187" s="8">
        <f>(P75*($E75/366))+(P76*($E76/366))</f>
        <v>40.4</v>
      </c>
      <c r="U187" s="8">
        <f>(Q75*($E75/366))+(Q76*($E76/366))</f>
        <v>17.600000000000001</v>
      </c>
      <c r="V187" s="12"/>
      <c r="W187" s="7">
        <f t="shared" si="43"/>
        <v>59.7</v>
      </c>
    </row>
    <row r="188" spans="1:25">
      <c r="A188" s="1">
        <v>1989</v>
      </c>
      <c r="B188" s="8">
        <f>(K77*($E77/365))+(K78*($E78/365))</f>
        <v>4.627853881278539</v>
      </c>
      <c r="C188" s="8">
        <f>(L77*($E77/365))+(L78*($E78/365))</f>
        <v>60.189497716894977</v>
      </c>
      <c r="D188" s="8">
        <f>(M77*($E77/365))+(M78*($E78/365))</f>
        <v>35.182648401826484</v>
      </c>
      <c r="E188" s="48">
        <f t="shared" si="41"/>
        <v>100</v>
      </c>
      <c r="G188" s="1">
        <v>1989</v>
      </c>
      <c r="H188" s="918">
        <f>(O77/$R77*100*($E77/365))+(O78/$R78*100*($E78/365))</f>
        <v>2.8475711892797317</v>
      </c>
      <c r="I188" s="918"/>
      <c r="J188" s="918">
        <f>(P77/$R77*100*($E77/365))+(P78/$R78*100*($E78/365))</f>
        <v>67.671691792294794</v>
      </c>
      <c r="K188" s="918"/>
      <c r="L188" s="918">
        <f>(Q77/$R77*100*($E77/365))+(Q78/$R78*100*($E78/365))</f>
        <v>29.480737018425462</v>
      </c>
      <c r="M188" s="918"/>
      <c r="N188" s="887">
        <f t="shared" si="42"/>
        <v>99.999999999999986</v>
      </c>
      <c r="O188" s="887"/>
      <c r="R188" s="1">
        <v>1989</v>
      </c>
      <c r="S188" s="8">
        <f>(O77*($E77/365))+(O78*($E78/365))</f>
        <v>1.7000000000000002</v>
      </c>
      <c r="T188" s="8">
        <f>(P77*($E77/365))+(P78*($E78/365))</f>
        <v>40.4</v>
      </c>
      <c r="U188" s="8">
        <f>(Q77*($E77/365))+(Q78*($E78/365))</f>
        <v>17.600000000000001</v>
      </c>
      <c r="V188" s="12"/>
      <c r="W188" s="7">
        <f t="shared" si="43"/>
        <v>59.7</v>
      </c>
    </row>
    <row r="189" spans="1:25">
      <c r="A189" s="1">
        <v>1990</v>
      </c>
      <c r="B189" s="8">
        <f>(K79*($E79/365))+(K80*($E80/365))</f>
        <v>6.666666666666667</v>
      </c>
      <c r="C189" s="8">
        <f>(L79*($E79/365))+(L80*($E80/365))</f>
        <v>56.666666666666664</v>
      </c>
      <c r="D189" s="8">
        <f>(M79*($E79/365))+(M80*($E80/365))</f>
        <v>36.666666666666664</v>
      </c>
      <c r="E189" s="48">
        <f t="shared" si="41"/>
        <v>100</v>
      </c>
      <c r="G189" s="1">
        <v>1990</v>
      </c>
      <c r="H189" s="918">
        <f>(O79/$R79*100*($E79/365))+(O80/$R80*100*($E80/365))</f>
        <v>2.8475711892797317</v>
      </c>
      <c r="I189" s="918"/>
      <c r="J189" s="918">
        <f>(P79/$R79*100*($E79/365))+(P80/$R80*100*($E80/365))</f>
        <v>67.671691792294794</v>
      </c>
      <c r="K189" s="918"/>
      <c r="L189" s="918">
        <f>(Q79/$R79*100*($E79/365))+(Q80/$R80*100*($E80/365))</f>
        <v>29.480737018425462</v>
      </c>
      <c r="M189" s="918"/>
      <c r="N189" s="887">
        <f t="shared" si="42"/>
        <v>99.999999999999986</v>
      </c>
      <c r="O189" s="887"/>
      <c r="R189" s="1">
        <v>1990</v>
      </c>
      <c r="S189" s="8">
        <f>(O79*($E79/365))+(O80*($E80/365))</f>
        <v>1.7</v>
      </c>
      <c r="T189" s="8">
        <f>(P79*($E79/365))+(P80*($E80/365))</f>
        <v>40.4</v>
      </c>
      <c r="U189" s="8">
        <f>(Q79*($E79/365))+(Q80*($E80/365))</f>
        <v>17.600000000000001</v>
      </c>
      <c r="V189" s="12"/>
      <c r="W189" s="7">
        <f t="shared" si="43"/>
        <v>59.7</v>
      </c>
      <c r="Y189" s="26"/>
    </row>
    <row r="190" spans="1:25">
      <c r="A190" s="1">
        <v>1991</v>
      </c>
      <c r="B190" s="8">
        <f>(K81*($E81/365))+(K82*($E82/365))</f>
        <v>6.666666666666667</v>
      </c>
      <c r="C190" s="8">
        <f>(L81*($E81/365))+(L82*($E82/365))</f>
        <v>54.31963470319635</v>
      </c>
      <c r="D190" s="8">
        <f>(M81*($E81/365))+(M82*($E82/365))</f>
        <v>39.013698630136986</v>
      </c>
      <c r="E190" s="48">
        <f t="shared" si="41"/>
        <v>100</v>
      </c>
      <c r="G190" s="1">
        <v>1991</v>
      </c>
      <c r="H190" s="918">
        <f>(O82/$R82*100*($E82/365))+(O81/$R81*100*($E81/365))</f>
        <v>2.9648851466113229</v>
      </c>
      <c r="I190" s="918"/>
      <c r="J190" s="918">
        <f>(P82/$R82*100*($E82/365))+(P81/$R81*100*($E81/365))</f>
        <v>66.339833335530273</v>
      </c>
      <c r="K190" s="918"/>
      <c r="L190" s="918">
        <f>(Q82/$R82*100*($E82/365))+(Q81/$R81*100*($E81/365))</f>
        <v>30.695281517858405</v>
      </c>
      <c r="M190" s="918"/>
      <c r="N190" s="887">
        <f t="shared" si="42"/>
        <v>100</v>
      </c>
      <c r="O190" s="887"/>
      <c r="R190" s="1">
        <v>1991</v>
      </c>
      <c r="S190" s="8">
        <f>(O81*($E81/365))+(O82*($E82/365))</f>
        <v>1.7</v>
      </c>
      <c r="T190" s="8">
        <f>(P81*($E81/365))+(P82*($E82/365))</f>
        <v>38.076438356164388</v>
      </c>
      <c r="U190" s="8">
        <f>(Q81*($E81/365))+(Q82*($E82/365))</f>
        <v>17.600000000000001</v>
      </c>
      <c r="V190" s="12"/>
      <c r="W190" s="7">
        <f t="shared" si="43"/>
        <v>57.376438356164392</v>
      </c>
      <c r="Y190" s="26"/>
    </row>
    <row r="191" spans="1:25">
      <c r="A191" s="1">
        <v>1992</v>
      </c>
      <c r="B191" s="8">
        <f>(K83*($E83/366))+(K84*($E84/366))+(K85*($E85/366))</f>
        <v>7.1906963710242406</v>
      </c>
      <c r="C191" s="8">
        <f>(L83*($E83/366))+(L84*($E84/366))+(L85*($E85/366))</f>
        <v>43.76979122880762</v>
      </c>
      <c r="D191" s="8">
        <f>(M83*($E83/366))+(M84*($E84/366))+(M85*($E85/366))</f>
        <v>37.248844052122742</v>
      </c>
      <c r="E191" s="48">
        <f t="shared" si="41"/>
        <v>88.209331651954599</v>
      </c>
      <c r="G191" s="1">
        <v>1992</v>
      </c>
      <c r="H191" s="918">
        <f>(O83/$R83*100*($E83/366))+(O84/$R84*100*($E84/366))+(O85/$R85*100*($E85/366))</f>
        <v>4.1017849530231807</v>
      </c>
      <c r="I191" s="918"/>
      <c r="J191" s="918">
        <f>(P83/$R83*100*($E83/366))+(P84/$R84*100*($E84/366))+(P85/$R85*100*($E85/366))</f>
        <v>63.99473759972539</v>
      </c>
      <c r="K191" s="918"/>
      <c r="L191" s="918">
        <f>(Q83/$R83*100*($E83/366))+(Q84/$R84*100*($E84/366))+(Q85/$R85*100*($E85/366))</f>
        <v>31.903477447251426</v>
      </c>
      <c r="M191" s="918"/>
      <c r="N191" s="887">
        <f t="shared" si="42"/>
        <v>100</v>
      </c>
      <c r="O191" s="887"/>
      <c r="R191" s="1">
        <v>1992</v>
      </c>
      <c r="S191" s="8">
        <f>(O83*($E83/366))+(O84*($E84/366))+(O85*($E85/366))</f>
        <v>2.2109289617486341</v>
      </c>
      <c r="T191" s="8">
        <f>(P83*($E83/366))+(P84*($E84/366))+(P85*($E85/366))</f>
        <v>34.851912568306012</v>
      </c>
      <c r="U191" s="8">
        <f>(Q83*($E83/366))+(Q84*($E84/366))+(Q85*($E85/366))</f>
        <v>17.344535519125685</v>
      </c>
      <c r="V191" s="12"/>
      <c r="W191" s="7">
        <f t="shared" si="43"/>
        <v>54.407377049180333</v>
      </c>
      <c r="Y191" s="26"/>
    </row>
    <row r="192" spans="1:25">
      <c r="A192" s="1">
        <v>1993</v>
      </c>
      <c r="B192" s="8">
        <f>(K86*($E86/365))+(K87*($E87/365))</f>
        <v>5.2746048472075877</v>
      </c>
      <c r="C192" s="8">
        <f>(L86*($E86/365))+(L87*($E87/365))</f>
        <v>30.283667017913597</v>
      </c>
      <c r="D192" s="8">
        <f>(M86*($E86/365))+(M87*($E87/365))</f>
        <v>27.664488935721813</v>
      </c>
      <c r="E192" s="48">
        <f t="shared" si="41"/>
        <v>63.222760800842998</v>
      </c>
      <c r="G192" s="1">
        <v>1993</v>
      </c>
      <c r="H192" s="918">
        <f>(O86/$R86*100*($E86/365))+(O87/$R87*100*($E87/365))</f>
        <v>5.1428571428571423</v>
      </c>
      <c r="I192" s="918"/>
      <c r="J192" s="918">
        <f>(P86/$R86*100*($E86/365))+(P87/$R87*100*($E87/365))</f>
        <v>62.285714285714278</v>
      </c>
      <c r="K192" s="918"/>
      <c r="L192" s="918">
        <f>(Q86/$R86*100*($E86/365))+(Q87/$R87*100*($E87/365))</f>
        <v>32.571428571428569</v>
      </c>
      <c r="M192" s="918"/>
      <c r="N192" s="887">
        <f t="shared" si="42"/>
        <v>99.999999999999986</v>
      </c>
      <c r="O192" s="887"/>
      <c r="R192" s="1">
        <v>1993</v>
      </c>
      <c r="S192" s="8">
        <f>(O86*($E86/365))+(O87*($E87/365))</f>
        <v>2.7</v>
      </c>
      <c r="T192" s="8">
        <f>(P86*($E86/365))+(P87*($E87/365))</f>
        <v>32.700000000000003</v>
      </c>
      <c r="U192" s="8">
        <f>(Q86*($E86/365))+(Q87*($E87/365))</f>
        <v>17.100000000000001</v>
      </c>
      <c r="V192" s="12"/>
      <c r="W192" s="7">
        <f t="shared" si="43"/>
        <v>52.500000000000007</v>
      </c>
      <c r="Y192" s="26"/>
    </row>
    <row r="193" spans="1:25">
      <c r="A193" s="1">
        <v>1994</v>
      </c>
      <c r="B193" s="8">
        <f>(K88*($E88/365))+(K89*($E89/365))</f>
        <v>48.663435194942039</v>
      </c>
      <c r="C193" s="8">
        <f>(L88*($E88/365))+(L89*($E89/365))</f>
        <v>19.843203371970496</v>
      </c>
      <c r="D193" s="8">
        <f>(M88*($E88/365))+(M89*($E89/365))</f>
        <v>8.4821917808219176</v>
      </c>
      <c r="E193" s="48">
        <f t="shared" si="41"/>
        <v>76.988830347734449</v>
      </c>
      <c r="G193" s="1">
        <v>1994</v>
      </c>
      <c r="H193" s="918">
        <f>(O88/$R88*100*($E88/365))+(O89/$R89*100*($E89/365))</f>
        <v>60.555795044238032</v>
      </c>
      <c r="I193" s="918"/>
      <c r="J193" s="918">
        <f>(P88/$R88*100*($E88/365))+(P89/$R89*100*($E89/365))</f>
        <v>27.932658967503652</v>
      </c>
      <c r="K193" s="918"/>
      <c r="L193" s="918">
        <f>(Q88/$R88*100*($E88/365))+(Q89/$R89*100*($E89/365))</f>
        <v>11.511545988258316</v>
      </c>
      <c r="M193" s="918"/>
      <c r="N193" s="887">
        <f t="shared" si="42"/>
        <v>100</v>
      </c>
      <c r="O193" s="887"/>
      <c r="R193" s="1">
        <v>1994</v>
      </c>
      <c r="S193" s="8">
        <f>(O88*($E88/365))+(O89*($E89/365))</f>
        <v>34.317534246575342</v>
      </c>
      <c r="T193" s="8">
        <f>(P88*($E88/365))+(P89*($E89/365))</f>
        <v>14.919178082191783</v>
      </c>
      <c r="U193" s="8">
        <f>(Q88*($E88/365))+(Q89*($E89/365))</f>
        <v>6.0435616438356172</v>
      </c>
      <c r="V193" s="12"/>
      <c r="W193" s="7">
        <f t="shared" si="43"/>
        <v>55.280273972602743</v>
      </c>
      <c r="Y193" s="26"/>
    </row>
    <row r="194" spans="1:25">
      <c r="A194" s="1">
        <v>1995</v>
      </c>
      <c r="B194" s="8">
        <f>(K90*($E90/365))+(K91*($E91/365))</f>
        <v>3.2033719704952577</v>
      </c>
      <c r="C194" s="8">
        <f>(L90*($E90/365))+(L91*($E91/365))</f>
        <v>0.67439409905163328</v>
      </c>
      <c r="D194" s="8">
        <f>(M90*($E90/365))+(M91*($E91/365))</f>
        <v>0</v>
      </c>
      <c r="E194" s="48">
        <f t="shared" si="41"/>
        <v>3.8777660695468912</v>
      </c>
      <c r="G194" s="1">
        <v>1995</v>
      </c>
      <c r="H194" s="918">
        <f>(O90/$R90*100*($E90/365))</f>
        <v>3.9822496623577082</v>
      </c>
      <c r="I194" s="918"/>
      <c r="J194" s="918">
        <f>(P90/$R90*100*($E90/365))</f>
        <v>0.40131198147790859</v>
      </c>
      <c r="K194" s="918"/>
      <c r="L194" s="918">
        <f>(Q90/$R90*100*($E90/365))</f>
        <v>0</v>
      </c>
      <c r="M194" s="918"/>
      <c r="N194" s="887">
        <f t="shared" si="42"/>
        <v>4.3835616438356171</v>
      </c>
      <c r="O194" s="887"/>
      <c r="R194" s="1">
        <v>1995</v>
      </c>
      <c r="S194" s="8">
        <f>(O90*($E90/365))+(O91*($E91/365))</f>
        <v>2.2619178082191782</v>
      </c>
      <c r="T194" s="8">
        <f>(P90*($E90/365))+(P91*($E91/365))</f>
        <v>0.22794520547945207</v>
      </c>
      <c r="U194" s="8">
        <f>(Q90*($E90/365))+(Q91*($E91/365))</f>
        <v>0</v>
      </c>
      <c r="V194" s="12"/>
      <c r="W194" s="7">
        <f t="shared" si="43"/>
        <v>2.4898630136986304</v>
      </c>
      <c r="Y194" s="45"/>
    </row>
    <row r="195" spans="1:25">
      <c r="A195" s="1">
        <v>1996</v>
      </c>
      <c r="B195" s="8">
        <f>(K92*($E92/366))+(K93*($E93/366))</f>
        <v>0</v>
      </c>
      <c r="C195" s="8">
        <f>(L92*($E92/366))+(L93*($E93/366))</f>
        <v>23.835545147020557</v>
      </c>
      <c r="D195" s="8">
        <f>(M92*($E92/366))+(M93*($E93/366))</f>
        <v>29.794431433775692</v>
      </c>
      <c r="E195" s="48">
        <f t="shared" si="41"/>
        <v>53.629976580796253</v>
      </c>
      <c r="G195" s="1">
        <v>1996</v>
      </c>
      <c r="H195" s="918">
        <f>(O93/$R93*100*($E93/366))</f>
        <v>0</v>
      </c>
      <c r="I195" s="918"/>
      <c r="J195" s="918">
        <f>(P93/$R93*100*($E93/366))</f>
        <v>22.082931533269047</v>
      </c>
      <c r="K195" s="918"/>
      <c r="L195" s="918">
        <f>(Q93/$R93*100*($E93/366))</f>
        <v>40.485374477659917</v>
      </c>
      <c r="M195" s="918"/>
      <c r="N195" s="887">
        <f t="shared" si="42"/>
        <v>62.568306010928964</v>
      </c>
      <c r="O195" s="887"/>
      <c r="R195" s="1">
        <v>1996</v>
      </c>
      <c r="S195" s="8">
        <f>(O92*($E92/366))+(O93*($E93/366))</f>
        <v>0</v>
      </c>
      <c r="T195" s="8">
        <f>(P92*($E92/366))+(P93*($E93/366))</f>
        <v>10.136065573770491</v>
      </c>
      <c r="U195" s="8">
        <f>(Q92*($E92/366))+(Q93*($E93/366))</f>
        <v>18.582786885245902</v>
      </c>
      <c r="V195" s="12"/>
      <c r="W195" s="7">
        <f t="shared" si="43"/>
        <v>28.718852459016393</v>
      </c>
      <c r="Y195" s="26"/>
    </row>
    <row r="196" spans="1:25">
      <c r="A196" s="1">
        <v>1997</v>
      </c>
      <c r="B196" s="8">
        <f>(K94*($E94/365))+(K95*($E95/365))</f>
        <v>0</v>
      </c>
      <c r="C196" s="8">
        <f>(L94*($E94/365))+(L95*($E95/365))</f>
        <v>36.363636363636367</v>
      </c>
      <c r="D196" s="8">
        <f>(M94*($E94/365))+(M95*($E95/365))</f>
        <v>50</v>
      </c>
      <c r="E196" s="48">
        <f t="shared" si="41"/>
        <v>86.363636363636374</v>
      </c>
      <c r="G196" s="1">
        <v>1997</v>
      </c>
      <c r="H196" s="918">
        <f>(O94/$R94*100*($E94/365))+(O95/$R95*100*($E95/365))</f>
        <v>0</v>
      </c>
      <c r="I196" s="918"/>
      <c r="J196" s="918">
        <f>(P94/$R94*100*($E94/365))+(P95/$R95*100*($E95/365))</f>
        <v>35.294117647058826</v>
      </c>
      <c r="K196" s="918"/>
      <c r="L196" s="918">
        <f>(Q94/$R94*100*($E94/365))+(Q95/$R95*100*($E95/365))</f>
        <v>64.705882352941174</v>
      </c>
      <c r="M196" s="918"/>
      <c r="N196" s="887">
        <f t="shared" si="42"/>
        <v>100</v>
      </c>
      <c r="O196" s="887"/>
      <c r="R196" s="1">
        <v>1997</v>
      </c>
      <c r="S196" s="8">
        <f>(O94*($E94/365))+(O95*($E95/365))</f>
        <v>0</v>
      </c>
      <c r="T196" s="8">
        <f>(P94*($E94/365))+(P95*($E95/365))</f>
        <v>16.2</v>
      </c>
      <c r="U196" s="8">
        <f>(Q94*($E94/365))+(Q95*($E95/365))</f>
        <v>29.7</v>
      </c>
      <c r="V196" s="12"/>
      <c r="W196" s="7">
        <f t="shared" si="43"/>
        <v>45.9</v>
      </c>
      <c r="Y196" s="26"/>
    </row>
    <row r="197" spans="1:25">
      <c r="A197" s="1">
        <v>1998</v>
      </c>
      <c r="B197" s="8">
        <f>(K96*($E96/365))+(K97*($E97/365))</f>
        <v>0</v>
      </c>
      <c r="C197" s="8">
        <f>(L96*($E96/365))+(L97*($E97/365))</f>
        <v>37.802684378026846</v>
      </c>
      <c r="D197" s="8">
        <f>(M96*($E96/365))+(M97*($E97/365))</f>
        <v>49.670218163368844</v>
      </c>
      <c r="E197" s="48">
        <f t="shared" si="41"/>
        <v>87.472902541395683</v>
      </c>
      <c r="G197" s="1">
        <v>1998</v>
      </c>
      <c r="H197" s="918">
        <f>(O96/$R96*100*($E96/365))+(O97/$R97*100*($E97/365))</f>
        <v>0</v>
      </c>
      <c r="I197" s="918"/>
      <c r="J197" s="918">
        <f>(P96/$R96*100*($E96/365))+(P97/$R97*100*($E97/365))</f>
        <v>35.294117647058826</v>
      </c>
      <c r="K197" s="918"/>
      <c r="L197" s="918">
        <f>(Q96/$R96*100*($E96/365))+(Q97/$R97*100*($E97/365))</f>
        <v>64.70588235294116</v>
      </c>
      <c r="M197" s="918"/>
      <c r="N197" s="887">
        <f t="shared" si="42"/>
        <v>99.999999999999986</v>
      </c>
      <c r="O197" s="887"/>
      <c r="R197" s="1">
        <v>1998</v>
      </c>
      <c r="S197" s="8">
        <f>(O96*($E96/365))+(O97*($E97/365))</f>
        <v>0</v>
      </c>
      <c r="T197" s="8">
        <f>(P96*($E96/365))+(P97*($E97/365))</f>
        <v>16.2</v>
      </c>
      <c r="U197" s="8">
        <f>(Q96*($E96/365))+(Q97*($E97/365))</f>
        <v>29.7</v>
      </c>
      <c r="V197" s="12"/>
      <c r="W197" s="7">
        <f t="shared" si="43"/>
        <v>45.9</v>
      </c>
      <c r="Y197" s="45"/>
    </row>
    <row r="198" spans="1:25">
      <c r="A198" s="1">
        <v>1999</v>
      </c>
      <c r="B198" s="8">
        <f>(K98*($E98/365))+(K99*($E99/365))</f>
        <v>0</v>
      </c>
      <c r="C198" s="8">
        <f>(L98*($E98/365))+(L99*($E99/365))</f>
        <v>44.109589041095887</v>
      </c>
      <c r="D198" s="8">
        <f>(M98*($E98/365))+(M99*($E99/365))</f>
        <v>48.455098934550982</v>
      </c>
      <c r="E198" s="48">
        <f t="shared" si="41"/>
        <v>92.564687975646876</v>
      </c>
      <c r="G198" s="1">
        <v>1999</v>
      </c>
      <c r="H198" s="918">
        <f>(O98/$R98*100*($E98/365))+(O99/$R99*100*($E99/365))</f>
        <v>0</v>
      </c>
      <c r="I198" s="918"/>
      <c r="J198" s="918">
        <f>(P98/$R98*100*($E98/365))+(P99/$R99*100*($E99/365))</f>
        <v>35.294117647058826</v>
      </c>
      <c r="K198" s="918"/>
      <c r="L198" s="918">
        <f>(Q98/$R98*100*($E98/365))+(Q99/$R99*100*($E99/365))</f>
        <v>64.705882352941174</v>
      </c>
      <c r="M198" s="918"/>
      <c r="N198" s="887">
        <f t="shared" si="42"/>
        <v>100</v>
      </c>
      <c r="O198" s="887"/>
      <c r="R198" s="1">
        <v>1999</v>
      </c>
      <c r="S198" s="8">
        <f>(O98*($E98/365))+(O99*($E99/365))</f>
        <v>0</v>
      </c>
      <c r="T198" s="8">
        <f>(P98*($E98/365))+(P99*($E99/365))</f>
        <v>16.2</v>
      </c>
      <c r="U198" s="8">
        <f>(Q98*($E98/365))+(Q99*($E99/365))</f>
        <v>29.7</v>
      </c>
      <c r="V198" s="12"/>
      <c r="W198" s="7">
        <f t="shared" si="43"/>
        <v>45.9</v>
      </c>
      <c r="Y198" s="45"/>
    </row>
    <row r="199" spans="1:25">
      <c r="A199" s="1">
        <v>2000</v>
      </c>
      <c r="B199" s="8">
        <f>(K100*($E100/366))+(K101*($E101/366))</f>
        <v>0</v>
      </c>
      <c r="C199" s="8">
        <f>(L100*($E100/366))+(L101*($E101/366))</f>
        <v>27.12001619105444</v>
      </c>
      <c r="D199" s="8">
        <f>(M100*($E100/366))+(M101*($E101/366))</f>
        <v>57.943736085812588</v>
      </c>
      <c r="E199" s="48">
        <f t="shared" si="41"/>
        <v>85.063752276867035</v>
      </c>
      <c r="G199" s="1">
        <v>2000</v>
      </c>
      <c r="H199" s="918">
        <f>(O100/$R100*100*($E100/366))+(O101/$R101*100*($E101/366))</f>
        <v>0</v>
      </c>
      <c r="I199" s="918"/>
      <c r="J199" s="918">
        <f>(P100/$R100*100*($E100/366))+(P101/$R101*100*($E101/366))</f>
        <v>35.294117647058826</v>
      </c>
      <c r="K199" s="918"/>
      <c r="L199" s="918">
        <f>(Q100/$R100*100*($E100/366))+(Q101/$R101*100*($E101/366))</f>
        <v>64.705882352941174</v>
      </c>
      <c r="M199" s="918"/>
      <c r="N199" s="887">
        <f t="shared" si="42"/>
        <v>100</v>
      </c>
      <c r="O199" s="887"/>
      <c r="R199" s="1">
        <v>2000</v>
      </c>
      <c r="S199" s="8">
        <f>(O100*($E100/366))+(O101*($E101/366))</f>
        <v>0</v>
      </c>
      <c r="T199" s="8">
        <f>(P100*($E100/366))+(P101*($E101/366))</f>
        <v>16.2</v>
      </c>
      <c r="U199" s="8">
        <f>(Q100*($E100/366))+(Q101*($E101/366))</f>
        <v>29.7</v>
      </c>
      <c r="V199" s="12"/>
      <c r="W199" s="7">
        <f t="shared" si="43"/>
        <v>45.9</v>
      </c>
      <c r="Y199" s="26"/>
    </row>
    <row r="200" spans="1:25">
      <c r="A200" s="1">
        <v>2001</v>
      </c>
      <c r="B200" s="8">
        <f>(K102*($E102/365))+(K103*($E103/365))</f>
        <v>40.241095890410961</v>
      </c>
      <c r="C200" s="8">
        <f>(L102*($E102/365))+(L103*($E103/365))</f>
        <v>15.907052257737188</v>
      </c>
      <c r="D200" s="8">
        <f>(M102*($E102/365))+(M103*($E103/365))</f>
        <v>24.505327245053273</v>
      </c>
      <c r="E200" s="48">
        <f t="shared" si="41"/>
        <v>80.653475393201433</v>
      </c>
      <c r="G200" s="1">
        <v>2001</v>
      </c>
      <c r="H200" s="918">
        <f>(O102/$R102*100*($E102/365))+(O103/$R103*100*($E103/365))</f>
        <v>49.449140192363743</v>
      </c>
      <c r="I200" s="918"/>
      <c r="J200" s="918">
        <f>(P102/$R102*100*($E102/365))+(P103/$R103*100*($E103/365))</f>
        <v>22.009361016338918</v>
      </c>
      <c r="K200" s="918"/>
      <c r="L200" s="918">
        <f>(Q102/$R102*100*($E102/365))+(Q103/$R103*100*($E103/365))</f>
        <v>28.541498791297339</v>
      </c>
      <c r="M200" s="918"/>
      <c r="N200" s="887">
        <f t="shared" si="42"/>
        <v>100</v>
      </c>
      <c r="O200" s="887"/>
      <c r="R200" s="1">
        <v>2001</v>
      </c>
      <c r="S200" s="8">
        <f>(O102*($E102/365))+(O103*($E103/365))</f>
        <v>27.889315068493151</v>
      </c>
      <c r="T200" s="8">
        <f>(P102*($E102/365))+(P103*($E103/365))</f>
        <v>10.778630136986301</v>
      </c>
      <c r="U200" s="8">
        <f>(Q102*($E102/365))+(Q103*($E103/365))</f>
        <v>13.100547945205479</v>
      </c>
      <c r="V200" s="12"/>
      <c r="W200" s="7">
        <f t="shared" si="43"/>
        <v>51.768493150684932</v>
      </c>
      <c r="Y200" s="26"/>
    </row>
    <row r="201" spans="1:25">
      <c r="A201" s="1">
        <v>2002</v>
      </c>
      <c r="B201" s="8">
        <f>(K104*($E104/365))+(K105*($E105/365))</f>
        <v>72</v>
      </c>
      <c r="C201" s="8">
        <f>(L104*($E104/365))+(L105*($E105/365))</f>
        <v>8</v>
      </c>
      <c r="D201" s="8">
        <f>(M104*($E104/365))+(M105*($E105/365))</f>
        <v>0</v>
      </c>
      <c r="E201" s="48">
        <f t="shared" si="41"/>
        <v>80</v>
      </c>
      <c r="G201" s="1">
        <v>2002</v>
      </c>
      <c r="H201" s="918">
        <f>(O104/$R104*100*($E104/365))+(O105/$R105*100*($E105/365))</f>
        <v>88.475177304964532</v>
      </c>
      <c r="I201" s="918"/>
      <c r="J201" s="918">
        <f>(P104/$R104*100*($E104/365))+(P105/$R105*100*($E105/365))</f>
        <v>11.524822695035461</v>
      </c>
      <c r="K201" s="918"/>
      <c r="L201" s="918">
        <f>(Q104/$R104*100*($E104/365))+(Q105/$R105*100*($E105/365))</f>
        <v>0</v>
      </c>
      <c r="M201" s="918"/>
      <c r="N201" s="887">
        <f t="shared" si="42"/>
        <v>100</v>
      </c>
      <c r="O201" s="887"/>
      <c r="R201" s="1">
        <v>2002</v>
      </c>
      <c r="S201" s="8">
        <f>(O104*($E104/365))+(O105*($E105/365))</f>
        <v>49.9</v>
      </c>
      <c r="T201" s="8">
        <f>(P104*($E104/365))+(P105*($E105/365))</f>
        <v>6.5</v>
      </c>
      <c r="U201" s="8">
        <f>(Q104*($E104/365))+(Q105*($E105/365))</f>
        <v>0</v>
      </c>
      <c r="V201" s="12"/>
      <c r="W201" s="7">
        <f t="shared" si="43"/>
        <v>56.4</v>
      </c>
      <c r="Y201" s="45"/>
    </row>
    <row r="202" spans="1:25">
      <c r="A202" s="1">
        <v>2003</v>
      </c>
      <c r="B202" s="8">
        <f>(K106*($E106/365))+(K107*($E107/365))</f>
        <v>72</v>
      </c>
      <c r="C202" s="8">
        <f>(L106*($E106/365))+(L107*($E107/365))</f>
        <v>8</v>
      </c>
      <c r="D202" s="8">
        <f>(M106*($E106/365))+(M107*($E107/365))</f>
        <v>0</v>
      </c>
      <c r="E202" s="48">
        <f t="shared" si="41"/>
        <v>80</v>
      </c>
      <c r="G202" s="1">
        <v>2003</v>
      </c>
      <c r="H202" s="918">
        <f>(O106/$R106*100*($E106/365))+(O107/$R107*100*($E107/365))</f>
        <v>88.475177304964532</v>
      </c>
      <c r="I202" s="918"/>
      <c r="J202" s="918">
        <f>(P106/$R106*100*($E106/365))+(P107/$R107*100*($E107/365))</f>
        <v>11.524822695035461</v>
      </c>
      <c r="K202" s="918"/>
      <c r="L202" s="918">
        <f>(Q106/$R106*100*($E106/365))+(Q107/$R107*100*($E107/365))</f>
        <v>0</v>
      </c>
      <c r="M202" s="918"/>
      <c r="N202" s="887">
        <f t="shared" si="42"/>
        <v>100</v>
      </c>
      <c r="O202" s="887"/>
      <c r="R202" s="1">
        <v>2003</v>
      </c>
      <c r="S202" s="8">
        <f>(O106*($E106/365))+(O107*($E107/365))</f>
        <v>49.9</v>
      </c>
      <c r="T202" s="8">
        <f>(P106*($E106/365))+(P107*($E107/365))</f>
        <v>6.5</v>
      </c>
      <c r="U202" s="8">
        <f>(Q106*($E106/365))+(Q107*($E107/365))</f>
        <v>0</v>
      </c>
      <c r="V202" s="12"/>
      <c r="W202" s="7">
        <f t="shared" si="43"/>
        <v>56.4</v>
      </c>
      <c r="Y202" s="45"/>
    </row>
    <row r="203" spans="1:25">
      <c r="A203" s="1">
        <v>2004</v>
      </c>
      <c r="B203" s="8">
        <f>(K108*($E108/366))+(K109*($E109/366))</f>
        <v>76</v>
      </c>
      <c r="C203" s="8">
        <f>(L108*($E108/366))+(L109*($E109/366))</f>
        <v>8</v>
      </c>
      <c r="D203" s="8">
        <f>(M108*($E108/366))+(M109*($E109/366))</f>
        <v>0</v>
      </c>
      <c r="E203" s="48">
        <f t="shared" si="41"/>
        <v>84</v>
      </c>
      <c r="G203" s="1">
        <v>2004</v>
      </c>
      <c r="H203" s="918">
        <f>(O108/$R108*100*($E108/366))+(O109/$R109*100*($E109/366))</f>
        <v>88.475177304964532</v>
      </c>
      <c r="I203" s="918"/>
      <c r="J203" s="918">
        <f>(P108/$R108*100*($E108/366))+(P109/$R109*100*($E109/366))</f>
        <v>11.524822695035461</v>
      </c>
      <c r="K203" s="918"/>
      <c r="L203" s="918">
        <f>(Q108/$R108*100*($E108/366))+(Q109/$R109*100*($E109/366))</f>
        <v>0</v>
      </c>
      <c r="M203" s="918"/>
      <c r="N203" s="887">
        <f t="shared" si="42"/>
        <v>100</v>
      </c>
      <c r="O203" s="887"/>
      <c r="R203" s="1">
        <v>2004</v>
      </c>
      <c r="S203" s="8">
        <f>(O108*($E108/366))+(O109*($E109/366))</f>
        <v>49.9</v>
      </c>
      <c r="T203" s="8">
        <f>(P108*($E108/366))+(P109*($E109/366))</f>
        <v>6.5</v>
      </c>
      <c r="U203" s="8">
        <f>(Q108*($E108/366))+(Q109*($E109/366))</f>
        <v>0</v>
      </c>
      <c r="V203" s="12"/>
      <c r="W203" s="7">
        <f t="shared" si="43"/>
        <v>56.4</v>
      </c>
      <c r="Y203" s="26"/>
    </row>
    <row r="204" spans="1:25">
      <c r="A204" s="1">
        <v>2005</v>
      </c>
      <c r="B204" s="8">
        <f>(K110*($E110/365))+(K111*($E111/365))</f>
        <v>78.389041095890406</v>
      </c>
      <c r="C204" s="8">
        <f>(L110*($E110/365))+(L111*($E111/365))</f>
        <v>7.20365296803653</v>
      </c>
      <c r="D204" s="8">
        <f>(M110*($E110/365))+(M111*($E111/365))</f>
        <v>0</v>
      </c>
      <c r="E204" s="48">
        <f t="shared" si="41"/>
        <v>85.592694063926942</v>
      </c>
      <c r="G204" s="1">
        <v>2005</v>
      </c>
      <c r="H204" s="918">
        <f>(O110/$R110*100*($E110/365))+(O111/$R111*100*($E111/365))</f>
        <v>88.475177304964532</v>
      </c>
      <c r="I204" s="918"/>
      <c r="J204" s="918">
        <f>(P110/$R110*100*($E110/365))+(P111/$R111*100*($E111/365))</f>
        <v>11.524822695035461</v>
      </c>
      <c r="K204" s="918"/>
      <c r="L204" s="918">
        <f>(Q110/$R110*100*($E110/365))+(Q111/$R111*100*($E111/365))</f>
        <v>0</v>
      </c>
      <c r="M204" s="918"/>
      <c r="N204" s="887">
        <f t="shared" si="42"/>
        <v>100</v>
      </c>
      <c r="O204" s="887"/>
      <c r="R204" s="1">
        <v>2005</v>
      </c>
      <c r="S204" s="8">
        <f>(O110*($E110/365))+(O111*($E111/365))</f>
        <v>49.9</v>
      </c>
      <c r="T204" s="8">
        <f>(P110*($E110/365))+(P111*($E111/365))</f>
        <v>6.5</v>
      </c>
      <c r="U204" s="8">
        <f>(Q110*($E110/365))+(Q111*($E111/365))</f>
        <v>0</v>
      </c>
      <c r="V204" s="12"/>
      <c r="W204" s="7">
        <f t="shared" si="43"/>
        <v>56.4</v>
      </c>
      <c r="Y204" s="26"/>
    </row>
    <row r="205" spans="1:25">
      <c r="A205" s="1">
        <v>2006</v>
      </c>
      <c r="B205" s="8">
        <f>(K112*($E112/365))+(K114*($E114/365))+(K113*($E113/365))+(K115*($E115/365))</f>
        <v>29.152792413066386</v>
      </c>
      <c r="C205" s="8">
        <f>(L112*($E112/365))+(L114*($E114/365))+(L113*($E113/365))+(L115*($E115/365))</f>
        <v>5.0261874097490526</v>
      </c>
      <c r="D205" s="8">
        <f>(M112*($E112/365))+(M114*($E114/365))+(M113*($E113/365))+(M115*($E115/365))</f>
        <v>53.444951801116183</v>
      </c>
      <c r="E205" s="48">
        <f t="shared" si="41"/>
        <v>87.623931623931611</v>
      </c>
      <c r="G205" s="1">
        <v>2006</v>
      </c>
      <c r="H205" s="918">
        <f>(O113/$R113*100*($E113/365))+(O115/$R115*100*($E115/365))+(O112/$R112*100*($E112/365))+(O114/$R114*100*($E114/365))</f>
        <v>32.966093461575824</v>
      </c>
      <c r="I205" s="918"/>
      <c r="J205" s="918">
        <f>(P113/$R113*100*($E113/365))+(P115/$R115*100*($E115/365))+(P112/$R112*100*($E112/365))+(P114/$R114*100*($E114/365))</f>
        <v>6.2624856412981984</v>
      </c>
      <c r="K205" s="918"/>
      <c r="L205" s="918">
        <f>(Q113/$R113*100*($E113/365))+(Q115/$R115*100*($E115/365))+(Q112/$R112*100*($E112/365))+(Q114/$R114*100*($E114/365))</f>
        <v>60.771420897125971</v>
      </c>
      <c r="M205" s="918"/>
      <c r="N205" s="887">
        <f t="shared" si="42"/>
        <v>100</v>
      </c>
      <c r="O205" s="887"/>
      <c r="R205" s="1">
        <v>2006</v>
      </c>
      <c r="S205" s="8">
        <f>(O112*($E112/365))+(O114*($E114/365))+(O113*($E113/365))+(O115*($E115/365))</f>
        <v>18.592876712328767</v>
      </c>
      <c r="T205" s="8">
        <f>(P112*($E112/365))+(P114*($E114/365))+(P113*($E113/365))+(P115*($E115/365))</f>
        <v>3.4257534246575343</v>
      </c>
      <c r="U205" s="8">
        <f>(Q112*($E112/365))+(Q114*($E114/365))+(Q113*($E113/365))+(Q115*($E115/365))</f>
        <v>30.993424657534245</v>
      </c>
      <c r="V205" s="12"/>
      <c r="W205" s="7">
        <f t="shared" si="43"/>
        <v>53.012054794520552</v>
      </c>
      <c r="Y205" s="26"/>
    </row>
    <row r="206" spans="1:25">
      <c r="A206" s="1">
        <v>2007</v>
      </c>
      <c r="B206" s="8">
        <f>(K116*($E116/365))+(K117*($E117/365))</f>
        <v>0</v>
      </c>
      <c r="C206" s="8">
        <f>(L116*($E116/365))+(L117*($E117/365))</f>
        <v>3.7037037037037033</v>
      </c>
      <c r="D206" s="8">
        <f>(M116*($E116/365))+(M117*($E117/365))</f>
        <v>85.18518518518519</v>
      </c>
      <c r="E206" s="48">
        <f t="shared" si="41"/>
        <v>88.8888888888889</v>
      </c>
      <c r="G206" s="1">
        <v>2007</v>
      </c>
      <c r="H206" s="918">
        <f>(O116/$R116*100*($E116/365))+(O117/$R117*100*($E117/365))</f>
        <v>0</v>
      </c>
      <c r="I206" s="918"/>
      <c r="J206" s="918">
        <f>(P116/$R116*100*($E116/365))+(P117/$R117*100*($E117/365))</f>
        <v>3.1372549019607843</v>
      </c>
      <c r="K206" s="918"/>
      <c r="L206" s="918">
        <f>(Q116/$R116*100*($E116/365))+(Q117/$R117*100*($E117/365))</f>
        <v>96.862745098039213</v>
      </c>
      <c r="M206" s="918"/>
      <c r="N206" s="887">
        <f t="shared" si="42"/>
        <v>100</v>
      </c>
      <c r="O206" s="887"/>
      <c r="R206" s="1">
        <v>2007</v>
      </c>
      <c r="S206" s="8">
        <f>(O116*($E116/365))+(O117*($E117/365))</f>
        <v>0</v>
      </c>
      <c r="T206" s="8">
        <f>(P116*($E116/365))+(P117*($E117/365))</f>
        <v>1.6</v>
      </c>
      <c r="U206" s="8">
        <f>(Q116*($E116/365))+(Q117*($E117/365))</f>
        <v>49.4</v>
      </c>
      <c r="V206" s="12"/>
      <c r="W206" s="7">
        <f t="shared" si="43"/>
        <v>51</v>
      </c>
      <c r="Y206" s="26"/>
    </row>
    <row r="207" spans="1:25">
      <c r="A207" s="1">
        <v>2008</v>
      </c>
      <c r="B207" s="8">
        <f>(K118*($E118/366))+(K119*($E119/366))</f>
        <v>62.071535022354688</v>
      </c>
      <c r="C207" s="8">
        <f>(L118*($E118/366))+(L119*($E119/366))</f>
        <v>4.2510717374105349</v>
      </c>
      <c r="D207" s="8">
        <f>(M118*($E118/366))+(M119*($E119/366))</f>
        <v>29.791540174053836</v>
      </c>
      <c r="E207" s="48">
        <f t="shared" si="41"/>
        <v>96.114146933819057</v>
      </c>
      <c r="G207" s="1">
        <v>2008</v>
      </c>
      <c r="H207" s="918">
        <f>(O118/$R118*100*($E118/366))+(O119/$R119*100*($E119/366))</f>
        <v>65.027322404371574</v>
      </c>
      <c r="I207" s="918"/>
      <c r="J207" s="918">
        <f>(P118/$R118*100*($E118/366))+(P119/$R119*100*($E119/366))</f>
        <v>1.0971820422157934</v>
      </c>
      <c r="K207" s="918"/>
      <c r="L207" s="918">
        <f>(Q118/$R118*100*($E118/366))+(Q119/$R119*100*($E119/366))</f>
        <v>33.87549555341262</v>
      </c>
      <c r="M207" s="918"/>
      <c r="N207" s="887">
        <f t="shared" si="42"/>
        <v>99.999999999999986</v>
      </c>
      <c r="O207" s="887"/>
      <c r="R207" s="1">
        <v>2008</v>
      </c>
      <c r="S207" s="8">
        <f>(O118*($E118/366))+(O119*($E119/366))</f>
        <v>34.659562841530047</v>
      </c>
      <c r="T207" s="8">
        <f>(P118*($E118/366))+(P119*($E119/366))</f>
        <v>0.55956284153005464</v>
      </c>
      <c r="U207" s="8">
        <f>(Q118*($E118/366))+(Q119*($E119/366))</f>
        <v>17.276502732240438</v>
      </c>
      <c r="V207" s="12"/>
      <c r="W207" s="7">
        <f t="shared" si="43"/>
        <v>52.495628415300537</v>
      </c>
      <c r="Y207" s="26"/>
    </row>
    <row r="208" spans="1:25">
      <c r="A208" s="1">
        <v>2009</v>
      </c>
      <c r="B208" s="8">
        <f>(K120*($E120/365))+(K121*($E121/365))+(K122*($E122/365))</f>
        <v>98.418430884184318</v>
      </c>
      <c r="C208" s="8">
        <f>(L120*($E120/365))+(L121*($E121/365))+(L122*($E122/365))</f>
        <v>1.5815691158156913</v>
      </c>
      <c r="D208" s="8">
        <f>(M120*($E120/365))+(M121*($E121/365))+(M122*($E122/365))</f>
        <v>0</v>
      </c>
      <c r="E208" s="48">
        <f>B208+C208+D208</f>
        <v>100.00000000000001</v>
      </c>
      <c r="G208" s="1">
        <v>2009</v>
      </c>
      <c r="H208" s="918">
        <f>(O120/$R120*100*($E120/365))+(O121/$R121*100*(E121/365))+(O122/$R122*100*($E122/365))</f>
        <v>100</v>
      </c>
      <c r="I208" s="918"/>
      <c r="J208" s="918">
        <f>(P120/$R120*100*($E120/365))+(P121/$R121*100*(F121/365))+(P122/$R122*100*($E122/365))</f>
        <v>0</v>
      </c>
      <c r="K208" s="918"/>
      <c r="L208" s="918">
        <f>(Q120/$R120*100*($E120/365))+(Q121/$R121*100*(G121/365))+(Q122/$R122*100*($E122/365))</f>
        <v>0</v>
      </c>
      <c r="M208" s="918"/>
      <c r="N208" s="887">
        <f t="shared" si="42"/>
        <v>100</v>
      </c>
      <c r="O208" s="887"/>
      <c r="R208" s="1">
        <v>2009</v>
      </c>
      <c r="S208" s="8">
        <f>(O120*($E120/365))+(O121*($E121/365))+(O122*($E122/365))</f>
        <v>53.3</v>
      </c>
      <c r="T208" s="8">
        <f>(P120*($E120/365))+(P121*($E121/365))+(P122*($E122/365))</f>
        <v>0</v>
      </c>
      <c r="U208" s="8">
        <f>(Q120*($E120/365))+(Q121*($E121/365))+(Q122*($E122/365))</f>
        <v>0</v>
      </c>
      <c r="V208" s="12"/>
      <c r="W208" s="7">
        <f t="shared" si="43"/>
        <v>53.3</v>
      </c>
      <c r="Y208" s="26"/>
    </row>
    <row r="209" spans="1:2047 2049:7168 7172:9215 9219:10240 10243:11262 11266:12287 12290:13309 13313:14334 14337:16384">
      <c r="A209" s="1">
        <v>2010</v>
      </c>
      <c r="B209" s="8">
        <f>(K123*($E123/365))+(K124*($E124/365))+(K125*($E125/365))</f>
        <v>100</v>
      </c>
      <c r="C209" s="8">
        <f>(L123*($E123/365))+(L124*($E124/365))+(L125*($E125/365))</f>
        <v>0</v>
      </c>
      <c r="D209" s="8">
        <f>(M123*($E123/365))+(M124*($E124/365))+(M125*($E125/365))</f>
        <v>0</v>
      </c>
      <c r="E209" s="48">
        <f t="shared" si="41"/>
        <v>100</v>
      </c>
      <c r="G209" s="1">
        <v>2010</v>
      </c>
      <c r="H209" s="918">
        <f>(O123/$R123*100*($E123/365))+(O124/$R124*100*(E124/365))+(O125/$R125*100*($E125/365))</f>
        <v>100</v>
      </c>
      <c r="I209" s="918"/>
      <c r="J209" s="918">
        <f>(P123/$R123*100*($E123/365))+(P124/$R124*100*(F124/365))+(P125/$R125*100*($E125/365))</f>
        <v>0</v>
      </c>
      <c r="K209" s="918"/>
      <c r="L209" s="918">
        <f>(Q123/$R123*100*($E123/365))+(Q124/$R124*100*(G124/365))+(Q125/$R125*100*($E125/365))</f>
        <v>0</v>
      </c>
      <c r="M209" s="918"/>
      <c r="N209" s="887">
        <f t="shared" si="42"/>
        <v>100</v>
      </c>
      <c r="O209" s="887"/>
      <c r="R209" s="1">
        <v>2010</v>
      </c>
      <c r="S209" s="8">
        <f>(O123*($E123/365))+(O124*($E124/365))+(O125*($E125/365))</f>
        <v>53.3</v>
      </c>
      <c r="T209" s="8">
        <f>(P123*($E123/365))+(P124*($E124/365))+(P125*($E125/365))</f>
        <v>0</v>
      </c>
      <c r="U209" s="8">
        <f>(Q123*($E123/365))+(Q124*($E124/365))+(Q125*($E125/365))</f>
        <v>0</v>
      </c>
      <c r="V209" s="12"/>
      <c r="W209" s="7">
        <f t="shared" si="43"/>
        <v>53.3</v>
      </c>
      <c r="Y209" s="26"/>
    </row>
    <row r="210" spans="1:2047 2049:7168 7172:9215 9219:10240 10243:11262 11266:12287 12290:13309 13313:14334 14337:16384">
      <c r="A210" s="1">
        <v>2011</v>
      </c>
      <c r="B210" s="8">
        <f>(K126*($E126/365))+(K127*($E127/365))+($K128*(E128/365))</f>
        <v>87.945205479452056</v>
      </c>
      <c r="C210" s="8">
        <f>(L126*($E126/365))+(L127*($E127/365))+($K128*(F128/365))</f>
        <v>0</v>
      </c>
      <c r="D210" s="8">
        <f>(M126*($E126/365))+(M127*($E127/365))+($K128*(G128/365))</f>
        <v>0</v>
      </c>
      <c r="E210" s="48">
        <f t="shared" si="41"/>
        <v>87.945205479452056</v>
      </c>
      <c r="G210" s="1">
        <v>2011</v>
      </c>
      <c r="H210" s="918">
        <f>(O126/$R126*100*($E126/365))+(O127/$R127*100*(E127/365))</f>
        <v>87.945205479452056</v>
      </c>
      <c r="I210" s="918"/>
      <c r="J210" s="918">
        <f>(P126/$R126*100*($E126/365))+(P127/$R127*100*(F127/365))</f>
        <v>0</v>
      </c>
      <c r="K210" s="918"/>
      <c r="L210" s="918">
        <f>(Q126/$R126*100*($E126/365))+(Q127/$R127*100*(G127/365))</f>
        <v>0</v>
      </c>
      <c r="M210" s="918"/>
      <c r="N210" s="887">
        <f t="shared" si="42"/>
        <v>87.945205479452056</v>
      </c>
      <c r="O210" s="887"/>
      <c r="R210" s="1">
        <v>2011</v>
      </c>
      <c r="S210" s="8">
        <f>(O126*($E126/365))+(O127*($E127/365))+($K128*(I128/365))</f>
        <v>46.874794520547944</v>
      </c>
      <c r="T210" s="8">
        <f>(P126*($E126/365))+(P127*($E127/365))+($K128*(J128/365))</f>
        <v>0</v>
      </c>
      <c r="U210" s="8">
        <f>(Q126*($E126/365))+(Q127*($E127/365))+($K128*(K128/365))</f>
        <v>0</v>
      </c>
      <c r="V210" s="12"/>
      <c r="W210" s="7">
        <f t="shared" si="43"/>
        <v>46.874794520547944</v>
      </c>
      <c r="Y210" s="26"/>
    </row>
    <row r="211" spans="1:2047 2049:7168 7172:9215 9219:10240 10243:11262 11266:12287 12290:13309 13313:14334 14337:16384">
      <c r="A211" s="1">
        <v>2012</v>
      </c>
      <c r="B211" s="8">
        <f>(K129*($E129/366))+($K130*(E130/366))</f>
        <v>0</v>
      </c>
      <c r="C211" s="8">
        <f>(L129*($E129/366))+($K130*(F130/366))</f>
        <v>0</v>
      </c>
      <c r="D211" s="8">
        <f>(M129*($E129/366))+($K130*(G130/366))</f>
        <v>0</v>
      </c>
      <c r="E211" s="48">
        <f t="shared" si="41"/>
        <v>0</v>
      </c>
      <c r="G211" s="1">
        <v>2012</v>
      </c>
      <c r="H211" s="918">
        <v>0</v>
      </c>
      <c r="I211" s="918"/>
      <c r="J211" s="918">
        <v>0</v>
      </c>
      <c r="K211" s="918"/>
      <c r="L211" s="918">
        <v>0</v>
      </c>
      <c r="M211" s="918"/>
      <c r="N211" s="887">
        <f t="shared" ref="N211:N216" si="44">H211+J211+L211</f>
        <v>0</v>
      </c>
      <c r="O211" s="887"/>
      <c r="R211" s="1">
        <v>2012</v>
      </c>
      <c r="S211" s="8">
        <f>(O129*($E129/366))+($K130*(I130/366))</f>
        <v>0</v>
      </c>
      <c r="T211" s="8">
        <f>(P129*($E129/366))+($K130*(J130/366))</f>
        <v>0</v>
      </c>
      <c r="U211" s="8">
        <f>(Q129*($E129/366))+($K130*(K130/366))</f>
        <v>0</v>
      </c>
      <c r="V211" s="12"/>
      <c r="W211" s="7">
        <f t="shared" si="43"/>
        <v>0</v>
      </c>
      <c r="Y211" s="26"/>
    </row>
    <row r="212" spans="1:2047 2049:7168 7172:9215 9219:10240 10243:11262 11266:12287 12290:13309 13313:14334 14337:16384">
      <c r="A212" s="1">
        <v>2013</v>
      </c>
      <c r="B212" s="8">
        <f>(K131*(E131/365))+(K132*($E132/365))+(K133*($E133/365))</f>
        <v>21.843088418430884</v>
      </c>
      <c r="C212" s="8">
        <f>(L131*($E131/365))+(L132*($E132/365))+(L133*($E133/365))</f>
        <v>5.9526774595267744</v>
      </c>
      <c r="D212" s="8">
        <f>(M131*($E131/365))+(M132*($E132/365))+(M133*($E133/365))</f>
        <v>30.884184308841842</v>
      </c>
      <c r="E212" s="279">
        <f>B212+C212+D212</f>
        <v>58.679950186799502</v>
      </c>
      <c r="G212" s="1">
        <v>2013</v>
      </c>
      <c r="H212" s="918">
        <f>0+(O132/$R132*100*($E132/365))+(O133/$R133*100*($E133/365))</f>
        <v>18.506003369017062</v>
      </c>
      <c r="I212" s="918"/>
      <c r="J212" s="918">
        <f>0+(P132/$R132*100*($E132/365))+(P133/$R133*100*($E133/365))</f>
        <v>2.2808767671781367</v>
      </c>
      <c r="K212" s="918"/>
      <c r="L212" s="918">
        <f>0+(Q132/$R132*100*($E132/365))+(Q133/$R133*100*($E133/365))</f>
        <v>47.158325343256841</v>
      </c>
      <c r="M212" s="918"/>
      <c r="N212" s="887">
        <f t="shared" si="44"/>
        <v>67.945205479452042</v>
      </c>
      <c r="O212" s="887"/>
      <c r="R212" s="1">
        <v>2013</v>
      </c>
      <c r="S212" s="8">
        <f>(O131*($E131/365))+(O132*($E132/365))+(O133*($E133/365))</f>
        <v>12.846027397260274</v>
      </c>
      <c r="T212" s="8">
        <f>(P131*($E131/365))+(P132*($E132/365))+(P133*($E133/365))</f>
        <v>1.463013698630137</v>
      </c>
      <c r="U212" s="8">
        <f>(Q131*($E131/365))+(Q132*($E132/365))+(Q133*($E133/365))</f>
        <v>32.002191780821917</v>
      </c>
      <c r="V212" s="12"/>
      <c r="W212" s="7">
        <f>S212+T212+U212</f>
        <v>46.311232876712324</v>
      </c>
      <c r="Y212" s="26"/>
    </row>
    <row r="213" spans="1:2047 2049:7168 7172:9215 9219:10240 10243:11262 11266:12287 12290:13309 13313:14334 14337:16384">
      <c r="A213" s="1">
        <v>2014</v>
      </c>
      <c r="B213" s="8">
        <f>(K134*(E134/365))+(K135*($E135/365))+(K136*($E136/365))</f>
        <v>7.0332890316774277</v>
      </c>
      <c r="C213" s="8">
        <f>(L134*($E134/365))+(L135*($E135/365))+(L136*($E136/365))</f>
        <v>23.816012083538268</v>
      </c>
      <c r="D213" s="8">
        <f>(M134*($E134/365))+(M135*($E135/365))+(M136*($E136/365))</f>
        <v>62.117409853106878</v>
      </c>
      <c r="E213" s="530">
        <f>B213+C213+D213</f>
        <v>92.966710968322573</v>
      </c>
      <c r="G213" s="1">
        <v>2014</v>
      </c>
      <c r="H213" s="918">
        <f>(O134/$R134*100*($E134/365))+(O135/$R135*100*($E135/365))+(O136/$R136*100*($E136/365))</f>
        <v>8.0532450746461368</v>
      </c>
      <c r="I213" s="918"/>
      <c r="J213" s="918">
        <f>(P134/$R134*100*($E134/365))+(P135/$R135*100*($E135/365))+(P136/$R136*100*($E136/365))</f>
        <v>8.4388080861049222</v>
      </c>
      <c r="K213" s="918"/>
      <c r="L213" s="918">
        <f>(Q134/$R134*100*($E134/365))+(Q135/$R135*100*($E135/365))+(Q136/$R136*100*($E136/365))</f>
        <v>83.507946839248945</v>
      </c>
      <c r="M213" s="918"/>
      <c r="N213" s="887">
        <f t="shared" si="44"/>
        <v>100</v>
      </c>
      <c r="O213" s="887"/>
      <c r="R213" s="1">
        <v>2014</v>
      </c>
      <c r="S213" s="8">
        <f>(O134*($E134/365))+(O135*($E135/365))+(O136*($E136/365))</f>
        <v>4.5706849315068494</v>
      </c>
      <c r="T213" s="8">
        <f>(P134*($E134/365))+(P135*($E135/365))+(P136*($E136/365))</f>
        <v>4.7852054794520544</v>
      </c>
      <c r="U213" s="8">
        <f>(Q134*($E134/365))+(Q135*($E135/365))+(Q136*($E136/365))</f>
        <v>47.271506849315067</v>
      </c>
      <c r="V213" s="12"/>
      <c r="W213" s="7">
        <f>S213+T213+U213</f>
        <v>56.627397260273966</v>
      </c>
      <c r="Y213" s="26"/>
    </row>
    <row r="214" spans="1:2047 2049:7168 7172:9215 9219:10240 10243:11262 11266:12287 12290:13309 13313:14334 14337:16384" s="611" customFormat="1">
      <c r="A214" s="611">
        <v>2015</v>
      </c>
      <c r="B214" s="605">
        <f>(K137*(E137/365))+(K138*($E138/365))+(K139*($E139/365))+(K140*($E140/365))</f>
        <v>0.58017727639000805</v>
      </c>
      <c r="C214" s="605">
        <f>(L137*($E137/365))+(L138*($E138/365))+(L139*($E139/365))+(L140*($E140/365))</f>
        <v>24.544721998388397</v>
      </c>
      <c r="D214" s="605">
        <f>(M137*($E137/365))+(M138*($E138/365))+(M139*($E139/365))+(M140*($E140/365))</f>
        <v>68.992747784045122</v>
      </c>
      <c r="E214" s="606">
        <f>B214+C214+D214</f>
        <v>94.117647058823522</v>
      </c>
      <c r="G214" s="611">
        <v>2015</v>
      </c>
      <c r="H214" s="918">
        <f>(O137/$R137*100*($E137/365))+(O138/$R138*100*($E138/365))+(O139/$R139*100*($E139/365))+(O140/$R140*100*($E140/365))</f>
        <v>0.75464339687027737</v>
      </c>
      <c r="I214" s="918"/>
      <c r="J214" s="918">
        <f>(P137/$R137*100*($E137/365))+(P138/$R138*100*($E138/365))+(P139/$R139*100*($E139/365))+(P140/$R140*100*($E140/365))</f>
        <v>8.7963129166550438</v>
      </c>
      <c r="K214" s="918"/>
      <c r="L214" s="918">
        <f>(Q137/$R137*100*($E137/365))+(Q138/$R138*100*($E138/365))+(Q139/$R139*100*($E139/365))+(Q140/$R140*100*($E140/365))</f>
        <v>90.449043686474667</v>
      </c>
      <c r="M214" s="918"/>
      <c r="N214" s="887">
        <f t="shared" si="44"/>
        <v>99.999999999999986</v>
      </c>
      <c r="O214" s="887"/>
      <c r="R214" s="611">
        <v>2015</v>
      </c>
      <c r="S214" s="605">
        <f>(O137*($E137/365))+(O138*($E138/365))+(O139*($E139/365))+(O140*($E140/365))</f>
        <v>0.42410958904109586</v>
      </c>
      <c r="T214" s="605">
        <f>(P137*($E137/365))+(P138*($E138/365))+(P139*($E139/365))+(P140*($E140/365))</f>
        <v>4.5999999999999996</v>
      </c>
      <c r="U214" s="605">
        <f>(Q137*($E137/365))+(Q138*($E138/365))+(Q139*($E139/365))+(Q140*($E140/365))</f>
        <v>47.3</v>
      </c>
      <c r="V214" s="12"/>
      <c r="W214" s="675">
        <f t="shared" ref="W214:W215" si="45">S214+T214+U214</f>
        <v>52.324109589041093</v>
      </c>
      <c r="Y214" s="26"/>
      <c r="AT214" s="37"/>
      <c r="BA214" s="609"/>
    </row>
    <row r="215" spans="1:2047 2049:7168 7172:9215 9219:10240 10243:11262 11266:12287 12290:13309 13313:14334 14337:16384" s="677" customFormat="1">
      <c r="A215" s="677">
        <v>2016</v>
      </c>
      <c r="B215" s="670">
        <f>(K141*($E141/366))+(K142*($E142/366))+(K143*($E143/366))</f>
        <v>0</v>
      </c>
      <c r="C215" s="670">
        <f>(L141*($E141/366))+(L142*($E142/366))+(L143*($E143/366))</f>
        <v>20.116384560726793</v>
      </c>
      <c r="D215" s="670">
        <f>(M141*($E141/366))+(M142*($E142/366))+(M143*($E143/366))</f>
        <v>73.495364496100422</v>
      </c>
      <c r="E215" s="671">
        <f t="shared" ref="E215" si="46">B215+C215+D215</f>
        <v>93.611749056827222</v>
      </c>
      <c r="G215" s="677">
        <v>2016</v>
      </c>
      <c r="H215" s="918">
        <f>(O141/$R141*100*($E141/366))+(O142/$R142*100*($E142/366))+(O143/$R143*100*($E143/366))</f>
        <v>0</v>
      </c>
      <c r="I215" s="918"/>
      <c r="J215" s="918">
        <f>(P141/$R141*100*($E141/366))+(P142/$R142*100*($E142/366))+(P143/$R143*100*($E143/366))</f>
        <v>8.808073194732323</v>
      </c>
      <c r="K215" s="918"/>
      <c r="L215" s="918">
        <f>(Q141/$R141*100*($E141/366))+(Q142/$R142*100*($E142/366))+(Q143/$R143*100*($E143/366))</f>
        <v>91.191926805267656</v>
      </c>
      <c r="M215" s="918"/>
      <c r="N215" s="887">
        <f t="shared" si="44"/>
        <v>99.999999999999972</v>
      </c>
      <c r="O215" s="887"/>
      <c r="R215" s="677">
        <v>2016</v>
      </c>
      <c r="S215" s="670">
        <f>(O141*($E141/366))+(O142*($E142/366))+(O143*($E143/366))</f>
        <v>0</v>
      </c>
      <c r="T215" s="670">
        <f>(P141*($E141/366))+(P142*($E142/366))+(P143*($E143/366))</f>
        <v>4.5726775956284147</v>
      </c>
      <c r="U215" s="670">
        <f>(Q141*($E141/366))+(Q142*($E142/366))+(Q143*($E143/366))</f>
        <v>47.343715846994542</v>
      </c>
      <c r="W215" s="675">
        <f t="shared" si="45"/>
        <v>51.916393442622955</v>
      </c>
      <c r="X215" s="37"/>
      <c r="AE215" s="674"/>
    </row>
    <row r="216" spans="1:2047 2049:7168 7172:9215 9219:10240 10243:11262 11266:12287 12290:13309 13313:14334 14337:16384" s="749" customFormat="1">
      <c r="A216" s="749">
        <v>2017</v>
      </c>
      <c r="B216" s="744">
        <f>(K144*($E144/365))+(K145*($E145/365))</f>
        <v>0</v>
      </c>
      <c r="C216" s="744">
        <f>(L144*($E144/365))+(L145*($E145/365))</f>
        <v>18.80317231434751</v>
      </c>
      <c r="D216" s="744">
        <f>(M144*($E144/365))+(M145*($E145/365))</f>
        <v>70.670511896178795</v>
      </c>
      <c r="E216" s="745">
        <f t="shared" ref="E216" si="47">B216+C216+D216</f>
        <v>89.473684210526301</v>
      </c>
      <c r="G216" s="749">
        <v>2017</v>
      </c>
      <c r="H216" s="918">
        <f>(O144/$R144*100*($E144/365))+(O145/$R145*100*($E145/365))</f>
        <v>0</v>
      </c>
      <c r="I216" s="918"/>
      <c r="J216" s="918">
        <f>(P144/$R144*100*($E144/365))+(P145/$R145*100*($E145/365))</f>
        <v>7.8544061302681971</v>
      </c>
      <c r="K216" s="918"/>
      <c r="L216" s="918">
        <f>(Q144/$R144*100*($E144/365))+(Q145/$R145*100*($E145/365))</f>
        <v>92.145593869731798</v>
      </c>
      <c r="M216" s="918"/>
      <c r="N216" s="887">
        <f t="shared" si="44"/>
        <v>100</v>
      </c>
      <c r="O216" s="887"/>
      <c r="R216" s="749">
        <v>2017</v>
      </c>
      <c r="S216" s="744">
        <f>(O144*($E144/365))+(O145*($E145/365))</f>
        <v>0</v>
      </c>
      <c r="T216" s="744">
        <f>(P144*($E144/365))+(P145*($E145/365))</f>
        <v>4.0999999999999996</v>
      </c>
      <c r="U216" s="744">
        <f>(Q144*($E144/365))+(Q145*($E145/365))</f>
        <v>48.1</v>
      </c>
      <c r="V216" s="744"/>
      <c r="W216" s="746">
        <f t="shared" ref="W216" si="48">S216+T216+U216</f>
        <v>52.2</v>
      </c>
      <c r="Y216" s="744"/>
      <c r="Z216" s="744"/>
      <c r="AA216" s="744"/>
      <c r="AB216" s="745"/>
      <c r="AE216" s="918"/>
      <c r="AF216" s="918"/>
      <c r="AG216" s="918"/>
      <c r="AH216" s="918"/>
      <c r="AI216" s="918"/>
      <c r="AJ216" s="918"/>
      <c r="AK216" s="887"/>
      <c r="AL216" s="887"/>
      <c r="AP216" s="744"/>
      <c r="AQ216" s="744"/>
      <c r="AR216" s="744"/>
      <c r="AT216" s="746"/>
      <c r="AV216" s="744"/>
      <c r="AW216" s="744"/>
      <c r="AX216" s="744"/>
      <c r="AY216" s="745"/>
      <c r="BB216" s="918"/>
      <c r="BC216" s="918"/>
      <c r="BD216" s="918"/>
      <c r="BE216" s="918"/>
      <c r="BF216" s="918"/>
      <c r="BG216" s="918"/>
      <c r="BH216" s="887"/>
      <c r="BI216" s="887"/>
      <c r="BM216" s="744"/>
      <c r="BN216" s="744"/>
      <c r="BO216" s="744"/>
      <c r="BQ216" s="746"/>
      <c r="BS216" s="744"/>
      <c r="BT216" s="744"/>
      <c r="BU216" s="744"/>
      <c r="BV216" s="745"/>
      <c r="BY216" s="918"/>
      <c r="BZ216" s="918"/>
      <c r="CA216" s="918"/>
      <c r="CB216" s="918"/>
      <c r="CC216" s="918"/>
      <c r="CD216" s="918"/>
      <c r="CE216" s="887"/>
      <c r="CF216" s="887"/>
      <c r="CJ216" s="744"/>
      <c r="CK216" s="744"/>
      <c r="CL216" s="744"/>
      <c r="CN216" s="746"/>
      <c r="CP216" s="744"/>
      <c r="CQ216" s="744"/>
      <c r="CR216" s="744"/>
      <c r="CS216" s="745"/>
      <c r="CV216" s="918"/>
      <c r="CW216" s="918"/>
      <c r="CX216" s="918"/>
      <c r="CY216" s="918"/>
      <c r="CZ216" s="918"/>
      <c r="DA216" s="918"/>
      <c r="DB216" s="887"/>
      <c r="DC216" s="887"/>
      <c r="DG216" s="744"/>
      <c r="DH216" s="744"/>
      <c r="DI216" s="744"/>
      <c r="DK216" s="746"/>
      <c r="DM216" s="744"/>
      <c r="DN216" s="744"/>
      <c r="DO216" s="744"/>
      <c r="DP216" s="745"/>
      <c r="DS216" s="918"/>
      <c r="DT216" s="918"/>
      <c r="DU216" s="918"/>
      <c r="DV216" s="918"/>
      <c r="DW216" s="918"/>
      <c r="DX216" s="918"/>
      <c r="DY216" s="887"/>
      <c r="DZ216" s="887"/>
      <c r="ED216" s="744"/>
      <c r="EE216" s="744"/>
      <c r="EF216" s="744"/>
      <c r="EH216" s="746"/>
      <c r="EJ216" s="744"/>
      <c r="EK216" s="744"/>
      <c r="EL216" s="744"/>
      <c r="EM216" s="745"/>
      <c r="EP216" s="918"/>
      <c r="EQ216" s="918"/>
      <c r="ER216" s="918"/>
      <c r="ES216" s="918"/>
      <c r="ET216" s="918"/>
      <c r="EU216" s="918"/>
      <c r="EV216" s="887"/>
      <c r="EW216" s="887"/>
      <c r="FA216" s="744"/>
      <c r="FB216" s="744"/>
      <c r="FC216" s="744"/>
      <c r="FE216" s="746"/>
      <c r="FG216" s="744"/>
      <c r="FH216" s="744"/>
      <c r="FI216" s="744"/>
      <c r="FJ216" s="745"/>
      <c r="FM216" s="918"/>
      <c r="FN216" s="918"/>
      <c r="FO216" s="918"/>
      <c r="FP216" s="918"/>
      <c r="FQ216" s="918"/>
      <c r="FR216" s="918"/>
      <c r="FS216" s="887"/>
      <c r="FT216" s="887"/>
      <c r="FX216" s="744"/>
      <c r="FY216" s="744"/>
      <c r="FZ216" s="744"/>
      <c r="GB216" s="746"/>
      <c r="GD216" s="744"/>
      <c r="GE216" s="744"/>
      <c r="GF216" s="744"/>
      <c r="GG216" s="745"/>
      <c r="GJ216" s="918"/>
      <c r="GK216" s="918"/>
      <c r="GL216" s="918"/>
      <c r="GM216" s="918"/>
      <c r="GN216" s="918"/>
      <c r="GO216" s="918"/>
      <c r="GP216" s="887"/>
      <c r="GQ216" s="887"/>
      <c r="GU216" s="744"/>
      <c r="GV216" s="744"/>
      <c r="GW216" s="744"/>
      <c r="GY216" s="746"/>
      <c r="HA216" s="744"/>
      <c r="HB216" s="744"/>
      <c r="HC216" s="744"/>
      <c r="HD216" s="745"/>
      <c r="HG216" s="918"/>
      <c r="HH216" s="918"/>
      <c r="HI216" s="918"/>
      <c r="HJ216" s="918"/>
      <c r="HK216" s="918"/>
      <c r="HL216" s="918"/>
      <c r="HM216" s="887"/>
      <c r="HN216" s="887"/>
      <c r="HR216" s="744"/>
      <c r="HS216" s="744"/>
      <c r="HT216" s="744"/>
      <c r="HV216" s="746"/>
      <c r="HX216" s="744"/>
      <c r="HY216" s="744"/>
      <c r="HZ216" s="744"/>
      <c r="IA216" s="745"/>
      <c r="ID216" s="918"/>
      <c r="IE216" s="918"/>
      <c r="IF216" s="918"/>
      <c r="IG216" s="918"/>
      <c r="IH216" s="918"/>
      <c r="II216" s="918"/>
      <c r="IJ216" s="887"/>
      <c r="IK216" s="887"/>
      <c r="IO216" s="744"/>
      <c r="IP216" s="744"/>
      <c r="IQ216" s="744"/>
      <c r="IS216" s="746"/>
      <c r="IU216" s="744"/>
      <c r="IV216" s="744"/>
      <c r="IW216" s="744"/>
      <c r="IX216" s="745"/>
      <c r="JA216" s="918"/>
      <c r="JB216" s="918"/>
      <c r="JC216" s="918"/>
      <c r="JD216" s="918"/>
      <c r="JE216" s="918"/>
      <c r="JF216" s="918"/>
      <c r="JG216" s="887"/>
      <c r="JH216" s="887"/>
      <c r="JL216" s="744"/>
      <c r="JM216" s="744"/>
      <c r="JN216" s="744"/>
      <c r="JP216" s="746"/>
      <c r="JR216" s="744"/>
      <c r="JS216" s="744"/>
      <c r="JT216" s="744"/>
      <c r="JU216" s="745"/>
      <c r="JX216" s="918"/>
      <c r="JY216" s="918"/>
      <c r="JZ216" s="918"/>
      <c r="KA216" s="918"/>
      <c r="KB216" s="918"/>
      <c r="KC216" s="918"/>
      <c r="KD216" s="887"/>
      <c r="KE216" s="887"/>
      <c r="KI216" s="744"/>
      <c r="KJ216" s="744"/>
      <c r="KK216" s="744"/>
      <c r="KM216" s="746"/>
      <c r="KO216" s="744"/>
      <c r="KP216" s="744"/>
      <c r="KQ216" s="744"/>
      <c r="KR216" s="745"/>
      <c r="KU216" s="918"/>
      <c r="KV216" s="918"/>
      <c r="KW216" s="918"/>
      <c r="KX216" s="918"/>
      <c r="KY216" s="918"/>
      <c r="KZ216" s="918"/>
      <c r="LA216" s="887"/>
      <c r="LB216" s="887"/>
      <c r="LF216" s="744"/>
      <c r="LG216" s="744"/>
      <c r="LH216" s="744"/>
      <c r="LJ216" s="746"/>
      <c r="LL216" s="744"/>
      <c r="LM216" s="744"/>
      <c r="LN216" s="744"/>
      <c r="LO216" s="745"/>
      <c r="LR216" s="918"/>
      <c r="LS216" s="918"/>
      <c r="LT216" s="918"/>
      <c r="LU216" s="918"/>
      <c r="LV216" s="918"/>
      <c r="LW216" s="918"/>
      <c r="LX216" s="887"/>
      <c r="LY216" s="887"/>
      <c r="MC216" s="744"/>
      <c r="MD216" s="744"/>
      <c r="ME216" s="744"/>
      <c r="MG216" s="746"/>
      <c r="MI216" s="744"/>
      <c r="MJ216" s="744"/>
      <c r="MK216" s="744"/>
      <c r="ML216" s="745"/>
      <c r="MO216" s="918"/>
      <c r="MP216" s="918"/>
      <c r="MQ216" s="918"/>
      <c r="MR216" s="918"/>
      <c r="MS216" s="918"/>
      <c r="MT216" s="918"/>
      <c r="MU216" s="887"/>
      <c r="MV216" s="887"/>
      <c r="MZ216" s="744"/>
      <c r="NA216" s="744"/>
      <c r="NB216" s="744"/>
      <c r="ND216" s="746"/>
      <c r="NF216" s="744"/>
      <c r="NG216" s="744"/>
      <c r="NH216" s="744"/>
      <c r="NI216" s="745"/>
      <c r="NL216" s="918"/>
      <c r="NM216" s="918"/>
      <c r="NN216" s="918"/>
      <c r="NO216" s="918"/>
      <c r="NP216" s="918"/>
      <c r="NQ216" s="918"/>
      <c r="NR216" s="887"/>
      <c r="NS216" s="887"/>
      <c r="NW216" s="744"/>
      <c r="NX216" s="744"/>
      <c r="NY216" s="744"/>
      <c r="OA216" s="746"/>
      <c r="OC216" s="744"/>
      <c r="OD216" s="744"/>
      <c r="OE216" s="744"/>
      <c r="OF216" s="745"/>
      <c r="OI216" s="918"/>
      <c r="OJ216" s="918"/>
      <c r="OK216" s="918"/>
      <c r="OL216" s="918"/>
      <c r="OM216" s="918"/>
      <c r="ON216" s="918"/>
      <c r="OO216" s="887"/>
      <c r="OP216" s="887"/>
      <c r="OT216" s="744"/>
      <c r="OU216" s="744"/>
      <c r="OV216" s="744"/>
      <c r="OX216" s="746"/>
      <c r="OZ216" s="744"/>
      <c r="PA216" s="744"/>
      <c r="PB216" s="744"/>
      <c r="PC216" s="745"/>
      <c r="PF216" s="918"/>
      <c r="PG216" s="918"/>
      <c r="PH216" s="918"/>
      <c r="PI216" s="918"/>
      <c r="PJ216" s="918"/>
      <c r="PK216" s="918"/>
      <c r="PL216" s="887"/>
      <c r="PM216" s="887"/>
      <c r="PQ216" s="744"/>
      <c r="PR216" s="744"/>
      <c r="PS216" s="744"/>
      <c r="PU216" s="746"/>
      <c r="PW216" s="744"/>
      <c r="PX216" s="744"/>
      <c r="PY216" s="744"/>
      <c r="PZ216" s="745"/>
      <c r="QC216" s="918"/>
      <c r="QD216" s="918"/>
      <c r="QE216" s="918"/>
      <c r="QF216" s="918"/>
      <c r="QG216" s="918"/>
      <c r="QH216" s="918"/>
      <c r="QI216" s="887"/>
      <c r="QJ216" s="887"/>
      <c r="QN216" s="744"/>
      <c r="QO216" s="744"/>
      <c r="QP216" s="744"/>
      <c r="QR216" s="746"/>
      <c r="QT216" s="744"/>
      <c r="QU216" s="744"/>
      <c r="QV216" s="744"/>
      <c r="QW216" s="745"/>
      <c r="QZ216" s="918"/>
      <c r="RA216" s="918"/>
      <c r="RB216" s="918"/>
      <c r="RC216" s="918"/>
      <c r="RD216" s="918"/>
      <c r="RE216" s="918"/>
      <c r="RF216" s="887"/>
      <c r="RG216" s="887"/>
      <c r="RK216" s="744"/>
      <c r="RL216" s="744"/>
      <c r="RM216" s="744"/>
      <c r="RO216" s="746"/>
      <c r="RQ216" s="744"/>
      <c r="RR216" s="744"/>
      <c r="RS216" s="744"/>
      <c r="RT216" s="745"/>
      <c r="RW216" s="918"/>
      <c r="RX216" s="918"/>
      <c r="RY216" s="918"/>
      <c r="RZ216" s="918"/>
      <c r="SA216" s="918"/>
      <c r="SB216" s="918"/>
      <c r="SC216" s="887"/>
      <c r="SD216" s="887"/>
      <c r="SH216" s="744"/>
      <c r="SI216" s="744"/>
      <c r="SJ216" s="744"/>
      <c r="SL216" s="746"/>
      <c r="SN216" s="744"/>
      <c r="SO216" s="744"/>
      <c r="SP216" s="744"/>
      <c r="SQ216" s="745"/>
      <c r="ST216" s="918"/>
      <c r="SU216" s="918"/>
      <c r="SV216" s="918"/>
      <c r="SW216" s="918"/>
      <c r="SX216" s="918"/>
      <c r="SY216" s="918"/>
      <c r="SZ216" s="887"/>
      <c r="TA216" s="887"/>
      <c r="TE216" s="744"/>
      <c r="TF216" s="744"/>
      <c r="TG216" s="744"/>
      <c r="TI216" s="746"/>
      <c r="TK216" s="744"/>
      <c r="TL216" s="744"/>
      <c r="TM216" s="744"/>
      <c r="TN216" s="745"/>
      <c r="TQ216" s="918"/>
      <c r="TR216" s="918"/>
      <c r="TS216" s="918"/>
      <c r="TT216" s="918"/>
      <c r="TU216" s="918"/>
      <c r="TV216" s="918"/>
      <c r="TW216" s="887"/>
      <c r="TX216" s="887"/>
      <c r="UB216" s="744"/>
      <c r="UC216" s="744"/>
      <c r="UD216" s="744"/>
      <c r="UF216" s="746"/>
      <c r="UH216" s="744"/>
      <c r="UI216" s="744"/>
      <c r="UJ216" s="744"/>
      <c r="UK216" s="745"/>
      <c r="UN216" s="918"/>
      <c r="UO216" s="918"/>
      <c r="UP216" s="918"/>
      <c r="UQ216" s="918"/>
      <c r="UR216" s="918"/>
      <c r="US216" s="918"/>
      <c r="UT216" s="887"/>
      <c r="UU216" s="887"/>
      <c r="UY216" s="744"/>
      <c r="UZ216" s="744"/>
      <c r="VA216" s="744"/>
      <c r="VC216" s="746"/>
      <c r="VE216" s="744"/>
      <c r="VF216" s="744"/>
      <c r="VG216" s="744"/>
      <c r="VH216" s="745"/>
      <c r="VK216" s="918"/>
      <c r="VL216" s="918"/>
      <c r="VM216" s="918"/>
      <c r="VN216" s="918"/>
      <c r="VO216" s="918"/>
      <c r="VP216" s="918"/>
      <c r="VQ216" s="887"/>
      <c r="VR216" s="887"/>
      <c r="VV216" s="744"/>
      <c r="VW216" s="744"/>
      <c r="VX216" s="744"/>
      <c r="VZ216" s="746"/>
      <c r="WB216" s="744"/>
      <c r="WC216" s="744"/>
      <c r="WD216" s="744"/>
      <c r="WE216" s="745"/>
      <c r="WH216" s="918"/>
      <c r="WI216" s="918"/>
      <c r="WJ216" s="918"/>
      <c r="WK216" s="918"/>
      <c r="WL216" s="918"/>
      <c r="WM216" s="918"/>
      <c r="WN216" s="887"/>
      <c r="WO216" s="887"/>
      <c r="WS216" s="744"/>
      <c r="WT216" s="744"/>
      <c r="WU216" s="744"/>
      <c r="WW216" s="746"/>
      <c r="WY216" s="744"/>
      <c r="WZ216" s="744"/>
      <c r="XA216" s="744"/>
      <c r="XB216" s="745"/>
      <c r="XE216" s="918"/>
      <c r="XF216" s="918"/>
      <c r="XG216" s="918"/>
      <c r="XH216" s="918"/>
      <c r="XI216" s="918"/>
      <c r="XJ216" s="918"/>
      <c r="XK216" s="887"/>
      <c r="XL216" s="887"/>
      <c r="XP216" s="744"/>
      <c r="XQ216" s="744"/>
      <c r="XR216" s="744"/>
      <c r="XT216" s="746"/>
      <c r="XV216" s="744"/>
      <c r="XW216" s="744"/>
      <c r="XX216" s="744"/>
      <c r="XY216" s="745"/>
      <c r="YB216" s="918"/>
      <c r="YC216" s="918"/>
      <c r="YD216" s="918"/>
      <c r="YE216" s="918"/>
      <c r="YF216" s="918"/>
      <c r="YG216" s="918"/>
      <c r="YH216" s="887"/>
      <c r="YI216" s="887"/>
      <c r="YM216" s="744"/>
      <c r="YN216" s="744"/>
      <c r="YO216" s="744"/>
      <c r="YQ216" s="746"/>
      <c r="YS216" s="744"/>
      <c r="YT216" s="744"/>
      <c r="YU216" s="744"/>
      <c r="YV216" s="745"/>
      <c r="YY216" s="918"/>
      <c r="YZ216" s="918"/>
      <c r="ZA216" s="918"/>
      <c r="ZB216" s="918"/>
      <c r="ZC216" s="918"/>
      <c r="ZD216" s="918"/>
      <c r="ZE216" s="887"/>
      <c r="ZF216" s="887"/>
      <c r="ZJ216" s="744"/>
      <c r="ZK216" s="744"/>
      <c r="ZL216" s="744"/>
      <c r="ZN216" s="746"/>
      <c r="ZP216" s="744"/>
      <c r="ZQ216" s="744"/>
      <c r="ZR216" s="744"/>
      <c r="ZS216" s="745"/>
      <c r="ZV216" s="918"/>
      <c r="ZW216" s="918"/>
      <c r="ZX216" s="918"/>
      <c r="ZY216" s="918"/>
      <c r="ZZ216" s="918"/>
      <c r="AAA216" s="918"/>
      <c r="AAB216" s="887"/>
      <c r="AAC216" s="887"/>
      <c r="AAG216" s="744"/>
      <c r="AAH216" s="744"/>
      <c r="AAI216" s="744"/>
      <c r="AAK216" s="746"/>
      <c r="AAM216" s="744"/>
      <c r="AAN216" s="744"/>
      <c r="AAO216" s="744"/>
      <c r="AAP216" s="745"/>
      <c r="AAS216" s="918"/>
      <c r="AAT216" s="918"/>
      <c r="AAU216" s="918"/>
      <c r="AAV216" s="918"/>
      <c r="AAW216" s="918"/>
      <c r="AAX216" s="918"/>
      <c r="AAY216" s="887"/>
      <c r="AAZ216" s="887"/>
      <c r="ABD216" s="744"/>
      <c r="ABE216" s="744"/>
      <c r="ABF216" s="744"/>
      <c r="ABH216" s="746"/>
      <c r="ABJ216" s="744"/>
      <c r="ABK216" s="744"/>
      <c r="ABL216" s="744"/>
      <c r="ABM216" s="745"/>
      <c r="ABP216" s="918"/>
      <c r="ABQ216" s="918"/>
      <c r="ABR216" s="918"/>
      <c r="ABS216" s="918"/>
      <c r="ABT216" s="918"/>
      <c r="ABU216" s="918"/>
      <c r="ABV216" s="887"/>
      <c r="ABW216" s="887"/>
      <c r="ACA216" s="744"/>
      <c r="ACB216" s="744"/>
      <c r="ACC216" s="744"/>
      <c r="ACE216" s="746"/>
      <c r="ACG216" s="744"/>
      <c r="ACH216" s="744"/>
      <c r="ACI216" s="744"/>
      <c r="ACJ216" s="745"/>
      <c r="ACM216" s="918"/>
      <c r="ACN216" s="918"/>
      <c r="ACO216" s="918"/>
      <c r="ACP216" s="918"/>
      <c r="ACQ216" s="918"/>
      <c r="ACR216" s="918"/>
      <c r="ACS216" s="887"/>
      <c r="ACT216" s="887"/>
      <c r="ACX216" s="744"/>
      <c r="ACY216" s="744"/>
      <c r="ACZ216" s="744"/>
      <c r="ADB216" s="746"/>
      <c r="ADD216" s="744"/>
      <c r="ADE216" s="744"/>
      <c r="ADF216" s="744"/>
      <c r="ADG216" s="745"/>
      <c r="ADJ216" s="918"/>
      <c r="ADK216" s="918"/>
      <c r="ADL216" s="918"/>
      <c r="ADM216" s="918"/>
      <c r="ADN216" s="918"/>
      <c r="ADO216" s="918"/>
      <c r="ADP216" s="887"/>
      <c r="ADQ216" s="887"/>
      <c r="ADU216" s="744"/>
      <c r="ADV216" s="744"/>
      <c r="ADW216" s="744"/>
      <c r="ADY216" s="746"/>
      <c r="AEA216" s="744"/>
      <c r="AEB216" s="744"/>
      <c r="AEC216" s="744"/>
      <c r="AED216" s="745"/>
      <c r="AEG216" s="918"/>
      <c r="AEH216" s="918"/>
      <c r="AEI216" s="918"/>
      <c r="AEJ216" s="918"/>
      <c r="AEK216" s="918"/>
      <c r="AEL216" s="918"/>
      <c r="AEM216" s="887"/>
      <c r="AEN216" s="887"/>
      <c r="AER216" s="744"/>
      <c r="AES216" s="744"/>
      <c r="AET216" s="744"/>
      <c r="AEV216" s="746"/>
      <c r="AEX216" s="744"/>
      <c r="AEY216" s="744"/>
      <c r="AEZ216" s="744"/>
      <c r="AFA216" s="745"/>
      <c r="AFD216" s="918"/>
      <c r="AFE216" s="918"/>
      <c r="AFF216" s="918"/>
      <c r="AFG216" s="918"/>
      <c r="AFH216" s="918"/>
      <c r="AFI216" s="918"/>
      <c r="AFJ216" s="887"/>
      <c r="AFK216" s="887"/>
      <c r="AFO216" s="744"/>
      <c r="AFP216" s="744"/>
      <c r="AFQ216" s="744"/>
      <c r="AFS216" s="746"/>
      <c r="AFU216" s="744"/>
      <c r="AFV216" s="744"/>
      <c r="AFW216" s="744"/>
      <c r="AFX216" s="745"/>
      <c r="AGA216" s="918"/>
      <c r="AGB216" s="918"/>
      <c r="AGC216" s="918"/>
      <c r="AGD216" s="918"/>
      <c r="AGE216" s="918"/>
      <c r="AGF216" s="918"/>
      <c r="AGG216" s="887"/>
      <c r="AGH216" s="887"/>
      <c r="AGL216" s="744"/>
      <c r="AGM216" s="744"/>
      <c r="AGN216" s="744"/>
      <c r="AGP216" s="746"/>
      <c r="AGR216" s="744"/>
      <c r="AGS216" s="744"/>
      <c r="AGT216" s="744"/>
      <c r="AGU216" s="745"/>
      <c r="AGX216" s="918"/>
      <c r="AGY216" s="918"/>
      <c r="AGZ216" s="918"/>
      <c r="AHA216" s="918"/>
      <c r="AHB216" s="918"/>
      <c r="AHC216" s="918"/>
      <c r="AHD216" s="887"/>
      <c r="AHE216" s="887"/>
      <c r="AHI216" s="744"/>
      <c r="AHJ216" s="744"/>
      <c r="AHK216" s="744"/>
      <c r="AHM216" s="746"/>
      <c r="AHO216" s="744"/>
      <c r="AHP216" s="744"/>
      <c r="AHQ216" s="744"/>
      <c r="AHR216" s="745"/>
      <c r="AHU216" s="918"/>
      <c r="AHV216" s="918"/>
      <c r="AHW216" s="918"/>
      <c r="AHX216" s="918"/>
      <c r="AHY216" s="918"/>
      <c r="AHZ216" s="918"/>
      <c r="AIA216" s="887"/>
      <c r="AIB216" s="887"/>
      <c r="AIF216" s="744"/>
      <c r="AIG216" s="744"/>
      <c r="AIH216" s="744"/>
      <c r="AIJ216" s="746"/>
      <c r="AIL216" s="744"/>
      <c r="AIM216" s="744"/>
      <c r="AIN216" s="744"/>
      <c r="AIO216" s="745"/>
      <c r="AIR216" s="918"/>
      <c r="AIS216" s="918"/>
      <c r="AIT216" s="918"/>
      <c r="AIU216" s="918"/>
      <c r="AIV216" s="918"/>
      <c r="AIW216" s="918"/>
      <c r="AIX216" s="887"/>
      <c r="AIY216" s="887"/>
      <c r="AJC216" s="744"/>
      <c r="AJD216" s="744"/>
      <c r="AJE216" s="744"/>
      <c r="AJG216" s="746"/>
      <c r="AJI216" s="744"/>
      <c r="AJJ216" s="744"/>
      <c r="AJK216" s="744"/>
      <c r="AJL216" s="745"/>
      <c r="AJO216" s="918"/>
      <c r="AJP216" s="918"/>
      <c r="AJQ216" s="918"/>
      <c r="AJR216" s="918"/>
      <c r="AJS216" s="918"/>
      <c r="AJT216" s="918"/>
      <c r="AJU216" s="887"/>
      <c r="AJV216" s="887"/>
      <c r="AJZ216" s="744"/>
      <c r="AKA216" s="744"/>
      <c r="AKB216" s="744"/>
      <c r="AKD216" s="746"/>
      <c r="AKF216" s="744"/>
      <c r="AKG216" s="744"/>
      <c r="AKH216" s="744"/>
      <c r="AKI216" s="745"/>
      <c r="AKL216" s="918"/>
      <c r="AKM216" s="918"/>
      <c r="AKN216" s="918"/>
      <c r="AKO216" s="918"/>
      <c r="AKP216" s="918"/>
      <c r="AKQ216" s="918"/>
      <c r="AKR216" s="887"/>
      <c r="AKS216" s="887"/>
      <c r="AKW216" s="744"/>
      <c r="AKX216" s="744"/>
      <c r="AKY216" s="744"/>
      <c r="ALA216" s="746"/>
      <c r="ALC216" s="744"/>
      <c r="ALD216" s="744"/>
      <c r="ALE216" s="744"/>
      <c r="ALF216" s="745"/>
      <c r="ALI216" s="918"/>
      <c r="ALJ216" s="918"/>
      <c r="ALK216" s="918"/>
      <c r="ALL216" s="918"/>
      <c r="ALM216" s="918"/>
      <c r="ALN216" s="918"/>
      <c r="ALO216" s="887"/>
      <c r="ALP216" s="887"/>
      <c r="ALT216" s="744"/>
      <c r="ALU216" s="744"/>
      <c r="ALV216" s="744"/>
      <c r="ALX216" s="746"/>
      <c r="ALZ216" s="744"/>
      <c r="AMA216" s="744"/>
      <c r="AMB216" s="744"/>
      <c r="AMC216" s="745"/>
      <c r="AMF216" s="918"/>
      <c r="AMG216" s="918"/>
      <c r="AMH216" s="918"/>
      <c r="AMI216" s="918"/>
      <c r="AMJ216" s="918"/>
      <c r="AMK216" s="918"/>
      <c r="AML216" s="887"/>
      <c r="AMM216" s="887"/>
      <c r="AMQ216" s="744"/>
      <c r="AMR216" s="744"/>
      <c r="AMS216" s="744"/>
      <c r="AMU216" s="746"/>
      <c r="AMW216" s="744"/>
      <c r="AMX216" s="744"/>
      <c r="AMY216" s="744"/>
      <c r="AMZ216" s="745"/>
      <c r="ANC216" s="918"/>
      <c r="AND216" s="918"/>
      <c r="ANE216" s="918"/>
      <c r="ANF216" s="918"/>
      <c r="ANG216" s="918"/>
      <c r="ANH216" s="918"/>
      <c r="ANI216" s="887"/>
      <c r="ANJ216" s="887"/>
      <c r="ANN216" s="744"/>
      <c r="ANO216" s="744"/>
      <c r="ANP216" s="744"/>
      <c r="ANR216" s="746"/>
      <c r="ANT216" s="744"/>
      <c r="ANU216" s="744"/>
      <c r="ANV216" s="744"/>
      <c r="ANW216" s="745"/>
      <c r="ANZ216" s="918"/>
      <c r="AOA216" s="918"/>
      <c r="AOB216" s="918"/>
      <c r="AOC216" s="918"/>
      <c r="AOD216" s="918"/>
      <c r="AOE216" s="918"/>
      <c r="AOF216" s="887"/>
      <c r="AOG216" s="887"/>
      <c r="AOK216" s="744"/>
      <c r="AOL216" s="744"/>
      <c r="AOM216" s="744"/>
      <c r="AOO216" s="746"/>
      <c r="AOQ216" s="744"/>
      <c r="AOR216" s="744"/>
      <c r="AOS216" s="744"/>
      <c r="AOT216" s="745"/>
      <c r="AOW216" s="918"/>
      <c r="AOX216" s="918"/>
      <c r="AOY216" s="918"/>
      <c r="AOZ216" s="918"/>
      <c r="APA216" s="918"/>
      <c r="APB216" s="918"/>
      <c r="APC216" s="887"/>
      <c r="APD216" s="887"/>
      <c r="APH216" s="744"/>
      <c r="API216" s="744"/>
      <c r="APJ216" s="744"/>
      <c r="APL216" s="746"/>
      <c r="APN216" s="744"/>
      <c r="APO216" s="744"/>
      <c r="APP216" s="744"/>
      <c r="APQ216" s="745"/>
      <c r="APT216" s="918"/>
      <c r="APU216" s="918"/>
      <c r="APV216" s="918"/>
      <c r="APW216" s="918"/>
      <c r="APX216" s="918"/>
      <c r="APY216" s="918"/>
      <c r="APZ216" s="887"/>
      <c r="AQA216" s="887"/>
      <c r="AQE216" s="744"/>
      <c r="AQF216" s="744"/>
      <c r="AQG216" s="744"/>
      <c r="AQI216" s="746"/>
      <c r="AQK216" s="744"/>
      <c r="AQL216" s="744"/>
      <c r="AQM216" s="744"/>
      <c r="AQN216" s="745"/>
      <c r="AQQ216" s="918"/>
      <c r="AQR216" s="918"/>
      <c r="AQS216" s="918"/>
      <c r="AQT216" s="918"/>
      <c r="AQU216" s="918"/>
      <c r="AQV216" s="918"/>
      <c r="AQW216" s="887"/>
      <c r="AQX216" s="887"/>
      <c r="ARB216" s="744"/>
      <c r="ARC216" s="744"/>
      <c r="ARD216" s="744"/>
      <c r="ARF216" s="746"/>
      <c r="ARH216" s="744"/>
      <c r="ARI216" s="744"/>
      <c r="ARJ216" s="744"/>
      <c r="ARK216" s="745"/>
      <c r="ARN216" s="918"/>
      <c r="ARO216" s="918"/>
      <c r="ARP216" s="918"/>
      <c r="ARQ216" s="918"/>
      <c r="ARR216" s="918"/>
      <c r="ARS216" s="918"/>
      <c r="ART216" s="887"/>
      <c r="ARU216" s="887"/>
      <c r="ARY216" s="744"/>
      <c r="ARZ216" s="744"/>
      <c r="ASA216" s="744"/>
      <c r="ASC216" s="746"/>
      <c r="ASE216" s="744"/>
      <c r="ASF216" s="744"/>
      <c r="ASG216" s="744"/>
      <c r="ASH216" s="745"/>
      <c r="ASK216" s="918"/>
      <c r="ASL216" s="918"/>
      <c r="ASM216" s="918"/>
      <c r="ASN216" s="918"/>
      <c r="ASO216" s="918"/>
      <c r="ASP216" s="918"/>
      <c r="ASQ216" s="887"/>
      <c r="ASR216" s="887"/>
      <c r="ASV216" s="744"/>
      <c r="ASW216" s="744"/>
      <c r="ASX216" s="744"/>
      <c r="ASZ216" s="746"/>
      <c r="ATB216" s="744"/>
      <c r="ATC216" s="744"/>
      <c r="ATD216" s="744"/>
      <c r="ATE216" s="745"/>
      <c r="ATH216" s="918"/>
      <c r="ATI216" s="918"/>
      <c r="ATJ216" s="918"/>
      <c r="ATK216" s="918"/>
      <c r="ATL216" s="918"/>
      <c r="ATM216" s="918"/>
      <c r="ATN216" s="887"/>
      <c r="ATO216" s="887"/>
      <c r="ATS216" s="744"/>
      <c r="ATT216" s="744"/>
      <c r="ATU216" s="744"/>
      <c r="ATW216" s="746"/>
      <c r="ATY216" s="744"/>
      <c r="ATZ216" s="744"/>
      <c r="AUA216" s="744"/>
      <c r="AUB216" s="745"/>
      <c r="AUE216" s="918"/>
      <c r="AUF216" s="918"/>
      <c r="AUG216" s="918"/>
      <c r="AUH216" s="918"/>
      <c r="AUI216" s="918"/>
      <c r="AUJ216" s="918"/>
      <c r="AUK216" s="887"/>
      <c r="AUL216" s="887"/>
      <c r="AUP216" s="744"/>
      <c r="AUQ216" s="744"/>
      <c r="AUR216" s="744"/>
      <c r="AUT216" s="746"/>
      <c r="AUV216" s="744"/>
      <c r="AUW216" s="744"/>
      <c r="AUX216" s="744"/>
      <c r="AUY216" s="745"/>
      <c r="AVB216" s="918"/>
      <c r="AVC216" s="918"/>
      <c r="AVD216" s="918"/>
      <c r="AVE216" s="918"/>
      <c r="AVF216" s="918"/>
      <c r="AVG216" s="918"/>
      <c r="AVH216" s="887"/>
      <c r="AVI216" s="887"/>
      <c r="AVM216" s="744"/>
      <c r="AVN216" s="744"/>
      <c r="AVO216" s="744"/>
      <c r="AVQ216" s="746"/>
      <c r="AVS216" s="744"/>
      <c r="AVT216" s="744"/>
      <c r="AVU216" s="744"/>
      <c r="AVV216" s="745"/>
      <c r="AVY216" s="918"/>
      <c r="AVZ216" s="918"/>
      <c r="AWA216" s="918"/>
      <c r="AWB216" s="918"/>
      <c r="AWC216" s="918"/>
      <c r="AWD216" s="918"/>
      <c r="AWE216" s="887"/>
      <c r="AWF216" s="887"/>
      <c r="AWJ216" s="744"/>
      <c r="AWK216" s="744"/>
      <c r="AWL216" s="744"/>
      <c r="AWN216" s="746"/>
      <c r="AWP216" s="744"/>
      <c r="AWQ216" s="744"/>
      <c r="AWR216" s="744"/>
      <c r="AWS216" s="745"/>
      <c r="AWV216" s="918"/>
      <c r="AWW216" s="918"/>
      <c r="AWX216" s="918"/>
      <c r="AWY216" s="918"/>
      <c r="AWZ216" s="918"/>
      <c r="AXA216" s="918"/>
      <c r="AXB216" s="887"/>
      <c r="AXC216" s="887"/>
      <c r="AXG216" s="744"/>
      <c r="AXH216" s="744"/>
      <c r="AXI216" s="744"/>
      <c r="AXK216" s="746"/>
      <c r="AXM216" s="744"/>
      <c r="AXN216" s="744"/>
      <c r="AXO216" s="744"/>
      <c r="AXP216" s="745"/>
      <c r="AXS216" s="918"/>
      <c r="AXT216" s="918"/>
      <c r="AXU216" s="918"/>
      <c r="AXV216" s="918"/>
      <c r="AXW216" s="918"/>
      <c r="AXX216" s="918"/>
      <c r="AXY216" s="887"/>
      <c r="AXZ216" s="887"/>
      <c r="AYD216" s="744"/>
      <c r="AYE216" s="744"/>
      <c r="AYF216" s="744"/>
      <c r="AYH216" s="746"/>
      <c r="AYJ216" s="744"/>
      <c r="AYK216" s="744"/>
      <c r="AYL216" s="744"/>
      <c r="AYM216" s="745"/>
      <c r="AYP216" s="918"/>
      <c r="AYQ216" s="918"/>
      <c r="AYR216" s="918"/>
      <c r="AYS216" s="918"/>
      <c r="AYT216" s="918"/>
      <c r="AYU216" s="918"/>
      <c r="AYV216" s="887"/>
      <c r="AYW216" s="887"/>
      <c r="AZA216" s="744"/>
      <c r="AZB216" s="744"/>
      <c r="AZC216" s="744"/>
      <c r="AZE216" s="746"/>
      <c r="AZG216" s="744"/>
      <c r="AZH216" s="744"/>
      <c r="AZI216" s="744"/>
      <c r="AZJ216" s="745"/>
      <c r="AZM216" s="918"/>
      <c r="AZN216" s="918"/>
      <c r="AZO216" s="918"/>
      <c r="AZP216" s="918"/>
      <c r="AZQ216" s="918"/>
      <c r="AZR216" s="918"/>
      <c r="AZS216" s="887"/>
      <c r="AZT216" s="887"/>
      <c r="AZX216" s="744"/>
      <c r="AZY216" s="744"/>
      <c r="AZZ216" s="744"/>
      <c r="BAB216" s="746"/>
      <c r="BAD216" s="744"/>
      <c r="BAE216" s="744"/>
      <c r="BAF216" s="744"/>
      <c r="BAG216" s="745"/>
      <c r="BAJ216" s="918"/>
      <c r="BAK216" s="918"/>
      <c r="BAL216" s="918"/>
      <c r="BAM216" s="918"/>
      <c r="BAN216" s="918"/>
      <c r="BAO216" s="918"/>
      <c r="BAP216" s="887"/>
      <c r="BAQ216" s="887"/>
      <c r="BAU216" s="744"/>
      <c r="BAV216" s="744"/>
      <c r="BAW216" s="744"/>
      <c r="BAY216" s="746"/>
      <c r="BBA216" s="744"/>
      <c r="BBB216" s="744"/>
      <c r="BBC216" s="744"/>
      <c r="BBD216" s="745"/>
      <c r="BBG216" s="918"/>
      <c r="BBH216" s="918"/>
      <c r="BBI216" s="918"/>
      <c r="BBJ216" s="918"/>
      <c r="BBK216" s="918"/>
      <c r="BBL216" s="918"/>
      <c r="BBM216" s="887"/>
      <c r="BBN216" s="887"/>
      <c r="BBR216" s="744"/>
      <c r="BBS216" s="744"/>
      <c r="BBT216" s="744"/>
      <c r="BBV216" s="746"/>
      <c r="BBX216" s="744"/>
      <c r="BBY216" s="744"/>
      <c r="BBZ216" s="744"/>
      <c r="BCA216" s="745"/>
      <c r="BCD216" s="918"/>
      <c r="BCE216" s="918"/>
      <c r="BCF216" s="918"/>
      <c r="BCG216" s="918"/>
      <c r="BCH216" s="918"/>
      <c r="BCI216" s="918"/>
      <c r="BCJ216" s="887"/>
      <c r="BCK216" s="887"/>
      <c r="BCO216" s="744"/>
      <c r="BCP216" s="744"/>
      <c r="BCQ216" s="744"/>
      <c r="BCS216" s="746"/>
      <c r="BCU216" s="744"/>
      <c r="BCV216" s="744"/>
      <c r="BCW216" s="744"/>
      <c r="BCX216" s="745"/>
      <c r="BDA216" s="918"/>
      <c r="BDB216" s="918"/>
      <c r="BDC216" s="918"/>
      <c r="BDD216" s="918"/>
      <c r="BDE216" s="918"/>
      <c r="BDF216" s="918"/>
      <c r="BDG216" s="887"/>
      <c r="BDH216" s="887"/>
      <c r="BDL216" s="744"/>
      <c r="BDM216" s="744"/>
      <c r="BDN216" s="744"/>
      <c r="BDP216" s="746"/>
      <c r="BDR216" s="744"/>
      <c r="BDS216" s="744"/>
      <c r="BDT216" s="744"/>
      <c r="BDU216" s="745"/>
      <c r="BDX216" s="918"/>
      <c r="BDY216" s="918"/>
      <c r="BDZ216" s="918"/>
      <c r="BEA216" s="918"/>
      <c r="BEB216" s="918"/>
      <c r="BEC216" s="918"/>
      <c r="BED216" s="887"/>
      <c r="BEE216" s="887"/>
      <c r="BEI216" s="744"/>
      <c r="BEJ216" s="744"/>
      <c r="BEK216" s="744"/>
      <c r="BEM216" s="746"/>
      <c r="BEO216" s="744"/>
      <c r="BEP216" s="744"/>
      <c r="BEQ216" s="744"/>
      <c r="BER216" s="745"/>
      <c r="BEU216" s="918"/>
      <c r="BEV216" s="918"/>
      <c r="BEW216" s="918"/>
      <c r="BEX216" s="918"/>
      <c r="BEY216" s="918"/>
      <c r="BEZ216" s="918"/>
      <c r="BFA216" s="887"/>
      <c r="BFB216" s="887"/>
      <c r="BFF216" s="744"/>
      <c r="BFG216" s="744"/>
      <c r="BFH216" s="744"/>
      <c r="BFJ216" s="746"/>
      <c r="BFL216" s="744"/>
      <c r="BFM216" s="744"/>
      <c r="BFN216" s="744"/>
      <c r="BFO216" s="745"/>
      <c r="BFR216" s="918"/>
      <c r="BFS216" s="918"/>
      <c r="BFT216" s="918"/>
      <c r="BFU216" s="918"/>
      <c r="BFV216" s="918"/>
      <c r="BFW216" s="918"/>
      <c r="BFX216" s="887"/>
      <c r="BFY216" s="887"/>
      <c r="BGC216" s="744"/>
      <c r="BGD216" s="744"/>
      <c r="BGE216" s="744"/>
      <c r="BGG216" s="746"/>
      <c r="BGI216" s="744"/>
      <c r="BGJ216" s="744"/>
      <c r="BGK216" s="744"/>
      <c r="BGL216" s="745"/>
      <c r="BGO216" s="918"/>
      <c r="BGP216" s="918"/>
      <c r="BGQ216" s="918"/>
      <c r="BGR216" s="918"/>
      <c r="BGS216" s="918"/>
      <c r="BGT216" s="918"/>
      <c r="BGU216" s="887"/>
      <c r="BGV216" s="887"/>
      <c r="BGZ216" s="744"/>
      <c r="BHA216" s="744"/>
      <c r="BHB216" s="744"/>
      <c r="BHD216" s="746"/>
      <c r="BHF216" s="744"/>
      <c r="BHG216" s="744"/>
      <c r="BHH216" s="744"/>
      <c r="BHI216" s="745"/>
      <c r="BHL216" s="918"/>
      <c r="BHM216" s="918"/>
      <c r="BHN216" s="918"/>
      <c r="BHO216" s="918"/>
      <c r="BHP216" s="918"/>
      <c r="BHQ216" s="918"/>
      <c r="BHR216" s="887"/>
      <c r="BHS216" s="887"/>
      <c r="BHW216" s="744"/>
      <c r="BHX216" s="744"/>
      <c r="BHY216" s="744"/>
      <c r="BIA216" s="746"/>
      <c r="BIC216" s="744"/>
      <c r="BID216" s="744"/>
      <c r="BIE216" s="744"/>
      <c r="BIF216" s="745"/>
      <c r="BII216" s="918"/>
      <c r="BIJ216" s="918"/>
      <c r="BIK216" s="918"/>
      <c r="BIL216" s="918"/>
      <c r="BIM216" s="918"/>
      <c r="BIN216" s="918"/>
      <c r="BIO216" s="887"/>
      <c r="BIP216" s="887"/>
      <c r="BIT216" s="744"/>
      <c r="BIU216" s="744"/>
      <c r="BIV216" s="744"/>
      <c r="BIX216" s="746"/>
      <c r="BIZ216" s="744"/>
      <c r="BJA216" s="744"/>
      <c r="BJB216" s="744"/>
      <c r="BJC216" s="745"/>
      <c r="BJF216" s="918"/>
      <c r="BJG216" s="918"/>
      <c r="BJH216" s="918"/>
      <c r="BJI216" s="918"/>
      <c r="BJJ216" s="918"/>
      <c r="BJK216" s="918"/>
      <c r="BJL216" s="887"/>
      <c r="BJM216" s="887"/>
      <c r="BJQ216" s="744"/>
      <c r="BJR216" s="744"/>
      <c r="BJS216" s="744"/>
      <c r="BJU216" s="746"/>
      <c r="BJW216" s="744"/>
      <c r="BJX216" s="744"/>
      <c r="BJY216" s="744"/>
      <c r="BJZ216" s="745"/>
      <c r="BKC216" s="918"/>
      <c r="BKD216" s="918"/>
      <c r="BKE216" s="918"/>
      <c r="BKF216" s="918"/>
      <c r="BKG216" s="918"/>
      <c r="BKH216" s="918"/>
      <c r="BKI216" s="887"/>
      <c r="BKJ216" s="887"/>
      <c r="BKN216" s="744"/>
      <c r="BKO216" s="744"/>
      <c r="BKP216" s="744"/>
      <c r="BKR216" s="746"/>
      <c r="BKT216" s="744"/>
      <c r="BKU216" s="744"/>
      <c r="BKV216" s="744"/>
      <c r="BKW216" s="745"/>
      <c r="BKZ216" s="918"/>
      <c r="BLA216" s="918"/>
      <c r="BLB216" s="918"/>
      <c r="BLC216" s="918"/>
      <c r="BLD216" s="918"/>
      <c r="BLE216" s="918"/>
      <c r="BLF216" s="887"/>
      <c r="BLG216" s="887"/>
      <c r="BLK216" s="744"/>
      <c r="BLL216" s="744"/>
      <c r="BLM216" s="744"/>
      <c r="BLO216" s="746"/>
      <c r="BLQ216" s="744"/>
      <c r="BLR216" s="744"/>
      <c r="BLS216" s="744"/>
      <c r="BLT216" s="745"/>
      <c r="BLW216" s="918"/>
      <c r="BLX216" s="918"/>
      <c r="BLY216" s="918"/>
      <c r="BLZ216" s="918"/>
      <c r="BMA216" s="918"/>
      <c r="BMB216" s="918"/>
      <c r="BMC216" s="887"/>
      <c r="BMD216" s="887"/>
      <c r="BMH216" s="744"/>
      <c r="BMI216" s="744"/>
      <c r="BMJ216" s="744"/>
      <c r="BML216" s="746"/>
      <c r="BMN216" s="744"/>
      <c r="BMO216" s="744"/>
      <c r="BMP216" s="744"/>
      <c r="BMQ216" s="745"/>
      <c r="BMT216" s="918"/>
      <c r="BMU216" s="918"/>
      <c r="BMV216" s="918"/>
      <c r="BMW216" s="918"/>
      <c r="BMX216" s="918"/>
      <c r="BMY216" s="918"/>
      <c r="BMZ216" s="887"/>
      <c r="BNA216" s="887"/>
      <c r="BNE216" s="744"/>
      <c r="BNF216" s="744"/>
      <c r="BNG216" s="744"/>
      <c r="BNI216" s="746"/>
      <c r="BNK216" s="744"/>
      <c r="BNL216" s="744"/>
      <c r="BNM216" s="744"/>
      <c r="BNN216" s="745"/>
      <c r="BNQ216" s="918"/>
      <c r="BNR216" s="918"/>
      <c r="BNS216" s="918"/>
      <c r="BNT216" s="918"/>
      <c r="BNU216" s="918"/>
      <c r="BNV216" s="918"/>
      <c r="BNW216" s="887"/>
      <c r="BNX216" s="887"/>
      <c r="BOB216" s="744"/>
      <c r="BOC216" s="744"/>
      <c r="BOD216" s="744"/>
      <c r="BOF216" s="746"/>
      <c r="BOH216" s="744"/>
      <c r="BOI216" s="744"/>
      <c r="BOJ216" s="744"/>
      <c r="BOK216" s="745"/>
      <c r="BON216" s="918"/>
      <c r="BOO216" s="918"/>
      <c r="BOP216" s="918"/>
      <c r="BOQ216" s="918"/>
      <c r="BOR216" s="918"/>
      <c r="BOS216" s="918"/>
      <c r="BOT216" s="887"/>
      <c r="BOU216" s="887"/>
      <c r="BOY216" s="744"/>
      <c r="BOZ216" s="744"/>
      <c r="BPA216" s="744"/>
      <c r="BPC216" s="746"/>
      <c r="BPE216" s="744"/>
      <c r="BPF216" s="744"/>
      <c r="BPG216" s="744"/>
      <c r="BPH216" s="745"/>
      <c r="BPK216" s="918"/>
      <c r="BPL216" s="918"/>
      <c r="BPM216" s="918"/>
      <c r="BPN216" s="918"/>
      <c r="BPO216" s="918"/>
      <c r="BPP216" s="918"/>
      <c r="BPQ216" s="887"/>
      <c r="BPR216" s="887"/>
      <c r="BPV216" s="744"/>
      <c r="BPW216" s="744"/>
      <c r="BPX216" s="744"/>
      <c r="BPZ216" s="746"/>
      <c r="BQB216" s="744"/>
      <c r="BQC216" s="744"/>
      <c r="BQD216" s="744"/>
      <c r="BQE216" s="745"/>
      <c r="BQH216" s="918"/>
      <c r="BQI216" s="918"/>
      <c r="BQJ216" s="918"/>
      <c r="BQK216" s="918"/>
      <c r="BQL216" s="918"/>
      <c r="BQM216" s="918"/>
      <c r="BQN216" s="887"/>
      <c r="BQO216" s="887"/>
      <c r="BQS216" s="744"/>
      <c r="BQT216" s="744"/>
      <c r="BQU216" s="744"/>
      <c r="BQW216" s="746"/>
      <c r="BQY216" s="744"/>
      <c r="BQZ216" s="744"/>
      <c r="BRA216" s="744"/>
      <c r="BRB216" s="745"/>
      <c r="BRE216" s="918"/>
      <c r="BRF216" s="918"/>
      <c r="BRG216" s="918"/>
      <c r="BRH216" s="918"/>
      <c r="BRI216" s="918"/>
      <c r="BRJ216" s="918"/>
      <c r="BRK216" s="887"/>
      <c r="BRL216" s="887"/>
      <c r="BRP216" s="744"/>
      <c r="BRQ216" s="744"/>
      <c r="BRR216" s="744"/>
      <c r="BRT216" s="746"/>
      <c r="BRV216" s="744"/>
      <c r="BRW216" s="744"/>
      <c r="BRX216" s="744"/>
      <c r="BRY216" s="745"/>
      <c r="BSB216" s="918"/>
      <c r="BSC216" s="918"/>
      <c r="BSD216" s="918"/>
      <c r="BSE216" s="918"/>
      <c r="BSF216" s="918"/>
      <c r="BSG216" s="918"/>
      <c r="BSH216" s="887"/>
      <c r="BSI216" s="887"/>
      <c r="BSM216" s="744"/>
      <c r="BSN216" s="744"/>
      <c r="BSO216" s="744"/>
      <c r="BSQ216" s="746"/>
      <c r="BSS216" s="744"/>
      <c r="BST216" s="744"/>
      <c r="BSU216" s="744"/>
      <c r="BSV216" s="745"/>
      <c r="BSY216" s="918"/>
      <c r="BSZ216" s="918"/>
      <c r="BTA216" s="918"/>
      <c r="BTB216" s="918"/>
      <c r="BTC216" s="918"/>
      <c r="BTD216" s="918"/>
      <c r="BTE216" s="887"/>
      <c r="BTF216" s="887"/>
      <c r="BTJ216" s="744"/>
      <c r="BTK216" s="744"/>
      <c r="BTL216" s="744"/>
      <c r="BTN216" s="746"/>
      <c r="BTP216" s="744"/>
      <c r="BTQ216" s="744"/>
      <c r="BTR216" s="744"/>
      <c r="BTS216" s="745"/>
      <c r="BTV216" s="918"/>
      <c r="BTW216" s="918"/>
      <c r="BTX216" s="918"/>
      <c r="BTY216" s="918"/>
      <c r="BTZ216" s="918"/>
      <c r="BUA216" s="918"/>
      <c r="BUB216" s="887"/>
      <c r="BUC216" s="887"/>
      <c r="BUG216" s="744"/>
      <c r="BUH216" s="744"/>
      <c r="BUI216" s="744"/>
      <c r="BUK216" s="746"/>
      <c r="BUM216" s="744"/>
      <c r="BUN216" s="744"/>
      <c r="BUO216" s="744"/>
      <c r="BUP216" s="745"/>
      <c r="BUS216" s="918"/>
      <c r="BUT216" s="918"/>
      <c r="BUU216" s="918"/>
      <c r="BUV216" s="918"/>
      <c r="BUW216" s="918"/>
      <c r="BUX216" s="918"/>
      <c r="BUY216" s="887"/>
      <c r="BUZ216" s="887"/>
      <c r="BVD216" s="744"/>
      <c r="BVE216" s="744"/>
      <c r="BVF216" s="744"/>
      <c r="BVH216" s="746"/>
      <c r="BVJ216" s="744"/>
      <c r="BVK216" s="744"/>
      <c r="BVL216" s="744"/>
      <c r="BVM216" s="745"/>
      <c r="BVP216" s="918"/>
      <c r="BVQ216" s="918"/>
      <c r="BVR216" s="918"/>
      <c r="BVS216" s="918"/>
      <c r="BVT216" s="918"/>
      <c r="BVU216" s="918"/>
      <c r="BVV216" s="887"/>
      <c r="BVW216" s="887"/>
      <c r="BWA216" s="744"/>
      <c r="BWB216" s="744"/>
      <c r="BWC216" s="744"/>
      <c r="BWE216" s="746"/>
      <c r="BWG216" s="744"/>
      <c r="BWH216" s="744"/>
      <c r="BWI216" s="744"/>
      <c r="BWJ216" s="745"/>
      <c r="BWM216" s="918"/>
      <c r="BWN216" s="918"/>
      <c r="BWO216" s="918"/>
      <c r="BWP216" s="918"/>
      <c r="BWQ216" s="918"/>
      <c r="BWR216" s="918"/>
      <c r="BWS216" s="887"/>
      <c r="BWT216" s="887"/>
      <c r="BWX216" s="744"/>
      <c r="BWY216" s="744"/>
      <c r="BWZ216" s="744"/>
      <c r="BXB216" s="746"/>
      <c r="BXD216" s="744"/>
      <c r="BXE216" s="744"/>
      <c r="BXF216" s="744"/>
      <c r="BXG216" s="745"/>
      <c r="BXJ216" s="918"/>
      <c r="BXK216" s="918"/>
      <c r="BXL216" s="918"/>
      <c r="BXM216" s="918"/>
      <c r="BXN216" s="918"/>
      <c r="BXO216" s="918"/>
      <c r="BXP216" s="887"/>
      <c r="BXQ216" s="887"/>
      <c r="BXU216" s="744"/>
      <c r="BXV216" s="744"/>
      <c r="BXW216" s="744"/>
      <c r="BXY216" s="746"/>
      <c r="BYA216" s="744"/>
      <c r="BYB216" s="744"/>
      <c r="BYC216" s="744"/>
      <c r="BYD216" s="745"/>
      <c r="BYG216" s="918"/>
      <c r="BYH216" s="918"/>
      <c r="BYI216" s="918"/>
      <c r="BYJ216" s="918"/>
      <c r="BYK216" s="918"/>
      <c r="BYL216" s="918"/>
      <c r="BYM216" s="887"/>
      <c r="BYN216" s="887"/>
      <c r="BYR216" s="744"/>
      <c r="BYS216" s="744"/>
      <c r="BYT216" s="744"/>
      <c r="BYV216" s="746"/>
      <c r="BYX216" s="744"/>
      <c r="BYY216" s="744"/>
      <c r="BYZ216" s="744"/>
      <c r="BZA216" s="745"/>
      <c r="BZD216" s="918"/>
      <c r="BZE216" s="918"/>
      <c r="BZF216" s="918"/>
      <c r="BZG216" s="918"/>
      <c r="BZH216" s="918"/>
      <c r="BZI216" s="918"/>
      <c r="BZJ216" s="887"/>
      <c r="BZK216" s="887"/>
      <c r="BZO216" s="744"/>
      <c r="BZP216" s="744"/>
      <c r="BZQ216" s="744"/>
      <c r="BZS216" s="746"/>
      <c r="BZU216" s="744"/>
      <c r="BZV216" s="744"/>
      <c r="BZW216" s="744"/>
      <c r="BZX216" s="745"/>
      <c r="CAA216" s="918"/>
      <c r="CAB216" s="918"/>
      <c r="CAC216" s="918"/>
      <c r="CAD216" s="918"/>
      <c r="CAE216" s="918"/>
      <c r="CAF216" s="918"/>
      <c r="CAG216" s="887"/>
      <c r="CAH216" s="887"/>
      <c r="CAL216" s="744"/>
      <c r="CAM216" s="744"/>
      <c r="CAN216" s="744"/>
      <c r="CAP216" s="746"/>
      <c r="CAR216" s="744"/>
      <c r="CAS216" s="744"/>
      <c r="CAT216" s="744"/>
      <c r="CAU216" s="745"/>
      <c r="CAX216" s="918"/>
      <c r="CAY216" s="918"/>
      <c r="CAZ216" s="918"/>
      <c r="CBA216" s="918"/>
      <c r="CBB216" s="918"/>
      <c r="CBC216" s="918"/>
      <c r="CBD216" s="887"/>
      <c r="CBE216" s="887"/>
      <c r="CBI216" s="744"/>
      <c r="CBJ216" s="744"/>
      <c r="CBK216" s="744"/>
      <c r="CBM216" s="746"/>
      <c r="CBO216" s="744"/>
      <c r="CBP216" s="744"/>
      <c r="CBQ216" s="744"/>
      <c r="CBR216" s="745"/>
      <c r="CBU216" s="918"/>
      <c r="CBV216" s="918"/>
      <c r="CBW216" s="918"/>
      <c r="CBX216" s="918"/>
      <c r="CBY216" s="918"/>
      <c r="CBZ216" s="918"/>
      <c r="CCA216" s="887"/>
      <c r="CCB216" s="887"/>
      <c r="CCF216" s="744"/>
      <c r="CCG216" s="744"/>
      <c r="CCH216" s="744"/>
      <c r="CCJ216" s="746"/>
      <c r="CCL216" s="744"/>
      <c r="CCM216" s="744"/>
      <c r="CCN216" s="744"/>
      <c r="CCO216" s="745"/>
      <c r="CCR216" s="918"/>
      <c r="CCS216" s="918"/>
      <c r="CCT216" s="918"/>
      <c r="CCU216" s="918"/>
      <c r="CCV216" s="918"/>
      <c r="CCW216" s="918"/>
      <c r="CCX216" s="887"/>
      <c r="CCY216" s="887"/>
      <c r="CDC216" s="744"/>
      <c r="CDD216" s="744"/>
      <c r="CDE216" s="744"/>
      <c r="CDG216" s="746"/>
      <c r="CDI216" s="744"/>
      <c r="CDJ216" s="744"/>
      <c r="CDK216" s="744"/>
      <c r="CDL216" s="745"/>
      <c r="CDO216" s="918"/>
      <c r="CDP216" s="918"/>
      <c r="CDQ216" s="918"/>
      <c r="CDR216" s="918"/>
      <c r="CDS216" s="918"/>
      <c r="CDT216" s="918"/>
      <c r="CDU216" s="887"/>
      <c r="CDV216" s="887"/>
      <c r="CDZ216" s="744"/>
      <c r="CEA216" s="744"/>
      <c r="CEB216" s="744"/>
      <c r="CED216" s="746"/>
      <c r="CEF216" s="744"/>
      <c r="CEG216" s="744"/>
      <c r="CEH216" s="744"/>
      <c r="CEI216" s="745"/>
      <c r="CEL216" s="918"/>
      <c r="CEM216" s="918"/>
      <c r="CEN216" s="918"/>
      <c r="CEO216" s="918"/>
      <c r="CEP216" s="918"/>
      <c r="CEQ216" s="918"/>
      <c r="CER216" s="887"/>
      <c r="CES216" s="887"/>
      <c r="CEW216" s="744"/>
      <c r="CEX216" s="744"/>
      <c r="CEY216" s="744"/>
      <c r="CFA216" s="746"/>
      <c r="CFC216" s="744"/>
      <c r="CFD216" s="744"/>
      <c r="CFE216" s="744"/>
      <c r="CFF216" s="745"/>
      <c r="CFI216" s="918"/>
      <c r="CFJ216" s="918"/>
      <c r="CFK216" s="918"/>
      <c r="CFL216" s="918"/>
      <c r="CFM216" s="918"/>
      <c r="CFN216" s="918"/>
      <c r="CFO216" s="887"/>
      <c r="CFP216" s="887"/>
      <c r="CFT216" s="744"/>
      <c r="CFU216" s="744"/>
      <c r="CFV216" s="744"/>
      <c r="CFX216" s="746"/>
      <c r="CFZ216" s="744"/>
      <c r="CGA216" s="744"/>
      <c r="CGB216" s="744"/>
      <c r="CGC216" s="745"/>
      <c r="CGF216" s="918"/>
      <c r="CGG216" s="918"/>
      <c r="CGH216" s="918"/>
      <c r="CGI216" s="918"/>
      <c r="CGJ216" s="918"/>
      <c r="CGK216" s="918"/>
      <c r="CGL216" s="887"/>
      <c r="CGM216" s="887"/>
      <c r="CGQ216" s="744"/>
      <c r="CGR216" s="744"/>
      <c r="CGS216" s="744"/>
      <c r="CGU216" s="746"/>
      <c r="CGW216" s="744"/>
      <c r="CGX216" s="744"/>
      <c r="CGY216" s="744"/>
      <c r="CGZ216" s="745"/>
      <c r="CHC216" s="918"/>
      <c r="CHD216" s="918"/>
      <c r="CHE216" s="918"/>
      <c r="CHF216" s="918"/>
      <c r="CHG216" s="918"/>
      <c r="CHH216" s="918"/>
      <c r="CHI216" s="887"/>
      <c r="CHJ216" s="887"/>
      <c r="CHN216" s="744"/>
      <c r="CHO216" s="744"/>
      <c r="CHP216" s="744"/>
      <c r="CHR216" s="746"/>
      <c r="CHT216" s="744"/>
      <c r="CHU216" s="744"/>
      <c r="CHV216" s="744"/>
      <c r="CHW216" s="745"/>
      <c r="CHZ216" s="918"/>
      <c r="CIA216" s="918"/>
      <c r="CIB216" s="918"/>
      <c r="CIC216" s="918"/>
      <c r="CID216" s="918"/>
      <c r="CIE216" s="918"/>
      <c r="CIF216" s="887"/>
      <c r="CIG216" s="887"/>
      <c r="CIK216" s="744"/>
      <c r="CIL216" s="744"/>
      <c r="CIM216" s="744"/>
      <c r="CIO216" s="746"/>
      <c r="CIQ216" s="744"/>
      <c r="CIR216" s="744"/>
      <c r="CIS216" s="744"/>
      <c r="CIT216" s="745"/>
      <c r="CIW216" s="918"/>
      <c r="CIX216" s="918"/>
      <c r="CIY216" s="918"/>
      <c r="CIZ216" s="918"/>
      <c r="CJA216" s="918"/>
      <c r="CJB216" s="918"/>
      <c r="CJC216" s="887"/>
      <c r="CJD216" s="887"/>
      <c r="CJH216" s="744"/>
      <c r="CJI216" s="744"/>
      <c r="CJJ216" s="744"/>
      <c r="CJL216" s="746"/>
      <c r="CJN216" s="744"/>
      <c r="CJO216" s="744"/>
      <c r="CJP216" s="744"/>
      <c r="CJQ216" s="745"/>
      <c r="CJT216" s="918"/>
      <c r="CJU216" s="918"/>
      <c r="CJV216" s="918"/>
      <c r="CJW216" s="918"/>
      <c r="CJX216" s="918"/>
      <c r="CJY216" s="918"/>
      <c r="CJZ216" s="887"/>
      <c r="CKA216" s="887"/>
      <c r="CKE216" s="744"/>
      <c r="CKF216" s="744"/>
      <c r="CKG216" s="744"/>
      <c r="CKI216" s="746"/>
      <c r="CKK216" s="744"/>
      <c r="CKL216" s="744"/>
      <c r="CKM216" s="744"/>
      <c r="CKN216" s="745"/>
      <c r="CKQ216" s="918"/>
      <c r="CKR216" s="918"/>
      <c r="CKS216" s="918"/>
      <c r="CKT216" s="918"/>
      <c r="CKU216" s="918"/>
      <c r="CKV216" s="918"/>
      <c r="CKW216" s="887"/>
      <c r="CKX216" s="887"/>
      <c r="CLB216" s="744"/>
      <c r="CLC216" s="744"/>
      <c r="CLD216" s="744"/>
      <c r="CLF216" s="746"/>
      <c r="CLH216" s="744"/>
      <c r="CLI216" s="744"/>
      <c r="CLJ216" s="744"/>
      <c r="CLK216" s="745"/>
      <c r="CLN216" s="918"/>
      <c r="CLO216" s="918"/>
      <c r="CLP216" s="918"/>
      <c r="CLQ216" s="918"/>
      <c r="CLR216" s="918"/>
      <c r="CLS216" s="918"/>
      <c r="CLT216" s="887"/>
      <c r="CLU216" s="887"/>
      <c r="CLY216" s="744"/>
      <c r="CLZ216" s="744"/>
      <c r="CMA216" s="744"/>
      <c r="CMC216" s="746"/>
      <c r="CME216" s="744"/>
      <c r="CMF216" s="744"/>
      <c r="CMG216" s="744"/>
      <c r="CMH216" s="745"/>
      <c r="CMK216" s="918"/>
      <c r="CML216" s="918"/>
      <c r="CMM216" s="918"/>
      <c r="CMN216" s="918"/>
      <c r="CMO216" s="918"/>
      <c r="CMP216" s="918"/>
      <c r="CMQ216" s="887"/>
      <c r="CMR216" s="887"/>
      <c r="CMV216" s="744"/>
      <c r="CMW216" s="744"/>
      <c r="CMX216" s="744"/>
      <c r="CMZ216" s="746"/>
      <c r="CNB216" s="744"/>
      <c r="CNC216" s="744"/>
      <c r="CND216" s="744"/>
      <c r="CNE216" s="745"/>
      <c r="CNH216" s="918"/>
      <c r="CNI216" s="918"/>
      <c r="CNJ216" s="918"/>
      <c r="CNK216" s="918"/>
      <c r="CNL216" s="918"/>
      <c r="CNM216" s="918"/>
      <c r="CNN216" s="887"/>
      <c r="CNO216" s="887"/>
      <c r="CNS216" s="744"/>
      <c r="CNT216" s="744"/>
      <c r="CNU216" s="744"/>
      <c r="CNW216" s="746"/>
      <c r="CNY216" s="744"/>
      <c r="CNZ216" s="744"/>
      <c r="COA216" s="744"/>
      <c r="COB216" s="745"/>
      <c r="COE216" s="918"/>
      <c r="COF216" s="918"/>
      <c r="COG216" s="918"/>
      <c r="COH216" s="918"/>
      <c r="COI216" s="918"/>
      <c r="COJ216" s="918"/>
      <c r="COK216" s="887"/>
      <c r="COL216" s="887"/>
      <c r="COP216" s="744"/>
      <c r="COQ216" s="744"/>
      <c r="COR216" s="744"/>
      <c r="COT216" s="746"/>
      <c r="COV216" s="744"/>
      <c r="COW216" s="744"/>
      <c r="COX216" s="744"/>
      <c r="COY216" s="745"/>
      <c r="CPB216" s="918"/>
      <c r="CPC216" s="918"/>
      <c r="CPD216" s="918"/>
      <c r="CPE216" s="918"/>
      <c r="CPF216" s="918"/>
      <c r="CPG216" s="918"/>
      <c r="CPH216" s="887"/>
      <c r="CPI216" s="887"/>
      <c r="CPM216" s="744"/>
      <c r="CPN216" s="744"/>
      <c r="CPO216" s="744"/>
      <c r="CPQ216" s="746"/>
      <c r="CPS216" s="744"/>
      <c r="CPT216" s="744"/>
      <c r="CPU216" s="744"/>
      <c r="CPV216" s="745"/>
      <c r="CPY216" s="918"/>
      <c r="CPZ216" s="918"/>
      <c r="CQA216" s="918"/>
      <c r="CQB216" s="918"/>
      <c r="CQC216" s="918"/>
      <c r="CQD216" s="918"/>
      <c r="CQE216" s="887"/>
      <c r="CQF216" s="887"/>
      <c r="CQJ216" s="744"/>
      <c r="CQK216" s="744"/>
      <c r="CQL216" s="744"/>
      <c r="CQN216" s="746"/>
      <c r="CQP216" s="744"/>
      <c r="CQQ216" s="744"/>
      <c r="CQR216" s="744"/>
      <c r="CQS216" s="745"/>
      <c r="CQV216" s="918"/>
      <c r="CQW216" s="918"/>
      <c r="CQX216" s="918"/>
      <c r="CQY216" s="918"/>
      <c r="CQZ216" s="918"/>
      <c r="CRA216" s="918"/>
      <c r="CRB216" s="887"/>
      <c r="CRC216" s="887"/>
      <c r="CRG216" s="744"/>
      <c r="CRH216" s="744"/>
      <c r="CRI216" s="744"/>
      <c r="CRK216" s="746"/>
      <c r="CRM216" s="744"/>
      <c r="CRN216" s="744"/>
      <c r="CRO216" s="744"/>
      <c r="CRP216" s="745"/>
      <c r="CRS216" s="918"/>
      <c r="CRT216" s="918"/>
      <c r="CRU216" s="918"/>
      <c r="CRV216" s="918"/>
      <c r="CRW216" s="918"/>
      <c r="CRX216" s="918"/>
      <c r="CRY216" s="887"/>
      <c r="CRZ216" s="887"/>
      <c r="CSD216" s="744"/>
      <c r="CSE216" s="744"/>
      <c r="CSF216" s="744"/>
      <c r="CSH216" s="746"/>
      <c r="CSJ216" s="744"/>
      <c r="CSK216" s="744"/>
      <c r="CSL216" s="744"/>
      <c r="CSM216" s="745"/>
      <c r="CSP216" s="918"/>
      <c r="CSQ216" s="918"/>
      <c r="CSR216" s="918"/>
      <c r="CSS216" s="918"/>
      <c r="CST216" s="918"/>
      <c r="CSU216" s="918"/>
      <c r="CSV216" s="887"/>
      <c r="CSW216" s="887"/>
      <c r="CTA216" s="744"/>
      <c r="CTB216" s="744"/>
      <c r="CTC216" s="744"/>
      <c r="CTE216" s="746"/>
      <c r="CTG216" s="744"/>
      <c r="CTH216" s="744"/>
      <c r="CTI216" s="744"/>
      <c r="CTJ216" s="745"/>
      <c r="CTM216" s="918"/>
      <c r="CTN216" s="918"/>
      <c r="CTO216" s="918"/>
      <c r="CTP216" s="918"/>
      <c r="CTQ216" s="918"/>
      <c r="CTR216" s="918"/>
      <c r="CTS216" s="887"/>
      <c r="CTT216" s="887"/>
      <c r="CTX216" s="744"/>
      <c r="CTY216" s="744"/>
      <c r="CTZ216" s="744"/>
      <c r="CUB216" s="746"/>
      <c r="CUD216" s="744"/>
      <c r="CUE216" s="744"/>
      <c r="CUF216" s="744"/>
      <c r="CUG216" s="745"/>
      <c r="CUJ216" s="918"/>
      <c r="CUK216" s="918"/>
      <c r="CUL216" s="918"/>
      <c r="CUM216" s="918"/>
      <c r="CUN216" s="918"/>
      <c r="CUO216" s="918"/>
      <c r="CUP216" s="887"/>
      <c r="CUQ216" s="887"/>
      <c r="CUU216" s="744"/>
      <c r="CUV216" s="744"/>
      <c r="CUW216" s="744"/>
      <c r="CUY216" s="746"/>
      <c r="CVA216" s="744"/>
      <c r="CVB216" s="744"/>
      <c r="CVC216" s="744"/>
      <c r="CVD216" s="745"/>
      <c r="CVG216" s="918"/>
      <c r="CVH216" s="918"/>
      <c r="CVI216" s="918"/>
      <c r="CVJ216" s="918"/>
      <c r="CVK216" s="918"/>
      <c r="CVL216" s="918"/>
      <c r="CVM216" s="887"/>
      <c r="CVN216" s="887"/>
      <c r="CVR216" s="744"/>
      <c r="CVS216" s="744"/>
      <c r="CVT216" s="744"/>
      <c r="CVV216" s="746"/>
      <c r="CVX216" s="744"/>
      <c r="CVY216" s="744"/>
      <c r="CVZ216" s="744"/>
      <c r="CWA216" s="745"/>
      <c r="CWD216" s="918"/>
      <c r="CWE216" s="918"/>
      <c r="CWF216" s="918"/>
      <c r="CWG216" s="918"/>
      <c r="CWH216" s="918"/>
      <c r="CWI216" s="918"/>
      <c r="CWJ216" s="887"/>
      <c r="CWK216" s="887"/>
      <c r="CWO216" s="744"/>
      <c r="CWP216" s="744"/>
      <c r="CWQ216" s="744"/>
      <c r="CWS216" s="746"/>
      <c r="CWU216" s="744"/>
      <c r="CWV216" s="744"/>
      <c r="CWW216" s="744"/>
      <c r="CWX216" s="745"/>
      <c r="CXA216" s="918"/>
      <c r="CXB216" s="918"/>
      <c r="CXC216" s="918"/>
      <c r="CXD216" s="918"/>
      <c r="CXE216" s="918"/>
      <c r="CXF216" s="918"/>
      <c r="CXG216" s="887"/>
      <c r="CXH216" s="887"/>
      <c r="CXL216" s="744"/>
      <c r="CXM216" s="744"/>
      <c r="CXN216" s="744"/>
      <c r="CXP216" s="746"/>
      <c r="CXR216" s="744"/>
      <c r="CXS216" s="744"/>
      <c r="CXT216" s="744"/>
      <c r="CXU216" s="745"/>
      <c r="CXX216" s="918"/>
      <c r="CXY216" s="918"/>
      <c r="CXZ216" s="918"/>
      <c r="CYA216" s="918"/>
      <c r="CYB216" s="918"/>
      <c r="CYC216" s="918"/>
      <c r="CYD216" s="887"/>
      <c r="CYE216" s="887"/>
      <c r="CYI216" s="744"/>
      <c r="CYJ216" s="744"/>
      <c r="CYK216" s="744"/>
      <c r="CYM216" s="746"/>
      <c r="CYO216" s="744"/>
      <c r="CYP216" s="744"/>
      <c r="CYQ216" s="744"/>
      <c r="CYR216" s="745"/>
      <c r="CYU216" s="918"/>
      <c r="CYV216" s="918"/>
      <c r="CYW216" s="918"/>
      <c r="CYX216" s="918"/>
      <c r="CYY216" s="918"/>
      <c r="CYZ216" s="918"/>
      <c r="CZA216" s="887"/>
      <c r="CZB216" s="887"/>
      <c r="CZF216" s="744"/>
      <c r="CZG216" s="744"/>
      <c r="CZH216" s="744"/>
      <c r="CZJ216" s="746"/>
      <c r="CZL216" s="744"/>
      <c r="CZM216" s="744"/>
      <c r="CZN216" s="744"/>
      <c r="CZO216" s="745"/>
      <c r="CZR216" s="918"/>
      <c r="CZS216" s="918"/>
      <c r="CZT216" s="918"/>
      <c r="CZU216" s="918"/>
      <c r="CZV216" s="918"/>
      <c r="CZW216" s="918"/>
      <c r="CZX216" s="887"/>
      <c r="CZY216" s="887"/>
      <c r="DAC216" s="744"/>
      <c r="DAD216" s="744"/>
      <c r="DAE216" s="744"/>
      <c r="DAG216" s="746"/>
      <c r="DAI216" s="744"/>
      <c r="DAJ216" s="744"/>
      <c r="DAK216" s="744"/>
      <c r="DAL216" s="745"/>
      <c r="DAO216" s="918"/>
      <c r="DAP216" s="918"/>
      <c r="DAQ216" s="918"/>
      <c r="DAR216" s="918"/>
      <c r="DAS216" s="918"/>
      <c r="DAT216" s="918"/>
      <c r="DAU216" s="887"/>
      <c r="DAV216" s="887"/>
      <c r="DAZ216" s="744"/>
      <c r="DBA216" s="744"/>
      <c r="DBB216" s="744"/>
      <c r="DBD216" s="746"/>
      <c r="DBF216" s="744"/>
      <c r="DBG216" s="744"/>
      <c r="DBH216" s="744"/>
      <c r="DBI216" s="745"/>
      <c r="DBL216" s="918"/>
      <c r="DBM216" s="918"/>
      <c r="DBN216" s="918"/>
      <c r="DBO216" s="918"/>
      <c r="DBP216" s="918"/>
      <c r="DBQ216" s="918"/>
      <c r="DBR216" s="887"/>
      <c r="DBS216" s="887"/>
      <c r="DBW216" s="744"/>
      <c r="DBX216" s="744"/>
      <c r="DBY216" s="744"/>
      <c r="DCA216" s="746"/>
      <c r="DCC216" s="744"/>
      <c r="DCD216" s="744"/>
      <c r="DCE216" s="744"/>
      <c r="DCF216" s="745"/>
      <c r="DCI216" s="918"/>
      <c r="DCJ216" s="918"/>
      <c r="DCK216" s="918"/>
      <c r="DCL216" s="918"/>
      <c r="DCM216" s="918"/>
      <c r="DCN216" s="918"/>
      <c r="DCO216" s="887"/>
      <c r="DCP216" s="887"/>
      <c r="DCT216" s="744"/>
      <c r="DCU216" s="744"/>
      <c r="DCV216" s="744"/>
      <c r="DCX216" s="746"/>
      <c r="DCZ216" s="744"/>
      <c r="DDA216" s="744"/>
      <c r="DDB216" s="744"/>
      <c r="DDC216" s="745"/>
      <c r="DDF216" s="918"/>
      <c r="DDG216" s="918"/>
      <c r="DDH216" s="918"/>
      <c r="DDI216" s="918"/>
      <c r="DDJ216" s="918"/>
      <c r="DDK216" s="918"/>
      <c r="DDL216" s="887"/>
      <c r="DDM216" s="887"/>
      <c r="DDQ216" s="744"/>
      <c r="DDR216" s="744"/>
      <c r="DDS216" s="744"/>
      <c r="DDU216" s="746"/>
      <c r="DDW216" s="744"/>
      <c r="DDX216" s="744"/>
      <c r="DDY216" s="744"/>
      <c r="DDZ216" s="745"/>
      <c r="DEC216" s="918"/>
      <c r="DED216" s="918"/>
      <c r="DEE216" s="918"/>
      <c r="DEF216" s="918"/>
      <c r="DEG216" s="918"/>
      <c r="DEH216" s="918"/>
      <c r="DEI216" s="887"/>
      <c r="DEJ216" s="887"/>
      <c r="DEN216" s="744"/>
      <c r="DEO216" s="744"/>
      <c r="DEP216" s="744"/>
      <c r="DER216" s="746"/>
      <c r="DET216" s="744"/>
      <c r="DEU216" s="744"/>
      <c r="DEV216" s="744"/>
      <c r="DEW216" s="745"/>
      <c r="DEZ216" s="918"/>
      <c r="DFA216" s="918"/>
      <c r="DFB216" s="918"/>
      <c r="DFC216" s="918"/>
      <c r="DFD216" s="918"/>
      <c r="DFE216" s="918"/>
      <c r="DFF216" s="887"/>
      <c r="DFG216" s="887"/>
      <c r="DFK216" s="744"/>
      <c r="DFL216" s="744"/>
      <c r="DFM216" s="744"/>
      <c r="DFO216" s="746"/>
      <c r="DFQ216" s="744"/>
      <c r="DFR216" s="744"/>
      <c r="DFS216" s="744"/>
      <c r="DFT216" s="745"/>
      <c r="DFW216" s="918"/>
      <c r="DFX216" s="918"/>
      <c r="DFY216" s="918"/>
      <c r="DFZ216" s="918"/>
      <c r="DGA216" s="918"/>
      <c r="DGB216" s="918"/>
      <c r="DGC216" s="887"/>
      <c r="DGD216" s="887"/>
      <c r="DGH216" s="744"/>
      <c r="DGI216" s="744"/>
      <c r="DGJ216" s="744"/>
      <c r="DGL216" s="746"/>
      <c r="DGN216" s="744"/>
      <c r="DGO216" s="744"/>
      <c r="DGP216" s="744"/>
      <c r="DGQ216" s="745"/>
      <c r="DGT216" s="918"/>
      <c r="DGU216" s="918"/>
      <c r="DGV216" s="918"/>
      <c r="DGW216" s="918"/>
      <c r="DGX216" s="918"/>
      <c r="DGY216" s="918"/>
      <c r="DGZ216" s="887"/>
      <c r="DHA216" s="887"/>
      <c r="DHE216" s="744"/>
      <c r="DHF216" s="744"/>
      <c r="DHG216" s="744"/>
      <c r="DHI216" s="746"/>
      <c r="DHK216" s="744"/>
      <c r="DHL216" s="744"/>
      <c r="DHM216" s="744"/>
      <c r="DHN216" s="745"/>
      <c r="DHQ216" s="918"/>
      <c r="DHR216" s="918"/>
      <c r="DHS216" s="918"/>
      <c r="DHT216" s="918"/>
      <c r="DHU216" s="918"/>
      <c r="DHV216" s="918"/>
      <c r="DHW216" s="887"/>
      <c r="DHX216" s="887"/>
      <c r="DIB216" s="744"/>
      <c r="DIC216" s="744"/>
      <c r="DID216" s="744"/>
      <c r="DIF216" s="746"/>
      <c r="DIH216" s="744"/>
      <c r="DII216" s="744"/>
      <c r="DIJ216" s="744"/>
      <c r="DIK216" s="745"/>
      <c r="DIN216" s="918"/>
      <c r="DIO216" s="918"/>
      <c r="DIP216" s="918"/>
      <c r="DIQ216" s="918"/>
      <c r="DIR216" s="918"/>
      <c r="DIS216" s="918"/>
      <c r="DIT216" s="887"/>
      <c r="DIU216" s="887"/>
      <c r="DIY216" s="744"/>
      <c r="DIZ216" s="744"/>
      <c r="DJA216" s="744"/>
      <c r="DJC216" s="746"/>
      <c r="DJE216" s="744"/>
      <c r="DJF216" s="744"/>
      <c r="DJG216" s="744"/>
      <c r="DJH216" s="745"/>
      <c r="DJK216" s="918"/>
      <c r="DJL216" s="918"/>
      <c r="DJM216" s="918"/>
      <c r="DJN216" s="918"/>
      <c r="DJO216" s="918"/>
      <c r="DJP216" s="918"/>
      <c r="DJQ216" s="887"/>
      <c r="DJR216" s="887"/>
      <c r="DJV216" s="744"/>
      <c r="DJW216" s="744"/>
      <c r="DJX216" s="744"/>
      <c r="DJZ216" s="746"/>
      <c r="DKB216" s="744"/>
      <c r="DKC216" s="744"/>
      <c r="DKD216" s="744"/>
      <c r="DKE216" s="745"/>
      <c r="DKH216" s="918"/>
      <c r="DKI216" s="918"/>
      <c r="DKJ216" s="918"/>
      <c r="DKK216" s="918"/>
      <c r="DKL216" s="918"/>
      <c r="DKM216" s="918"/>
      <c r="DKN216" s="887"/>
      <c r="DKO216" s="887"/>
      <c r="DKS216" s="744"/>
      <c r="DKT216" s="744"/>
      <c r="DKU216" s="744"/>
      <c r="DKW216" s="746"/>
      <c r="DKY216" s="744"/>
      <c r="DKZ216" s="744"/>
      <c r="DLA216" s="744"/>
      <c r="DLB216" s="745"/>
      <c r="DLE216" s="918"/>
      <c r="DLF216" s="918"/>
      <c r="DLG216" s="918"/>
      <c r="DLH216" s="918"/>
      <c r="DLI216" s="918"/>
      <c r="DLJ216" s="918"/>
      <c r="DLK216" s="887"/>
      <c r="DLL216" s="887"/>
      <c r="DLP216" s="744"/>
      <c r="DLQ216" s="744"/>
      <c r="DLR216" s="744"/>
      <c r="DLT216" s="746"/>
      <c r="DLV216" s="744"/>
      <c r="DLW216" s="744"/>
      <c r="DLX216" s="744"/>
      <c r="DLY216" s="745"/>
      <c r="DMB216" s="918"/>
      <c r="DMC216" s="918"/>
      <c r="DMD216" s="918"/>
      <c r="DME216" s="918"/>
      <c r="DMF216" s="918"/>
      <c r="DMG216" s="918"/>
      <c r="DMH216" s="887"/>
      <c r="DMI216" s="887"/>
      <c r="DMM216" s="744"/>
      <c r="DMN216" s="744"/>
      <c r="DMO216" s="744"/>
      <c r="DMQ216" s="746"/>
      <c r="DMS216" s="744"/>
      <c r="DMT216" s="744"/>
      <c r="DMU216" s="744"/>
      <c r="DMV216" s="745"/>
      <c r="DMY216" s="918"/>
      <c r="DMZ216" s="918"/>
      <c r="DNA216" s="918"/>
      <c r="DNB216" s="918"/>
      <c r="DNC216" s="918"/>
      <c r="DND216" s="918"/>
      <c r="DNE216" s="887"/>
      <c r="DNF216" s="887"/>
      <c r="DNJ216" s="744"/>
      <c r="DNK216" s="744"/>
      <c r="DNL216" s="744"/>
      <c r="DNN216" s="746"/>
      <c r="DNP216" s="744"/>
      <c r="DNQ216" s="744"/>
      <c r="DNR216" s="744"/>
      <c r="DNS216" s="745"/>
      <c r="DNV216" s="918"/>
      <c r="DNW216" s="918"/>
      <c r="DNX216" s="918"/>
      <c r="DNY216" s="918"/>
      <c r="DNZ216" s="918"/>
      <c r="DOA216" s="918"/>
      <c r="DOB216" s="887"/>
      <c r="DOC216" s="887"/>
      <c r="DOG216" s="744"/>
      <c r="DOH216" s="744"/>
      <c r="DOI216" s="744"/>
      <c r="DOK216" s="746"/>
      <c r="DOM216" s="744"/>
      <c r="DON216" s="744"/>
      <c r="DOO216" s="744"/>
      <c r="DOP216" s="745"/>
      <c r="DOS216" s="918"/>
      <c r="DOT216" s="918"/>
      <c r="DOU216" s="918"/>
      <c r="DOV216" s="918"/>
      <c r="DOW216" s="918"/>
      <c r="DOX216" s="918"/>
      <c r="DOY216" s="887"/>
      <c r="DOZ216" s="887"/>
      <c r="DPD216" s="744"/>
      <c r="DPE216" s="744"/>
      <c r="DPF216" s="744"/>
      <c r="DPH216" s="746"/>
      <c r="DPJ216" s="744"/>
      <c r="DPK216" s="744"/>
      <c r="DPL216" s="744"/>
      <c r="DPM216" s="745"/>
      <c r="DPP216" s="918"/>
      <c r="DPQ216" s="918"/>
      <c r="DPR216" s="918"/>
      <c r="DPS216" s="918"/>
      <c r="DPT216" s="918"/>
      <c r="DPU216" s="918"/>
      <c r="DPV216" s="887"/>
      <c r="DPW216" s="887"/>
      <c r="DQA216" s="744"/>
      <c r="DQB216" s="744"/>
      <c r="DQC216" s="744"/>
      <c r="DQE216" s="746"/>
      <c r="DQG216" s="744"/>
      <c r="DQH216" s="744"/>
      <c r="DQI216" s="744"/>
      <c r="DQJ216" s="745"/>
      <c r="DQM216" s="918"/>
      <c r="DQN216" s="918"/>
      <c r="DQO216" s="918"/>
      <c r="DQP216" s="918"/>
      <c r="DQQ216" s="918"/>
      <c r="DQR216" s="918"/>
      <c r="DQS216" s="887"/>
      <c r="DQT216" s="887"/>
      <c r="DQX216" s="744"/>
      <c r="DQY216" s="744"/>
      <c r="DQZ216" s="744"/>
      <c r="DRB216" s="746"/>
      <c r="DRD216" s="744"/>
      <c r="DRE216" s="744"/>
      <c r="DRF216" s="744"/>
      <c r="DRG216" s="745"/>
      <c r="DRJ216" s="918"/>
      <c r="DRK216" s="918"/>
      <c r="DRL216" s="918"/>
      <c r="DRM216" s="918"/>
      <c r="DRN216" s="918"/>
      <c r="DRO216" s="918"/>
      <c r="DRP216" s="887"/>
      <c r="DRQ216" s="887"/>
      <c r="DRU216" s="744"/>
      <c r="DRV216" s="744"/>
      <c r="DRW216" s="744"/>
      <c r="DRY216" s="746"/>
      <c r="DSA216" s="744"/>
      <c r="DSB216" s="744"/>
      <c r="DSC216" s="744"/>
      <c r="DSD216" s="745"/>
      <c r="DSG216" s="918"/>
      <c r="DSH216" s="918"/>
      <c r="DSI216" s="918"/>
      <c r="DSJ216" s="918"/>
      <c r="DSK216" s="918"/>
      <c r="DSL216" s="918"/>
      <c r="DSM216" s="887"/>
      <c r="DSN216" s="887"/>
      <c r="DSR216" s="744"/>
      <c r="DSS216" s="744"/>
      <c r="DST216" s="744"/>
      <c r="DSV216" s="746"/>
      <c r="DSX216" s="744"/>
      <c r="DSY216" s="744"/>
      <c r="DSZ216" s="744"/>
      <c r="DTA216" s="745"/>
      <c r="DTD216" s="918"/>
      <c r="DTE216" s="918"/>
      <c r="DTF216" s="918"/>
      <c r="DTG216" s="918"/>
      <c r="DTH216" s="918"/>
      <c r="DTI216" s="918"/>
      <c r="DTJ216" s="887"/>
      <c r="DTK216" s="887"/>
      <c r="DTO216" s="744"/>
      <c r="DTP216" s="744"/>
      <c r="DTQ216" s="744"/>
      <c r="DTS216" s="746"/>
      <c r="DTU216" s="744"/>
      <c r="DTV216" s="744"/>
      <c r="DTW216" s="744"/>
      <c r="DTX216" s="745"/>
      <c r="DUA216" s="918"/>
      <c r="DUB216" s="918"/>
      <c r="DUC216" s="918"/>
      <c r="DUD216" s="918"/>
      <c r="DUE216" s="918"/>
      <c r="DUF216" s="918"/>
      <c r="DUG216" s="887"/>
      <c r="DUH216" s="887"/>
      <c r="DUL216" s="744"/>
      <c r="DUM216" s="744"/>
      <c r="DUN216" s="744"/>
      <c r="DUP216" s="746"/>
      <c r="DUR216" s="744"/>
      <c r="DUS216" s="744"/>
      <c r="DUT216" s="744"/>
      <c r="DUU216" s="745"/>
      <c r="DUX216" s="918"/>
      <c r="DUY216" s="918"/>
      <c r="DUZ216" s="918"/>
      <c r="DVA216" s="918"/>
      <c r="DVB216" s="918"/>
      <c r="DVC216" s="918"/>
      <c r="DVD216" s="887"/>
      <c r="DVE216" s="887"/>
      <c r="DVI216" s="744"/>
      <c r="DVJ216" s="744"/>
      <c r="DVK216" s="744"/>
      <c r="DVM216" s="746"/>
      <c r="DVO216" s="744"/>
      <c r="DVP216" s="744"/>
      <c r="DVQ216" s="744"/>
      <c r="DVR216" s="745"/>
      <c r="DVU216" s="918"/>
      <c r="DVV216" s="918"/>
      <c r="DVW216" s="918"/>
      <c r="DVX216" s="918"/>
      <c r="DVY216" s="918"/>
      <c r="DVZ216" s="918"/>
      <c r="DWA216" s="887"/>
      <c r="DWB216" s="887"/>
      <c r="DWF216" s="744"/>
      <c r="DWG216" s="744"/>
      <c r="DWH216" s="744"/>
      <c r="DWJ216" s="746"/>
      <c r="DWL216" s="744"/>
      <c r="DWM216" s="744"/>
      <c r="DWN216" s="744"/>
      <c r="DWO216" s="745"/>
      <c r="DWR216" s="918"/>
      <c r="DWS216" s="918"/>
      <c r="DWT216" s="918"/>
      <c r="DWU216" s="918"/>
      <c r="DWV216" s="918"/>
      <c r="DWW216" s="918"/>
      <c r="DWX216" s="887"/>
      <c r="DWY216" s="887"/>
      <c r="DXC216" s="744"/>
      <c r="DXD216" s="744"/>
      <c r="DXE216" s="744"/>
      <c r="DXG216" s="746"/>
      <c r="DXI216" s="744"/>
      <c r="DXJ216" s="744"/>
      <c r="DXK216" s="744"/>
      <c r="DXL216" s="745"/>
      <c r="DXO216" s="918"/>
      <c r="DXP216" s="918"/>
      <c r="DXQ216" s="918"/>
      <c r="DXR216" s="918"/>
      <c r="DXS216" s="918"/>
      <c r="DXT216" s="918"/>
      <c r="DXU216" s="887"/>
      <c r="DXV216" s="887"/>
      <c r="DXZ216" s="744"/>
      <c r="DYA216" s="744"/>
      <c r="DYB216" s="744"/>
      <c r="DYD216" s="746"/>
      <c r="DYF216" s="744"/>
      <c r="DYG216" s="744"/>
      <c r="DYH216" s="744"/>
      <c r="DYI216" s="745"/>
      <c r="DYL216" s="918"/>
      <c r="DYM216" s="918"/>
      <c r="DYN216" s="918"/>
      <c r="DYO216" s="918"/>
      <c r="DYP216" s="918"/>
      <c r="DYQ216" s="918"/>
      <c r="DYR216" s="887"/>
      <c r="DYS216" s="887"/>
      <c r="DYW216" s="744"/>
      <c r="DYX216" s="744"/>
      <c r="DYY216" s="744"/>
      <c r="DZA216" s="746"/>
      <c r="DZC216" s="744"/>
      <c r="DZD216" s="744"/>
      <c r="DZE216" s="744"/>
      <c r="DZF216" s="745"/>
      <c r="DZI216" s="918"/>
      <c r="DZJ216" s="918"/>
      <c r="DZK216" s="918"/>
      <c r="DZL216" s="918"/>
      <c r="DZM216" s="918"/>
      <c r="DZN216" s="918"/>
      <c r="DZO216" s="887"/>
      <c r="DZP216" s="887"/>
      <c r="DZT216" s="744"/>
      <c r="DZU216" s="744"/>
      <c r="DZV216" s="744"/>
      <c r="DZX216" s="746"/>
      <c r="DZZ216" s="744"/>
      <c r="EAA216" s="744"/>
      <c r="EAB216" s="744"/>
      <c r="EAC216" s="745"/>
      <c r="EAF216" s="918"/>
      <c r="EAG216" s="918"/>
      <c r="EAH216" s="918"/>
      <c r="EAI216" s="918"/>
      <c r="EAJ216" s="918"/>
      <c r="EAK216" s="918"/>
      <c r="EAL216" s="887"/>
      <c r="EAM216" s="887"/>
      <c r="EAQ216" s="744"/>
      <c r="EAR216" s="744"/>
      <c r="EAS216" s="744"/>
      <c r="EAU216" s="746"/>
      <c r="EAW216" s="744"/>
      <c r="EAX216" s="744"/>
      <c r="EAY216" s="744"/>
      <c r="EAZ216" s="745"/>
      <c r="EBC216" s="918"/>
      <c r="EBD216" s="918"/>
      <c r="EBE216" s="918"/>
      <c r="EBF216" s="918"/>
      <c r="EBG216" s="918"/>
      <c r="EBH216" s="918"/>
      <c r="EBI216" s="887"/>
      <c r="EBJ216" s="887"/>
      <c r="EBN216" s="744"/>
      <c r="EBO216" s="744"/>
      <c r="EBP216" s="744"/>
      <c r="EBR216" s="746"/>
      <c r="EBT216" s="744"/>
      <c r="EBU216" s="744"/>
      <c r="EBV216" s="744"/>
      <c r="EBW216" s="745"/>
      <c r="EBZ216" s="918"/>
      <c r="ECA216" s="918"/>
      <c r="ECB216" s="918"/>
      <c r="ECC216" s="918"/>
      <c r="ECD216" s="918"/>
      <c r="ECE216" s="918"/>
      <c r="ECF216" s="887"/>
      <c r="ECG216" s="887"/>
      <c r="ECK216" s="744"/>
      <c r="ECL216" s="744"/>
      <c r="ECM216" s="744"/>
      <c r="ECO216" s="746"/>
      <c r="ECQ216" s="744"/>
      <c r="ECR216" s="744"/>
      <c r="ECS216" s="744"/>
      <c r="ECT216" s="745"/>
      <c r="ECW216" s="918"/>
      <c r="ECX216" s="918"/>
      <c r="ECY216" s="918"/>
      <c r="ECZ216" s="918"/>
      <c r="EDA216" s="918"/>
      <c r="EDB216" s="918"/>
      <c r="EDC216" s="887"/>
      <c r="EDD216" s="887"/>
      <c r="EDH216" s="744"/>
      <c r="EDI216" s="744"/>
      <c r="EDJ216" s="744"/>
      <c r="EDL216" s="746"/>
      <c r="EDN216" s="744"/>
      <c r="EDO216" s="744"/>
      <c r="EDP216" s="744"/>
      <c r="EDQ216" s="745"/>
      <c r="EDT216" s="918"/>
      <c r="EDU216" s="918"/>
      <c r="EDV216" s="918"/>
      <c r="EDW216" s="918"/>
      <c r="EDX216" s="918"/>
      <c r="EDY216" s="918"/>
      <c r="EDZ216" s="887"/>
      <c r="EEA216" s="887"/>
      <c r="EEE216" s="744"/>
      <c r="EEF216" s="744"/>
      <c r="EEG216" s="744"/>
      <c r="EEI216" s="746"/>
      <c r="EEK216" s="744"/>
      <c r="EEL216" s="744"/>
      <c r="EEM216" s="744"/>
      <c r="EEN216" s="745"/>
      <c r="EEQ216" s="918"/>
      <c r="EER216" s="918"/>
      <c r="EES216" s="918"/>
      <c r="EET216" s="918"/>
      <c r="EEU216" s="918"/>
      <c r="EEV216" s="918"/>
      <c r="EEW216" s="887"/>
      <c r="EEX216" s="887"/>
      <c r="EFB216" s="744"/>
      <c r="EFC216" s="744"/>
      <c r="EFD216" s="744"/>
      <c r="EFF216" s="746"/>
      <c r="EFH216" s="744"/>
      <c r="EFI216" s="744"/>
      <c r="EFJ216" s="744"/>
      <c r="EFK216" s="745"/>
      <c r="EFN216" s="918"/>
      <c r="EFO216" s="918"/>
      <c r="EFP216" s="918"/>
      <c r="EFQ216" s="918"/>
      <c r="EFR216" s="918"/>
      <c r="EFS216" s="918"/>
      <c r="EFT216" s="887"/>
      <c r="EFU216" s="887"/>
      <c r="EFY216" s="744"/>
      <c r="EFZ216" s="744"/>
      <c r="EGA216" s="744"/>
      <c r="EGC216" s="746"/>
      <c r="EGE216" s="744"/>
      <c r="EGF216" s="744"/>
      <c r="EGG216" s="744"/>
      <c r="EGH216" s="745"/>
      <c r="EGK216" s="918"/>
      <c r="EGL216" s="918"/>
      <c r="EGM216" s="918"/>
      <c r="EGN216" s="918"/>
      <c r="EGO216" s="918"/>
      <c r="EGP216" s="918"/>
      <c r="EGQ216" s="887"/>
      <c r="EGR216" s="887"/>
      <c r="EGV216" s="744"/>
      <c r="EGW216" s="744"/>
      <c r="EGX216" s="744"/>
      <c r="EGZ216" s="746"/>
      <c r="EHB216" s="744"/>
      <c r="EHC216" s="744"/>
      <c r="EHD216" s="744"/>
      <c r="EHE216" s="745"/>
      <c r="EHH216" s="918"/>
      <c r="EHI216" s="918"/>
      <c r="EHJ216" s="918"/>
      <c r="EHK216" s="918"/>
      <c r="EHL216" s="918"/>
      <c r="EHM216" s="918"/>
      <c r="EHN216" s="887"/>
      <c r="EHO216" s="887"/>
      <c r="EHS216" s="744"/>
      <c r="EHT216" s="744"/>
      <c r="EHU216" s="744"/>
      <c r="EHW216" s="746"/>
      <c r="EHY216" s="744"/>
      <c r="EHZ216" s="744"/>
      <c r="EIA216" s="744"/>
      <c r="EIB216" s="745"/>
      <c r="EIE216" s="918"/>
      <c r="EIF216" s="918"/>
      <c r="EIG216" s="918"/>
      <c r="EIH216" s="918"/>
      <c r="EII216" s="918"/>
      <c r="EIJ216" s="918"/>
      <c r="EIK216" s="887"/>
      <c r="EIL216" s="887"/>
      <c r="EIP216" s="744"/>
      <c r="EIQ216" s="744"/>
      <c r="EIR216" s="744"/>
      <c r="EIT216" s="746"/>
      <c r="EIV216" s="744"/>
      <c r="EIW216" s="744"/>
      <c r="EIX216" s="744"/>
      <c r="EIY216" s="745"/>
      <c r="EJB216" s="918"/>
      <c r="EJC216" s="918"/>
      <c r="EJD216" s="918"/>
      <c r="EJE216" s="918"/>
      <c r="EJF216" s="918"/>
      <c r="EJG216" s="918"/>
      <c r="EJH216" s="887"/>
      <c r="EJI216" s="887"/>
      <c r="EJM216" s="744"/>
      <c r="EJN216" s="744"/>
      <c r="EJO216" s="744"/>
      <c r="EJQ216" s="746"/>
      <c r="EJS216" s="744"/>
      <c r="EJT216" s="744"/>
      <c r="EJU216" s="744"/>
      <c r="EJV216" s="745"/>
      <c r="EJY216" s="918"/>
      <c r="EJZ216" s="918"/>
      <c r="EKA216" s="918"/>
      <c r="EKB216" s="918"/>
      <c r="EKC216" s="918"/>
      <c r="EKD216" s="918"/>
      <c r="EKE216" s="887"/>
      <c r="EKF216" s="887"/>
      <c r="EKJ216" s="744"/>
      <c r="EKK216" s="744"/>
      <c r="EKL216" s="744"/>
      <c r="EKN216" s="746"/>
      <c r="EKP216" s="744"/>
      <c r="EKQ216" s="744"/>
      <c r="EKR216" s="744"/>
      <c r="EKS216" s="745"/>
      <c r="EKV216" s="918"/>
      <c r="EKW216" s="918"/>
      <c r="EKX216" s="918"/>
      <c r="EKY216" s="918"/>
      <c r="EKZ216" s="918"/>
      <c r="ELA216" s="918"/>
      <c r="ELB216" s="887"/>
      <c r="ELC216" s="887"/>
      <c r="ELG216" s="744"/>
      <c r="ELH216" s="744"/>
      <c r="ELI216" s="744"/>
      <c r="ELK216" s="746"/>
      <c r="ELM216" s="744"/>
      <c r="ELN216" s="744"/>
      <c r="ELO216" s="744"/>
      <c r="ELP216" s="745"/>
      <c r="ELS216" s="918"/>
      <c r="ELT216" s="918"/>
      <c r="ELU216" s="918"/>
      <c r="ELV216" s="918"/>
      <c r="ELW216" s="918"/>
      <c r="ELX216" s="918"/>
      <c r="ELY216" s="887"/>
      <c r="ELZ216" s="887"/>
      <c r="EMD216" s="744"/>
      <c r="EME216" s="744"/>
      <c r="EMF216" s="744"/>
      <c r="EMH216" s="746"/>
      <c r="EMJ216" s="744"/>
      <c r="EMK216" s="744"/>
      <c r="EML216" s="744"/>
      <c r="EMM216" s="745"/>
      <c r="EMP216" s="918"/>
      <c r="EMQ216" s="918"/>
      <c r="EMR216" s="918"/>
      <c r="EMS216" s="918"/>
      <c r="EMT216" s="918"/>
      <c r="EMU216" s="918"/>
      <c r="EMV216" s="887"/>
      <c r="EMW216" s="887"/>
      <c r="ENA216" s="744"/>
      <c r="ENB216" s="744"/>
      <c r="ENC216" s="744"/>
      <c r="ENE216" s="746"/>
      <c r="ENG216" s="744"/>
      <c r="ENH216" s="744"/>
      <c r="ENI216" s="744"/>
      <c r="ENJ216" s="745"/>
      <c r="ENM216" s="918"/>
      <c r="ENN216" s="918"/>
      <c r="ENO216" s="918"/>
      <c r="ENP216" s="918"/>
      <c r="ENQ216" s="918"/>
      <c r="ENR216" s="918"/>
      <c r="ENS216" s="887"/>
      <c r="ENT216" s="887"/>
      <c r="ENX216" s="744"/>
      <c r="ENY216" s="744"/>
      <c r="ENZ216" s="744"/>
      <c r="EOB216" s="746"/>
      <c r="EOD216" s="744"/>
      <c r="EOE216" s="744"/>
      <c r="EOF216" s="744"/>
      <c r="EOG216" s="745"/>
      <c r="EOJ216" s="918"/>
      <c r="EOK216" s="918"/>
      <c r="EOL216" s="918"/>
      <c r="EOM216" s="918"/>
      <c r="EON216" s="918"/>
      <c r="EOO216" s="918"/>
      <c r="EOP216" s="887"/>
      <c r="EOQ216" s="887"/>
      <c r="EOU216" s="744"/>
      <c r="EOV216" s="744"/>
      <c r="EOW216" s="744"/>
      <c r="EOY216" s="746"/>
      <c r="EPA216" s="744"/>
      <c r="EPB216" s="744"/>
      <c r="EPC216" s="744"/>
      <c r="EPD216" s="745"/>
      <c r="EPG216" s="918"/>
      <c r="EPH216" s="918"/>
      <c r="EPI216" s="918"/>
      <c r="EPJ216" s="918"/>
      <c r="EPK216" s="918"/>
      <c r="EPL216" s="918"/>
      <c r="EPM216" s="887"/>
      <c r="EPN216" s="887"/>
      <c r="EPR216" s="744"/>
      <c r="EPS216" s="744"/>
      <c r="EPT216" s="744"/>
      <c r="EPV216" s="746"/>
      <c r="EPX216" s="744"/>
      <c r="EPY216" s="744"/>
      <c r="EPZ216" s="744"/>
      <c r="EQA216" s="745"/>
      <c r="EQD216" s="918"/>
      <c r="EQE216" s="918"/>
      <c r="EQF216" s="918"/>
      <c r="EQG216" s="918"/>
      <c r="EQH216" s="918"/>
      <c r="EQI216" s="918"/>
      <c r="EQJ216" s="887"/>
      <c r="EQK216" s="887"/>
      <c r="EQO216" s="744"/>
      <c r="EQP216" s="744"/>
      <c r="EQQ216" s="744"/>
      <c r="EQS216" s="746"/>
      <c r="EQU216" s="744"/>
      <c r="EQV216" s="744"/>
      <c r="EQW216" s="744"/>
      <c r="EQX216" s="745"/>
      <c r="ERA216" s="918"/>
      <c r="ERB216" s="918"/>
      <c r="ERC216" s="918"/>
      <c r="ERD216" s="918"/>
      <c r="ERE216" s="918"/>
      <c r="ERF216" s="918"/>
      <c r="ERG216" s="887"/>
      <c r="ERH216" s="887"/>
      <c r="ERL216" s="744"/>
      <c r="ERM216" s="744"/>
      <c r="ERN216" s="744"/>
      <c r="ERP216" s="746"/>
      <c r="ERR216" s="744"/>
      <c r="ERS216" s="744"/>
      <c r="ERT216" s="744"/>
      <c r="ERU216" s="745"/>
      <c r="ERX216" s="918"/>
      <c r="ERY216" s="918"/>
      <c r="ERZ216" s="918"/>
      <c r="ESA216" s="918"/>
      <c r="ESB216" s="918"/>
      <c r="ESC216" s="918"/>
      <c r="ESD216" s="887"/>
      <c r="ESE216" s="887"/>
      <c r="ESI216" s="744"/>
      <c r="ESJ216" s="744"/>
      <c r="ESK216" s="744"/>
      <c r="ESM216" s="746"/>
      <c r="ESO216" s="744"/>
      <c r="ESP216" s="744"/>
      <c r="ESQ216" s="744"/>
      <c r="ESR216" s="745"/>
      <c r="ESU216" s="918"/>
      <c r="ESV216" s="918"/>
      <c r="ESW216" s="918"/>
      <c r="ESX216" s="918"/>
      <c r="ESY216" s="918"/>
      <c r="ESZ216" s="918"/>
      <c r="ETA216" s="887"/>
      <c r="ETB216" s="887"/>
      <c r="ETF216" s="744"/>
      <c r="ETG216" s="744"/>
      <c r="ETH216" s="744"/>
      <c r="ETJ216" s="746"/>
      <c r="ETL216" s="744"/>
      <c r="ETM216" s="744"/>
      <c r="ETN216" s="744"/>
      <c r="ETO216" s="745"/>
      <c r="ETR216" s="918"/>
      <c r="ETS216" s="918"/>
      <c r="ETT216" s="918"/>
      <c r="ETU216" s="918"/>
      <c r="ETV216" s="918"/>
      <c r="ETW216" s="918"/>
      <c r="ETX216" s="887"/>
      <c r="ETY216" s="887"/>
      <c r="EUC216" s="744"/>
      <c r="EUD216" s="744"/>
      <c r="EUE216" s="744"/>
      <c r="EUG216" s="746"/>
      <c r="EUI216" s="744"/>
      <c r="EUJ216" s="744"/>
      <c r="EUK216" s="744"/>
      <c r="EUL216" s="745"/>
      <c r="EUO216" s="918"/>
      <c r="EUP216" s="918"/>
      <c r="EUQ216" s="918"/>
      <c r="EUR216" s="918"/>
      <c r="EUS216" s="918"/>
      <c r="EUT216" s="918"/>
      <c r="EUU216" s="887"/>
      <c r="EUV216" s="887"/>
      <c r="EUZ216" s="744"/>
      <c r="EVA216" s="744"/>
      <c r="EVB216" s="744"/>
      <c r="EVD216" s="746"/>
      <c r="EVF216" s="744"/>
      <c r="EVG216" s="744"/>
      <c r="EVH216" s="744"/>
      <c r="EVI216" s="745"/>
      <c r="EVL216" s="918"/>
      <c r="EVM216" s="918"/>
      <c r="EVN216" s="918"/>
      <c r="EVO216" s="918"/>
      <c r="EVP216" s="918"/>
      <c r="EVQ216" s="918"/>
      <c r="EVR216" s="887"/>
      <c r="EVS216" s="887"/>
      <c r="EVW216" s="744"/>
      <c r="EVX216" s="744"/>
      <c r="EVY216" s="744"/>
      <c r="EWA216" s="746"/>
      <c r="EWC216" s="744"/>
      <c r="EWD216" s="744"/>
      <c r="EWE216" s="744"/>
      <c r="EWF216" s="745"/>
      <c r="EWI216" s="918"/>
      <c r="EWJ216" s="918"/>
      <c r="EWK216" s="918"/>
      <c r="EWL216" s="918"/>
      <c r="EWM216" s="918"/>
      <c r="EWN216" s="918"/>
      <c r="EWO216" s="887"/>
      <c r="EWP216" s="887"/>
      <c r="EWT216" s="744"/>
      <c r="EWU216" s="744"/>
      <c r="EWV216" s="744"/>
      <c r="EWX216" s="746"/>
      <c r="EWZ216" s="744"/>
      <c r="EXA216" s="744"/>
      <c r="EXB216" s="744"/>
      <c r="EXC216" s="745"/>
      <c r="EXF216" s="918"/>
      <c r="EXG216" s="918"/>
      <c r="EXH216" s="918"/>
      <c r="EXI216" s="918"/>
      <c r="EXJ216" s="918"/>
      <c r="EXK216" s="918"/>
      <c r="EXL216" s="887"/>
      <c r="EXM216" s="887"/>
      <c r="EXQ216" s="744"/>
      <c r="EXR216" s="744"/>
      <c r="EXS216" s="744"/>
      <c r="EXU216" s="746"/>
      <c r="EXW216" s="744"/>
      <c r="EXX216" s="744"/>
      <c r="EXY216" s="744"/>
      <c r="EXZ216" s="745"/>
      <c r="EYC216" s="918"/>
      <c r="EYD216" s="918"/>
      <c r="EYE216" s="918"/>
      <c r="EYF216" s="918"/>
      <c r="EYG216" s="918"/>
      <c r="EYH216" s="918"/>
      <c r="EYI216" s="887"/>
      <c r="EYJ216" s="887"/>
      <c r="EYN216" s="744"/>
      <c r="EYO216" s="744"/>
      <c r="EYP216" s="744"/>
      <c r="EYR216" s="746"/>
      <c r="EYT216" s="744"/>
      <c r="EYU216" s="744"/>
      <c r="EYV216" s="744"/>
      <c r="EYW216" s="745"/>
      <c r="EYZ216" s="918"/>
      <c r="EZA216" s="918"/>
      <c r="EZB216" s="918"/>
      <c r="EZC216" s="918"/>
      <c r="EZD216" s="918"/>
      <c r="EZE216" s="918"/>
      <c r="EZF216" s="887"/>
      <c r="EZG216" s="887"/>
      <c r="EZK216" s="744"/>
      <c r="EZL216" s="744"/>
      <c r="EZM216" s="744"/>
      <c r="EZO216" s="746"/>
      <c r="EZQ216" s="744"/>
      <c r="EZR216" s="744"/>
      <c r="EZS216" s="744"/>
      <c r="EZT216" s="745"/>
      <c r="EZW216" s="918"/>
      <c r="EZX216" s="918"/>
      <c r="EZY216" s="918"/>
      <c r="EZZ216" s="918"/>
      <c r="FAA216" s="918"/>
      <c r="FAB216" s="918"/>
      <c r="FAC216" s="887"/>
      <c r="FAD216" s="887"/>
      <c r="FAH216" s="744"/>
      <c r="FAI216" s="744"/>
      <c r="FAJ216" s="744"/>
      <c r="FAL216" s="746"/>
      <c r="FAN216" s="744"/>
      <c r="FAO216" s="744"/>
      <c r="FAP216" s="744"/>
      <c r="FAQ216" s="745"/>
      <c r="FAT216" s="918"/>
      <c r="FAU216" s="918"/>
      <c r="FAV216" s="918"/>
      <c r="FAW216" s="918"/>
      <c r="FAX216" s="918"/>
      <c r="FAY216" s="918"/>
      <c r="FAZ216" s="887"/>
      <c r="FBA216" s="887"/>
      <c r="FBE216" s="744"/>
      <c r="FBF216" s="744"/>
      <c r="FBG216" s="744"/>
      <c r="FBI216" s="746"/>
      <c r="FBK216" s="744"/>
      <c r="FBL216" s="744"/>
      <c r="FBM216" s="744"/>
      <c r="FBN216" s="745"/>
      <c r="FBQ216" s="918"/>
      <c r="FBR216" s="918"/>
      <c r="FBS216" s="918"/>
      <c r="FBT216" s="918"/>
      <c r="FBU216" s="918"/>
      <c r="FBV216" s="918"/>
      <c r="FBW216" s="887"/>
      <c r="FBX216" s="887"/>
      <c r="FCB216" s="744"/>
      <c r="FCC216" s="744"/>
      <c r="FCD216" s="744"/>
      <c r="FCF216" s="746"/>
      <c r="FCH216" s="744"/>
      <c r="FCI216" s="744"/>
      <c r="FCJ216" s="744"/>
      <c r="FCK216" s="745"/>
      <c r="FCN216" s="918"/>
      <c r="FCO216" s="918"/>
      <c r="FCP216" s="918"/>
      <c r="FCQ216" s="918"/>
      <c r="FCR216" s="918"/>
      <c r="FCS216" s="918"/>
      <c r="FCT216" s="887"/>
      <c r="FCU216" s="887"/>
      <c r="FCY216" s="744"/>
      <c r="FCZ216" s="744"/>
      <c r="FDA216" s="744"/>
      <c r="FDC216" s="746"/>
      <c r="FDE216" s="744"/>
      <c r="FDF216" s="744"/>
      <c r="FDG216" s="744"/>
      <c r="FDH216" s="745"/>
      <c r="FDK216" s="918"/>
      <c r="FDL216" s="918"/>
      <c r="FDM216" s="918"/>
      <c r="FDN216" s="918"/>
      <c r="FDO216" s="918"/>
      <c r="FDP216" s="918"/>
      <c r="FDQ216" s="887"/>
      <c r="FDR216" s="887"/>
      <c r="FDV216" s="744"/>
      <c r="FDW216" s="744"/>
      <c r="FDX216" s="744"/>
      <c r="FDZ216" s="746"/>
      <c r="FEB216" s="744"/>
      <c r="FEC216" s="744"/>
      <c r="FED216" s="744"/>
      <c r="FEE216" s="745"/>
      <c r="FEH216" s="918"/>
      <c r="FEI216" s="918"/>
      <c r="FEJ216" s="918"/>
      <c r="FEK216" s="918"/>
      <c r="FEL216" s="918"/>
      <c r="FEM216" s="918"/>
      <c r="FEN216" s="887"/>
      <c r="FEO216" s="887"/>
      <c r="FES216" s="744"/>
      <c r="FET216" s="744"/>
      <c r="FEU216" s="744"/>
      <c r="FEW216" s="746"/>
      <c r="FEY216" s="744"/>
      <c r="FEZ216" s="744"/>
      <c r="FFA216" s="744"/>
      <c r="FFB216" s="745"/>
      <c r="FFE216" s="918"/>
      <c r="FFF216" s="918"/>
      <c r="FFG216" s="918"/>
      <c r="FFH216" s="918"/>
      <c r="FFI216" s="918"/>
      <c r="FFJ216" s="918"/>
      <c r="FFK216" s="887"/>
      <c r="FFL216" s="887"/>
      <c r="FFP216" s="744"/>
      <c r="FFQ216" s="744"/>
      <c r="FFR216" s="744"/>
      <c r="FFT216" s="746"/>
      <c r="FFV216" s="744"/>
      <c r="FFW216" s="744"/>
      <c r="FFX216" s="744"/>
      <c r="FFY216" s="745"/>
      <c r="FGB216" s="918"/>
      <c r="FGC216" s="918"/>
      <c r="FGD216" s="918"/>
      <c r="FGE216" s="918"/>
      <c r="FGF216" s="918"/>
      <c r="FGG216" s="918"/>
      <c r="FGH216" s="887"/>
      <c r="FGI216" s="887"/>
      <c r="FGM216" s="744"/>
      <c r="FGN216" s="744"/>
      <c r="FGO216" s="744"/>
      <c r="FGQ216" s="746"/>
      <c r="FGS216" s="744"/>
      <c r="FGT216" s="744"/>
      <c r="FGU216" s="744"/>
      <c r="FGV216" s="745"/>
      <c r="FGY216" s="918"/>
      <c r="FGZ216" s="918"/>
      <c r="FHA216" s="918"/>
      <c r="FHB216" s="918"/>
      <c r="FHC216" s="918"/>
      <c r="FHD216" s="918"/>
      <c r="FHE216" s="887"/>
      <c r="FHF216" s="887"/>
      <c r="FHJ216" s="744"/>
      <c r="FHK216" s="744"/>
      <c r="FHL216" s="744"/>
      <c r="FHN216" s="746"/>
      <c r="FHP216" s="744"/>
      <c r="FHQ216" s="744"/>
      <c r="FHR216" s="744"/>
      <c r="FHS216" s="745"/>
      <c r="FHV216" s="918"/>
      <c r="FHW216" s="918"/>
      <c r="FHX216" s="918"/>
      <c r="FHY216" s="918"/>
      <c r="FHZ216" s="918"/>
      <c r="FIA216" s="918"/>
      <c r="FIB216" s="887"/>
      <c r="FIC216" s="887"/>
      <c r="FIG216" s="744"/>
      <c r="FIH216" s="744"/>
      <c r="FII216" s="744"/>
      <c r="FIK216" s="746"/>
      <c r="FIM216" s="744"/>
      <c r="FIN216" s="744"/>
      <c r="FIO216" s="744"/>
      <c r="FIP216" s="745"/>
      <c r="FIS216" s="918"/>
      <c r="FIT216" s="918"/>
      <c r="FIU216" s="918"/>
      <c r="FIV216" s="918"/>
      <c r="FIW216" s="918"/>
      <c r="FIX216" s="918"/>
      <c r="FIY216" s="887"/>
      <c r="FIZ216" s="887"/>
      <c r="FJD216" s="744"/>
      <c r="FJE216" s="744"/>
      <c r="FJF216" s="744"/>
      <c r="FJH216" s="746"/>
      <c r="FJJ216" s="744"/>
      <c r="FJK216" s="744"/>
      <c r="FJL216" s="744"/>
      <c r="FJM216" s="745"/>
      <c r="FJP216" s="918"/>
      <c r="FJQ216" s="918"/>
      <c r="FJR216" s="918"/>
      <c r="FJS216" s="918"/>
      <c r="FJT216" s="918"/>
      <c r="FJU216" s="918"/>
      <c r="FJV216" s="887"/>
      <c r="FJW216" s="887"/>
      <c r="FKA216" s="744"/>
      <c r="FKB216" s="744"/>
      <c r="FKC216" s="744"/>
      <c r="FKE216" s="746"/>
      <c r="FKG216" s="744"/>
      <c r="FKH216" s="744"/>
      <c r="FKI216" s="744"/>
      <c r="FKJ216" s="745"/>
      <c r="FKM216" s="918"/>
      <c r="FKN216" s="918"/>
      <c r="FKO216" s="918"/>
      <c r="FKP216" s="918"/>
      <c r="FKQ216" s="918"/>
      <c r="FKR216" s="918"/>
      <c r="FKS216" s="887"/>
      <c r="FKT216" s="887"/>
      <c r="FKX216" s="744"/>
      <c r="FKY216" s="744"/>
      <c r="FKZ216" s="744"/>
      <c r="FLB216" s="746"/>
      <c r="FLD216" s="744"/>
      <c r="FLE216" s="744"/>
      <c r="FLF216" s="744"/>
      <c r="FLG216" s="745"/>
      <c r="FLJ216" s="918"/>
      <c r="FLK216" s="918"/>
      <c r="FLL216" s="918"/>
      <c r="FLM216" s="918"/>
      <c r="FLN216" s="918"/>
      <c r="FLO216" s="918"/>
      <c r="FLP216" s="887"/>
      <c r="FLQ216" s="887"/>
      <c r="FLU216" s="744"/>
      <c r="FLV216" s="744"/>
      <c r="FLW216" s="744"/>
      <c r="FLY216" s="746"/>
      <c r="FMA216" s="744"/>
      <c r="FMB216" s="744"/>
      <c r="FMC216" s="744"/>
      <c r="FMD216" s="745"/>
      <c r="FMG216" s="918"/>
      <c r="FMH216" s="918"/>
      <c r="FMI216" s="918"/>
      <c r="FMJ216" s="918"/>
      <c r="FMK216" s="918"/>
      <c r="FML216" s="918"/>
      <c r="FMM216" s="887"/>
      <c r="FMN216" s="887"/>
      <c r="FMR216" s="744"/>
      <c r="FMS216" s="744"/>
      <c r="FMT216" s="744"/>
      <c r="FMV216" s="746"/>
      <c r="FMX216" s="744"/>
      <c r="FMY216" s="744"/>
      <c r="FMZ216" s="744"/>
      <c r="FNA216" s="745"/>
      <c r="FND216" s="918"/>
      <c r="FNE216" s="918"/>
      <c r="FNF216" s="918"/>
      <c r="FNG216" s="918"/>
      <c r="FNH216" s="918"/>
      <c r="FNI216" s="918"/>
      <c r="FNJ216" s="887"/>
      <c r="FNK216" s="887"/>
      <c r="FNO216" s="744"/>
      <c r="FNP216" s="744"/>
      <c r="FNQ216" s="744"/>
      <c r="FNS216" s="746"/>
      <c r="FNU216" s="744"/>
      <c r="FNV216" s="744"/>
      <c r="FNW216" s="744"/>
      <c r="FNX216" s="745"/>
      <c r="FOA216" s="918"/>
      <c r="FOB216" s="918"/>
      <c r="FOC216" s="918"/>
      <c r="FOD216" s="918"/>
      <c r="FOE216" s="918"/>
      <c r="FOF216" s="918"/>
      <c r="FOG216" s="887"/>
      <c r="FOH216" s="887"/>
      <c r="FOL216" s="744"/>
      <c r="FOM216" s="744"/>
      <c r="FON216" s="744"/>
      <c r="FOP216" s="746"/>
      <c r="FOR216" s="744"/>
      <c r="FOS216" s="744"/>
      <c r="FOT216" s="744"/>
      <c r="FOU216" s="745"/>
      <c r="FOX216" s="918"/>
      <c r="FOY216" s="918"/>
      <c r="FOZ216" s="918"/>
      <c r="FPA216" s="918"/>
      <c r="FPB216" s="918"/>
      <c r="FPC216" s="918"/>
      <c r="FPD216" s="887"/>
      <c r="FPE216" s="887"/>
      <c r="FPI216" s="744"/>
      <c r="FPJ216" s="744"/>
      <c r="FPK216" s="744"/>
      <c r="FPM216" s="746"/>
      <c r="FPO216" s="744"/>
      <c r="FPP216" s="744"/>
      <c r="FPQ216" s="744"/>
      <c r="FPR216" s="745"/>
      <c r="FPU216" s="918"/>
      <c r="FPV216" s="918"/>
      <c r="FPW216" s="918"/>
      <c r="FPX216" s="918"/>
      <c r="FPY216" s="918"/>
      <c r="FPZ216" s="918"/>
      <c r="FQA216" s="887"/>
      <c r="FQB216" s="887"/>
      <c r="FQF216" s="744"/>
      <c r="FQG216" s="744"/>
      <c r="FQH216" s="744"/>
      <c r="FQJ216" s="746"/>
      <c r="FQL216" s="744"/>
      <c r="FQM216" s="744"/>
      <c r="FQN216" s="744"/>
      <c r="FQO216" s="745"/>
      <c r="FQR216" s="918"/>
      <c r="FQS216" s="918"/>
      <c r="FQT216" s="918"/>
      <c r="FQU216" s="918"/>
      <c r="FQV216" s="918"/>
      <c r="FQW216" s="918"/>
      <c r="FQX216" s="887"/>
      <c r="FQY216" s="887"/>
      <c r="FRC216" s="744"/>
      <c r="FRD216" s="744"/>
      <c r="FRE216" s="744"/>
      <c r="FRG216" s="746"/>
      <c r="FRI216" s="744"/>
      <c r="FRJ216" s="744"/>
      <c r="FRK216" s="744"/>
      <c r="FRL216" s="745"/>
      <c r="FRO216" s="918"/>
      <c r="FRP216" s="918"/>
      <c r="FRQ216" s="918"/>
      <c r="FRR216" s="918"/>
      <c r="FRS216" s="918"/>
      <c r="FRT216" s="918"/>
      <c r="FRU216" s="887"/>
      <c r="FRV216" s="887"/>
      <c r="FRZ216" s="744"/>
      <c r="FSA216" s="744"/>
      <c r="FSB216" s="744"/>
      <c r="FSD216" s="746"/>
      <c r="FSF216" s="744"/>
      <c r="FSG216" s="744"/>
      <c r="FSH216" s="744"/>
      <c r="FSI216" s="745"/>
      <c r="FSL216" s="918"/>
      <c r="FSM216" s="918"/>
      <c r="FSN216" s="918"/>
      <c r="FSO216" s="918"/>
      <c r="FSP216" s="918"/>
      <c r="FSQ216" s="918"/>
      <c r="FSR216" s="887"/>
      <c r="FSS216" s="887"/>
      <c r="FSW216" s="744"/>
      <c r="FSX216" s="744"/>
      <c r="FSY216" s="744"/>
      <c r="FTA216" s="746"/>
      <c r="FTC216" s="744"/>
      <c r="FTD216" s="744"/>
      <c r="FTE216" s="744"/>
      <c r="FTF216" s="745"/>
      <c r="FTI216" s="918"/>
      <c r="FTJ216" s="918"/>
      <c r="FTK216" s="918"/>
      <c r="FTL216" s="918"/>
      <c r="FTM216" s="918"/>
      <c r="FTN216" s="918"/>
      <c r="FTO216" s="887"/>
      <c r="FTP216" s="887"/>
      <c r="FTT216" s="744"/>
      <c r="FTU216" s="744"/>
      <c r="FTV216" s="744"/>
      <c r="FTX216" s="746"/>
      <c r="FTZ216" s="744"/>
      <c r="FUA216" s="744"/>
      <c r="FUB216" s="744"/>
      <c r="FUC216" s="745"/>
      <c r="FUF216" s="918"/>
      <c r="FUG216" s="918"/>
      <c r="FUH216" s="918"/>
      <c r="FUI216" s="918"/>
      <c r="FUJ216" s="918"/>
      <c r="FUK216" s="918"/>
      <c r="FUL216" s="887"/>
      <c r="FUM216" s="887"/>
      <c r="FUQ216" s="744"/>
      <c r="FUR216" s="744"/>
      <c r="FUS216" s="744"/>
      <c r="FUU216" s="746"/>
      <c r="FUW216" s="744"/>
      <c r="FUX216" s="744"/>
      <c r="FUY216" s="744"/>
      <c r="FUZ216" s="745"/>
      <c r="FVC216" s="918"/>
      <c r="FVD216" s="918"/>
      <c r="FVE216" s="918"/>
      <c r="FVF216" s="918"/>
      <c r="FVG216" s="918"/>
      <c r="FVH216" s="918"/>
      <c r="FVI216" s="887"/>
      <c r="FVJ216" s="887"/>
      <c r="FVN216" s="744"/>
      <c r="FVO216" s="744"/>
      <c r="FVP216" s="744"/>
      <c r="FVR216" s="746"/>
      <c r="FVT216" s="744"/>
      <c r="FVU216" s="744"/>
      <c r="FVV216" s="744"/>
      <c r="FVW216" s="745"/>
      <c r="FVZ216" s="918"/>
      <c r="FWA216" s="918"/>
      <c r="FWB216" s="918"/>
      <c r="FWC216" s="918"/>
      <c r="FWD216" s="918"/>
      <c r="FWE216" s="918"/>
      <c r="FWF216" s="887"/>
      <c r="FWG216" s="887"/>
      <c r="FWK216" s="744"/>
      <c r="FWL216" s="744"/>
      <c r="FWM216" s="744"/>
      <c r="FWO216" s="746"/>
      <c r="FWQ216" s="744"/>
      <c r="FWR216" s="744"/>
      <c r="FWS216" s="744"/>
      <c r="FWT216" s="745"/>
      <c r="FWW216" s="918"/>
      <c r="FWX216" s="918"/>
      <c r="FWY216" s="918"/>
      <c r="FWZ216" s="918"/>
      <c r="FXA216" s="918"/>
      <c r="FXB216" s="918"/>
      <c r="FXC216" s="887"/>
      <c r="FXD216" s="887"/>
      <c r="FXH216" s="744"/>
      <c r="FXI216" s="744"/>
      <c r="FXJ216" s="744"/>
      <c r="FXL216" s="746"/>
      <c r="FXN216" s="744"/>
      <c r="FXO216" s="744"/>
      <c r="FXP216" s="744"/>
      <c r="FXQ216" s="745"/>
      <c r="FXT216" s="918"/>
      <c r="FXU216" s="918"/>
      <c r="FXV216" s="918"/>
      <c r="FXW216" s="918"/>
      <c r="FXX216" s="918"/>
      <c r="FXY216" s="918"/>
      <c r="FXZ216" s="887"/>
      <c r="FYA216" s="887"/>
      <c r="FYE216" s="744"/>
      <c r="FYF216" s="744"/>
      <c r="FYG216" s="744"/>
      <c r="FYI216" s="746"/>
      <c r="FYK216" s="744"/>
      <c r="FYL216" s="744"/>
      <c r="FYM216" s="744"/>
      <c r="FYN216" s="745"/>
      <c r="FYQ216" s="918"/>
      <c r="FYR216" s="918"/>
      <c r="FYS216" s="918"/>
      <c r="FYT216" s="918"/>
      <c r="FYU216" s="918"/>
      <c r="FYV216" s="918"/>
      <c r="FYW216" s="887"/>
      <c r="FYX216" s="887"/>
      <c r="FZB216" s="744"/>
      <c r="FZC216" s="744"/>
      <c r="FZD216" s="744"/>
      <c r="FZF216" s="746"/>
      <c r="FZH216" s="744"/>
      <c r="FZI216" s="744"/>
      <c r="FZJ216" s="744"/>
      <c r="FZK216" s="745"/>
      <c r="FZN216" s="918"/>
      <c r="FZO216" s="918"/>
      <c r="FZP216" s="918"/>
      <c r="FZQ216" s="918"/>
      <c r="FZR216" s="918"/>
      <c r="FZS216" s="918"/>
      <c r="FZT216" s="887"/>
      <c r="FZU216" s="887"/>
      <c r="FZY216" s="744"/>
      <c r="FZZ216" s="744"/>
      <c r="GAA216" s="744"/>
      <c r="GAC216" s="746"/>
      <c r="GAE216" s="744"/>
      <c r="GAF216" s="744"/>
      <c r="GAG216" s="744"/>
      <c r="GAH216" s="745"/>
      <c r="GAK216" s="918"/>
      <c r="GAL216" s="918"/>
      <c r="GAM216" s="918"/>
      <c r="GAN216" s="918"/>
      <c r="GAO216" s="918"/>
      <c r="GAP216" s="918"/>
      <c r="GAQ216" s="887"/>
      <c r="GAR216" s="887"/>
      <c r="GAV216" s="744"/>
      <c r="GAW216" s="744"/>
      <c r="GAX216" s="744"/>
      <c r="GAZ216" s="746"/>
      <c r="GBB216" s="744"/>
      <c r="GBC216" s="744"/>
      <c r="GBD216" s="744"/>
      <c r="GBE216" s="745"/>
      <c r="GBH216" s="918"/>
      <c r="GBI216" s="918"/>
      <c r="GBJ216" s="918"/>
      <c r="GBK216" s="918"/>
      <c r="GBL216" s="918"/>
      <c r="GBM216" s="918"/>
      <c r="GBN216" s="887"/>
      <c r="GBO216" s="887"/>
      <c r="GBS216" s="744"/>
      <c r="GBT216" s="744"/>
      <c r="GBU216" s="744"/>
      <c r="GBW216" s="746"/>
      <c r="GBY216" s="744"/>
      <c r="GBZ216" s="744"/>
      <c r="GCA216" s="744"/>
      <c r="GCB216" s="745"/>
      <c r="GCE216" s="918"/>
      <c r="GCF216" s="918"/>
      <c r="GCG216" s="918"/>
      <c r="GCH216" s="918"/>
      <c r="GCI216" s="918"/>
      <c r="GCJ216" s="918"/>
      <c r="GCK216" s="887"/>
      <c r="GCL216" s="887"/>
      <c r="GCP216" s="744"/>
      <c r="GCQ216" s="744"/>
      <c r="GCR216" s="744"/>
      <c r="GCT216" s="746"/>
      <c r="GCV216" s="744"/>
      <c r="GCW216" s="744"/>
      <c r="GCX216" s="744"/>
      <c r="GCY216" s="745"/>
      <c r="GDB216" s="918"/>
      <c r="GDC216" s="918"/>
      <c r="GDD216" s="918"/>
      <c r="GDE216" s="918"/>
      <c r="GDF216" s="918"/>
      <c r="GDG216" s="918"/>
      <c r="GDH216" s="887"/>
      <c r="GDI216" s="887"/>
      <c r="GDM216" s="744"/>
      <c r="GDN216" s="744"/>
      <c r="GDO216" s="744"/>
      <c r="GDQ216" s="746"/>
      <c r="GDS216" s="744"/>
      <c r="GDT216" s="744"/>
      <c r="GDU216" s="744"/>
      <c r="GDV216" s="745"/>
      <c r="GDY216" s="918"/>
      <c r="GDZ216" s="918"/>
      <c r="GEA216" s="918"/>
      <c r="GEB216" s="918"/>
      <c r="GEC216" s="918"/>
      <c r="GED216" s="918"/>
      <c r="GEE216" s="887"/>
      <c r="GEF216" s="887"/>
      <c r="GEJ216" s="744"/>
      <c r="GEK216" s="744"/>
      <c r="GEL216" s="744"/>
      <c r="GEN216" s="746"/>
      <c r="GEP216" s="744"/>
      <c r="GEQ216" s="744"/>
      <c r="GER216" s="744"/>
      <c r="GES216" s="745"/>
      <c r="GEV216" s="918"/>
      <c r="GEW216" s="918"/>
      <c r="GEX216" s="918"/>
      <c r="GEY216" s="918"/>
      <c r="GEZ216" s="918"/>
      <c r="GFA216" s="918"/>
      <c r="GFB216" s="887"/>
      <c r="GFC216" s="887"/>
      <c r="GFG216" s="744"/>
      <c r="GFH216" s="744"/>
      <c r="GFI216" s="744"/>
      <c r="GFK216" s="746"/>
      <c r="GFM216" s="744"/>
      <c r="GFN216" s="744"/>
      <c r="GFO216" s="744"/>
      <c r="GFP216" s="745"/>
      <c r="GFS216" s="918"/>
      <c r="GFT216" s="918"/>
      <c r="GFU216" s="918"/>
      <c r="GFV216" s="918"/>
      <c r="GFW216" s="918"/>
      <c r="GFX216" s="918"/>
      <c r="GFY216" s="887"/>
      <c r="GFZ216" s="887"/>
      <c r="GGD216" s="744"/>
      <c r="GGE216" s="744"/>
      <c r="GGF216" s="744"/>
      <c r="GGH216" s="746"/>
      <c r="GGJ216" s="744"/>
      <c r="GGK216" s="744"/>
      <c r="GGL216" s="744"/>
      <c r="GGM216" s="745"/>
      <c r="GGP216" s="918"/>
      <c r="GGQ216" s="918"/>
      <c r="GGR216" s="918"/>
      <c r="GGS216" s="918"/>
      <c r="GGT216" s="918"/>
      <c r="GGU216" s="918"/>
      <c r="GGV216" s="887"/>
      <c r="GGW216" s="887"/>
      <c r="GHA216" s="744"/>
      <c r="GHB216" s="744"/>
      <c r="GHC216" s="744"/>
      <c r="GHE216" s="746"/>
      <c r="GHG216" s="744"/>
      <c r="GHH216" s="744"/>
      <c r="GHI216" s="744"/>
      <c r="GHJ216" s="745"/>
      <c r="GHM216" s="918"/>
      <c r="GHN216" s="918"/>
      <c r="GHO216" s="918"/>
      <c r="GHP216" s="918"/>
      <c r="GHQ216" s="918"/>
      <c r="GHR216" s="918"/>
      <c r="GHS216" s="887"/>
      <c r="GHT216" s="887"/>
      <c r="GHX216" s="744"/>
      <c r="GHY216" s="744"/>
      <c r="GHZ216" s="744"/>
      <c r="GIB216" s="746"/>
      <c r="GID216" s="744"/>
      <c r="GIE216" s="744"/>
      <c r="GIF216" s="744"/>
      <c r="GIG216" s="745"/>
      <c r="GIJ216" s="918"/>
      <c r="GIK216" s="918"/>
      <c r="GIL216" s="918"/>
      <c r="GIM216" s="918"/>
      <c r="GIN216" s="918"/>
      <c r="GIO216" s="918"/>
      <c r="GIP216" s="887"/>
      <c r="GIQ216" s="887"/>
      <c r="GIU216" s="744"/>
      <c r="GIV216" s="744"/>
      <c r="GIW216" s="744"/>
      <c r="GIY216" s="746"/>
      <c r="GJA216" s="744"/>
      <c r="GJB216" s="744"/>
      <c r="GJC216" s="744"/>
      <c r="GJD216" s="745"/>
      <c r="GJG216" s="918"/>
      <c r="GJH216" s="918"/>
      <c r="GJI216" s="918"/>
      <c r="GJJ216" s="918"/>
      <c r="GJK216" s="918"/>
      <c r="GJL216" s="918"/>
      <c r="GJM216" s="887"/>
      <c r="GJN216" s="887"/>
      <c r="GJR216" s="744"/>
      <c r="GJS216" s="744"/>
      <c r="GJT216" s="744"/>
      <c r="GJV216" s="746"/>
      <c r="GJX216" s="744"/>
      <c r="GJY216" s="744"/>
      <c r="GJZ216" s="744"/>
      <c r="GKA216" s="745"/>
      <c r="GKD216" s="918"/>
      <c r="GKE216" s="918"/>
      <c r="GKF216" s="918"/>
      <c r="GKG216" s="918"/>
      <c r="GKH216" s="918"/>
      <c r="GKI216" s="918"/>
      <c r="GKJ216" s="887"/>
      <c r="GKK216" s="887"/>
      <c r="GKO216" s="744"/>
      <c r="GKP216" s="744"/>
      <c r="GKQ216" s="744"/>
      <c r="GKS216" s="746"/>
      <c r="GKU216" s="744"/>
      <c r="GKV216" s="744"/>
      <c r="GKW216" s="744"/>
      <c r="GKX216" s="745"/>
      <c r="GLA216" s="918"/>
      <c r="GLB216" s="918"/>
      <c r="GLC216" s="918"/>
      <c r="GLD216" s="918"/>
      <c r="GLE216" s="918"/>
      <c r="GLF216" s="918"/>
      <c r="GLG216" s="887"/>
      <c r="GLH216" s="887"/>
      <c r="GLL216" s="744"/>
      <c r="GLM216" s="744"/>
      <c r="GLN216" s="744"/>
      <c r="GLP216" s="746"/>
      <c r="GLR216" s="744"/>
      <c r="GLS216" s="744"/>
      <c r="GLT216" s="744"/>
      <c r="GLU216" s="745"/>
      <c r="GLX216" s="918"/>
      <c r="GLY216" s="918"/>
      <c r="GLZ216" s="918"/>
      <c r="GMA216" s="918"/>
      <c r="GMB216" s="918"/>
      <c r="GMC216" s="918"/>
      <c r="GMD216" s="887"/>
      <c r="GME216" s="887"/>
      <c r="GMI216" s="744"/>
      <c r="GMJ216" s="744"/>
      <c r="GMK216" s="744"/>
      <c r="GMM216" s="746"/>
      <c r="GMO216" s="744"/>
      <c r="GMP216" s="744"/>
      <c r="GMQ216" s="744"/>
      <c r="GMR216" s="745"/>
      <c r="GMU216" s="918"/>
      <c r="GMV216" s="918"/>
      <c r="GMW216" s="918"/>
      <c r="GMX216" s="918"/>
      <c r="GMY216" s="918"/>
      <c r="GMZ216" s="918"/>
      <c r="GNA216" s="887"/>
      <c r="GNB216" s="887"/>
      <c r="GNF216" s="744"/>
      <c r="GNG216" s="744"/>
      <c r="GNH216" s="744"/>
      <c r="GNJ216" s="746"/>
      <c r="GNL216" s="744"/>
      <c r="GNM216" s="744"/>
      <c r="GNN216" s="744"/>
      <c r="GNO216" s="745"/>
      <c r="GNR216" s="918"/>
      <c r="GNS216" s="918"/>
      <c r="GNT216" s="918"/>
      <c r="GNU216" s="918"/>
      <c r="GNV216" s="918"/>
      <c r="GNW216" s="918"/>
      <c r="GNX216" s="887"/>
      <c r="GNY216" s="887"/>
      <c r="GOC216" s="744"/>
      <c r="GOD216" s="744"/>
      <c r="GOE216" s="744"/>
      <c r="GOG216" s="746"/>
      <c r="GOI216" s="744"/>
      <c r="GOJ216" s="744"/>
      <c r="GOK216" s="744"/>
      <c r="GOL216" s="745"/>
      <c r="GOO216" s="918"/>
      <c r="GOP216" s="918"/>
      <c r="GOQ216" s="918"/>
      <c r="GOR216" s="918"/>
      <c r="GOS216" s="918"/>
      <c r="GOT216" s="918"/>
      <c r="GOU216" s="887"/>
      <c r="GOV216" s="887"/>
      <c r="GOZ216" s="744"/>
      <c r="GPA216" s="744"/>
      <c r="GPB216" s="744"/>
      <c r="GPD216" s="746"/>
      <c r="GPF216" s="744"/>
      <c r="GPG216" s="744"/>
      <c r="GPH216" s="744"/>
      <c r="GPI216" s="745"/>
      <c r="GPL216" s="918"/>
      <c r="GPM216" s="918"/>
      <c r="GPN216" s="918"/>
      <c r="GPO216" s="918"/>
      <c r="GPP216" s="918"/>
      <c r="GPQ216" s="918"/>
      <c r="GPR216" s="887"/>
      <c r="GPS216" s="887"/>
      <c r="GPW216" s="744"/>
      <c r="GPX216" s="744"/>
      <c r="GPY216" s="744"/>
      <c r="GQA216" s="746"/>
      <c r="GQC216" s="744"/>
      <c r="GQD216" s="744"/>
      <c r="GQE216" s="744"/>
      <c r="GQF216" s="745"/>
      <c r="GQI216" s="918"/>
      <c r="GQJ216" s="918"/>
      <c r="GQK216" s="918"/>
      <c r="GQL216" s="918"/>
      <c r="GQM216" s="918"/>
      <c r="GQN216" s="918"/>
      <c r="GQO216" s="887"/>
      <c r="GQP216" s="887"/>
      <c r="GQT216" s="744"/>
      <c r="GQU216" s="744"/>
      <c r="GQV216" s="744"/>
      <c r="GQX216" s="746"/>
      <c r="GQZ216" s="744"/>
      <c r="GRA216" s="744"/>
      <c r="GRB216" s="744"/>
      <c r="GRC216" s="745"/>
      <c r="GRF216" s="918"/>
      <c r="GRG216" s="918"/>
      <c r="GRH216" s="918"/>
      <c r="GRI216" s="918"/>
      <c r="GRJ216" s="918"/>
      <c r="GRK216" s="918"/>
      <c r="GRL216" s="887"/>
      <c r="GRM216" s="887"/>
      <c r="GRQ216" s="744"/>
      <c r="GRR216" s="744"/>
      <c r="GRS216" s="744"/>
      <c r="GRU216" s="746"/>
      <c r="GRW216" s="744"/>
      <c r="GRX216" s="744"/>
      <c r="GRY216" s="744"/>
      <c r="GRZ216" s="745"/>
      <c r="GSC216" s="918"/>
      <c r="GSD216" s="918"/>
      <c r="GSE216" s="918"/>
      <c r="GSF216" s="918"/>
      <c r="GSG216" s="918"/>
      <c r="GSH216" s="918"/>
      <c r="GSI216" s="887"/>
      <c r="GSJ216" s="887"/>
      <c r="GSN216" s="744"/>
      <c r="GSO216" s="744"/>
      <c r="GSP216" s="744"/>
      <c r="GSR216" s="746"/>
      <c r="GST216" s="744"/>
      <c r="GSU216" s="744"/>
      <c r="GSV216" s="744"/>
      <c r="GSW216" s="745"/>
      <c r="GSZ216" s="918"/>
      <c r="GTA216" s="918"/>
      <c r="GTB216" s="918"/>
      <c r="GTC216" s="918"/>
      <c r="GTD216" s="918"/>
      <c r="GTE216" s="918"/>
      <c r="GTF216" s="887"/>
      <c r="GTG216" s="887"/>
      <c r="GTK216" s="744"/>
      <c r="GTL216" s="744"/>
      <c r="GTM216" s="744"/>
      <c r="GTO216" s="746"/>
      <c r="GTQ216" s="744"/>
      <c r="GTR216" s="744"/>
      <c r="GTS216" s="744"/>
      <c r="GTT216" s="745"/>
      <c r="GTW216" s="918"/>
      <c r="GTX216" s="918"/>
      <c r="GTY216" s="918"/>
      <c r="GTZ216" s="918"/>
      <c r="GUA216" s="918"/>
      <c r="GUB216" s="918"/>
      <c r="GUC216" s="887"/>
      <c r="GUD216" s="887"/>
      <c r="GUH216" s="744"/>
      <c r="GUI216" s="744"/>
      <c r="GUJ216" s="744"/>
      <c r="GUL216" s="746"/>
      <c r="GUN216" s="744"/>
      <c r="GUO216" s="744"/>
      <c r="GUP216" s="744"/>
      <c r="GUQ216" s="745"/>
      <c r="GUT216" s="918"/>
      <c r="GUU216" s="918"/>
      <c r="GUV216" s="918"/>
      <c r="GUW216" s="918"/>
      <c r="GUX216" s="918"/>
      <c r="GUY216" s="918"/>
      <c r="GUZ216" s="887"/>
      <c r="GVA216" s="887"/>
      <c r="GVE216" s="744"/>
      <c r="GVF216" s="744"/>
      <c r="GVG216" s="744"/>
      <c r="GVI216" s="746"/>
      <c r="GVK216" s="744"/>
      <c r="GVL216" s="744"/>
      <c r="GVM216" s="744"/>
      <c r="GVN216" s="745"/>
      <c r="GVQ216" s="918"/>
      <c r="GVR216" s="918"/>
      <c r="GVS216" s="918"/>
      <c r="GVT216" s="918"/>
      <c r="GVU216" s="918"/>
      <c r="GVV216" s="918"/>
      <c r="GVW216" s="887"/>
      <c r="GVX216" s="887"/>
      <c r="GWB216" s="744"/>
      <c r="GWC216" s="744"/>
      <c r="GWD216" s="744"/>
      <c r="GWF216" s="746"/>
      <c r="GWH216" s="744"/>
      <c r="GWI216" s="744"/>
      <c r="GWJ216" s="744"/>
      <c r="GWK216" s="745"/>
      <c r="GWN216" s="918"/>
      <c r="GWO216" s="918"/>
      <c r="GWP216" s="918"/>
      <c r="GWQ216" s="918"/>
      <c r="GWR216" s="918"/>
      <c r="GWS216" s="918"/>
      <c r="GWT216" s="887"/>
      <c r="GWU216" s="887"/>
      <c r="GWY216" s="744"/>
      <c r="GWZ216" s="744"/>
      <c r="GXA216" s="744"/>
      <c r="GXC216" s="746"/>
      <c r="GXE216" s="744"/>
      <c r="GXF216" s="744"/>
      <c r="GXG216" s="744"/>
      <c r="GXH216" s="745"/>
      <c r="GXK216" s="918"/>
      <c r="GXL216" s="918"/>
      <c r="GXM216" s="918"/>
      <c r="GXN216" s="918"/>
      <c r="GXO216" s="918"/>
      <c r="GXP216" s="918"/>
      <c r="GXQ216" s="887"/>
      <c r="GXR216" s="887"/>
      <c r="GXV216" s="744"/>
      <c r="GXW216" s="744"/>
      <c r="GXX216" s="744"/>
      <c r="GXZ216" s="746"/>
      <c r="GYB216" s="744"/>
      <c r="GYC216" s="744"/>
      <c r="GYD216" s="744"/>
      <c r="GYE216" s="745"/>
      <c r="GYH216" s="918"/>
      <c r="GYI216" s="918"/>
      <c r="GYJ216" s="918"/>
      <c r="GYK216" s="918"/>
      <c r="GYL216" s="918"/>
      <c r="GYM216" s="918"/>
      <c r="GYN216" s="887"/>
      <c r="GYO216" s="887"/>
      <c r="GYS216" s="744"/>
      <c r="GYT216" s="744"/>
      <c r="GYU216" s="744"/>
      <c r="GYW216" s="746"/>
      <c r="GYY216" s="744"/>
      <c r="GYZ216" s="744"/>
      <c r="GZA216" s="744"/>
      <c r="GZB216" s="745"/>
      <c r="GZE216" s="918"/>
      <c r="GZF216" s="918"/>
      <c r="GZG216" s="918"/>
      <c r="GZH216" s="918"/>
      <c r="GZI216" s="918"/>
      <c r="GZJ216" s="918"/>
      <c r="GZK216" s="887"/>
      <c r="GZL216" s="887"/>
      <c r="GZP216" s="744"/>
      <c r="GZQ216" s="744"/>
      <c r="GZR216" s="744"/>
      <c r="GZT216" s="746"/>
      <c r="GZV216" s="744"/>
      <c r="GZW216" s="744"/>
      <c r="GZX216" s="744"/>
      <c r="GZY216" s="745"/>
      <c r="HAB216" s="918"/>
      <c r="HAC216" s="918"/>
      <c r="HAD216" s="918"/>
      <c r="HAE216" s="918"/>
      <c r="HAF216" s="918"/>
      <c r="HAG216" s="918"/>
      <c r="HAH216" s="887"/>
      <c r="HAI216" s="887"/>
      <c r="HAM216" s="744"/>
      <c r="HAN216" s="744"/>
      <c r="HAO216" s="744"/>
      <c r="HAQ216" s="746"/>
      <c r="HAS216" s="744"/>
      <c r="HAT216" s="744"/>
      <c r="HAU216" s="744"/>
      <c r="HAV216" s="745"/>
      <c r="HAY216" s="918"/>
      <c r="HAZ216" s="918"/>
      <c r="HBA216" s="918"/>
      <c r="HBB216" s="918"/>
      <c r="HBC216" s="918"/>
      <c r="HBD216" s="918"/>
      <c r="HBE216" s="887"/>
      <c r="HBF216" s="887"/>
      <c r="HBJ216" s="744"/>
      <c r="HBK216" s="744"/>
      <c r="HBL216" s="744"/>
      <c r="HBN216" s="746"/>
      <c r="HBP216" s="744"/>
      <c r="HBQ216" s="744"/>
      <c r="HBR216" s="744"/>
      <c r="HBS216" s="745"/>
      <c r="HBV216" s="918"/>
      <c r="HBW216" s="918"/>
      <c r="HBX216" s="918"/>
      <c r="HBY216" s="918"/>
      <c r="HBZ216" s="918"/>
      <c r="HCA216" s="918"/>
      <c r="HCB216" s="887"/>
      <c r="HCC216" s="887"/>
      <c r="HCG216" s="744"/>
      <c r="HCH216" s="744"/>
      <c r="HCI216" s="744"/>
      <c r="HCK216" s="746"/>
      <c r="HCM216" s="744"/>
      <c r="HCN216" s="744"/>
      <c r="HCO216" s="744"/>
      <c r="HCP216" s="745"/>
      <c r="HCS216" s="918"/>
      <c r="HCT216" s="918"/>
      <c r="HCU216" s="918"/>
      <c r="HCV216" s="918"/>
      <c r="HCW216" s="918"/>
      <c r="HCX216" s="918"/>
      <c r="HCY216" s="887"/>
      <c r="HCZ216" s="887"/>
      <c r="HDD216" s="744"/>
      <c r="HDE216" s="744"/>
      <c r="HDF216" s="744"/>
      <c r="HDH216" s="746"/>
      <c r="HDJ216" s="744"/>
      <c r="HDK216" s="744"/>
      <c r="HDL216" s="744"/>
      <c r="HDM216" s="745"/>
      <c r="HDP216" s="918"/>
      <c r="HDQ216" s="918"/>
      <c r="HDR216" s="918"/>
      <c r="HDS216" s="918"/>
      <c r="HDT216" s="918"/>
      <c r="HDU216" s="918"/>
      <c r="HDV216" s="887"/>
      <c r="HDW216" s="887"/>
      <c r="HEA216" s="744"/>
      <c r="HEB216" s="744"/>
      <c r="HEC216" s="744"/>
      <c r="HEE216" s="746"/>
      <c r="HEG216" s="744"/>
      <c r="HEH216" s="744"/>
      <c r="HEI216" s="744"/>
      <c r="HEJ216" s="745"/>
      <c r="HEM216" s="918"/>
      <c r="HEN216" s="918"/>
      <c r="HEO216" s="918"/>
      <c r="HEP216" s="918"/>
      <c r="HEQ216" s="918"/>
      <c r="HER216" s="918"/>
      <c r="HES216" s="887"/>
      <c r="HET216" s="887"/>
      <c r="HEX216" s="744"/>
      <c r="HEY216" s="744"/>
      <c r="HEZ216" s="744"/>
      <c r="HFB216" s="746"/>
      <c r="HFD216" s="744"/>
      <c r="HFE216" s="744"/>
      <c r="HFF216" s="744"/>
      <c r="HFG216" s="745"/>
      <c r="HFJ216" s="918"/>
      <c r="HFK216" s="918"/>
      <c r="HFL216" s="918"/>
      <c r="HFM216" s="918"/>
      <c r="HFN216" s="918"/>
      <c r="HFO216" s="918"/>
      <c r="HFP216" s="887"/>
      <c r="HFQ216" s="887"/>
      <c r="HFU216" s="744"/>
      <c r="HFV216" s="744"/>
      <c r="HFW216" s="744"/>
      <c r="HFY216" s="746"/>
      <c r="HGA216" s="744"/>
      <c r="HGB216" s="744"/>
      <c r="HGC216" s="744"/>
      <c r="HGD216" s="745"/>
      <c r="HGG216" s="918"/>
      <c r="HGH216" s="918"/>
      <c r="HGI216" s="918"/>
      <c r="HGJ216" s="918"/>
      <c r="HGK216" s="918"/>
      <c r="HGL216" s="918"/>
      <c r="HGM216" s="887"/>
      <c r="HGN216" s="887"/>
      <c r="HGR216" s="744"/>
      <c r="HGS216" s="744"/>
      <c r="HGT216" s="744"/>
      <c r="HGV216" s="746"/>
      <c r="HGX216" s="744"/>
      <c r="HGY216" s="744"/>
      <c r="HGZ216" s="744"/>
      <c r="HHA216" s="745"/>
      <c r="HHD216" s="918"/>
      <c r="HHE216" s="918"/>
      <c r="HHF216" s="918"/>
      <c r="HHG216" s="918"/>
      <c r="HHH216" s="918"/>
      <c r="HHI216" s="918"/>
      <c r="HHJ216" s="887"/>
      <c r="HHK216" s="887"/>
      <c r="HHO216" s="744"/>
      <c r="HHP216" s="744"/>
      <c r="HHQ216" s="744"/>
      <c r="HHS216" s="746"/>
      <c r="HHU216" s="744"/>
      <c r="HHV216" s="744"/>
      <c r="HHW216" s="744"/>
      <c r="HHX216" s="745"/>
      <c r="HIA216" s="918"/>
      <c r="HIB216" s="918"/>
      <c r="HIC216" s="918"/>
      <c r="HID216" s="918"/>
      <c r="HIE216" s="918"/>
      <c r="HIF216" s="918"/>
      <c r="HIG216" s="887"/>
      <c r="HIH216" s="887"/>
      <c r="HIL216" s="744"/>
      <c r="HIM216" s="744"/>
      <c r="HIN216" s="744"/>
      <c r="HIP216" s="746"/>
      <c r="HIR216" s="744"/>
      <c r="HIS216" s="744"/>
      <c r="HIT216" s="744"/>
      <c r="HIU216" s="745"/>
      <c r="HIX216" s="918"/>
      <c r="HIY216" s="918"/>
      <c r="HIZ216" s="918"/>
      <c r="HJA216" s="918"/>
      <c r="HJB216" s="918"/>
      <c r="HJC216" s="918"/>
      <c r="HJD216" s="887"/>
      <c r="HJE216" s="887"/>
      <c r="HJI216" s="744"/>
      <c r="HJJ216" s="744"/>
      <c r="HJK216" s="744"/>
      <c r="HJM216" s="746"/>
      <c r="HJO216" s="744"/>
      <c r="HJP216" s="744"/>
      <c r="HJQ216" s="744"/>
      <c r="HJR216" s="745"/>
      <c r="HJU216" s="918"/>
      <c r="HJV216" s="918"/>
      <c r="HJW216" s="918"/>
      <c r="HJX216" s="918"/>
      <c r="HJY216" s="918"/>
      <c r="HJZ216" s="918"/>
      <c r="HKA216" s="887"/>
      <c r="HKB216" s="887"/>
      <c r="HKF216" s="744"/>
      <c r="HKG216" s="744"/>
      <c r="HKH216" s="744"/>
      <c r="HKJ216" s="746"/>
      <c r="HKL216" s="744"/>
      <c r="HKM216" s="744"/>
      <c r="HKN216" s="744"/>
      <c r="HKO216" s="745"/>
      <c r="HKR216" s="918"/>
      <c r="HKS216" s="918"/>
      <c r="HKT216" s="918"/>
      <c r="HKU216" s="918"/>
      <c r="HKV216" s="918"/>
      <c r="HKW216" s="918"/>
      <c r="HKX216" s="887"/>
      <c r="HKY216" s="887"/>
      <c r="HLC216" s="744"/>
      <c r="HLD216" s="744"/>
      <c r="HLE216" s="744"/>
      <c r="HLG216" s="746"/>
      <c r="HLI216" s="744"/>
      <c r="HLJ216" s="744"/>
      <c r="HLK216" s="744"/>
      <c r="HLL216" s="745"/>
      <c r="HLO216" s="918"/>
      <c r="HLP216" s="918"/>
      <c r="HLQ216" s="918"/>
      <c r="HLR216" s="918"/>
      <c r="HLS216" s="918"/>
      <c r="HLT216" s="918"/>
      <c r="HLU216" s="887"/>
      <c r="HLV216" s="887"/>
      <c r="HLZ216" s="744"/>
      <c r="HMA216" s="744"/>
      <c r="HMB216" s="744"/>
      <c r="HMD216" s="746"/>
      <c r="HMF216" s="744"/>
      <c r="HMG216" s="744"/>
      <c r="HMH216" s="744"/>
      <c r="HMI216" s="745"/>
      <c r="HML216" s="918"/>
      <c r="HMM216" s="918"/>
      <c r="HMN216" s="918"/>
      <c r="HMO216" s="918"/>
      <c r="HMP216" s="918"/>
      <c r="HMQ216" s="918"/>
      <c r="HMR216" s="887"/>
      <c r="HMS216" s="887"/>
      <c r="HMW216" s="744"/>
      <c r="HMX216" s="744"/>
      <c r="HMY216" s="744"/>
      <c r="HNA216" s="746"/>
      <c r="HNC216" s="744"/>
      <c r="HND216" s="744"/>
      <c r="HNE216" s="744"/>
      <c r="HNF216" s="745"/>
      <c r="HNI216" s="918"/>
      <c r="HNJ216" s="918"/>
      <c r="HNK216" s="918"/>
      <c r="HNL216" s="918"/>
      <c r="HNM216" s="918"/>
      <c r="HNN216" s="918"/>
      <c r="HNO216" s="887"/>
      <c r="HNP216" s="887"/>
      <c r="HNT216" s="744"/>
      <c r="HNU216" s="744"/>
      <c r="HNV216" s="744"/>
      <c r="HNX216" s="746"/>
      <c r="HNZ216" s="744"/>
      <c r="HOA216" s="744"/>
      <c r="HOB216" s="744"/>
      <c r="HOC216" s="745"/>
      <c r="HOF216" s="918"/>
      <c r="HOG216" s="918"/>
      <c r="HOH216" s="918"/>
      <c r="HOI216" s="918"/>
      <c r="HOJ216" s="918"/>
      <c r="HOK216" s="918"/>
      <c r="HOL216" s="887"/>
      <c r="HOM216" s="887"/>
      <c r="HOQ216" s="744"/>
      <c r="HOR216" s="744"/>
      <c r="HOS216" s="744"/>
      <c r="HOU216" s="746"/>
      <c r="HOW216" s="744"/>
      <c r="HOX216" s="744"/>
      <c r="HOY216" s="744"/>
      <c r="HOZ216" s="745"/>
      <c r="HPC216" s="918"/>
      <c r="HPD216" s="918"/>
      <c r="HPE216" s="918"/>
      <c r="HPF216" s="918"/>
      <c r="HPG216" s="918"/>
      <c r="HPH216" s="918"/>
      <c r="HPI216" s="887"/>
      <c r="HPJ216" s="887"/>
      <c r="HPN216" s="744"/>
      <c r="HPO216" s="744"/>
      <c r="HPP216" s="744"/>
      <c r="HPR216" s="746"/>
      <c r="HPT216" s="744"/>
      <c r="HPU216" s="744"/>
      <c r="HPV216" s="744"/>
      <c r="HPW216" s="745"/>
      <c r="HPZ216" s="918"/>
      <c r="HQA216" s="918"/>
      <c r="HQB216" s="918"/>
      <c r="HQC216" s="918"/>
      <c r="HQD216" s="918"/>
      <c r="HQE216" s="918"/>
      <c r="HQF216" s="887"/>
      <c r="HQG216" s="887"/>
      <c r="HQK216" s="744"/>
      <c r="HQL216" s="744"/>
      <c r="HQM216" s="744"/>
      <c r="HQO216" s="746"/>
      <c r="HQQ216" s="744"/>
      <c r="HQR216" s="744"/>
      <c r="HQS216" s="744"/>
      <c r="HQT216" s="745"/>
      <c r="HQW216" s="918"/>
      <c r="HQX216" s="918"/>
      <c r="HQY216" s="918"/>
      <c r="HQZ216" s="918"/>
      <c r="HRA216" s="918"/>
      <c r="HRB216" s="918"/>
      <c r="HRC216" s="887"/>
      <c r="HRD216" s="887"/>
      <c r="HRH216" s="744"/>
      <c r="HRI216" s="744"/>
      <c r="HRJ216" s="744"/>
      <c r="HRL216" s="746"/>
      <c r="HRN216" s="744"/>
      <c r="HRO216" s="744"/>
      <c r="HRP216" s="744"/>
      <c r="HRQ216" s="745"/>
      <c r="HRT216" s="918"/>
      <c r="HRU216" s="918"/>
      <c r="HRV216" s="918"/>
      <c r="HRW216" s="918"/>
      <c r="HRX216" s="918"/>
      <c r="HRY216" s="918"/>
      <c r="HRZ216" s="887"/>
      <c r="HSA216" s="887"/>
      <c r="HSE216" s="744"/>
      <c r="HSF216" s="744"/>
      <c r="HSG216" s="744"/>
      <c r="HSI216" s="746"/>
      <c r="HSK216" s="744"/>
      <c r="HSL216" s="744"/>
      <c r="HSM216" s="744"/>
      <c r="HSN216" s="745"/>
      <c r="HSQ216" s="918"/>
      <c r="HSR216" s="918"/>
      <c r="HSS216" s="918"/>
      <c r="HST216" s="918"/>
      <c r="HSU216" s="918"/>
      <c r="HSV216" s="918"/>
      <c r="HSW216" s="887"/>
      <c r="HSX216" s="887"/>
      <c r="HTB216" s="744"/>
      <c r="HTC216" s="744"/>
      <c r="HTD216" s="744"/>
      <c r="HTF216" s="746"/>
      <c r="HTH216" s="744"/>
      <c r="HTI216" s="744"/>
      <c r="HTJ216" s="744"/>
      <c r="HTK216" s="745"/>
      <c r="HTN216" s="918"/>
      <c r="HTO216" s="918"/>
      <c r="HTP216" s="918"/>
      <c r="HTQ216" s="918"/>
      <c r="HTR216" s="918"/>
      <c r="HTS216" s="918"/>
      <c r="HTT216" s="887"/>
      <c r="HTU216" s="887"/>
      <c r="HTY216" s="744"/>
      <c r="HTZ216" s="744"/>
      <c r="HUA216" s="744"/>
      <c r="HUC216" s="746"/>
      <c r="HUE216" s="744"/>
      <c r="HUF216" s="744"/>
      <c r="HUG216" s="744"/>
      <c r="HUH216" s="745"/>
      <c r="HUK216" s="918"/>
      <c r="HUL216" s="918"/>
      <c r="HUM216" s="918"/>
      <c r="HUN216" s="918"/>
      <c r="HUO216" s="918"/>
      <c r="HUP216" s="918"/>
      <c r="HUQ216" s="887"/>
      <c r="HUR216" s="887"/>
      <c r="HUV216" s="744"/>
      <c r="HUW216" s="744"/>
      <c r="HUX216" s="744"/>
      <c r="HUZ216" s="746"/>
      <c r="HVB216" s="744"/>
      <c r="HVC216" s="744"/>
      <c r="HVD216" s="744"/>
      <c r="HVE216" s="745"/>
      <c r="HVH216" s="918"/>
      <c r="HVI216" s="918"/>
      <c r="HVJ216" s="918"/>
      <c r="HVK216" s="918"/>
      <c r="HVL216" s="918"/>
      <c r="HVM216" s="918"/>
      <c r="HVN216" s="887"/>
      <c r="HVO216" s="887"/>
      <c r="HVS216" s="744"/>
      <c r="HVT216" s="744"/>
      <c r="HVU216" s="744"/>
      <c r="HVW216" s="746"/>
      <c r="HVY216" s="744"/>
      <c r="HVZ216" s="744"/>
      <c r="HWA216" s="744"/>
      <c r="HWB216" s="745"/>
      <c r="HWE216" s="918"/>
      <c r="HWF216" s="918"/>
      <c r="HWG216" s="918"/>
      <c r="HWH216" s="918"/>
      <c r="HWI216" s="918"/>
      <c r="HWJ216" s="918"/>
      <c r="HWK216" s="887"/>
      <c r="HWL216" s="887"/>
      <c r="HWP216" s="744"/>
      <c r="HWQ216" s="744"/>
      <c r="HWR216" s="744"/>
      <c r="HWT216" s="746"/>
      <c r="HWV216" s="744"/>
      <c r="HWW216" s="744"/>
      <c r="HWX216" s="744"/>
      <c r="HWY216" s="745"/>
      <c r="HXB216" s="918"/>
      <c r="HXC216" s="918"/>
      <c r="HXD216" s="918"/>
      <c r="HXE216" s="918"/>
      <c r="HXF216" s="918"/>
      <c r="HXG216" s="918"/>
      <c r="HXH216" s="887"/>
      <c r="HXI216" s="887"/>
      <c r="HXM216" s="744"/>
      <c r="HXN216" s="744"/>
      <c r="HXO216" s="744"/>
      <c r="HXQ216" s="746"/>
      <c r="HXS216" s="744"/>
      <c r="HXT216" s="744"/>
      <c r="HXU216" s="744"/>
      <c r="HXV216" s="745"/>
      <c r="HXY216" s="918"/>
      <c r="HXZ216" s="918"/>
      <c r="HYA216" s="918"/>
      <c r="HYB216" s="918"/>
      <c r="HYC216" s="918"/>
      <c r="HYD216" s="918"/>
      <c r="HYE216" s="887"/>
      <c r="HYF216" s="887"/>
      <c r="HYJ216" s="744"/>
      <c r="HYK216" s="744"/>
      <c r="HYL216" s="744"/>
      <c r="HYN216" s="746"/>
      <c r="HYP216" s="744"/>
      <c r="HYQ216" s="744"/>
      <c r="HYR216" s="744"/>
      <c r="HYS216" s="745"/>
      <c r="HYV216" s="918"/>
      <c r="HYW216" s="918"/>
      <c r="HYX216" s="918"/>
      <c r="HYY216" s="918"/>
      <c r="HYZ216" s="918"/>
      <c r="HZA216" s="918"/>
      <c r="HZB216" s="887"/>
      <c r="HZC216" s="887"/>
      <c r="HZG216" s="744"/>
      <c r="HZH216" s="744"/>
      <c r="HZI216" s="744"/>
      <c r="HZK216" s="746"/>
      <c r="HZM216" s="744"/>
      <c r="HZN216" s="744"/>
      <c r="HZO216" s="744"/>
      <c r="HZP216" s="745"/>
      <c r="HZS216" s="918"/>
      <c r="HZT216" s="918"/>
      <c r="HZU216" s="918"/>
      <c r="HZV216" s="918"/>
      <c r="HZW216" s="918"/>
      <c r="HZX216" s="918"/>
      <c r="HZY216" s="887"/>
      <c r="HZZ216" s="887"/>
      <c r="IAD216" s="744"/>
      <c r="IAE216" s="744"/>
      <c r="IAF216" s="744"/>
      <c r="IAH216" s="746"/>
      <c r="IAJ216" s="744"/>
      <c r="IAK216" s="744"/>
      <c r="IAL216" s="744"/>
      <c r="IAM216" s="745"/>
      <c r="IAP216" s="918"/>
      <c r="IAQ216" s="918"/>
      <c r="IAR216" s="918"/>
      <c r="IAS216" s="918"/>
      <c r="IAT216" s="918"/>
      <c r="IAU216" s="918"/>
      <c r="IAV216" s="887"/>
      <c r="IAW216" s="887"/>
      <c r="IBA216" s="744"/>
      <c r="IBB216" s="744"/>
      <c r="IBC216" s="744"/>
      <c r="IBE216" s="746"/>
      <c r="IBG216" s="744"/>
      <c r="IBH216" s="744"/>
      <c r="IBI216" s="744"/>
      <c r="IBJ216" s="745"/>
      <c r="IBM216" s="918"/>
      <c r="IBN216" s="918"/>
      <c r="IBO216" s="918"/>
      <c r="IBP216" s="918"/>
      <c r="IBQ216" s="918"/>
      <c r="IBR216" s="918"/>
      <c r="IBS216" s="887"/>
      <c r="IBT216" s="887"/>
      <c r="IBX216" s="744"/>
      <c r="IBY216" s="744"/>
      <c r="IBZ216" s="744"/>
      <c r="ICB216" s="746"/>
      <c r="ICD216" s="744"/>
      <c r="ICE216" s="744"/>
      <c r="ICF216" s="744"/>
      <c r="ICG216" s="745"/>
      <c r="ICJ216" s="918"/>
      <c r="ICK216" s="918"/>
      <c r="ICL216" s="918"/>
      <c r="ICM216" s="918"/>
      <c r="ICN216" s="918"/>
      <c r="ICO216" s="918"/>
      <c r="ICP216" s="887"/>
      <c r="ICQ216" s="887"/>
      <c r="ICU216" s="744"/>
      <c r="ICV216" s="744"/>
      <c r="ICW216" s="744"/>
      <c r="ICY216" s="746"/>
      <c r="IDA216" s="744"/>
      <c r="IDB216" s="744"/>
      <c r="IDC216" s="744"/>
      <c r="IDD216" s="745"/>
      <c r="IDG216" s="918"/>
      <c r="IDH216" s="918"/>
      <c r="IDI216" s="918"/>
      <c r="IDJ216" s="918"/>
      <c r="IDK216" s="918"/>
      <c r="IDL216" s="918"/>
      <c r="IDM216" s="887"/>
      <c r="IDN216" s="887"/>
      <c r="IDR216" s="744"/>
      <c r="IDS216" s="744"/>
      <c r="IDT216" s="744"/>
      <c r="IDV216" s="746"/>
      <c r="IDX216" s="744"/>
      <c r="IDY216" s="744"/>
      <c r="IDZ216" s="744"/>
      <c r="IEA216" s="745"/>
      <c r="IED216" s="918"/>
      <c r="IEE216" s="918"/>
      <c r="IEF216" s="918"/>
      <c r="IEG216" s="918"/>
      <c r="IEH216" s="918"/>
      <c r="IEI216" s="918"/>
      <c r="IEJ216" s="887"/>
      <c r="IEK216" s="887"/>
      <c r="IEO216" s="744"/>
      <c r="IEP216" s="744"/>
      <c r="IEQ216" s="744"/>
      <c r="IES216" s="746"/>
      <c r="IEU216" s="744"/>
      <c r="IEV216" s="744"/>
      <c r="IEW216" s="744"/>
      <c r="IEX216" s="745"/>
      <c r="IFA216" s="918"/>
      <c r="IFB216" s="918"/>
      <c r="IFC216" s="918"/>
      <c r="IFD216" s="918"/>
      <c r="IFE216" s="918"/>
      <c r="IFF216" s="918"/>
      <c r="IFG216" s="887"/>
      <c r="IFH216" s="887"/>
      <c r="IFL216" s="744"/>
      <c r="IFM216" s="744"/>
      <c r="IFN216" s="744"/>
      <c r="IFP216" s="746"/>
      <c r="IFR216" s="744"/>
      <c r="IFS216" s="744"/>
      <c r="IFT216" s="744"/>
      <c r="IFU216" s="745"/>
      <c r="IFX216" s="918"/>
      <c r="IFY216" s="918"/>
      <c r="IFZ216" s="918"/>
      <c r="IGA216" s="918"/>
      <c r="IGB216" s="918"/>
      <c r="IGC216" s="918"/>
      <c r="IGD216" s="887"/>
      <c r="IGE216" s="887"/>
      <c r="IGI216" s="744"/>
      <c r="IGJ216" s="744"/>
      <c r="IGK216" s="744"/>
      <c r="IGM216" s="746"/>
      <c r="IGO216" s="744"/>
      <c r="IGP216" s="744"/>
      <c r="IGQ216" s="744"/>
      <c r="IGR216" s="745"/>
      <c r="IGU216" s="918"/>
      <c r="IGV216" s="918"/>
      <c r="IGW216" s="918"/>
      <c r="IGX216" s="918"/>
      <c r="IGY216" s="918"/>
      <c r="IGZ216" s="918"/>
      <c r="IHA216" s="887"/>
      <c r="IHB216" s="887"/>
      <c r="IHF216" s="744"/>
      <c r="IHG216" s="744"/>
      <c r="IHH216" s="744"/>
      <c r="IHJ216" s="746"/>
      <c r="IHL216" s="744"/>
      <c r="IHM216" s="744"/>
      <c r="IHN216" s="744"/>
      <c r="IHO216" s="745"/>
      <c r="IHR216" s="918"/>
      <c r="IHS216" s="918"/>
      <c r="IHT216" s="918"/>
      <c r="IHU216" s="918"/>
      <c r="IHV216" s="918"/>
      <c r="IHW216" s="918"/>
      <c r="IHX216" s="887"/>
      <c r="IHY216" s="887"/>
      <c r="IIC216" s="744"/>
      <c r="IID216" s="744"/>
      <c r="IIE216" s="744"/>
      <c r="IIG216" s="746"/>
      <c r="III216" s="744"/>
      <c r="IIJ216" s="744"/>
      <c r="IIK216" s="744"/>
      <c r="IIL216" s="745"/>
      <c r="IIO216" s="918"/>
      <c r="IIP216" s="918"/>
      <c r="IIQ216" s="918"/>
      <c r="IIR216" s="918"/>
      <c r="IIS216" s="918"/>
      <c r="IIT216" s="918"/>
      <c r="IIU216" s="887"/>
      <c r="IIV216" s="887"/>
      <c r="IIZ216" s="744"/>
      <c r="IJA216" s="744"/>
      <c r="IJB216" s="744"/>
      <c r="IJD216" s="746"/>
      <c r="IJF216" s="744"/>
      <c r="IJG216" s="744"/>
      <c r="IJH216" s="744"/>
      <c r="IJI216" s="745"/>
      <c r="IJL216" s="918"/>
      <c r="IJM216" s="918"/>
      <c r="IJN216" s="918"/>
      <c r="IJO216" s="918"/>
      <c r="IJP216" s="918"/>
      <c r="IJQ216" s="918"/>
      <c r="IJR216" s="887"/>
      <c r="IJS216" s="887"/>
      <c r="IJW216" s="744"/>
      <c r="IJX216" s="744"/>
      <c r="IJY216" s="744"/>
      <c r="IKA216" s="746"/>
      <c r="IKC216" s="744"/>
      <c r="IKD216" s="744"/>
      <c r="IKE216" s="744"/>
      <c r="IKF216" s="745"/>
      <c r="IKI216" s="918"/>
      <c r="IKJ216" s="918"/>
      <c r="IKK216" s="918"/>
      <c r="IKL216" s="918"/>
      <c r="IKM216" s="918"/>
      <c r="IKN216" s="918"/>
      <c r="IKO216" s="887"/>
      <c r="IKP216" s="887"/>
      <c r="IKT216" s="744"/>
      <c r="IKU216" s="744"/>
      <c r="IKV216" s="744"/>
      <c r="IKX216" s="746"/>
      <c r="IKZ216" s="744"/>
      <c r="ILA216" s="744"/>
      <c r="ILB216" s="744"/>
      <c r="ILC216" s="745"/>
      <c r="ILF216" s="918"/>
      <c r="ILG216" s="918"/>
      <c r="ILH216" s="918"/>
      <c r="ILI216" s="918"/>
      <c r="ILJ216" s="918"/>
      <c r="ILK216" s="918"/>
      <c r="ILL216" s="887"/>
      <c r="ILM216" s="887"/>
      <c r="ILQ216" s="744"/>
      <c r="ILR216" s="744"/>
      <c r="ILS216" s="744"/>
      <c r="ILU216" s="746"/>
      <c r="ILW216" s="744"/>
      <c r="ILX216" s="744"/>
      <c r="ILY216" s="744"/>
      <c r="ILZ216" s="745"/>
      <c r="IMC216" s="918"/>
      <c r="IMD216" s="918"/>
      <c r="IME216" s="918"/>
      <c r="IMF216" s="918"/>
      <c r="IMG216" s="918"/>
      <c r="IMH216" s="918"/>
      <c r="IMI216" s="887"/>
      <c r="IMJ216" s="887"/>
      <c r="IMN216" s="744"/>
      <c r="IMO216" s="744"/>
      <c r="IMP216" s="744"/>
      <c r="IMR216" s="746"/>
      <c r="IMT216" s="744"/>
      <c r="IMU216" s="744"/>
      <c r="IMV216" s="744"/>
      <c r="IMW216" s="745"/>
      <c r="IMZ216" s="918"/>
      <c r="INA216" s="918"/>
      <c r="INB216" s="918"/>
      <c r="INC216" s="918"/>
      <c r="IND216" s="918"/>
      <c r="INE216" s="918"/>
      <c r="INF216" s="887"/>
      <c r="ING216" s="887"/>
      <c r="INK216" s="744"/>
      <c r="INL216" s="744"/>
      <c r="INM216" s="744"/>
      <c r="INO216" s="746"/>
      <c r="INQ216" s="744"/>
      <c r="INR216" s="744"/>
      <c r="INS216" s="744"/>
      <c r="INT216" s="745"/>
      <c r="INW216" s="918"/>
      <c r="INX216" s="918"/>
      <c r="INY216" s="918"/>
      <c r="INZ216" s="918"/>
      <c r="IOA216" s="918"/>
      <c r="IOB216" s="918"/>
      <c r="IOC216" s="887"/>
      <c r="IOD216" s="887"/>
      <c r="IOH216" s="744"/>
      <c r="IOI216" s="744"/>
      <c r="IOJ216" s="744"/>
      <c r="IOL216" s="746"/>
      <c r="ION216" s="744"/>
      <c r="IOO216" s="744"/>
      <c r="IOP216" s="744"/>
      <c r="IOQ216" s="745"/>
      <c r="IOT216" s="918"/>
      <c r="IOU216" s="918"/>
      <c r="IOV216" s="918"/>
      <c r="IOW216" s="918"/>
      <c r="IOX216" s="918"/>
      <c r="IOY216" s="918"/>
      <c r="IOZ216" s="887"/>
      <c r="IPA216" s="887"/>
      <c r="IPE216" s="744"/>
      <c r="IPF216" s="744"/>
      <c r="IPG216" s="744"/>
      <c r="IPI216" s="746"/>
      <c r="IPK216" s="744"/>
      <c r="IPL216" s="744"/>
      <c r="IPM216" s="744"/>
      <c r="IPN216" s="745"/>
      <c r="IPQ216" s="918"/>
      <c r="IPR216" s="918"/>
      <c r="IPS216" s="918"/>
      <c r="IPT216" s="918"/>
      <c r="IPU216" s="918"/>
      <c r="IPV216" s="918"/>
      <c r="IPW216" s="887"/>
      <c r="IPX216" s="887"/>
      <c r="IQB216" s="744"/>
      <c r="IQC216" s="744"/>
      <c r="IQD216" s="744"/>
      <c r="IQF216" s="746"/>
      <c r="IQH216" s="744"/>
      <c r="IQI216" s="744"/>
      <c r="IQJ216" s="744"/>
      <c r="IQK216" s="745"/>
      <c r="IQN216" s="918"/>
      <c r="IQO216" s="918"/>
      <c r="IQP216" s="918"/>
      <c r="IQQ216" s="918"/>
      <c r="IQR216" s="918"/>
      <c r="IQS216" s="918"/>
      <c r="IQT216" s="887"/>
      <c r="IQU216" s="887"/>
      <c r="IQY216" s="744"/>
      <c r="IQZ216" s="744"/>
      <c r="IRA216" s="744"/>
      <c r="IRC216" s="746"/>
      <c r="IRE216" s="744"/>
      <c r="IRF216" s="744"/>
      <c r="IRG216" s="744"/>
      <c r="IRH216" s="745"/>
      <c r="IRK216" s="918"/>
      <c r="IRL216" s="918"/>
      <c r="IRM216" s="918"/>
      <c r="IRN216" s="918"/>
      <c r="IRO216" s="918"/>
      <c r="IRP216" s="918"/>
      <c r="IRQ216" s="887"/>
      <c r="IRR216" s="887"/>
      <c r="IRV216" s="744"/>
      <c r="IRW216" s="744"/>
      <c r="IRX216" s="744"/>
      <c r="IRZ216" s="746"/>
      <c r="ISB216" s="744"/>
      <c r="ISC216" s="744"/>
      <c r="ISD216" s="744"/>
      <c r="ISE216" s="745"/>
      <c r="ISH216" s="918"/>
      <c r="ISI216" s="918"/>
      <c r="ISJ216" s="918"/>
      <c r="ISK216" s="918"/>
      <c r="ISL216" s="918"/>
      <c r="ISM216" s="918"/>
      <c r="ISN216" s="887"/>
      <c r="ISO216" s="887"/>
      <c r="ISS216" s="744"/>
      <c r="IST216" s="744"/>
      <c r="ISU216" s="744"/>
      <c r="ISW216" s="746"/>
      <c r="ISY216" s="744"/>
      <c r="ISZ216" s="744"/>
      <c r="ITA216" s="744"/>
      <c r="ITB216" s="745"/>
      <c r="ITE216" s="918"/>
      <c r="ITF216" s="918"/>
      <c r="ITG216" s="918"/>
      <c r="ITH216" s="918"/>
      <c r="ITI216" s="918"/>
      <c r="ITJ216" s="918"/>
      <c r="ITK216" s="887"/>
      <c r="ITL216" s="887"/>
      <c r="ITP216" s="744"/>
      <c r="ITQ216" s="744"/>
      <c r="ITR216" s="744"/>
      <c r="ITT216" s="746"/>
      <c r="ITV216" s="744"/>
      <c r="ITW216" s="744"/>
      <c r="ITX216" s="744"/>
      <c r="ITY216" s="745"/>
      <c r="IUB216" s="918"/>
      <c r="IUC216" s="918"/>
      <c r="IUD216" s="918"/>
      <c r="IUE216" s="918"/>
      <c r="IUF216" s="918"/>
      <c r="IUG216" s="918"/>
      <c r="IUH216" s="887"/>
      <c r="IUI216" s="887"/>
      <c r="IUM216" s="744"/>
      <c r="IUN216" s="744"/>
      <c r="IUO216" s="744"/>
      <c r="IUQ216" s="746"/>
      <c r="IUS216" s="744"/>
      <c r="IUT216" s="744"/>
      <c r="IUU216" s="744"/>
      <c r="IUV216" s="745"/>
      <c r="IUY216" s="918"/>
      <c r="IUZ216" s="918"/>
      <c r="IVA216" s="918"/>
      <c r="IVB216" s="918"/>
      <c r="IVC216" s="918"/>
      <c r="IVD216" s="918"/>
      <c r="IVE216" s="887"/>
      <c r="IVF216" s="887"/>
      <c r="IVJ216" s="744"/>
      <c r="IVK216" s="744"/>
      <c r="IVL216" s="744"/>
      <c r="IVN216" s="746"/>
      <c r="IVP216" s="744"/>
      <c r="IVQ216" s="744"/>
      <c r="IVR216" s="744"/>
      <c r="IVS216" s="745"/>
      <c r="IVV216" s="918"/>
      <c r="IVW216" s="918"/>
      <c r="IVX216" s="918"/>
      <c r="IVY216" s="918"/>
      <c r="IVZ216" s="918"/>
      <c r="IWA216" s="918"/>
      <c r="IWB216" s="887"/>
      <c r="IWC216" s="887"/>
      <c r="IWG216" s="744"/>
      <c r="IWH216" s="744"/>
      <c r="IWI216" s="744"/>
      <c r="IWK216" s="746"/>
      <c r="IWM216" s="744"/>
      <c r="IWN216" s="744"/>
      <c r="IWO216" s="744"/>
      <c r="IWP216" s="745"/>
      <c r="IWS216" s="918"/>
      <c r="IWT216" s="918"/>
      <c r="IWU216" s="918"/>
      <c r="IWV216" s="918"/>
      <c r="IWW216" s="918"/>
      <c r="IWX216" s="918"/>
      <c r="IWY216" s="887"/>
      <c r="IWZ216" s="887"/>
      <c r="IXD216" s="744"/>
      <c r="IXE216" s="744"/>
      <c r="IXF216" s="744"/>
      <c r="IXH216" s="746"/>
      <c r="IXJ216" s="744"/>
      <c r="IXK216" s="744"/>
      <c r="IXL216" s="744"/>
      <c r="IXM216" s="745"/>
      <c r="IXP216" s="918"/>
      <c r="IXQ216" s="918"/>
      <c r="IXR216" s="918"/>
      <c r="IXS216" s="918"/>
      <c r="IXT216" s="918"/>
      <c r="IXU216" s="918"/>
      <c r="IXV216" s="887"/>
      <c r="IXW216" s="887"/>
      <c r="IYA216" s="744"/>
      <c r="IYB216" s="744"/>
      <c r="IYC216" s="744"/>
      <c r="IYE216" s="746"/>
      <c r="IYG216" s="744"/>
      <c r="IYH216" s="744"/>
      <c r="IYI216" s="744"/>
      <c r="IYJ216" s="745"/>
      <c r="IYM216" s="918"/>
      <c r="IYN216" s="918"/>
      <c r="IYO216" s="918"/>
      <c r="IYP216" s="918"/>
      <c r="IYQ216" s="918"/>
      <c r="IYR216" s="918"/>
      <c r="IYS216" s="887"/>
      <c r="IYT216" s="887"/>
      <c r="IYX216" s="744"/>
      <c r="IYY216" s="744"/>
      <c r="IYZ216" s="744"/>
      <c r="IZB216" s="746"/>
      <c r="IZD216" s="744"/>
      <c r="IZE216" s="744"/>
      <c r="IZF216" s="744"/>
      <c r="IZG216" s="745"/>
      <c r="IZJ216" s="918"/>
      <c r="IZK216" s="918"/>
      <c r="IZL216" s="918"/>
      <c r="IZM216" s="918"/>
      <c r="IZN216" s="918"/>
      <c r="IZO216" s="918"/>
      <c r="IZP216" s="887"/>
      <c r="IZQ216" s="887"/>
      <c r="IZU216" s="744"/>
      <c r="IZV216" s="744"/>
      <c r="IZW216" s="744"/>
      <c r="IZY216" s="746"/>
      <c r="JAA216" s="744"/>
      <c r="JAB216" s="744"/>
      <c r="JAC216" s="744"/>
      <c r="JAD216" s="745"/>
      <c r="JAG216" s="918"/>
      <c r="JAH216" s="918"/>
      <c r="JAI216" s="918"/>
      <c r="JAJ216" s="918"/>
      <c r="JAK216" s="918"/>
      <c r="JAL216" s="918"/>
      <c r="JAM216" s="887"/>
      <c r="JAN216" s="887"/>
      <c r="JAR216" s="744"/>
      <c r="JAS216" s="744"/>
      <c r="JAT216" s="744"/>
      <c r="JAV216" s="746"/>
      <c r="JAX216" s="744"/>
      <c r="JAY216" s="744"/>
      <c r="JAZ216" s="744"/>
      <c r="JBA216" s="745"/>
      <c r="JBD216" s="918"/>
      <c r="JBE216" s="918"/>
      <c r="JBF216" s="918"/>
      <c r="JBG216" s="918"/>
      <c r="JBH216" s="918"/>
      <c r="JBI216" s="918"/>
      <c r="JBJ216" s="887"/>
      <c r="JBK216" s="887"/>
      <c r="JBO216" s="744"/>
      <c r="JBP216" s="744"/>
      <c r="JBQ216" s="744"/>
      <c r="JBS216" s="746"/>
      <c r="JBU216" s="744"/>
      <c r="JBV216" s="744"/>
      <c r="JBW216" s="744"/>
      <c r="JBX216" s="745"/>
      <c r="JCA216" s="918"/>
      <c r="JCB216" s="918"/>
      <c r="JCC216" s="918"/>
      <c r="JCD216" s="918"/>
      <c r="JCE216" s="918"/>
      <c r="JCF216" s="918"/>
      <c r="JCG216" s="887"/>
      <c r="JCH216" s="887"/>
      <c r="JCL216" s="744"/>
      <c r="JCM216" s="744"/>
      <c r="JCN216" s="744"/>
      <c r="JCP216" s="746"/>
      <c r="JCR216" s="744"/>
      <c r="JCS216" s="744"/>
      <c r="JCT216" s="744"/>
      <c r="JCU216" s="745"/>
      <c r="JCX216" s="918"/>
      <c r="JCY216" s="918"/>
      <c r="JCZ216" s="918"/>
      <c r="JDA216" s="918"/>
      <c r="JDB216" s="918"/>
      <c r="JDC216" s="918"/>
      <c r="JDD216" s="887"/>
      <c r="JDE216" s="887"/>
      <c r="JDI216" s="744"/>
      <c r="JDJ216" s="744"/>
      <c r="JDK216" s="744"/>
      <c r="JDM216" s="746"/>
      <c r="JDO216" s="744"/>
      <c r="JDP216" s="744"/>
      <c r="JDQ216" s="744"/>
      <c r="JDR216" s="745"/>
      <c r="JDU216" s="918"/>
      <c r="JDV216" s="918"/>
      <c r="JDW216" s="918"/>
      <c r="JDX216" s="918"/>
      <c r="JDY216" s="918"/>
      <c r="JDZ216" s="918"/>
      <c r="JEA216" s="887"/>
      <c r="JEB216" s="887"/>
      <c r="JEF216" s="744"/>
      <c r="JEG216" s="744"/>
      <c r="JEH216" s="744"/>
      <c r="JEJ216" s="746"/>
      <c r="JEL216" s="744"/>
      <c r="JEM216" s="744"/>
      <c r="JEN216" s="744"/>
      <c r="JEO216" s="745"/>
      <c r="JER216" s="918"/>
      <c r="JES216" s="918"/>
      <c r="JET216" s="918"/>
      <c r="JEU216" s="918"/>
      <c r="JEV216" s="918"/>
      <c r="JEW216" s="918"/>
      <c r="JEX216" s="887"/>
      <c r="JEY216" s="887"/>
      <c r="JFC216" s="744"/>
      <c r="JFD216" s="744"/>
      <c r="JFE216" s="744"/>
      <c r="JFG216" s="746"/>
      <c r="JFI216" s="744"/>
      <c r="JFJ216" s="744"/>
      <c r="JFK216" s="744"/>
      <c r="JFL216" s="745"/>
      <c r="JFO216" s="918"/>
      <c r="JFP216" s="918"/>
      <c r="JFQ216" s="918"/>
      <c r="JFR216" s="918"/>
      <c r="JFS216" s="918"/>
      <c r="JFT216" s="918"/>
      <c r="JFU216" s="887"/>
      <c r="JFV216" s="887"/>
      <c r="JFZ216" s="744"/>
      <c r="JGA216" s="744"/>
      <c r="JGB216" s="744"/>
      <c r="JGD216" s="746"/>
      <c r="JGF216" s="744"/>
      <c r="JGG216" s="744"/>
      <c r="JGH216" s="744"/>
      <c r="JGI216" s="745"/>
      <c r="JGL216" s="918"/>
      <c r="JGM216" s="918"/>
      <c r="JGN216" s="918"/>
      <c r="JGO216" s="918"/>
      <c r="JGP216" s="918"/>
      <c r="JGQ216" s="918"/>
      <c r="JGR216" s="887"/>
      <c r="JGS216" s="887"/>
      <c r="JGW216" s="744"/>
      <c r="JGX216" s="744"/>
      <c r="JGY216" s="744"/>
      <c r="JHA216" s="746"/>
      <c r="JHC216" s="744"/>
      <c r="JHD216" s="744"/>
      <c r="JHE216" s="744"/>
      <c r="JHF216" s="745"/>
      <c r="JHI216" s="918"/>
      <c r="JHJ216" s="918"/>
      <c r="JHK216" s="918"/>
      <c r="JHL216" s="918"/>
      <c r="JHM216" s="918"/>
      <c r="JHN216" s="918"/>
      <c r="JHO216" s="887"/>
      <c r="JHP216" s="887"/>
      <c r="JHT216" s="744"/>
      <c r="JHU216" s="744"/>
      <c r="JHV216" s="744"/>
      <c r="JHX216" s="746"/>
      <c r="JHZ216" s="744"/>
      <c r="JIA216" s="744"/>
      <c r="JIB216" s="744"/>
      <c r="JIC216" s="745"/>
      <c r="JIF216" s="918"/>
      <c r="JIG216" s="918"/>
      <c r="JIH216" s="918"/>
      <c r="JII216" s="918"/>
      <c r="JIJ216" s="918"/>
      <c r="JIK216" s="918"/>
      <c r="JIL216" s="887"/>
      <c r="JIM216" s="887"/>
      <c r="JIQ216" s="744"/>
      <c r="JIR216" s="744"/>
      <c r="JIS216" s="744"/>
      <c r="JIU216" s="746"/>
      <c r="JIW216" s="744"/>
      <c r="JIX216" s="744"/>
      <c r="JIY216" s="744"/>
      <c r="JIZ216" s="745"/>
      <c r="JJC216" s="918"/>
      <c r="JJD216" s="918"/>
      <c r="JJE216" s="918"/>
      <c r="JJF216" s="918"/>
      <c r="JJG216" s="918"/>
      <c r="JJH216" s="918"/>
      <c r="JJI216" s="887"/>
      <c r="JJJ216" s="887"/>
      <c r="JJN216" s="744"/>
      <c r="JJO216" s="744"/>
      <c r="JJP216" s="744"/>
      <c r="JJR216" s="746"/>
      <c r="JJT216" s="744"/>
      <c r="JJU216" s="744"/>
      <c r="JJV216" s="744"/>
      <c r="JJW216" s="745"/>
      <c r="JJZ216" s="918"/>
      <c r="JKA216" s="918"/>
      <c r="JKB216" s="918"/>
      <c r="JKC216" s="918"/>
      <c r="JKD216" s="918"/>
      <c r="JKE216" s="918"/>
      <c r="JKF216" s="887"/>
      <c r="JKG216" s="887"/>
      <c r="JKK216" s="744"/>
      <c r="JKL216" s="744"/>
      <c r="JKM216" s="744"/>
      <c r="JKO216" s="746"/>
      <c r="JKQ216" s="744"/>
      <c r="JKR216" s="744"/>
      <c r="JKS216" s="744"/>
      <c r="JKT216" s="745"/>
      <c r="JKW216" s="918"/>
      <c r="JKX216" s="918"/>
      <c r="JKY216" s="918"/>
      <c r="JKZ216" s="918"/>
      <c r="JLA216" s="918"/>
      <c r="JLB216" s="918"/>
      <c r="JLC216" s="887"/>
      <c r="JLD216" s="887"/>
      <c r="JLH216" s="744"/>
      <c r="JLI216" s="744"/>
      <c r="JLJ216" s="744"/>
      <c r="JLL216" s="746"/>
      <c r="JLN216" s="744"/>
      <c r="JLO216" s="744"/>
      <c r="JLP216" s="744"/>
      <c r="JLQ216" s="745"/>
      <c r="JLT216" s="918"/>
      <c r="JLU216" s="918"/>
      <c r="JLV216" s="918"/>
      <c r="JLW216" s="918"/>
      <c r="JLX216" s="918"/>
      <c r="JLY216" s="918"/>
      <c r="JLZ216" s="887"/>
      <c r="JMA216" s="887"/>
      <c r="JME216" s="744"/>
      <c r="JMF216" s="744"/>
      <c r="JMG216" s="744"/>
      <c r="JMI216" s="746"/>
      <c r="JMK216" s="744"/>
      <c r="JML216" s="744"/>
      <c r="JMM216" s="744"/>
      <c r="JMN216" s="745"/>
      <c r="JMQ216" s="918"/>
      <c r="JMR216" s="918"/>
      <c r="JMS216" s="918"/>
      <c r="JMT216" s="918"/>
      <c r="JMU216" s="918"/>
      <c r="JMV216" s="918"/>
      <c r="JMW216" s="887"/>
      <c r="JMX216" s="887"/>
      <c r="JNB216" s="744"/>
      <c r="JNC216" s="744"/>
      <c r="JND216" s="744"/>
      <c r="JNF216" s="746"/>
      <c r="JNH216" s="744"/>
      <c r="JNI216" s="744"/>
      <c r="JNJ216" s="744"/>
      <c r="JNK216" s="745"/>
      <c r="JNN216" s="918"/>
      <c r="JNO216" s="918"/>
      <c r="JNP216" s="918"/>
      <c r="JNQ216" s="918"/>
      <c r="JNR216" s="918"/>
      <c r="JNS216" s="918"/>
      <c r="JNT216" s="887"/>
      <c r="JNU216" s="887"/>
      <c r="JNY216" s="744"/>
      <c r="JNZ216" s="744"/>
      <c r="JOA216" s="744"/>
      <c r="JOC216" s="746"/>
      <c r="JOE216" s="744"/>
      <c r="JOF216" s="744"/>
      <c r="JOG216" s="744"/>
      <c r="JOH216" s="745"/>
      <c r="JOK216" s="918"/>
      <c r="JOL216" s="918"/>
      <c r="JOM216" s="918"/>
      <c r="JON216" s="918"/>
      <c r="JOO216" s="918"/>
      <c r="JOP216" s="918"/>
      <c r="JOQ216" s="887"/>
      <c r="JOR216" s="887"/>
      <c r="JOV216" s="744"/>
      <c r="JOW216" s="744"/>
      <c r="JOX216" s="744"/>
      <c r="JOZ216" s="746"/>
      <c r="JPB216" s="744"/>
      <c r="JPC216" s="744"/>
      <c r="JPD216" s="744"/>
      <c r="JPE216" s="745"/>
      <c r="JPH216" s="918"/>
      <c r="JPI216" s="918"/>
      <c r="JPJ216" s="918"/>
      <c r="JPK216" s="918"/>
      <c r="JPL216" s="918"/>
      <c r="JPM216" s="918"/>
      <c r="JPN216" s="887"/>
      <c r="JPO216" s="887"/>
      <c r="JPS216" s="744"/>
      <c r="JPT216" s="744"/>
      <c r="JPU216" s="744"/>
      <c r="JPW216" s="746"/>
      <c r="JPY216" s="744"/>
      <c r="JPZ216" s="744"/>
      <c r="JQA216" s="744"/>
      <c r="JQB216" s="745"/>
      <c r="JQE216" s="918"/>
      <c r="JQF216" s="918"/>
      <c r="JQG216" s="918"/>
      <c r="JQH216" s="918"/>
      <c r="JQI216" s="918"/>
      <c r="JQJ216" s="918"/>
      <c r="JQK216" s="887"/>
      <c r="JQL216" s="887"/>
      <c r="JQP216" s="744"/>
      <c r="JQQ216" s="744"/>
      <c r="JQR216" s="744"/>
      <c r="JQT216" s="746"/>
      <c r="JQV216" s="744"/>
      <c r="JQW216" s="744"/>
      <c r="JQX216" s="744"/>
      <c r="JQY216" s="745"/>
      <c r="JRB216" s="918"/>
      <c r="JRC216" s="918"/>
      <c r="JRD216" s="918"/>
      <c r="JRE216" s="918"/>
      <c r="JRF216" s="918"/>
      <c r="JRG216" s="918"/>
      <c r="JRH216" s="887"/>
      <c r="JRI216" s="887"/>
      <c r="JRM216" s="744"/>
      <c r="JRN216" s="744"/>
      <c r="JRO216" s="744"/>
      <c r="JRQ216" s="746"/>
      <c r="JRS216" s="744"/>
      <c r="JRT216" s="744"/>
      <c r="JRU216" s="744"/>
      <c r="JRV216" s="745"/>
      <c r="JRY216" s="918"/>
      <c r="JRZ216" s="918"/>
      <c r="JSA216" s="918"/>
      <c r="JSB216" s="918"/>
      <c r="JSC216" s="918"/>
      <c r="JSD216" s="918"/>
      <c r="JSE216" s="887"/>
      <c r="JSF216" s="887"/>
      <c r="JSJ216" s="744"/>
      <c r="JSK216" s="744"/>
      <c r="JSL216" s="744"/>
      <c r="JSN216" s="746"/>
      <c r="JSP216" s="744"/>
      <c r="JSQ216" s="744"/>
      <c r="JSR216" s="744"/>
      <c r="JSS216" s="745"/>
      <c r="JSV216" s="918"/>
      <c r="JSW216" s="918"/>
      <c r="JSX216" s="918"/>
      <c r="JSY216" s="918"/>
      <c r="JSZ216" s="918"/>
      <c r="JTA216" s="918"/>
      <c r="JTB216" s="887"/>
      <c r="JTC216" s="887"/>
      <c r="JTG216" s="744"/>
      <c r="JTH216" s="744"/>
      <c r="JTI216" s="744"/>
      <c r="JTK216" s="746"/>
      <c r="JTM216" s="744"/>
      <c r="JTN216" s="744"/>
      <c r="JTO216" s="744"/>
      <c r="JTP216" s="745"/>
      <c r="JTS216" s="918"/>
      <c r="JTT216" s="918"/>
      <c r="JTU216" s="918"/>
      <c r="JTV216" s="918"/>
      <c r="JTW216" s="918"/>
      <c r="JTX216" s="918"/>
      <c r="JTY216" s="887"/>
      <c r="JTZ216" s="887"/>
      <c r="JUD216" s="744"/>
      <c r="JUE216" s="744"/>
      <c r="JUF216" s="744"/>
      <c r="JUH216" s="746"/>
      <c r="JUJ216" s="744"/>
      <c r="JUK216" s="744"/>
      <c r="JUL216" s="744"/>
      <c r="JUM216" s="745"/>
      <c r="JUP216" s="918"/>
      <c r="JUQ216" s="918"/>
      <c r="JUR216" s="918"/>
      <c r="JUS216" s="918"/>
      <c r="JUT216" s="918"/>
      <c r="JUU216" s="918"/>
      <c r="JUV216" s="887"/>
      <c r="JUW216" s="887"/>
      <c r="JVA216" s="744"/>
      <c r="JVB216" s="744"/>
      <c r="JVC216" s="744"/>
      <c r="JVE216" s="746"/>
      <c r="JVG216" s="744"/>
      <c r="JVH216" s="744"/>
      <c r="JVI216" s="744"/>
      <c r="JVJ216" s="745"/>
      <c r="JVM216" s="918"/>
      <c r="JVN216" s="918"/>
      <c r="JVO216" s="918"/>
      <c r="JVP216" s="918"/>
      <c r="JVQ216" s="918"/>
      <c r="JVR216" s="918"/>
      <c r="JVS216" s="887"/>
      <c r="JVT216" s="887"/>
      <c r="JVX216" s="744"/>
      <c r="JVY216" s="744"/>
      <c r="JVZ216" s="744"/>
      <c r="JWB216" s="746"/>
      <c r="JWD216" s="744"/>
      <c r="JWE216" s="744"/>
      <c r="JWF216" s="744"/>
      <c r="JWG216" s="745"/>
      <c r="JWJ216" s="918"/>
      <c r="JWK216" s="918"/>
      <c r="JWL216" s="918"/>
      <c r="JWM216" s="918"/>
      <c r="JWN216" s="918"/>
      <c r="JWO216" s="918"/>
      <c r="JWP216" s="887"/>
      <c r="JWQ216" s="887"/>
      <c r="JWU216" s="744"/>
      <c r="JWV216" s="744"/>
      <c r="JWW216" s="744"/>
      <c r="JWY216" s="746"/>
      <c r="JXA216" s="744"/>
      <c r="JXB216" s="744"/>
      <c r="JXC216" s="744"/>
      <c r="JXD216" s="745"/>
      <c r="JXG216" s="918"/>
      <c r="JXH216" s="918"/>
      <c r="JXI216" s="918"/>
      <c r="JXJ216" s="918"/>
      <c r="JXK216" s="918"/>
      <c r="JXL216" s="918"/>
      <c r="JXM216" s="887"/>
      <c r="JXN216" s="887"/>
      <c r="JXR216" s="744"/>
      <c r="JXS216" s="744"/>
      <c r="JXT216" s="744"/>
      <c r="JXV216" s="746"/>
      <c r="JXX216" s="744"/>
      <c r="JXY216" s="744"/>
      <c r="JXZ216" s="744"/>
      <c r="JYA216" s="745"/>
      <c r="JYD216" s="918"/>
      <c r="JYE216" s="918"/>
      <c r="JYF216" s="918"/>
      <c r="JYG216" s="918"/>
      <c r="JYH216" s="918"/>
      <c r="JYI216" s="918"/>
      <c r="JYJ216" s="887"/>
      <c r="JYK216" s="887"/>
      <c r="JYO216" s="744"/>
      <c r="JYP216" s="744"/>
      <c r="JYQ216" s="744"/>
      <c r="JYS216" s="746"/>
      <c r="JYU216" s="744"/>
      <c r="JYV216" s="744"/>
      <c r="JYW216" s="744"/>
      <c r="JYX216" s="745"/>
      <c r="JZA216" s="918"/>
      <c r="JZB216" s="918"/>
      <c r="JZC216" s="918"/>
      <c r="JZD216" s="918"/>
      <c r="JZE216" s="918"/>
      <c r="JZF216" s="918"/>
      <c r="JZG216" s="887"/>
      <c r="JZH216" s="887"/>
      <c r="JZL216" s="744"/>
      <c r="JZM216" s="744"/>
      <c r="JZN216" s="744"/>
      <c r="JZP216" s="746"/>
      <c r="JZR216" s="744"/>
      <c r="JZS216" s="744"/>
      <c r="JZT216" s="744"/>
      <c r="JZU216" s="745"/>
      <c r="JZX216" s="918"/>
      <c r="JZY216" s="918"/>
      <c r="JZZ216" s="918"/>
      <c r="KAA216" s="918"/>
      <c r="KAB216" s="918"/>
      <c r="KAC216" s="918"/>
      <c r="KAD216" s="887"/>
      <c r="KAE216" s="887"/>
      <c r="KAI216" s="744"/>
      <c r="KAJ216" s="744"/>
      <c r="KAK216" s="744"/>
      <c r="KAM216" s="746"/>
      <c r="KAO216" s="744"/>
      <c r="KAP216" s="744"/>
      <c r="KAQ216" s="744"/>
      <c r="KAR216" s="745"/>
      <c r="KAU216" s="918"/>
      <c r="KAV216" s="918"/>
      <c r="KAW216" s="918"/>
      <c r="KAX216" s="918"/>
      <c r="KAY216" s="918"/>
      <c r="KAZ216" s="918"/>
      <c r="KBA216" s="887"/>
      <c r="KBB216" s="887"/>
      <c r="KBF216" s="744"/>
      <c r="KBG216" s="744"/>
      <c r="KBH216" s="744"/>
      <c r="KBJ216" s="746"/>
      <c r="KBL216" s="744"/>
      <c r="KBM216" s="744"/>
      <c r="KBN216" s="744"/>
      <c r="KBO216" s="745"/>
      <c r="KBR216" s="918"/>
      <c r="KBS216" s="918"/>
      <c r="KBT216" s="918"/>
      <c r="KBU216" s="918"/>
      <c r="KBV216" s="918"/>
      <c r="KBW216" s="918"/>
      <c r="KBX216" s="887"/>
      <c r="KBY216" s="887"/>
      <c r="KCC216" s="744"/>
      <c r="KCD216" s="744"/>
      <c r="KCE216" s="744"/>
      <c r="KCG216" s="746"/>
      <c r="KCI216" s="744"/>
      <c r="KCJ216" s="744"/>
      <c r="KCK216" s="744"/>
      <c r="KCL216" s="745"/>
      <c r="KCO216" s="918"/>
      <c r="KCP216" s="918"/>
      <c r="KCQ216" s="918"/>
      <c r="KCR216" s="918"/>
      <c r="KCS216" s="918"/>
      <c r="KCT216" s="918"/>
      <c r="KCU216" s="887"/>
      <c r="KCV216" s="887"/>
      <c r="KCZ216" s="744"/>
      <c r="KDA216" s="744"/>
      <c r="KDB216" s="744"/>
      <c r="KDD216" s="746"/>
      <c r="KDF216" s="744"/>
      <c r="KDG216" s="744"/>
      <c r="KDH216" s="744"/>
      <c r="KDI216" s="745"/>
      <c r="KDL216" s="918"/>
      <c r="KDM216" s="918"/>
      <c r="KDN216" s="918"/>
      <c r="KDO216" s="918"/>
      <c r="KDP216" s="918"/>
      <c r="KDQ216" s="918"/>
      <c r="KDR216" s="887"/>
      <c r="KDS216" s="887"/>
      <c r="KDW216" s="744"/>
      <c r="KDX216" s="744"/>
      <c r="KDY216" s="744"/>
      <c r="KEA216" s="746"/>
      <c r="KEC216" s="744"/>
      <c r="KED216" s="744"/>
      <c r="KEE216" s="744"/>
      <c r="KEF216" s="745"/>
      <c r="KEI216" s="918"/>
      <c r="KEJ216" s="918"/>
      <c r="KEK216" s="918"/>
      <c r="KEL216" s="918"/>
      <c r="KEM216" s="918"/>
      <c r="KEN216" s="918"/>
      <c r="KEO216" s="887"/>
      <c r="KEP216" s="887"/>
      <c r="KET216" s="744"/>
      <c r="KEU216" s="744"/>
      <c r="KEV216" s="744"/>
      <c r="KEX216" s="746"/>
      <c r="KEZ216" s="744"/>
      <c r="KFA216" s="744"/>
      <c r="KFB216" s="744"/>
      <c r="KFC216" s="745"/>
      <c r="KFF216" s="918"/>
      <c r="KFG216" s="918"/>
      <c r="KFH216" s="918"/>
      <c r="KFI216" s="918"/>
      <c r="KFJ216" s="918"/>
      <c r="KFK216" s="918"/>
      <c r="KFL216" s="887"/>
      <c r="KFM216" s="887"/>
      <c r="KFQ216" s="744"/>
      <c r="KFR216" s="744"/>
      <c r="KFS216" s="744"/>
      <c r="KFU216" s="746"/>
      <c r="KFW216" s="744"/>
      <c r="KFX216" s="744"/>
      <c r="KFY216" s="744"/>
      <c r="KFZ216" s="745"/>
      <c r="KGC216" s="918"/>
      <c r="KGD216" s="918"/>
      <c r="KGE216" s="918"/>
      <c r="KGF216" s="918"/>
      <c r="KGG216" s="918"/>
      <c r="KGH216" s="918"/>
      <c r="KGI216" s="887"/>
      <c r="KGJ216" s="887"/>
      <c r="KGN216" s="744"/>
      <c r="KGO216" s="744"/>
      <c r="KGP216" s="744"/>
      <c r="KGR216" s="746"/>
      <c r="KGT216" s="744"/>
      <c r="KGU216" s="744"/>
      <c r="KGV216" s="744"/>
      <c r="KGW216" s="745"/>
      <c r="KGZ216" s="918"/>
      <c r="KHA216" s="918"/>
      <c r="KHB216" s="918"/>
      <c r="KHC216" s="918"/>
      <c r="KHD216" s="918"/>
      <c r="KHE216" s="918"/>
      <c r="KHF216" s="887"/>
      <c r="KHG216" s="887"/>
      <c r="KHK216" s="744"/>
      <c r="KHL216" s="744"/>
      <c r="KHM216" s="744"/>
      <c r="KHO216" s="746"/>
      <c r="KHQ216" s="744"/>
      <c r="KHR216" s="744"/>
      <c r="KHS216" s="744"/>
      <c r="KHT216" s="745"/>
      <c r="KHW216" s="918"/>
      <c r="KHX216" s="918"/>
      <c r="KHY216" s="918"/>
      <c r="KHZ216" s="918"/>
      <c r="KIA216" s="918"/>
      <c r="KIB216" s="918"/>
      <c r="KIC216" s="887"/>
      <c r="KID216" s="887"/>
      <c r="KIH216" s="744"/>
      <c r="KII216" s="744"/>
      <c r="KIJ216" s="744"/>
      <c r="KIL216" s="746"/>
      <c r="KIN216" s="744"/>
      <c r="KIO216" s="744"/>
      <c r="KIP216" s="744"/>
      <c r="KIQ216" s="745"/>
      <c r="KIT216" s="918"/>
      <c r="KIU216" s="918"/>
      <c r="KIV216" s="918"/>
      <c r="KIW216" s="918"/>
      <c r="KIX216" s="918"/>
      <c r="KIY216" s="918"/>
      <c r="KIZ216" s="887"/>
      <c r="KJA216" s="887"/>
      <c r="KJE216" s="744"/>
      <c r="KJF216" s="744"/>
      <c r="KJG216" s="744"/>
      <c r="KJI216" s="746"/>
      <c r="KJK216" s="744"/>
      <c r="KJL216" s="744"/>
      <c r="KJM216" s="744"/>
      <c r="KJN216" s="745"/>
      <c r="KJQ216" s="918"/>
      <c r="KJR216" s="918"/>
      <c r="KJS216" s="918"/>
      <c r="KJT216" s="918"/>
      <c r="KJU216" s="918"/>
      <c r="KJV216" s="918"/>
      <c r="KJW216" s="887"/>
      <c r="KJX216" s="887"/>
      <c r="KKB216" s="744"/>
      <c r="KKC216" s="744"/>
      <c r="KKD216" s="744"/>
      <c r="KKF216" s="746"/>
      <c r="KKH216" s="744"/>
      <c r="KKI216" s="744"/>
      <c r="KKJ216" s="744"/>
      <c r="KKK216" s="745"/>
      <c r="KKN216" s="918"/>
      <c r="KKO216" s="918"/>
      <c r="KKP216" s="918"/>
      <c r="KKQ216" s="918"/>
      <c r="KKR216" s="918"/>
      <c r="KKS216" s="918"/>
      <c r="KKT216" s="887"/>
      <c r="KKU216" s="887"/>
      <c r="KKY216" s="744"/>
      <c r="KKZ216" s="744"/>
      <c r="KLA216" s="744"/>
      <c r="KLC216" s="746"/>
      <c r="KLE216" s="744"/>
      <c r="KLF216" s="744"/>
      <c r="KLG216" s="744"/>
      <c r="KLH216" s="745"/>
      <c r="KLK216" s="918"/>
      <c r="KLL216" s="918"/>
      <c r="KLM216" s="918"/>
      <c r="KLN216" s="918"/>
      <c r="KLO216" s="918"/>
      <c r="KLP216" s="918"/>
      <c r="KLQ216" s="887"/>
      <c r="KLR216" s="887"/>
      <c r="KLV216" s="744"/>
      <c r="KLW216" s="744"/>
      <c r="KLX216" s="744"/>
      <c r="KLZ216" s="746"/>
      <c r="KMB216" s="744"/>
      <c r="KMC216" s="744"/>
      <c r="KMD216" s="744"/>
      <c r="KME216" s="745"/>
      <c r="KMH216" s="918"/>
      <c r="KMI216" s="918"/>
      <c r="KMJ216" s="918"/>
      <c r="KMK216" s="918"/>
      <c r="KML216" s="918"/>
      <c r="KMM216" s="918"/>
      <c r="KMN216" s="887"/>
      <c r="KMO216" s="887"/>
      <c r="KMS216" s="744"/>
      <c r="KMT216" s="744"/>
      <c r="KMU216" s="744"/>
      <c r="KMW216" s="746"/>
      <c r="KMY216" s="744"/>
      <c r="KMZ216" s="744"/>
      <c r="KNA216" s="744"/>
      <c r="KNB216" s="745"/>
      <c r="KNE216" s="918"/>
      <c r="KNF216" s="918"/>
      <c r="KNG216" s="918"/>
      <c r="KNH216" s="918"/>
      <c r="KNI216" s="918"/>
      <c r="KNJ216" s="918"/>
      <c r="KNK216" s="887"/>
      <c r="KNL216" s="887"/>
      <c r="KNP216" s="744"/>
      <c r="KNQ216" s="744"/>
      <c r="KNR216" s="744"/>
      <c r="KNT216" s="746"/>
      <c r="KNV216" s="744"/>
      <c r="KNW216" s="744"/>
      <c r="KNX216" s="744"/>
      <c r="KNY216" s="745"/>
      <c r="KOB216" s="918"/>
      <c r="KOC216" s="918"/>
      <c r="KOD216" s="918"/>
      <c r="KOE216" s="918"/>
      <c r="KOF216" s="918"/>
      <c r="KOG216" s="918"/>
      <c r="KOH216" s="887"/>
      <c r="KOI216" s="887"/>
      <c r="KOM216" s="744"/>
      <c r="KON216" s="744"/>
      <c r="KOO216" s="744"/>
      <c r="KOQ216" s="746"/>
      <c r="KOS216" s="744"/>
      <c r="KOT216" s="744"/>
      <c r="KOU216" s="744"/>
      <c r="KOV216" s="745"/>
      <c r="KOY216" s="918"/>
      <c r="KOZ216" s="918"/>
      <c r="KPA216" s="918"/>
      <c r="KPB216" s="918"/>
      <c r="KPC216" s="918"/>
      <c r="KPD216" s="918"/>
      <c r="KPE216" s="887"/>
      <c r="KPF216" s="887"/>
      <c r="KPJ216" s="744"/>
      <c r="KPK216" s="744"/>
      <c r="KPL216" s="744"/>
      <c r="KPN216" s="746"/>
      <c r="KPP216" s="744"/>
      <c r="KPQ216" s="744"/>
      <c r="KPR216" s="744"/>
      <c r="KPS216" s="745"/>
      <c r="KPV216" s="918"/>
      <c r="KPW216" s="918"/>
      <c r="KPX216" s="918"/>
      <c r="KPY216" s="918"/>
      <c r="KPZ216" s="918"/>
      <c r="KQA216" s="918"/>
      <c r="KQB216" s="887"/>
      <c r="KQC216" s="887"/>
      <c r="KQG216" s="744"/>
      <c r="KQH216" s="744"/>
      <c r="KQI216" s="744"/>
      <c r="KQK216" s="746"/>
      <c r="KQM216" s="744"/>
      <c r="KQN216" s="744"/>
      <c r="KQO216" s="744"/>
      <c r="KQP216" s="745"/>
      <c r="KQS216" s="918"/>
      <c r="KQT216" s="918"/>
      <c r="KQU216" s="918"/>
      <c r="KQV216" s="918"/>
      <c r="KQW216" s="918"/>
      <c r="KQX216" s="918"/>
      <c r="KQY216" s="887"/>
      <c r="KQZ216" s="887"/>
      <c r="KRD216" s="744"/>
      <c r="KRE216" s="744"/>
      <c r="KRF216" s="744"/>
      <c r="KRH216" s="746"/>
      <c r="KRJ216" s="744"/>
      <c r="KRK216" s="744"/>
      <c r="KRL216" s="744"/>
      <c r="KRM216" s="745"/>
      <c r="KRP216" s="918"/>
      <c r="KRQ216" s="918"/>
      <c r="KRR216" s="918"/>
      <c r="KRS216" s="918"/>
      <c r="KRT216" s="918"/>
      <c r="KRU216" s="918"/>
      <c r="KRV216" s="887"/>
      <c r="KRW216" s="887"/>
      <c r="KSA216" s="744"/>
      <c r="KSB216" s="744"/>
      <c r="KSC216" s="744"/>
      <c r="KSE216" s="746"/>
      <c r="KSG216" s="744"/>
      <c r="KSH216" s="744"/>
      <c r="KSI216" s="744"/>
      <c r="KSJ216" s="745"/>
      <c r="KSM216" s="918"/>
      <c r="KSN216" s="918"/>
      <c r="KSO216" s="918"/>
      <c r="KSP216" s="918"/>
      <c r="KSQ216" s="918"/>
      <c r="KSR216" s="918"/>
      <c r="KSS216" s="887"/>
      <c r="KST216" s="887"/>
      <c r="KSX216" s="744"/>
      <c r="KSY216" s="744"/>
      <c r="KSZ216" s="744"/>
      <c r="KTB216" s="746"/>
      <c r="KTD216" s="744"/>
      <c r="KTE216" s="744"/>
      <c r="KTF216" s="744"/>
      <c r="KTG216" s="745"/>
      <c r="KTJ216" s="918"/>
      <c r="KTK216" s="918"/>
      <c r="KTL216" s="918"/>
      <c r="KTM216" s="918"/>
      <c r="KTN216" s="918"/>
      <c r="KTO216" s="918"/>
      <c r="KTP216" s="887"/>
      <c r="KTQ216" s="887"/>
      <c r="KTU216" s="744"/>
      <c r="KTV216" s="744"/>
      <c r="KTW216" s="744"/>
      <c r="KTY216" s="746"/>
      <c r="KUA216" s="744"/>
      <c r="KUB216" s="744"/>
      <c r="KUC216" s="744"/>
      <c r="KUD216" s="745"/>
      <c r="KUG216" s="918"/>
      <c r="KUH216" s="918"/>
      <c r="KUI216" s="918"/>
      <c r="KUJ216" s="918"/>
      <c r="KUK216" s="918"/>
      <c r="KUL216" s="918"/>
      <c r="KUM216" s="887"/>
      <c r="KUN216" s="887"/>
      <c r="KUR216" s="744"/>
      <c r="KUS216" s="744"/>
      <c r="KUT216" s="744"/>
      <c r="KUV216" s="746"/>
      <c r="KUX216" s="744"/>
      <c r="KUY216" s="744"/>
      <c r="KUZ216" s="744"/>
      <c r="KVA216" s="745"/>
      <c r="KVD216" s="918"/>
      <c r="KVE216" s="918"/>
      <c r="KVF216" s="918"/>
      <c r="KVG216" s="918"/>
      <c r="KVH216" s="918"/>
      <c r="KVI216" s="918"/>
      <c r="KVJ216" s="887"/>
      <c r="KVK216" s="887"/>
      <c r="KVO216" s="744"/>
      <c r="KVP216" s="744"/>
      <c r="KVQ216" s="744"/>
      <c r="KVS216" s="746"/>
      <c r="KVU216" s="744"/>
      <c r="KVV216" s="744"/>
      <c r="KVW216" s="744"/>
      <c r="KVX216" s="745"/>
      <c r="KWA216" s="918"/>
      <c r="KWB216" s="918"/>
      <c r="KWC216" s="918"/>
      <c r="KWD216" s="918"/>
      <c r="KWE216" s="918"/>
      <c r="KWF216" s="918"/>
      <c r="KWG216" s="887"/>
      <c r="KWH216" s="887"/>
      <c r="KWL216" s="744"/>
      <c r="KWM216" s="744"/>
      <c r="KWN216" s="744"/>
      <c r="KWP216" s="746"/>
      <c r="KWR216" s="744"/>
      <c r="KWS216" s="744"/>
      <c r="KWT216" s="744"/>
      <c r="KWU216" s="745"/>
      <c r="KWX216" s="918"/>
      <c r="KWY216" s="918"/>
      <c r="KWZ216" s="918"/>
      <c r="KXA216" s="918"/>
      <c r="KXB216" s="918"/>
      <c r="KXC216" s="918"/>
      <c r="KXD216" s="887"/>
      <c r="KXE216" s="887"/>
      <c r="KXI216" s="744"/>
      <c r="KXJ216" s="744"/>
      <c r="KXK216" s="744"/>
      <c r="KXM216" s="746"/>
      <c r="KXO216" s="744"/>
      <c r="KXP216" s="744"/>
      <c r="KXQ216" s="744"/>
      <c r="KXR216" s="745"/>
      <c r="KXU216" s="918"/>
      <c r="KXV216" s="918"/>
      <c r="KXW216" s="918"/>
      <c r="KXX216" s="918"/>
      <c r="KXY216" s="918"/>
      <c r="KXZ216" s="918"/>
      <c r="KYA216" s="887"/>
      <c r="KYB216" s="887"/>
      <c r="KYF216" s="744"/>
      <c r="KYG216" s="744"/>
      <c r="KYH216" s="744"/>
      <c r="KYJ216" s="746"/>
      <c r="KYL216" s="744"/>
      <c r="KYM216" s="744"/>
      <c r="KYN216" s="744"/>
      <c r="KYO216" s="745"/>
      <c r="KYR216" s="918"/>
      <c r="KYS216" s="918"/>
      <c r="KYT216" s="918"/>
      <c r="KYU216" s="918"/>
      <c r="KYV216" s="918"/>
      <c r="KYW216" s="918"/>
      <c r="KYX216" s="887"/>
      <c r="KYY216" s="887"/>
      <c r="KZC216" s="744"/>
      <c r="KZD216" s="744"/>
      <c r="KZE216" s="744"/>
      <c r="KZG216" s="746"/>
      <c r="KZI216" s="744"/>
      <c r="KZJ216" s="744"/>
      <c r="KZK216" s="744"/>
      <c r="KZL216" s="745"/>
      <c r="KZO216" s="918"/>
      <c r="KZP216" s="918"/>
      <c r="KZQ216" s="918"/>
      <c r="KZR216" s="918"/>
      <c r="KZS216" s="918"/>
      <c r="KZT216" s="918"/>
      <c r="KZU216" s="887"/>
      <c r="KZV216" s="887"/>
      <c r="KZZ216" s="744"/>
      <c r="LAA216" s="744"/>
      <c r="LAB216" s="744"/>
      <c r="LAD216" s="746"/>
      <c r="LAF216" s="744"/>
      <c r="LAG216" s="744"/>
      <c r="LAH216" s="744"/>
      <c r="LAI216" s="745"/>
      <c r="LAL216" s="918"/>
      <c r="LAM216" s="918"/>
      <c r="LAN216" s="918"/>
      <c r="LAO216" s="918"/>
      <c r="LAP216" s="918"/>
      <c r="LAQ216" s="918"/>
      <c r="LAR216" s="887"/>
      <c r="LAS216" s="887"/>
      <c r="LAW216" s="744"/>
      <c r="LAX216" s="744"/>
      <c r="LAY216" s="744"/>
      <c r="LBA216" s="746"/>
      <c r="LBC216" s="744"/>
      <c r="LBD216" s="744"/>
      <c r="LBE216" s="744"/>
      <c r="LBF216" s="745"/>
      <c r="LBI216" s="918"/>
      <c r="LBJ216" s="918"/>
      <c r="LBK216" s="918"/>
      <c r="LBL216" s="918"/>
      <c r="LBM216" s="918"/>
      <c r="LBN216" s="918"/>
      <c r="LBO216" s="887"/>
      <c r="LBP216" s="887"/>
      <c r="LBT216" s="744"/>
      <c r="LBU216" s="744"/>
      <c r="LBV216" s="744"/>
      <c r="LBX216" s="746"/>
      <c r="LBZ216" s="744"/>
      <c r="LCA216" s="744"/>
      <c r="LCB216" s="744"/>
      <c r="LCC216" s="745"/>
      <c r="LCF216" s="918"/>
      <c r="LCG216" s="918"/>
      <c r="LCH216" s="918"/>
      <c r="LCI216" s="918"/>
      <c r="LCJ216" s="918"/>
      <c r="LCK216" s="918"/>
      <c r="LCL216" s="887"/>
      <c r="LCM216" s="887"/>
      <c r="LCQ216" s="744"/>
      <c r="LCR216" s="744"/>
      <c r="LCS216" s="744"/>
      <c r="LCU216" s="746"/>
      <c r="LCW216" s="744"/>
      <c r="LCX216" s="744"/>
      <c r="LCY216" s="744"/>
      <c r="LCZ216" s="745"/>
      <c r="LDC216" s="918"/>
      <c r="LDD216" s="918"/>
      <c r="LDE216" s="918"/>
      <c r="LDF216" s="918"/>
      <c r="LDG216" s="918"/>
      <c r="LDH216" s="918"/>
      <c r="LDI216" s="887"/>
      <c r="LDJ216" s="887"/>
      <c r="LDN216" s="744"/>
      <c r="LDO216" s="744"/>
      <c r="LDP216" s="744"/>
      <c r="LDR216" s="746"/>
      <c r="LDT216" s="744"/>
      <c r="LDU216" s="744"/>
      <c r="LDV216" s="744"/>
      <c r="LDW216" s="745"/>
      <c r="LDZ216" s="918"/>
      <c r="LEA216" s="918"/>
      <c r="LEB216" s="918"/>
      <c r="LEC216" s="918"/>
      <c r="LED216" s="918"/>
      <c r="LEE216" s="918"/>
      <c r="LEF216" s="887"/>
      <c r="LEG216" s="887"/>
      <c r="LEK216" s="744"/>
      <c r="LEL216" s="744"/>
      <c r="LEM216" s="744"/>
      <c r="LEO216" s="746"/>
      <c r="LEQ216" s="744"/>
      <c r="LER216" s="744"/>
      <c r="LES216" s="744"/>
      <c r="LET216" s="745"/>
      <c r="LEW216" s="918"/>
      <c r="LEX216" s="918"/>
      <c r="LEY216" s="918"/>
      <c r="LEZ216" s="918"/>
      <c r="LFA216" s="918"/>
      <c r="LFB216" s="918"/>
      <c r="LFC216" s="887"/>
      <c r="LFD216" s="887"/>
      <c r="LFH216" s="744"/>
      <c r="LFI216" s="744"/>
      <c r="LFJ216" s="744"/>
      <c r="LFL216" s="746"/>
      <c r="LFN216" s="744"/>
      <c r="LFO216" s="744"/>
      <c r="LFP216" s="744"/>
      <c r="LFQ216" s="745"/>
      <c r="LFT216" s="918"/>
      <c r="LFU216" s="918"/>
      <c r="LFV216" s="918"/>
      <c r="LFW216" s="918"/>
      <c r="LFX216" s="918"/>
      <c r="LFY216" s="918"/>
      <c r="LFZ216" s="887"/>
      <c r="LGA216" s="887"/>
      <c r="LGE216" s="744"/>
      <c r="LGF216" s="744"/>
      <c r="LGG216" s="744"/>
      <c r="LGI216" s="746"/>
      <c r="LGK216" s="744"/>
      <c r="LGL216" s="744"/>
      <c r="LGM216" s="744"/>
      <c r="LGN216" s="745"/>
      <c r="LGQ216" s="918"/>
      <c r="LGR216" s="918"/>
      <c r="LGS216" s="918"/>
      <c r="LGT216" s="918"/>
      <c r="LGU216" s="918"/>
      <c r="LGV216" s="918"/>
      <c r="LGW216" s="887"/>
      <c r="LGX216" s="887"/>
      <c r="LHB216" s="744"/>
      <c r="LHC216" s="744"/>
      <c r="LHD216" s="744"/>
      <c r="LHF216" s="746"/>
      <c r="LHH216" s="744"/>
      <c r="LHI216" s="744"/>
      <c r="LHJ216" s="744"/>
      <c r="LHK216" s="745"/>
      <c r="LHN216" s="918"/>
      <c r="LHO216" s="918"/>
      <c r="LHP216" s="918"/>
      <c r="LHQ216" s="918"/>
      <c r="LHR216" s="918"/>
      <c r="LHS216" s="918"/>
      <c r="LHT216" s="887"/>
      <c r="LHU216" s="887"/>
      <c r="LHY216" s="744"/>
      <c r="LHZ216" s="744"/>
      <c r="LIA216" s="744"/>
      <c r="LIC216" s="746"/>
      <c r="LIE216" s="744"/>
      <c r="LIF216" s="744"/>
      <c r="LIG216" s="744"/>
      <c r="LIH216" s="745"/>
      <c r="LIK216" s="918"/>
      <c r="LIL216" s="918"/>
      <c r="LIM216" s="918"/>
      <c r="LIN216" s="918"/>
      <c r="LIO216" s="918"/>
      <c r="LIP216" s="918"/>
      <c r="LIQ216" s="887"/>
      <c r="LIR216" s="887"/>
      <c r="LIV216" s="744"/>
      <c r="LIW216" s="744"/>
      <c r="LIX216" s="744"/>
      <c r="LIZ216" s="746"/>
      <c r="LJB216" s="744"/>
      <c r="LJC216" s="744"/>
      <c r="LJD216" s="744"/>
      <c r="LJE216" s="745"/>
      <c r="LJH216" s="918"/>
      <c r="LJI216" s="918"/>
      <c r="LJJ216" s="918"/>
      <c r="LJK216" s="918"/>
      <c r="LJL216" s="918"/>
      <c r="LJM216" s="918"/>
      <c r="LJN216" s="887"/>
      <c r="LJO216" s="887"/>
      <c r="LJS216" s="744"/>
      <c r="LJT216" s="744"/>
      <c r="LJU216" s="744"/>
      <c r="LJW216" s="746"/>
      <c r="LJY216" s="744"/>
      <c r="LJZ216" s="744"/>
      <c r="LKA216" s="744"/>
      <c r="LKB216" s="745"/>
      <c r="LKE216" s="918"/>
      <c r="LKF216" s="918"/>
      <c r="LKG216" s="918"/>
      <c r="LKH216" s="918"/>
      <c r="LKI216" s="918"/>
      <c r="LKJ216" s="918"/>
      <c r="LKK216" s="887"/>
      <c r="LKL216" s="887"/>
      <c r="LKP216" s="744"/>
      <c r="LKQ216" s="744"/>
      <c r="LKR216" s="744"/>
      <c r="LKT216" s="746"/>
      <c r="LKV216" s="744"/>
      <c r="LKW216" s="744"/>
      <c r="LKX216" s="744"/>
      <c r="LKY216" s="745"/>
      <c r="LLB216" s="918"/>
      <c r="LLC216" s="918"/>
      <c r="LLD216" s="918"/>
      <c r="LLE216" s="918"/>
      <c r="LLF216" s="918"/>
      <c r="LLG216" s="918"/>
      <c r="LLH216" s="887"/>
      <c r="LLI216" s="887"/>
      <c r="LLM216" s="744"/>
      <c r="LLN216" s="744"/>
      <c r="LLO216" s="744"/>
      <c r="LLQ216" s="746"/>
      <c r="LLS216" s="744"/>
      <c r="LLT216" s="744"/>
      <c r="LLU216" s="744"/>
      <c r="LLV216" s="745"/>
      <c r="LLY216" s="918"/>
      <c r="LLZ216" s="918"/>
      <c r="LMA216" s="918"/>
      <c r="LMB216" s="918"/>
      <c r="LMC216" s="918"/>
      <c r="LMD216" s="918"/>
      <c r="LME216" s="887"/>
      <c r="LMF216" s="887"/>
      <c r="LMJ216" s="744"/>
      <c r="LMK216" s="744"/>
      <c r="LML216" s="744"/>
      <c r="LMN216" s="746"/>
      <c r="LMP216" s="744"/>
      <c r="LMQ216" s="744"/>
      <c r="LMR216" s="744"/>
      <c r="LMS216" s="745"/>
      <c r="LMV216" s="918"/>
      <c r="LMW216" s="918"/>
      <c r="LMX216" s="918"/>
      <c r="LMY216" s="918"/>
      <c r="LMZ216" s="918"/>
      <c r="LNA216" s="918"/>
      <c r="LNB216" s="887"/>
      <c r="LNC216" s="887"/>
      <c r="LNG216" s="744"/>
      <c r="LNH216" s="744"/>
      <c r="LNI216" s="744"/>
      <c r="LNK216" s="746"/>
      <c r="LNM216" s="744"/>
      <c r="LNN216" s="744"/>
      <c r="LNO216" s="744"/>
      <c r="LNP216" s="745"/>
      <c r="LNS216" s="918"/>
      <c r="LNT216" s="918"/>
      <c r="LNU216" s="918"/>
      <c r="LNV216" s="918"/>
      <c r="LNW216" s="918"/>
      <c r="LNX216" s="918"/>
      <c r="LNY216" s="887"/>
      <c r="LNZ216" s="887"/>
      <c r="LOD216" s="744"/>
      <c r="LOE216" s="744"/>
      <c r="LOF216" s="744"/>
      <c r="LOH216" s="746"/>
      <c r="LOJ216" s="744"/>
      <c r="LOK216" s="744"/>
      <c r="LOL216" s="744"/>
      <c r="LOM216" s="745"/>
      <c r="LOP216" s="918"/>
      <c r="LOQ216" s="918"/>
      <c r="LOR216" s="918"/>
      <c r="LOS216" s="918"/>
      <c r="LOT216" s="918"/>
      <c r="LOU216" s="918"/>
      <c r="LOV216" s="887"/>
      <c r="LOW216" s="887"/>
      <c r="LPA216" s="744"/>
      <c r="LPB216" s="744"/>
      <c r="LPC216" s="744"/>
      <c r="LPE216" s="746"/>
      <c r="LPG216" s="744"/>
      <c r="LPH216" s="744"/>
      <c r="LPI216" s="744"/>
      <c r="LPJ216" s="745"/>
      <c r="LPM216" s="918"/>
      <c r="LPN216" s="918"/>
      <c r="LPO216" s="918"/>
      <c r="LPP216" s="918"/>
      <c r="LPQ216" s="918"/>
      <c r="LPR216" s="918"/>
      <c r="LPS216" s="887"/>
      <c r="LPT216" s="887"/>
      <c r="LPX216" s="744"/>
      <c r="LPY216" s="744"/>
      <c r="LPZ216" s="744"/>
      <c r="LQB216" s="746"/>
      <c r="LQD216" s="744"/>
      <c r="LQE216" s="744"/>
      <c r="LQF216" s="744"/>
      <c r="LQG216" s="745"/>
      <c r="LQJ216" s="918"/>
      <c r="LQK216" s="918"/>
      <c r="LQL216" s="918"/>
      <c r="LQM216" s="918"/>
      <c r="LQN216" s="918"/>
      <c r="LQO216" s="918"/>
      <c r="LQP216" s="887"/>
      <c r="LQQ216" s="887"/>
      <c r="LQU216" s="744"/>
      <c r="LQV216" s="744"/>
      <c r="LQW216" s="744"/>
      <c r="LQY216" s="746"/>
      <c r="LRA216" s="744"/>
      <c r="LRB216" s="744"/>
      <c r="LRC216" s="744"/>
      <c r="LRD216" s="745"/>
      <c r="LRG216" s="918"/>
      <c r="LRH216" s="918"/>
      <c r="LRI216" s="918"/>
      <c r="LRJ216" s="918"/>
      <c r="LRK216" s="918"/>
      <c r="LRL216" s="918"/>
      <c r="LRM216" s="887"/>
      <c r="LRN216" s="887"/>
      <c r="LRR216" s="744"/>
      <c r="LRS216" s="744"/>
      <c r="LRT216" s="744"/>
      <c r="LRV216" s="746"/>
      <c r="LRX216" s="744"/>
      <c r="LRY216" s="744"/>
      <c r="LRZ216" s="744"/>
      <c r="LSA216" s="745"/>
      <c r="LSD216" s="918"/>
      <c r="LSE216" s="918"/>
      <c r="LSF216" s="918"/>
      <c r="LSG216" s="918"/>
      <c r="LSH216" s="918"/>
      <c r="LSI216" s="918"/>
      <c r="LSJ216" s="887"/>
      <c r="LSK216" s="887"/>
      <c r="LSO216" s="744"/>
      <c r="LSP216" s="744"/>
      <c r="LSQ216" s="744"/>
      <c r="LSS216" s="746"/>
      <c r="LSU216" s="744"/>
      <c r="LSV216" s="744"/>
      <c r="LSW216" s="744"/>
      <c r="LSX216" s="745"/>
      <c r="LTA216" s="918"/>
      <c r="LTB216" s="918"/>
      <c r="LTC216" s="918"/>
      <c r="LTD216" s="918"/>
      <c r="LTE216" s="918"/>
      <c r="LTF216" s="918"/>
      <c r="LTG216" s="887"/>
      <c r="LTH216" s="887"/>
      <c r="LTL216" s="744"/>
      <c r="LTM216" s="744"/>
      <c r="LTN216" s="744"/>
      <c r="LTP216" s="746"/>
      <c r="LTR216" s="744"/>
      <c r="LTS216" s="744"/>
      <c r="LTT216" s="744"/>
      <c r="LTU216" s="745"/>
      <c r="LTX216" s="918"/>
      <c r="LTY216" s="918"/>
      <c r="LTZ216" s="918"/>
      <c r="LUA216" s="918"/>
      <c r="LUB216" s="918"/>
      <c r="LUC216" s="918"/>
      <c r="LUD216" s="887"/>
      <c r="LUE216" s="887"/>
      <c r="LUI216" s="744"/>
      <c r="LUJ216" s="744"/>
      <c r="LUK216" s="744"/>
      <c r="LUM216" s="746"/>
      <c r="LUO216" s="744"/>
      <c r="LUP216" s="744"/>
      <c r="LUQ216" s="744"/>
      <c r="LUR216" s="745"/>
      <c r="LUU216" s="918"/>
      <c r="LUV216" s="918"/>
      <c r="LUW216" s="918"/>
      <c r="LUX216" s="918"/>
      <c r="LUY216" s="918"/>
      <c r="LUZ216" s="918"/>
      <c r="LVA216" s="887"/>
      <c r="LVB216" s="887"/>
      <c r="LVF216" s="744"/>
      <c r="LVG216" s="744"/>
      <c r="LVH216" s="744"/>
      <c r="LVJ216" s="746"/>
      <c r="LVL216" s="744"/>
      <c r="LVM216" s="744"/>
      <c r="LVN216" s="744"/>
      <c r="LVO216" s="745"/>
      <c r="LVR216" s="918"/>
      <c r="LVS216" s="918"/>
      <c r="LVT216" s="918"/>
      <c r="LVU216" s="918"/>
      <c r="LVV216" s="918"/>
      <c r="LVW216" s="918"/>
      <c r="LVX216" s="887"/>
      <c r="LVY216" s="887"/>
      <c r="LWC216" s="744"/>
      <c r="LWD216" s="744"/>
      <c r="LWE216" s="744"/>
      <c r="LWG216" s="746"/>
      <c r="LWI216" s="744"/>
      <c r="LWJ216" s="744"/>
      <c r="LWK216" s="744"/>
      <c r="LWL216" s="745"/>
      <c r="LWO216" s="918"/>
      <c r="LWP216" s="918"/>
      <c r="LWQ216" s="918"/>
      <c r="LWR216" s="918"/>
      <c r="LWS216" s="918"/>
      <c r="LWT216" s="918"/>
      <c r="LWU216" s="887"/>
      <c r="LWV216" s="887"/>
      <c r="LWZ216" s="744"/>
      <c r="LXA216" s="744"/>
      <c r="LXB216" s="744"/>
      <c r="LXD216" s="746"/>
      <c r="LXF216" s="744"/>
      <c r="LXG216" s="744"/>
      <c r="LXH216" s="744"/>
      <c r="LXI216" s="745"/>
      <c r="LXL216" s="918"/>
      <c r="LXM216" s="918"/>
      <c r="LXN216" s="918"/>
      <c r="LXO216" s="918"/>
      <c r="LXP216" s="918"/>
      <c r="LXQ216" s="918"/>
      <c r="LXR216" s="887"/>
      <c r="LXS216" s="887"/>
      <c r="LXW216" s="744"/>
      <c r="LXX216" s="744"/>
      <c r="LXY216" s="744"/>
      <c r="LYA216" s="746"/>
      <c r="LYC216" s="744"/>
      <c r="LYD216" s="744"/>
      <c r="LYE216" s="744"/>
      <c r="LYF216" s="745"/>
      <c r="LYI216" s="918"/>
      <c r="LYJ216" s="918"/>
      <c r="LYK216" s="918"/>
      <c r="LYL216" s="918"/>
      <c r="LYM216" s="918"/>
      <c r="LYN216" s="918"/>
      <c r="LYO216" s="887"/>
      <c r="LYP216" s="887"/>
      <c r="LYT216" s="744"/>
      <c r="LYU216" s="744"/>
      <c r="LYV216" s="744"/>
      <c r="LYX216" s="746"/>
      <c r="LYZ216" s="744"/>
      <c r="LZA216" s="744"/>
      <c r="LZB216" s="744"/>
      <c r="LZC216" s="745"/>
      <c r="LZF216" s="918"/>
      <c r="LZG216" s="918"/>
      <c r="LZH216" s="918"/>
      <c r="LZI216" s="918"/>
      <c r="LZJ216" s="918"/>
      <c r="LZK216" s="918"/>
      <c r="LZL216" s="887"/>
      <c r="LZM216" s="887"/>
      <c r="LZQ216" s="744"/>
      <c r="LZR216" s="744"/>
      <c r="LZS216" s="744"/>
      <c r="LZU216" s="746"/>
      <c r="LZW216" s="744"/>
      <c r="LZX216" s="744"/>
      <c r="LZY216" s="744"/>
      <c r="LZZ216" s="745"/>
      <c r="MAC216" s="918"/>
      <c r="MAD216" s="918"/>
      <c r="MAE216" s="918"/>
      <c r="MAF216" s="918"/>
      <c r="MAG216" s="918"/>
      <c r="MAH216" s="918"/>
      <c r="MAI216" s="887"/>
      <c r="MAJ216" s="887"/>
      <c r="MAN216" s="744"/>
      <c r="MAO216" s="744"/>
      <c r="MAP216" s="744"/>
      <c r="MAR216" s="746"/>
      <c r="MAT216" s="744"/>
      <c r="MAU216" s="744"/>
      <c r="MAV216" s="744"/>
      <c r="MAW216" s="745"/>
      <c r="MAZ216" s="918"/>
      <c r="MBA216" s="918"/>
      <c r="MBB216" s="918"/>
      <c r="MBC216" s="918"/>
      <c r="MBD216" s="918"/>
      <c r="MBE216" s="918"/>
      <c r="MBF216" s="887"/>
      <c r="MBG216" s="887"/>
      <c r="MBK216" s="744"/>
      <c r="MBL216" s="744"/>
      <c r="MBM216" s="744"/>
      <c r="MBO216" s="746"/>
      <c r="MBQ216" s="744"/>
      <c r="MBR216" s="744"/>
      <c r="MBS216" s="744"/>
      <c r="MBT216" s="745"/>
      <c r="MBW216" s="918"/>
      <c r="MBX216" s="918"/>
      <c r="MBY216" s="918"/>
      <c r="MBZ216" s="918"/>
      <c r="MCA216" s="918"/>
      <c r="MCB216" s="918"/>
      <c r="MCC216" s="887"/>
      <c r="MCD216" s="887"/>
      <c r="MCH216" s="744"/>
      <c r="MCI216" s="744"/>
      <c r="MCJ216" s="744"/>
      <c r="MCL216" s="746"/>
      <c r="MCN216" s="744"/>
      <c r="MCO216" s="744"/>
      <c r="MCP216" s="744"/>
      <c r="MCQ216" s="745"/>
      <c r="MCT216" s="918"/>
      <c r="MCU216" s="918"/>
      <c r="MCV216" s="918"/>
      <c r="MCW216" s="918"/>
      <c r="MCX216" s="918"/>
      <c r="MCY216" s="918"/>
      <c r="MCZ216" s="887"/>
      <c r="MDA216" s="887"/>
      <c r="MDE216" s="744"/>
      <c r="MDF216" s="744"/>
      <c r="MDG216" s="744"/>
      <c r="MDI216" s="746"/>
      <c r="MDK216" s="744"/>
      <c r="MDL216" s="744"/>
      <c r="MDM216" s="744"/>
      <c r="MDN216" s="745"/>
      <c r="MDQ216" s="918"/>
      <c r="MDR216" s="918"/>
      <c r="MDS216" s="918"/>
      <c r="MDT216" s="918"/>
      <c r="MDU216" s="918"/>
      <c r="MDV216" s="918"/>
      <c r="MDW216" s="887"/>
      <c r="MDX216" s="887"/>
      <c r="MEB216" s="744"/>
      <c r="MEC216" s="744"/>
      <c r="MED216" s="744"/>
      <c r="MEF216" s="746"/>
      <c r="MEH216" s="744"/>
      <c r="MEI216" s="744"/>
      <c r="MEJ216" s="744"/>
      <c r="MEK216" s="745"/>
      <c r="MEN216" s="918"/>
      <c r="MEO216" s="918"/>
      <c r="MEP216" s="918"/>
      <c r="MEQ216" s="918"/>
      <c r="MER216" s="918"/>
      <c r="MES216" s="918"/>
      <c r="MET216" s="887"/>
      <c r="MEU216" s="887"/>
      <c r="MEY216" s="744"/>
      <c r="MEZ216" s="744"/>
      <c r="MFA216" s="744"/>
      <c r="MFC216" s="746"/>
      <c r="MFE216" s="744"/>
      <c r="MFF216" s="744"/>
      <c r="MFG216" s="744"/>
      <c r="MFH216" s="745"/>
      <c r="MFK216" s="918"/>
      <c r="MFL216" s="918"/>
      <c r="MFM216" s="918"/>
      <c r="MFN216" s="918"/>
      <c r="MFO216" s="918"/>
      <c r="MFP216" s="918"/>
      <c r="MFQ216" s="887"/>
      <c r="MFR216" s="887"/>
      <c r="MFV216" s="744"/>
      <c r="MFW216" s="744"/>
      <c r="MFX216" s="744"/>
      <c r="MFZ216" s="746"/>
      <c r="MGB216" s="744"/>
      <c r="MGC216" s="744"/>
      <c r="MGD216" s="744"/>
      <c r="MGE216" s="745"/>
      <c r="MGH216" s="918"/>
      <c r="MGI216" s="918"/>
      <c r="MGJ216" s="918"/>
      <c r="MGK216" s="918"/>
      <c r="MGL216" s="918"/>
      <c r="MGM216" s="918"/>
      <c r="MGN216" s="887"/>
      <c r="MGO216" s="887"/>
      <c r="MGS216" s="744"/>
      <c r="MGT216" s="744"/>
      <c r="MGU216" s="744"/>
      <c r="MGW216" s="746"/>
      <c r="MGY216" s="744"/>
      <c r="MGZ216" s="744"/>
      <c r="MHA216" s="744"/>
      <c r="MHB216" s="745"/>
      <c r="MHE216" s="918"/>
      <c r="MHF216" s="918"/>
      <c r="MHG216" s="918"/>
      <c r="MHH216" s="918"/>
      <c r="MHI216" s="918"/>
      <c r="MHJ216" s="918"/>
      <c r="MHK216" s="887"/>
      <c r="MHL216" s="887"/>
      <c r="MHP216" s="744"/>
      <c r="MHQ216" s="744"/>
      <c r="MHR216" s="744"/>
      <c r="MHT216" s="746"/>
      <c r="MHV216" s="744"/>
      <c r="MHW216" s="744"/>
      <c r="MHX216" s="744"/>
      <c r="MHY216" s="745"/>
      <c r="MIB216" s="918"/>
      <c r="MIC216" s="918"/>
      <c r="MID216" s="918"/>
      <c r="MIE216" s="918"/>
      <c r="MIF216" s="918"/>
      <c r="MIG216" s="918"/>
      <c r="MIH216" s="887"/>
      <c r="MII216" s="887"/>
      <c r="MIM216" s="744"/>
      <c r="MIN216" s="744"/>
      <c r="MIO216" s="744"/>
      <c r="MIQ216" s="746"/>
      <c r="MIS216" s="744"/>
      <c r="MIT216" s="744"/>
      <c r="MIU216" s="744"/>
      <c r="MIV216" s="745"/>
      <c r="MIY216" s="918"/>
      <c r="MIZ216" s="918"/>
      <c r="MJA216" s="918"/>
      <c r="MJB216" s="918"/>
      <c r="MJC216" s="918"/>
      <c r="MJD216" s="918"/>
      <c r="MJE216" s="887"/>
      <c r="MJF216" s="887"/>
      <c r="MJJ216" s="744"/>
      <c r="MJK216" s="744"/>
      <c r="MJL216" s="744"/>
      <c r="MJN216" s="746"/>
      <c r="MJP216" s="744"/>
      <c r="MJQ216" s="744"/>
      <c r="MJR216" s="744"/>
      <c r="MJS216" s="745"/>
      <c r="MJV216" s="918"/>
      <c r="MJW216" s="918"/>
      <c r="MJX216" s="918"/>
      <c r="MJY216" s="918"/>
      <c r="MJZ216" s="918"/>
      <c r="MKA216" s="918"/>
      <c r="MKB216" s="887"/>
      <c r="MKC216" s="887"/>
      <c r="MKG216" s="744"/>
      <c r="MKH216" s="744"/>
      <c r="MKI216" s="744"/>
      <c r="MKK216" s="746"/>
      <c r="MKM216" s="744"/>
      <c r="MKN216" s="744"/>
      <c r="MKO216" s="744"/>
      <c r="MKP216" s="745"/>
      <c r="MKS216" s="918"/>
      <c r="MKT216" s="918"/>
      <c r="MKU216" s="918"/>
      <c r="MKV216" s="918"/>
      <c r="MKW216" s="918"/>
      <c r="MKX216" s="918"/>
      <c r="MKY216" s="887"/>
      <c r="MKZ216" s="887"/>
      <c r="MLD216" s="744"/>
      <c r="MLE216" s="744"/>
      <c r="MLF216" s="744"/>
      <c r="MLH216" s="746"/>
      <c r="MLJ216" s="744"/>
      <c r="MLK216" s="744"/>
      <c r="MLL216" s="744"/>
      <c r="MLM216" s="745"/>
      <c r="MLP216" s="918"/>
      <c r="MLQ216" s="918"/>
      <c r="MLR216" s="918"/>
      <c r="MLS216" s="918"/>
      <c r="MLT216" s="918"/>
      <c r="MLU216" s="918"/>
      <c r="MLV216" s="887"/>
      <c r="MLW216" s="887"/>
      <c r="MMA216" s="744"/>
      <c r="MMB216" s="744"/>
      <c r="MMC216" s="744"/>
      <c r="MME216" s="746"/>
      <c r="MMG216" s="744"/>
      <c r="MMH216" s="744"/>
      <c r="MMI216" s="744"/>
      <c r="MMJ216" s="745"/>
      <c r="MMM216" s="918"/>
      <c r="MMN216" s="918"/>
      <c r="MMO216" s="918"/>
      <c r="MMP216" s="918"/>
      <c r="MMQ216" s="918"/>
      <c r="MMR216" s="918"/>
      <c r="MMS216" s="887"/>
      <c r="MMT216" s="887"/>
      <c r="MMX216" s="744"/>
      <c r="MMY216" s="744"/>
      <c r="MMZ216" s="744"/>
      <c r="MNB216" s="746"/>
      <c r="MND216" s="744"/>
      <c r="MNE216" s="744"/>
      <c r="MNF216" s="744"/>
      <c r="MNG216" s="745"/>
      <c r="MNJ216" s="918"/>
      <c r="MNK216" s="918"/>
      <c r="MNL216" s="918"/>
      <c r="MNM216" s="918"/>
      <c r="MNN216" s="918"/>
      <c r="MNO216" s="918"/>
      <c r="MNP216" s="887"/>
      <c r="MNQ216" s="887"/>
      <c r="MNU216" s="744"/>
      <c r="MNV216" s="744"/>
      <c r="MNW216" s="744"/>
      <c r="MNY216" s="746"/>
      <c r="MOA216" s="744"/>
      <c r="MOB216" s="744"/>
      <c r="MOC216" s="744"/>
      <c r="MOD216" s="745"/>
      <c r="MOG216" s="918"/>
      <c r="MOH216" s="918"/>
      <c r="MOI216" s="918"/>
      <c r="MOJ216" s="918"/>
      <c r="MOK216" s="918"/>
      <c r="MOL216" s="918"/>
      <c r="MOM216" s="887"/>
      <c r="MON216" s="887"/>
      <c r="MOR216" s="744"/>
      <c r="MOS216" s="744"/>
      <c r="MOT216" s="744"/>
      <c r="MOV216" s="746"/>
      <c r="MOX216" s="744"/>
      <c r="MOY216" s="744"/>
      <c r="MOZ216" s="744"/>
      <c r="MPA216" s="745"/>
      <c r="MPD216" s="918"/>
      <c r="MPE216" s="918"/>
      <c r="MPF216" s="918"/>
      <c r="MPG216" s="918"/>
      <c r="MPH216" s="918"/>
      <c r="MPI216" s="918"/>
      <c r="MPJ216" s="887"/>
      <c r="MPK216" s="887"/>
      <c r="MPO216" s="744"/>
      <c r="MPP216" s="744"/>
      <c r="MPQ216" s="744"/>
      <c r="MPS216" s="746"/>
      <c r="MPU216" s="744"/>
      <c r="MPV216" s="744"/>
      <c r="MPW216" s="744"/>
      <c r="MPX216" s="745"/>
      <c r="MQA216" s="918"/>
      <c r="MQB216" s="918"/>
      <c r="MQC216" s="918"/>
      <c r="MQD216" s="918"/>
      <c r="MQE216" s="918"/>
      <c r="MQF216" s="918"/>
      <c r="MQG216" s="887"/>
      <c r="MQH216" s="887"/>
      <c r="MQL216" s="744"/>
      <c r="MQM216" s="744"/>
      <c r="MQN216" s="744"/>
      <c r="MQP216" s="746"/>
      <c r="MQR216" s="744"/>
      <c r="MQS216" s="744"/>
      <c r="MQT216" s="744"/>
      <c r="MQU216" s="745"/>
      <c r="MQX216" s="918"/>
      <c r="MQY216" s="918"/>
      <c r="MQZ216" s="918"/>
      <c r="MRA216" s="918"/>
      <c r="MRB216" s="918"/>
      <c r="MRC216" s="918"/>
      <c r="MRD216" s="887"/>
      <c r="MRE216" s="887"/>
      <c r="MRI216" s="744"/>
      <c r="MRJ216" s="744"/>
      <c r="MRK216" s="744"/>
      <c r="MRM216" s="746"/>
      <c r="MRO216" s="744"/>
      <c r="MRP216" s="744"/>
      <c r="MRQ216" s="744"/>
      <c r="MRR216" s="745"/>
      <c r="MRU216" s="918"/>
      <c r="MRV216" s="918"/>
      <c r="MRW216" s="918"/>
      <c r="MRX216" s="918"/>
      <c r="MRY216" s="918"/>
      <c r="MRZ216" s="918"/>
      <c r="MSA216" s="887"/>
      <c r="MSB216" s="887"/>
      <c r="MSF216" s="744"/>
      <c r="MSG216" s="744"/>
      <c r="MSH216" s="744"/>
      <c r="MSJ216" s="746"/>
      <c r="MSL216" s="744"/>
      <c r="MSM216" s="744"/>
      <c r="MSN216" s="744"/>
      <c r="MSO216" s="745"/>
      <c r="MSR216" s="918"/>
      <c r="MSS216" s="918"/>
      <c r="MST216" s="918"/>
      <c r="MSU216" s="918"/>
      <c r="MSV216" s="918"/>
      <c r="MSW216" s="918"/>
      <c r="MSX216" s="887"/>
      <c r="MSY216" s="887"/>
      <c r="MTC216" s="744"/>
      <c r="MTD216" s="744"/>
      <c r="MTE216" s="744"/>
      <c r="MTG216" s="746"/>
      <c r="MTI216" s="744"/>
      <c r="MTJ216" s="744"/>
      <c r="MTK216" s="744"/>
      <c r="MTL216" s="745"/>
      <c r="MTO216" s="918"/>
      <c r="MTP216" s="918"/>
      <c r="MTQ216" s="918"/>
      <c r="MTR216" s="918"/>
      <c r="MTS216" s="918"/>
      <c r="MTT216" s="918"/>
      <c r="MTU216" s="887"/>
      <c r="MTV216" s="887"/>
      <c r="MTZ216" s="744"/>
      <c r="MUA216" s="744"/>
      <c r="MUB216" s="744"/>
      <c r="MUD216" s="746"/>
      <c r="MUF216" s="744"/>
      <c r="MUG216" s="744"/>
      <c r="MUH216" s="744"/>
      <c r="MUI216" s="745"/>
      <c r="MUL216" s="918"/>
      <c r="MUM216" s="918"/>
      <c r="MUN216" s="918"/>
      <c r="MUO216" s="918"/>
      <c r="MUP216" s="918"/>
      <c r="MUQ216" s="918"/>
      <c r="MUR216" s="887"/>
      <c r="MUS216" s="887"/>
      <c r="MUW216" s="744"/>
      <c r="MUX216" s="744"/>
      <c r="MUY216" s="744"/>
      <c r="MVA216" s="746"/>
      <c r="MVC216" s="744"/>
      <c r="MVD216" s="744"/>
      <c r="MVE216" s="744"/>
      <c r="MVF216" s="745"/>
      <c r="MVI216" s="918"/>
      <c r="MVJ216" s="918"/>
      <c r="MVK216" s="918"/>
      <c r="MVL216" s="918"/>
      <c r="MVM216" s="918"/>
      <c r="MVN216" s="918"/>
      <c r="MVO216" s="887"/>
      <c r="MVP216" s="887"/>
      <c r="MVT216" s="744"/>
      <c r="MVU216" s="744"/>
      <c r="MVV216" s="744"/>
      <c r="MVX216" s="746"/>
      <c r="MVZ216" s="744"/>
      <c r="MWA216" s="744"/>
      <c r="MWB216" s="744"/>
      <c r="MWC216" s="745"/>
      <c r="MWF216" s="918"/>
      <c r="MWG216" s="918"/>
      <c r="MWH216" s="918"/>
      <c r="MWI216" s="918"/>
      <c r="MWJ216" s="918"/>
      <c r="MWK216" s="918"/>
      <c r="MWL216" s="887"/>
      <c r="MWM216" s="887"/>
      <c r="MWQ216" s="744"/>
      <c r="MWR216" s="744"/>
      <c r="MWS216" s="744"/>
      <c r="MWU216" s="746"/>
      <c r="MWW216" s="744"/>
      <c r="MWX216" s="744"/>
      <c r="MWY216" s="744"/>
      <c r="MWZ216" s="745"/>
      <c r="MXC216" s="918"/>
      <c r="MXD216" s="918"/>
      <c r="MXE216" s="918"/>
      <c r="MXF216" s="918"/>
      <c r="MXG216" s="918"/>
      <c r="MXH216" s="918"/>
      <c r="MXI216" s="887"/>
      <c r="MXJ216" s="887"/>
      <c r="MXN216" s="744"/>
      <c r="MXO216" s="744"/>
      <c r="MXP216" s="744"/>
      <c r="MXR216" s="746"/>
      <c r="MXT216" s="744"/>
      <c r="MXU216" s="744"/>
      <c r="MXV216" s="744"/>
      <c r="MXW216" s="745"/>
      <c r="MXZ216" s="918"/>
      <c r="MYA216" s="918"/>
      <c r="MYB216" s="918"/>
      <c r="MYC216" s="918"/>
      <c r="MYD216" s="918"/>
      <c r="MYE216" s="918"/>
      <c r="MYF216" s="887"/>
      <c r="MYG216" s="887"/>
      <c r="MYK216" s="744"/>
      <c r="MYL216" s="744"/>
      <c r="MYM216" s="744"/>
      <c r="MYO216" s="746"/>
      <c r="MYQ216" s="744"/>
      <c r="MYR216" s="744"/>
      <c r="MYS216" s="744"/>
      <c r="MYT216" s="745"/>
      <c r="MYW216" s="918"/>
      <c r="MYX216" s="918"/>
      <c r="MYY216" s="918"/>
      <c r="MYZ216" s="918"/>
      <c r="MZA216" s="918"/>
      <c r="MZB216" s="918"/>
      <c r="MZC216" s="887"/>
      <c r="MZD216" s="887"/>
      <c r="MZH216" s="744"/>
      <c r="MZI216" s="744"/>
      <c r="MZJ216" s="744"/>
      <c r="MZL216" s="746"/>
      <c r="MZN216" s="744"/>
      <c r="MZO216" s="744"/>
      <c r="MZP216" s="744"/>
      <c r="MZQ216" s="745"/>
      <c r="MZT216" s="918"/>
      <c r="MZU216" s="918"/>
      <c r="MZV216" s="918"/>
      <c r="MZW216" s="918"/>
      <c r="MZX216" s="918"/>
      <c r="MZY216" s="918"/>
      <c r="MZZ216" s="887"/>
      <c r="NAA216" s="887"/>
      <c r="NAE216" s="744"/>
      <c r="NAF216" s="744"/>
      <c r="NAG216" s="744"/>
      <c r="NAI216" s="746"/>
      <c r="NAK216" s="744"/>
      <c r="NAL216" s="744"/>
      <c r="NAM216" s="744"/>
      <c r="NAN216" s="745"/>
      <c r="NAQ216" s="918"/>
      <c r="NAR216" s="918"/>
      <c r="NAS216" s="918"/>
      <c r="NAT216" s="918"/>
      <c r="NAU216" s="918"/>
      <c r="NAV216" s="918"/>
      <c r="NAW216" s="887"/>
      <c r="NAX216" s="887"/>
      <c r="NBB216" s="744"/>
      <c r="NBC216" s="744"/>
      <c r="NBD216" s="744"/>
      <c r="NBF216" s="746"/>
      <c r="NBH216" s="744"/>
      <c r="NBI216" s="744"/>
      <c r="NBJ216" s="744"/>
      <c r="NBK216" s="745"/>
      <c r="NBN216" s="918"/>
      <c r="NBO216" s="918"/>
      <c r="NBP216" s="918"/>
      <c r="NBQ216" s="918"/>
      <c r="NBR216" s="918"/>
      <c r="NBS216" s="918"/>
      <c r="NBT216" s="887"/>
      <c r="NBU216" s="887"/>
      <c r="NBY216" s="744"/>
      <c r="NBZ216" s="744"/>
      <c r="NCA216" s="744"/>
      <c r="NCC216" s="746"/>
      <c r="NCE216" s="744"/>
      <c r="NCF216" s="744"/>
      <c r="NCG216" s="744"/>
      <c r="NCH216" s="745"/>
      <c r="NCK216" s="918"/>
      <c r="NCL216" s="918"/>
      <c r="NCM216" s="918"/>
      <c r="NCN216" s="918"/>
      <c r="NCO216" s="918"/>
      <c r="NCP216" s="918"/>
      <c r="NCQ216" s="887"/>
      <c r="NCR216" s="887"/>
      <c r="NCV216" s="744"/>
      <c r="NCW216" s="744"/>
      <c r="NCX216" s="744"/>
      <c r="NCZ216" s="746"/>
      <c r="NDB216" s="744"/>
      <c r="NDC216" s="744"/>
      <c r="NDD216" s="744"/>
      <c r="NDE216" s="745"/>
      <c r="NDH216" s="918"/>
      <c r="NDI216" s="918"/>
      <c r="NDJ216" s="918"/>
      <c r="NDK216" s="918"/>
      <c r="NDL216" s="918"/>
      <c r="NDM216" s="918"/>
      <c r="NDN216" s="887"/>
      <c r="NDO216" s="887"/>
      <c r="NDS216" s="744"/>
      <c r="NDT216" s="744"/>
      <c r="NDU216" s="744"/>
      <c r="NDW216" s="746"/>
      <c r="NDY216" s="744"/>
      <c r="NDZ216" s="744"/>
      <c r="NEA216" s="744"/>
      <c r="NEB216" s="745"/>
      <c r="NEE216" s="918"/>
      <c r="NEF216" s="918"/>
      <c r="NEG216" s="918"/>
      <c r="NEH216" s="918"/>
      <c r="NEI216" s="918"/>
      <c r="NEJ216" s="918"/>
      <c r="NEK216" s="887"/>
      <c r="NEL216" s="887"/>
      <c r="NEP216" s="744"/>
      <c r="NEQ216" s="744"/>
      <c r="NER216" s="744"/>
      <c r="NET216" s="746"/>
      <c r="NEV216" s="744"/>
      <c r="NEW216" s="744"/>
      <c r="NEX216" s="744"/>
      <c r="NEY216" s="745"/>
      <c r="NFB216" s="918"/>
      <c r="NFC216" s="918"/>
      <c r="NFD216" s="918"/>
      <c r="NFE216" s="918"/>
      <c r="NFF216" s="918"/>
      <c r="NFG216" s="918"/>
      <c r="NFH216" s="887"/>
      <c r="NFI216" s="887"/>
      <c r="NFM216" s="744"/>
      <c r="NFN216" s="744"/>
      <c r="NFO216" s="744"/>
      <c r="NFQ216" s="746"/>
      <c r="NFS216" s="744"/>
      <c r="NFT216" s="744"/>
      <c r="NFU216" s="744"/>
      <c r="NFV216" s="745"/>
      <c r="NFY216" s="918"/>
      <c r="NFZ216" s="918"/>
      <c r="NGA216" s="918"/>
      <c r="NGB216" s="918"/>
      <c r="NGC216" s="918"/>
      <c r="NGD216" s="918"/>
      <c r="NGE216" s="887"/>
      <c r="NGF216" s="887"/>
      <c r="NGJ216" s="744"/>
      <c r="NGK216" s="744"/>
      <c r="NGL216" s="744"/>
      <c r="NGN216" s="746"/>
      <c r="NGP216" s="744"/>
      <c r="NGQ216" s="744"/>
      <c r="NGR216" s="744"/>
      <c r="NGS216" s="745"/>
      <c r="NGV216" s="918"/>
      <c r="NGW216" s="918"/>
      <c r="NGX216" s="918"/>
      <c r="NGY216" s="918"/>
      <c r="NGZ216" s="918"/>
      <c r="NHA216" s="918"/>
      <c r="NHB216" s="887"/>
      <c r="NHC216" s="887"/>
      <c r="NHG216" s="744"/>
      <c r="NHH216" s="744"/>
      <c r="NHI216" s="744"/>
      <c r="NHK216" s="746"/>
      <c r="NHM216" s="744"/>
      <c r="NHN216" s="744"/>
      <c r="NHO216" s="744"/>
      <c r="NHP216" s="745"/>
      <c r="NHS216" s="918"/>
      <c r="NHT216" s="918"/>
      <c r="NHU216" s="918"/>
      <c r="NHV216" s="918"/>
      <c r="NHW216" s="918"/>
      <c r="NHX216" s="918"/>
      <c r="NHY216" s="887"/>
      <c r="NHZ216" s="887"/>
      <c r="NID216" s="744"/>
      <c r="NIE216" s="744"/>
      <c r="NIF216" s="744"/>
      <c r="NIH216" s="746"/>
      <c r="NIJ216" s="744"/>
      <c r="NIK216" s="744"/>
      <c r="NIL216" s="744"/>
      <c r="NIM216" s="745"/>
      <c r="NIP216" s="918"/>
      <c r="NIQ216" s="918"/>
      <c r="NIR216" s="918"/>
      <c r="NIS216" s="918"/>
      <c r="NIT216" s="918"/>
      <c r="NIU216" s="918"/>
      <c r="NIV216" s="887"/>
      <c r="NIW216" s="887"/>
      <c r="NJA216" s="744"/>
      <c r="NJB216" s="744"/>
      <c r="NJC216" s="744"/>
      <c r="NJE216" s="746"/>
      <c r="NJG216" s="744"/>
      <c r="NJH216" s="744"/>
      <c r="NJI216" s="744"/>
      <c r="NJJ216" s="745"/>
      <c r="NJM216" s="918"/>
      <c r="NJN216" s="918"/>
      <c r="NJO216" s="918"/>
      <c r="NJP216" s="918"/>
      <c r="NJQ216" s="918"/>
      <c r="NJR216" s="918"/>
      <c r="NJS216" s="887"/>
      <c r="NJT216" s="887"/>
      <c r="NJX216" s="744"/>
      <c r="NJY216" s="744"/>
      <c r="NJZ216" s="744"/>
      <c r="NKB216" s="746"/>
      <c r="NKD216" s="744"/>
      <c r="NKE216" s="744"/>
      <c r="NKF216" s="744"/>
      <c r="NKG216" s="745"/>
      <c r="NKJ216" s="918"/>
      <c r="NKK216" s="918"/>
      <c r="NKL216" s="918"/>
      <c r="NKM216" s="918"/>
      <c r="NKN216" s="918"/>
      <c r="NKO216" s="918"/>
      <c r="NKP216" s="887"/>
      <c r="NKQ216" s="887"/>
      <c r="NKU216" s="744"/>
      <c r="NKV216" s="744"/>
      <c r="NKW216" s="744"/>
      <c r="NKY216" s="746"/>
      <c r="NLA216" s="744"/>
      <c r="NLB216" s="744"/>
      <c r="NLC216" s="744"/>
      <c r="NLD216" s="745"/>
      <c r="NLG216" s="918"/>
      <c r="NLH216" s="918"/>
      <c r="NLI216" s="918"/>
      <c r="NLJ216" s="918"/>
      <c r="NLK216" s="918"/>
      <c r="NLL216" s="918"/>
      <c r="NLM216" s="887"/>
      <c r="NLN216" s="887"/>
      <c r="NLR216" s="744"/>
      <c r="NLS216" s="744"/>
      <c r="NLT216" s="744"/>
      <c r="NLV216" s="746"/>
      <c r="NLX216" s="744"/>
      <c r="NLY216" s="744"/>
      <c r="NLZ216" s="744"/>
      <c r="NMA216" s="745"/>
      <c r="NMD216" s="918"/>
      <c r="NME216" s="918"/>
      <c r="NMF216" s="918"/>
      <c r="NMG216" s="918"/>
      <c r="NMH216" s="918"/>
      <c r="NMI216" s="918"/>
      <c r="NMJ216" s="887"/>
      <c r="NMK216" s="887"/>
      <c r="NMO216" s="744"/>
      <c r="NMP216" s="744"/>
      <c r="NMQ216" s="744"/>
      <c r="NMS216" s="746"/>
      <c r="NMU216" s="744"/>
      <c r="NMV216" s="744"/>
      <c r="NMW216" s="744"/>
      <c r="NMX216" s="745"/>
      <c r="NNA216" s="918"/>
      <c r="NNB216" s="918"/>
      <c r="NNC216" s="918"/>
      <c r="NND216" s="918"/>
      <c r="NNE216" s="918"/>
      <c r="NNF216" s="918"/>
      <c r="NNG216" s="887"/>
      <c r="NNH216" s="887"/>
      <c r="NNL216" s="744"/>
      <c r="NNM216" s="744"/>
      <c r="NNN216" s="744"/>
      <c r="NNP216" s="746"/>
      <c r="NNR216" s="744"/>
      <c r="NNS216" s="744"/>
      <c r="NNT216" s="744"/>
      <c r="NNU216" s="745"/>
      <c r="NNX216" s="918"/>
      <c r="NNY216" s="918"/>
      <c r="NNZ216" s="918"/>
      <c r="NOA216" s="918"/>
      <c r="NOB216" s="918"/>
      <c r="NOC216" s="918"/>
      <c r="NOD216" s="887"/>
      <c r="NOE216" s="887"/>
      <c r="NOI216" s="744"/>
      <c r="NOJ216" s="744"/>
      <c r="NOK216" s="744"/>
      <c r="NOM216" s="746"/>
      <c r="NOO216" s="744"/>
      <c r="NOP216" s="744"/>
      <c r="NOQ216" s="744"/>
      <c r="NOR216" s="745"/>
      <c r="NOU216" s="918"/>
      <c r="NOV216" s="918"/>
      <c r="NOW216" s="918"/>
      <c r="NOX216" s="918"/>
      <c r="NOY216" s="918"/>
      <c r="NOZ216" s="918"/>
      <c r="NPA216" s="887"/>
      <c r="NPB216" s="887"/>
      <c r="NPF216" s="744"/>
      <c r="NPG216" s="744"/>
      <c r="NPH216" s="744"/>
      <c r="NPJ216" s="746"/>
      <c r="NPL216" s="744"/>
      <c r="NPM216" s="744"/>
      <c r="NPN216" s="744"/>
      <c r="NPO216" s="745"/>
      <c r="NPR216" s="918"/>
      <c r="NPS216" s="918"/>
      <c r="NPT216" s="918"/>
      <c r="NPU216" s="918"/>
      <c r="NPV216" s="918"/>
      <c r="NPW216" s="918"/>
      <c r="NPX216" s="887"/>
      <c r="NPY216" s="887"/>
      <c r="NQC216" s="744"/>
      <c r="NQD216" s="744"/>
      <c r="NQE216" s="744"/>
      <c r="NQG216" s="746"/>
      <c r="NQI216" s="744"/>
      <c r="NQJ216" s="744"/>
      <c r="NQK216" s="744"/>
      <c r="NQL216" s="745"/>
      <c r="NQO216" s="918"/>
      <c r="NQP216" s="918"/>
      <c r="NQQ216" s="918"/>
      <c r="NQR216" s="918"/>
      <c r="NQS216" s="918"/>
      <c r="NQT216" s="918"/>
      <c r="NQU216" s="887"/>
      <c r="NQV216" s="887"/>
      <c r="NQZ216" s="744"/>
      <c r="NRA216" s="744"/>
      <c r="NRB216" s="744"/>
      <c r="NRD216" s="746"/>
      <c r="NRF216" s="744"/>
      <c r="NRG216" s="744"/>
      <c r="NRH216" s="744"/>
      <c r="NRI216" s="745"/>
      <c r="NRL216" s="918"/>
      <c r="NRM216" s="918"/>
      <c r="NRN216" s="918"/>
      <c r="NRO216" s="918"/>
      <c r="NRP216" s="918"/>
      <c r="NRQ216" s="918"/>
      <c r="NRR216" s="887"/>
      <c r="NRS216" s="887"/>
      <c r="NRW216" s="744"/>
      <c r="NRX216" s="744"/>
      <c r="NRY216" s="744"/>
      <c r="NSA216" s="746"/>
      <c r="NSC216" s="744"/>
      <c r="NSD216" s="744"/>
      <c r="NSE216" s="744"/>
      <c r="NSF216" s="745"/>
      <c r="NSI216" s="918"/>
      <c r="NSJ216" s="918"/>
      <c r="NSK216" s="918"/>
      <c r="NSL216" s="918"/>
      <c r="NSM216" s="918"/>
      <c r="NSN216" s="918"/>
      <c r="NSO216" s="887"/>
      <c r="NSP216" s="887"/>
      <c r="NST216" s="744"/>
      <c r="NSU216" s="744"/>
      <c r="NSV216" s="744"/>
      <c r="NSX216" s="746"/>
      <c r="NSZ216" s="744"/>
      <c r="NTA216" s="744"/>
      <c r="NTB216" s="744"/>
      <c r="NTC216" s="745"/>
      <c r="NTF216" s="918"/>
      <c r="NTG216" s="918"/>
      <c r="NTH216" s="918"/>
      <c r="NTI216" s="918"/>
      <c r="NTJ216" s="918"/>
      <c r="NTK216" s="918"/>
      <c r="NTL216" s="887"/>
      <c r="NTM216" s="887"/>
      <c r="NTQ216" s="744"/>
      <c r="NTR216" s="744"/>
      <c r="NTS216" s="744"/>
      <c r="NTU216" s="746"/>
      <c r="NTW216" s="744"/>
      <c r="NTX216" s="744"/>
      <c r="NTY216" s="744"/>
      <c r="NTZ216" s="745"/>
      <c r="NUC216" s="918"/>
      <c r="NUD216" s="918"/>
      <c r="NUE216" s="918"/>
      <c r="NUF216" s="918"/>
      <c r="NUG216" s="918"/>
      <c r="NUH216" s="918"/>
      <c r="NUI216" s="887"/>
      <c r="NUJ216" s="887"/>
      <c r="NUN216" s="744"/>
      <c r="NUO216" s="744"/>
      <c r="NUP216" s="744"/>
      <c r="NUR216" s="746"/>
      <c r="NUT216" s="744"/>
      <c r="NUU216" s="744"/>
      <c r="NUV216" s="744"/>
      <c r="NUW216" s="745"/>
      <c r="NUZ216" s="918"/>
      <c r="NVA216" s="918"/>
      <c r="NVB216" s="918"/>
      <c r="NVC216" s="918"/>
      <c r="NVD216" s="918"/>
      <c r="NVE216" s="918"/>
      <c r="NVF216" s="887"/>
      <c r="NVG216" s="887"/>
      <c r="NVK216" s="744"/>
      <c r="NVL216" s="744"/>
      <c r="NVM216" s="744"/>
      <c r="NVO216" s="746"/>
      <c r="NVQ216" s="744"/>
      <c r="NVR216" s="744"/>
      <c r="NVS216" s="744"/>
      <c r="NVT216" s="745"/>
      <c r="NVW216" s="918"/>
      <c r="NVX216" s="918"/>
      <c r="NVY216" s="918"/>
      <c r="NVZ216" s="918"/>
      <c r="NWA216" s="918"/>
      <c r="NWB216" s="918"/>
      <c r="NWC216" s="887"/>
      <c r="NWD216" s="887"/>
      <c r="NWH216" s="744"/>
      <c r="NWI216" s="744"/>
      <c r="NWJ216" s="744"/>
      <c r="NWL216" s="746"/>
      <c r="NWN216" s="744"/>
      <c r="NWO216" s="744"/>
      <c r="NWP216" s="744"/>
      <c r="NWQ216" s="745"/>
      <c r="NWT216" s="918"/>
      <c r="NWU216" s="918"/>
      <c r="NWV216" s="918"/>
      <c r="NWW216" s="918"/>
      <c r="NWX216" s="918"/>
      <c r="NWY216" s="918"/>
      <c r="NWZ216" s="887"/>
      <c r="NXA216" s="887"/>
      <c r="NXE216" s="744"/>
      <c r="NXF216" s="744"/>
      <c r="NXG216" s="744"/>
      <c r="NXI216" s="746"/>
      <c r="NXK216" s="744"/>
      <c r="NXL216" s="744"/>
      <c r="NXM216" s="744"/>
      <c r="NXN216" s="745"/>
      <c r="NXQ216" s="918"/>
      <c r="NXR216" s="918"/>
      <c r="NXS216" s="918"/>
      <c r="NXT216" s="918"/>
      <c r="NXU216" s="918"/>
      <c r="NXV216" s="918"/>
      <c r="NXW216" s="887"/>
      <c r="NXX216" s="887"/>
      <c r="NYB216" s="744"/>
      <c r="NYC216" s="744"/>
      <c r="NYD216" s="744"/>
      <c r="NYF216" s="746"/>
      <c r="NYH216" s="744"/>
      <c r="NYI216" s="744"/>
      <c r="NYJ216" s="744"/>
      <c r="NYK216" s="745"/>
      <c r="NYN216" s="918"/>
      <c r="NYO216" s="918"/>
      <c r="NYP216" s="918"/>
      <c r="NYQ216" s="918"/>
      <c r="NYR216" s="918"/>
      <c r="NYS216" s="918"/>
      <c r="NYT216" s="887"/>
      <c r="NYU216" s="887"/>
      <c r="NYY216" s="744"/>
      <c r="NYZ216" s="744"/>
      <c r="NZA216" s="744"/>
      <c r="NZC216" s="746"/>
      <c r="NZE216" s="744"/>
      <c r="NZF216" s="744"/>
      <c r="NZG216" s="744"/>
      <c r="NZH216" s="745"/>
      <c r="NZK216" s="918"/>
      <c r="NZL216" s="918"/>
      <c r="NZM216" s="918"/>
      <c r="NZN216" s="918"/>
      <c r="NZO216" s="918"/>
      <c r="NZP216" s="918"/>
      <c r="NZQ216" s="887"/>
      <c r="NZR216" s="887"/>
      <c r="NZV216" s="744"/>
      <c r="NZW216" s="744"/>
      <c r="NZX216" s="744"/>
      <c r="NZZ216" s="746"/>
      <c r="OAB216" s="744"/>
      <c r="OAC216" s="744"/>
      <c r="OAD216" s="744"/>
      <c r="OAE216" s="745"/>
      <c r="OAH216" s="918"/>
      <c r="OAI216" s="918"/>
      <c r="OAJ216" s="918"/>
      <c r="OAK216" s="918"/>
      <c r="OAL216" s="918"/>
      <c r="OAM216" s="918"/>
      <c r="OAN216" s="887"/>
      <c r="OAO216" s="887"/>
      <c r="OAS216" s="744"/>
      <c r="OAT216" s="744"/>
      <c r="OAU216" s="744"/>
      <c r="OAW216" s="746"/>
      <c r="OAY216" s="744"/>
      <c r="OAZ216" s="744"/>
      <c r="OBA216" s="744"/>
      <c r="OBB216" s="745"/>
      <c r="OBE216" s="918"/>
      <c r="OBF216" s="918"/>
      <c r="OBG216" s="918"/>
      <c r="OBH216" s="918"/>
      <c r="OBI216" s="918"/>
      <c r="OBJ216" s="918"/>
      <c r="OBK216" s="887"/>
      <c r="OBL216" s="887"/>
      <c r="OBP216" s="744"/>
      <c r="OBQ216" s="744"/>
      <c r="OBR216" s="744"/>
      <c r="OBT216" s="746"/>
      <c r="OBV216" s="744"/>
      <c r="OBW216" s="744"/>
      <c r="OBX216" s="744"/>
      <c r="OBY216" s="745"/>
      <c r="OCB216" s="918"/>
      <c r="OCC216" s="918"/>
      <c r="OCD216" s="918"/>
      <c r="OCE216" s="918"/>
      <c r="OCF216" s="918"/>
      <c r="OCG216" s="918"/>
      <c r="OCH216" s="887"/>
      <c r="OCI216" s="887"/>
      <c r="OCM216" s="744"/>
      <c r="OCN216" s="744"/>
      <c r="OCO216" s="744"/>
      <c r="OCQ216" s="746"/>
      <c r="OCS216" s="744"/>
      <c r="OCT216" s="744"/>
      <c r="OCU216" s="744"/>
      <c r="OCV216" s="745"/>
      <c r="OCY216" s="918"/>
      <c r="OCZ216" s="918"/>
      <c r="ODA216" s="918"/>
      <c r="ODB216" s="918"/>
      <c r="ODC216" s="918"/>
      <c r="ODD216" s="918"/>
      <c r="ODE216" s="887"/>
      <c r="ODF216" s="887"/>
      <c r="ODJ216" s="744"/>
      <c r="ODK216" s="744"/>
      <c r="ODL216" s="744"/>
      <c r="ODN216" s="746"/>
      <c r="ODP216" s="744"/>
      <c r="ODQ216" s="744"/>
      <c r="ODR216" s="744"/>
      <c r="ODS216" s="745"/>
      <c r="ODV216" s="918"/>
      <c r="ODW216" s="918"/>
      <c r="ODX216" s="918"/>
      <c r="ODY216" s="918"/>
      <c r="ODZ216" s="918"/>
      <c r="OEA216" s="918"/>
      <c r="OEB216" s="887"/>
      <c r="OEC216" s="887"/>
      <c r="OEG216" s="744"/>
      <c r="OEH216" s="744"/>
      <c r="OEI216" s="744"/>
      <c r="OEK216" s="746"/>
      <c r="OEM216" s="744"/>
      <c r="OEN216" s="744"/>
      <c r="OEO216" s="744"/>
      <c r="OEP216" s="745"/>
      <c r="OES216" s="918"/>
      <c r="OET216" s="918"/>
      <c r="OEU216" s="918"/>
      <c r="OEV216" s="918"/>
      <c r="OEW216" s="918"/>
      <c r="OEX216" s="918"/>
      <c r="OEY216" s="887"/>
      <c r="OEZ216" s="887"/>
      <c r="OFD216" s="744"/>
      <c r="OFE216" s="744"/>
      <c r="OFF216" s="744"/>
      <c r="OFH216" s="746"/>
      <c r="OFJ216" s="744"/>
      <c r="OFK216" s="744"/>
      <c r="OFL216" s="744"/>
      <c r="OFM216" s="745"/>
      <c r="OFP216" s="918"/>
      <c r="OFQ216" s="918"/>
      <c r="OFR216" s="918"/>
      <c r="OFS216" s="918"/>
      <c r="OFT216" s="918"/>
      <c r="OFU216" s="918"/>
      <c r="OFV216" s="887"/>
      <c r="OFW216" s="887"/>
      <c r="OGA216" s="744"/>
      <c r="OGB216" s="744"/>
      <c r="OGC216" s="744"/>
      <c r="OGE216" s="746"/>
      <c r="OGG216" s="744"/>
      <c r="OGH216" s="744"/>
      <c r="OGI216" s="744"/>
      <c r="OGJ216" s="745"/>
      <c r="OGM216" s="918"/>
      <c r="OGN216" s="918"/>
      <c r="OGO216" s="918"/>
      <c r="OGP216" s="918"/>
      <c r="OGQ216" s="918"/>
      <c r="OGR216" s="918"/>
      <c r="OGS216" s="887"/>
      <c r="OGT216" s="887"/>
      <c r="OGX216" s="744"/>
      <c r="OGY216" s="744"/>
      <c r="OGZ216" s="744"/>
      <c r="OHB216" s="746"/>
      <c r="OHD216" s="744"/>
      <c r="OHE216" s="744"/>
      <c r="OHF216" s="744"/>
      <c r="OHG216" s="745"/>
      <c r="OHJ216" s="918"/>
      <c r="OHK216" s="918"/>
      <c r="OHL216" s="918"/>
      <c r="OHM216" s="918"/>
      <c r="OHN216" s="918"/>
      <c r="OHO216" s="918"/>
      <c r="OHP216" s="887"/>
      <c r="OHQ216" s="887"/>
      <c r="OHU216" s="744"/>
      <c r="OHV216" s="744"/>
      <c r="OHW216" s="744"/>
      <c r="OHY216" s="746"/>
      <c r="OIA216" s="744"/>
      <c r="OIB216" s="744"/>
      <c r="OIC216" s="744"/>
      <c r="OID216" s="745"/>
      <c r="OIG216" s="918"/>
      <c r="OIH216" s="918"/>
      <c r="OII216" s="918"/>
      <c r="OIJ216" s="918"/>
      <c r="OIK216" s="918"/>
      <c r="OIL216" s="918"/>
      <c r="OIM216" s="887"/>
      <c r="OIN216" s="887"/>
      <c r="OIR216" s="744"/>
      <c r="OIS216" s="744"/>
      <c r="OIT216" s="744"/>
      <c r="OIV216" s="746"/>
      <c r="OIX216" s="744"/>
      <c r="OIY216" s="744"/>
      <c r="OIZ216" s="744"/>
      <c r="OJA216" s="745"/>
      <c r="OJD216" s="918"/>
      <c r="OJE216" s="918"/>
      <c r="OJF216" s="918"/>
      <c r="OJG216" s="918"/>
      <c r="OJH216" s="918"/>
      <c r="OJI216" s="918"/>
      <c r="OJJ216" s="887"/>
      <c r="OJK216" s="887"/>
      <c r="OJO216" s="744"/>
      <c r="OJP216" s="744"/>
      <c r="OJQ216" s="744"/>
      <c r="OJS216" s="746"/>
      <c r="OJU216" s="744"/>
      <c r="OJV216" s="744"/>
      <c r="OJW216" s="744"/>
      <c r="OJX216" s="745"/>
      <c r="OKA216" s="918"/>
      <c r="OKB216" s="918"/>
      <c r="OKC216" s="918"/>
      <c r="OKD216" s="918"/>
      <c r="OKE216" s="918"/>
      <c r="OKF216" s="918"/>
      <c r="OKG216" s="887"/>
      <c r="OKH216" s="887"/>
      <c r="OKL216" s="744"/>
      <c r="OKM216" s="744"/>
      <c r="OKN216" s="744"/>
      <c r="OKP216" s="746"/>
      <c r="OKR216" s="744"/>
      <c r="OKS216" s="744"/>
      <c r="OKT216" s="744"/>
      <c r="OKU216" s="745"/>
      <c r="OKX216" s="918"/>
      <c r="OKY216" s="918"/>
      <c r="OKZ216" s="918"/>
      <c r="OLA216" s="918"/>
      <c r="OLB216" s="918"/>
      <c r="OLC216" s="918"/>
      <c r="OLD216" s="887"/>
      <c r="OLE216" s="887"/>
      <c r="OLI216" s="744"/>
      <c r="OLJ216" s="744"/>
      <c r="OLK216" s="744"/>
      <c r="OLM216" s="746"/>
      <c r="OLO216" s="744"/>
      <c r="OLP216" s="744"/>
      <c r="OLQ216" s="744"/>
      <c r="OLR216" s="745"/>
      <c r="OLU216" s="918"/>
      <c r="OLV216" s="918"/>
      <c r="OLW216" s="918"/>
      <c r="OLX216" s="918"/>
      <c r="OLY216" s="918"/>
      <c r="OLZ216" s="918"/>
      <c r="OMA216" s="887"/>
      <c r="OMB216" s="887"/>
      <c r="OMF216" s="744"/>
      <c r="OMG216" s="744"/>
      <c r="OMH216" s="744"/>
      <c r="OMJ216" s="746"/>
      <c r="OML216" s="744"/>
      <c r="OMM216" s="744"/>
      <c r="OMN216" s="744"/>
      <c r="OMO216" s="745"/>
      <c r="OMR216" s="918"/>
      <c r="OMS216" s="918"/>
      <c r="OMT216" s="918"/>
      <c r="OMU216" s="918"/>
      <c r="OMV216" s="918"/>
      <c r="OMW216" s="918"/>
      <c r="OMX216" s="887"/>
      <c r="OMY216" s="887"/>
      <c r="ONC216" s="744"/>
      <c r="OND216" s="744"/>
      <c r="ONE216" s="744"/>
      <c r="ONG216" s="746"/>
      <c r="ONI216" s="744"/>
      <c r="ONJ216" s="744"/>
      <c r="ONK216" s="744"/>
      <c r="ONL216" s="745"/>
      <c r="ONO216" s="918"/>
      <c r="ONP216" s="918"/>
      <c r="ONQ216" s="918"/>
      <c r="ONR216" s="918"/>
      <c r="ONS216" s="918"/>
      <c r="ONT216" s="918"/>
      <c r="ONU216" s="887"/>
      <c r="ONV216" s="887"/>
      <c r="ONZ216" s="744"/>
      <c r="OOA216" s="744"/>
      <c r="OOB216" s="744"/>
      <c r="OOD216" s="746"/>
      <c r="OOF216" s="744"/>
      <c r="OOG216" s="744"/>
      <c r="OOH216" s="744"/>
      <c r="OOI216" s="745"/>
      <c r="OOL216" s="918"/>
      <c r="OOM216" s="918"/>
      <c r="OON216" s="918"/>
      <c r="OOO216" s="918"/>
      <c r="OOP216" s="918"/>
      <c r="OOQ216" s="918"/>
      <c r="OOR216" s="887"/>
      <c r="OOS216" s="887"/>
      <c r="OOW216" s="744"/>
      <c r="OOX216" s="744"/>
      <c r="OOY216" s="744"/>
      <c r="OPA216" s="746"/>
      <c r="OPC216" s="744"/>
      <c r="OPD216" s="744"/>
      <c r="OPE216" s="744"/>
      <c r="OPF216" s="745"/>
      <c r="OPI216" s="918"/>
      <c r="OPJ216" s="918"/>
      <c r="OPK216" s="918"/>
      <c r="OPL216" s="918"/>
      <c r="OPM216" s="918"/>
      <c r="OPN216" s="918"/>
      <c r="OPO216" s="887"/>
      <c r="OPP216" s="887"/>
      <c r="OPT216" s="744"/>
      <c r="OPU216" s="744"/>
      <c r="OPV216" s="744"/>
      <c r="OPX216" s="746"/>
      <c r="OPZ216" s="744"/>
      <c r="OQA216" s="744"/>
      <c r="OQB216" s="744"/>
      <c r="OQC216" s="745"/>
      <c r="OQF216" s="918"/>
      <c r="OQG216" s="918"/>
      <c r="OQH216" s="918"/>
      <c r="OQI216" s="918"/>
      <c r="OQJ216" s="918"/>
      <c r="OQK216" s="918"/>
      <c r="OQL216" s="887"/>
      <c r="OQM216" s="887"/>
      <c r="OQQ216" s="744"/>
      <c r="OQR216" s="744"/>
      <c r="OQS216" s="744"/>
      <c r="OQU216" s="746"/>
      <c r="OQW216" s="744"/>
      <c r="OQX216" s="744"/>
      <c r="OQY216" s="744"/>
      <c r="OQZ216" s="745"/>
      <c r="ORC216" s="918"/>
      <c r="ORD216" s="918"/>
      <c r="ORE216" s="918"/>
      <c r="ORF216" s="918"/>
      <c r="ORG216" s="918"/>
      <c r="ORH216" s="918"/>
      <c r="ORI216" s="887"/>
      <c r="ORJ216" s="887"/>
      <c r="ORN216" s="744"/>
      <c r="ORO216" s="744"/>
      <c r="ORP216" s="744"/>
      <c r="ORR216" s="746"/>
      <c r="ORT216" s="744"/>
      <c r="ORU216" s="744"/>
      <c r="ORV216" s="744"/>
      <c r="ORW216" s="745"/>
      <c r="ORZ216" s="918"/>
      <c r="OSA216" s="918"/>
      <c r="OSB216" s="918"/>
      <c r="OSC216" s="918"/>
      <c r="OSD216" s="918"/>
      <c r="OSE216" s="918"/>
      <c r="OSF216" s="887"/>
      <c r="OSG216" s="887"/>
      <c r="OSK216" s="744"/>
      <c r="OSL216" s="744"/>
      <c r="OSM216" s="744"/>
      <c r="OSO216" s="746"/>
      <c r="OSQ216" s="744"/>
      <c r="OSR216" s="744"/>
      <c r="OSS216" s="744"/>
      <c r="OST216" s="745"/>
      <c r="OSW216" s="918"/>
      <c r="OSX216" s="918"/>
      <c r="OSY216" s="918"/>
      <c r="OSZ216" s="918"/>
      <c r="OTA216" s="918"/>
      <c r="OTB216" s="918"/>
      <c r="OTC216" s="887"/>
      <c r="OTD216" s="887"/>
      <c r="OTH216" s="744"/>
      <c r="OTI216" s="744"/>
      <c r="OTJ216" s="744"/>
      <c r="OTL216" s="746"/>
      <c r="OTN216" s="744"/>
      <c r="OTO216" s="744"/>
      <c r="OTP216" s="744"/>
      <c r="OTQ216" s="745"/>
      <c r="OTT216" s="918"/>
      <c r="OTU216" s="918"/>
      <c r="OTV216" s="918"/>
      <c r="OTW216" s="918"/>
      <c r="OTX216" s="918"/>
      <c r="OTY216" s="918"/>
      <c r="OTZ216" s="887"/>
      <c r="OUA216" s="887"/>
      <c r="OUE216" s="744"/>
      <c r="OUF216" s="744"/>
      <c r="OUG216" s="744"/>
      <c r="OUI216" s="746"/>
      <c r="OUK216" s="744"/>
      <c r="OUL216" s="744"/>
      <c r="OUM216" s="744"/>
      <c r="OUN216" s="745"/>
      <c r="OUQ216" s="918"/>
      <c r="OUR216" s="918"/>
      <c r="OUS216" s="918"/>
      <c r="OUT216" s="918"/>
      <c r="OUU216" s="918"/>
      <c r="OUV216" s="918"/>
      <c r="OUW216" s="887"/>
      <c r="OUX216" s="887"/>
      <c r="OVB216" s="744"/>
      <c r="OVC216" s="744"/>
      <c r="OVD216" s="744"/>
      <c r="OVF216" s="746"/>
      <c r="OVH216" s="744"/>
      <c r="OVI216" s="744"/>
      <c r="OVJ216" s="744"/>
      <c r="OVK216" s="745"/>
      <c r="OVN216" s="918"/>
      <c r="OVO216" s="918"/>
      <c r="OVP216" s="918"/>
      <c r="OVQ216" s="918"/>
      <c r="OVR216" s="918"/>
      <c r="OVS216" s="918"/>
      <c r="OVT216" s="887"/>
      <c r="OVU216" s="887"/>
      <c r="OVY216" s="744"/>
      <c r="OVZ216" s="744"/>
      <c r="OWA216" s="744"/>
      <c r="OWC216" s="746"/>
      <c r="OWE216" s="744"/>
      <c r="OWF216" s="744"/>
      <c r="OWG216" s="744"/>
      <c r="OWH216" s="745"/>
      <c r="OWK216" s="918"/>
      <c r="OWL216" s="918"/>
      <c r="OWM216" s="918"/>
      <c r="OWN216" s="918"/>
      <c r="OWO216" s="918"/>
      <c r="OWP216" s="918"/>
      <c r="OWQ216" s="887"/>
      <c r="OWR216" s="887"/>
      <c r="OWV216" s="744"/>
      <c r="OWW216" s="744"/>
      <c r="OWX216" s="744"/>
      <c r="OWZ216" s="746"/>
      <c r="OXB216" s="744"/>
      <c r="OXC216" s="744"/>
      <c r="OXD216" s="744"/>
      <c r="OXE216" s="745"/>
      <c r="OXH216" s="918"/>
      <c r="OXI216" s="918"/>
      <c r="OXJ216" s="918"/>
      <c r="OXK216" s="918"/>
      <c r="OXL216" s="918"/>
      <c r="OXM216" s="918"/>
      <c r="OXN216" s="887"/>
      <c r="OXO216" s="887"/>
      <c r="OXS216" s="744"/>
      <c r="OXT216" s="744"/>
      <c r="OXU216" s="744"/>
      <c r="OXW216" s="746"/>
      <c r="OXY216" s="744"/>
      <c r="OXZ216" s="744"/>
      <c r="OYA216" s="744"/>
      <c r="OYB216" s="745"/>
      <c r="OYE216" s="918"/>
      <c r="OYF216" s="918"/>
      <c r="OYG216" s="918"/>
      <c r="OYH216" s="918"/>
      <c r="OYI216" s="918"/>
      <c r="OYJ216" s="918"/>
      <c r="OYK216" s="887"/>
      <c r="OYL216" s="887"/>
      <c r="OYP216" s="744"/>
      <c r="OYQ216" s="744"/>
      <c r="OYR216" s="744"/>
      <c r="OYT216" s="746"/>
      <c r="OYV216" s="744"/>
      <c r="OYW216" s="744"/>
      <c r="OYX216" s="744"/>
      <c r="OYY216" s="745"/>
      <c r="OZB216" s="918"/>
      <c r="OZC216" s="918"/>
      <c r="OZD216" s="918"/>
      <c r="OZE216" s="918"/>
      <c r="OZF216" s="918"/>
      <c r="OZG216" s="918"/>
      <c r="OZH216" s="887"/>
      <c r="OZI216" s="887"/>
      <c r="OZM216" s="744"/>
      <c r="OZN216" s="744"/>
      <c r="OZO216" s="744"/>
      <c r="OZQ216" s="746"/>
      <c r="OZS216" s="744"/>
      <c r="OZT216" s="744"/>
      <c r="OZU216" s="744"/>
      <c r="OZV216" s="745"/>
      <c r="OZY216" s="918"/>
      <c r="OZZ216" s="918"/>
      <c r="PAA216" s="918"/>
      <c r="PAB216" s="918"/>
      <c r="PAC216" s="918"/>
      <c r="PAD216" s="918"/>
      <c r="PAE216" s="887"/>
      <c r="PAF216" s="887"/>
      <c r="PAJ216" s="744"/>
      <c r="PAK216" s="744"/>
      <c r="PAL216" s="744"/>
      <c r="PAN216" s="746"/>
      <c r="PAP216" s="744"/>
      <c r="PAQ216" s="744"/>
      <c r="PAR216" s="744"/>
      <c r="PAS216" s="745"/>
      <c r="PAV216" s="918"/>
      <c r="PAW216" s="918"/>
      <c r="PAX216" s="918"/>
      <c r="PAY216" s="918"/>
      <c r="PAZ216" s="918"/>
      <c r="PBA216" s="918"/>
      <c r="PBB216" s="887"/>
      <c r="PBC216" s="887"/>
      <c r="PBG216" s="744"/>
      <c r="PBH216" s="744"/>
      <c r="PBI216" s="744"/>
      <c r="PBK216" s="746"/>
      <c r="PBM216" s="744"/>
      <c r="PBN216" s="744"/>
      <c r="PBO216" s="744"/>
      <c r="PBP216" s="745"/>
      <c r="PBS216" s="918"/>
      <c r="PBT216" s="918"/>
      <c r="PBU216" s="918"/>
      <c r="PBV216" s="918"/>
      <c r="PBW216" s="918"/>
      <c r="PBX216" s="918"/>
      <c r="PBY216" s="887"/>
      <c r="PBZ216" s="887"/>
      <c r="PCD216" s="744"/>
      <c r="PCE216" s="744"/>
      <c r="PCF216" s="744"/>
      <c r="PCH216" s="746"/>
      <c r="PCJ216" s="744"/>
      <c r="PCK216" s="744"/>
      <c r="PCL216" s="744"/>
      <c r="PCM216" s="745"/>
      <c r="PCP216" s="918"/>
      <c r="PCQ216" s="918"/>
      <c r="PCR216" s="918"/>
      <c r="PCS216" s="918"/>
      <c r="PCT216" s="918"/>
      <c r="PCU216" s="918"/>
      <c r="PCV216" s="887"/>
      <c r="PCW216" s="887"/>
      <c r="PDA216" s="744"/>
      <c r="PDB216" s="744"/>
      <c r="PDC216" s="744"/>
      <c r="PDE216" s="746"/>
      <c r="PDG216" s="744"/>
      <c r="PDH216" s="744"/>
      <c r="PDI216" s="744"/>
      <c r="PDJ216" s="745"/>
      <c r="PDM216" s="918"/>
      <c r="PDN216" s="918"/>
      <c r="PDO216" s="918"/>
      <c r="PDP216" s="918"/>
      <c r="PDQ216" s="918"/>
      <c r="PDR216" s="918"/>
      <c r="PDS216" s="887"/>
      <c r="PDT216" s="887"/>
      <c r="PDX216" s="744"/>
      <c r="PDY216" s="744"/>
      <c r="PDZ216" s="744"/>
      <c r="PEB216" s="746"/>
      <c r="PED216" s="744"/>
      <c r="PEE216" s="744"/>
      <c r="PEF216" s="744"/>
      <c r="PEG216" s="745"/>
      <c r="PEJ216" s="918"/>
      <c r="PEK216" s="918"/>
      <c r="PEL216" s="918"/>
      <c r="PEM216" s="918"/>
      <c r="PEN216" s="918"/>
      <c r="PEO216" s="918"/>
      <c r="PEP216" s="887"/>
      <c r="PEQ216" s="887"/>
      <c r="PEU216" s="744"/>
      <c r="PEV216" s="744"/>
      <c r="PEW216" s="744"/>
      <c r="PEY216" s="746"/>
      <c r="PFA216" s="744"/>
      <c r="PFB216" s="744"/>
      <c r="PFC216" s="744"/>
      <c r="PFD216" s="745"/>
      <c r="PFG216" s="918"/>
      <c r="PFH216" s="918"/>
      <c r="PFI216" s="918"/>
      <c r="PFJ216" s="918"/>
      <c r="PFK216" s="918"/>
      <c r="PFL216" s="918"/>
      <c r="PFM216" s="887"/>
      <c r="PFN216" s="887"/>
      <c r="PFR216" s="744"/>
      <c r="PFS216" s="744"/>
      <c r="PFT216" s="744"/>
      <c r="PFV216" s="746"/>
      <c r="PFX216" s="744"/>
      <c r="PFY216" s="744"/>
      <c r="PFZ216" s="744"/>
      <c r="PGA216" s="745"/>
      <c r="PGD216" s="918"/>
      <c r="PGE216" s="918"/>
      <c r="PGF216" s="918"/>
      <c r="PGG216" s="918"/>
      <c r="PGH216" s="918"/>
      <c r="PGI216" s="918"/>
      <c r="PGJ216" s="887"/>
      <c r="PGK216" s="887"/>
      <c r="PGO216" s="744"/>
      <c r="PGP216" s="744"/>
      <c r="PGQ216" s="744"/>
      <c r="PGS216" s="746"/>
      <c r="PGU216" s="744"/>
      <c r="PGV216" s="744"/>
      <c r="PGW216" s="744"/>
      <c r="PGX216" s="745"/>
      <c r="PHA216" s="918"/>
      <c r="PHB216" s="918"/>
      <c r="PHC216" s="918"/>
      <c r="PHD216" s="918"/>
      <c r="PHE216" s="918"/>
      <c r="PHF216" s="918"/>
      <c r="PHG216" s="887"/>
      <c r="PHH216" s="887"/>
      <c r="PHL216" s="744"/>
      <c r="PHM216" s="744"/>
      <c r="PHN216" s="744"/>
      <c r="PHP216" s="746"/>
      <c r="PHR216" s="744"/>
      <c r="PHS216" s="744"/>
      <c r="PHT216" s="744"/>
      <c r="PHU216" s="745"/>
      <c r="PHX216" s="918"/>
      <c r="PHY216" s="918"/>
      <c r="PHZ216" s="918"/>
      <c r="PIA216" s="918"/>
      <c r="PIB216" s="918"/>
      <c r="PIC216" s="918"/>
      <c r="PID216" s="887"/>
      <c r="PIE216" s="887"/>
      <c r="PII216" s="744"/>
      <c r="PIJ216" s="744"/>
      <c r="PIK216" s="744"/>
      <c r="PIM216" s="746"/>
      <c r="PIO216" s="744"/>
      <c r="PIP216" s="744"/>
      <c r="PIQ216" s="744"/>
      <c r="PIR216" s="745"/>
      <c r="PIU216" s="918"/>
      <c r="PIV216" s="918"/>
      <c r="PIW216" s="918"/>
      <c r="PIX216" s="918"/>
      <c r="PIY216" s="918"/>
      <c r="PIZ216" s="918"/>
      <c r="PJA216" s="887"/>
      <c r="PJB216" s="887"/>
      <c r="PJF216" s="744"/>
      <c r="PJG216" s="744"/>
      <c r="PJH216" s="744"/>
      <c r="PJJ216" s="746"/>
      <c r="PJL216" s="744"/>
      <c r="PJM216" s="744"/>
      <c r="PJN216" s="744"/>
      <c r="PJO216" s="745"/>
      <c r="PJR216" s="918"/>
      <c r="PJS216" s="918"/>
      <c r="PJT216" s="918"/>
      <c r="PJU216" s="918"/>
      <c r="PJV216" s="918"/>
      <c r="PJW216" s="918"/>
      <c r="PJX216" s="887"/>
      <c r="PJY216" s="887"/>
      <c r="PKC216" s="744"/>
      <c r="PKD216" s="744"/>
      <c r="PKE216" s="744"/>
      <c r="PKG216" s="746"/>
      <c r="PKI216" s="744"/>
      <c r="PKJ216" s="744"/>
      <c r="PKK216" s="744"/>
      <c r="PKL216" s="745"/>
      <c r="PKO216" s="918"/>
      <c r="PKP216" s="918"/>
      <c r="PKQ216" s="918"/>
      <c r="PKR216" s="918"/>
      <c r="PKS216" s="918"/>
      <c r="PKT216" s="918"/>
      <c r="PKU216" s="887"/>
      <c r="PKV216" s="887"/>
      <c r="PKZ216" s="744"/>
      <c r="PLA216" s="744"/>
      <c r="PLB216" s="744"/>
      <c r="PLD216" s="746"/>
      <c r="PLF216" s="744"/>
      <c r="PLG216" s="744"/>
      <c r="PLH216" s="744"/>
      <c r="PLI216" s="745"/>
      <c r="PLL216" s="918"/>
      <c r="PLM216" s="918"/>
      <c r="PLN216" s="918"/>
      <c r="PLO216" s="918"/>
      <c r="PLP216" s="918"/>
      <c r="PLQ216" s="918"/>
      <c r="PLR216" s="887"/>
      <c r="PLS216" s="887"/>
      <c r="PLW216" s="744"/>
      <c r="PLX216" s="744"/>
      <c r="PLY216" s="744"/>
      <c r="PMA216" s="746"/>
      <c r="PMC216" s="744"/>
      <c r="PMD216" s="744"/>
      <c r="PME216" s="744"/>
      <c r="PMF216" s="745"/>
      <c r="PMI216" s="918"/>
      <c r="PMJ216" s="918"/>
      <c r="PMK216" s="918"/>
      <c r="PML216" s="918"/>
      <c r="PMM216" s="918"/>
      <c r="PMN216" s="918"/>
      <c r="PMO216" s="887"/>
      <c r="PMP216" s="887"/>
      <c r="PMT216" s="744"/>
      <c r="PMU216" s="744"/>
      <c r="PMV216" s="744"/>
      <c r="PMX216" s="746"/>
      <c r="PMZ216" s="744"/>
      <c r="PNA216" s="744"/>
      <c r="PNB216" s="744"/>
      <c r="PNC216" s="745"/>
      <c r="PNF216" s="918"/>
      <c r="PNG216" s="918"/>
      <c r="PNH216" s="918"/>
      <c r="PNI216" s="918"/>
      <c r="PNJ216" s="918"/>
      <c r="PNK216" s="918"/>
      <c r="PNL216" s="887"/>
      <c r="PNM216" s="887"/>
      <c r="PNQ216" s="744"/>
      <c r="PNR216" s="744"/>
      <c r="PNS216" s="744"/>
      <c r="PNU216" s="746"/>
      <c r="PNW216" s="744"/>
      <c r="PNX216" s="744"/>
      <c r="PNY216" s="744"/>
      <c r="PNZ216" s="745"/>
      <c r="POC216" s="918"/>
      <c r="POD216" s="918"/>
      <c r="POE216" s="918"/>
      <c r="POF216" s="918"/>
      <c r="POG216" s="918"/>
      <c r="POH216" s="918"/>
      <c r="POI216" s="887"/>
      <c r="POJ216" s="887"/>
      <c r="PON216" s="744"/>
      <c r="POO216" s="744"/>
      <c r="POP216" s="744"/>
      <c r="POR216" s="746"/>
      <c r="POT216" s="744"/>
      <c r="POU216" s="744"/>
      <c r="POV216" s="744"/>
      <c r="POW216" s="745"/>
      <c r="POZ216" s="918"/>
      <c r="PPA216" s="918"/>
      <c r="PPB216" s="918"/>
      <c r="PPC216" s="918"/>
      <c r="PPD216" s="918"/>
      <c r="PPE216" s="918"/>
      <c r="PPF216" s="887"/>
      <c r="PPG216" s="887"/>
      <c r="PPK216" s="744"/>
      <c r="PPL216" s="744"/>
      <c r="PPM216" s="744"/>
      <c r="PPO216" s="746"/>
      <c r="PPQ216" s="744"/>
      <c r="PPR216" s="744"/>
      <c r="PPS216" s="744"/>
      <c r="PPT216" s="745"/>
      <c r="PPW216" s="918"/>
      <c r="PPX216" s="918"/>
      <c r="PPY216" s="918"/>
      <c r="PPZ216" s="918"/>
      <c r="PQA216" s="918"/>
      <c r="PQB216" s="918"/>
      <c r="PQC216" s="887"/>
      <c r="PQD216" s="887"/>
      <c r="PQH216" s="744"/>
      <c r="PQI216" s="744"/>
      <c r="PQJ216" s="744"/>
      <c r="PQL216" s="746"/>
      <c r="PQN216" s="744"/>
      <c r="PQO216" s="744"/>
      <c r="PQP216" s="744"/>
      <c r="PQQ216" s="745"/>
      <c r="PQT216" s="918"/>
      <c r="PQU216" s="918"/>
      <c r="PQV216" s="918"/>
      <c r="PQW216" s="918"/>
      <c r="PQX216" s="918"/>
      <c r="PQY216" s="918"/>
      <c r="PQZ216" s="887"/>
      <c r="PRA216" s="887"/>
      <c r="PRE216" s="744"/>
      <c r="PRF216" s="744"/>
      <c r="PRG216" s="744"/>
      <c r="PRI216" s="746"/>
      <c r="PRK216" s="744"/>
      <c r="PRL216" s="744"/>
      <c r="PRM216" s="744"/>
      <c r="PRN216" s="745"/>
      <c r="PRQ216" s="918"/>
      <c r="PRR216" s="918"/>
      <c r="PRS216" s="918"/>
      <c r="PRT216" s="918"/>
      <c r="PRU216" s="918"/>
      <c r="PRV216" s="918"/>
      <c r="PRW216" s="887"/>
      <c r="PRX216" s="887"/>
      <c r="PSB216" s="744"/>
      <c r="PSC216" s="744"/>
      <c r="PSD216" s="744"/>
      <c r="PSF216" s="746"/>
      <c r="PSH216" s="744"/>
      <c r="PSI216" s="744"/>
      <c r="PSJ216" s="744"/>
      <c r="PSK216" s="745"/>
      <c r="PSN216" s="918"/>
      <c r="PSO216" s="918"/>
      <c r="PSP216" s="918"/>
      <c r="PSQ216" s="918"/>
      <c r="PSR216" s="918"/>
      <c r="PSS216" s="918"/>
      <c r="PST216" s="887"/>
      <c r="PSU216" s="887"/>
      <c r="PSY216" s="744"/>
      <c r="PSZ216" s="744"/>
      <c r="PTA216" s="744"/>
      <c r="PTC216" s="746"/>
      <c r="PTE216" s="744"/>
      <c r="PTF216" s="744"/>
      <c r="PTG216" s="744"/>
      <c r="PTH216" s="745"/>
      <c r="PTK216" s="918"/>
      <c r="PTL216" s="918"/>
      <c r="PTM216" s="918"/>
      <c r="PTN216" s="918"/>
      <c r="PTO216" s="918"/>
      <c r="PTP216" s="918"/>
      <c r="PTQ216" s="887"/>
      <c r="PTR216" s="887"/>
      <c r="PTV216" s="744"/>
      <c r="PTW216" s="744"/>
      <c r="PTX216" s="744"/>
      <c r="PTZ216" s="746"/>
      <c r="PUB216" s="744"/>
      <c r="PUC216" s="744"/>
      <c r="PUD216" s="744"/>
      <c r="PUE216" s="745"/>
      <c r="PUH216" s="918"/>
      <c r="PUI216" s="918"/>
      <c r="PUJ216" s="918"/>
      <c r="PUK216" s="918"/>
      <c r="PUL216" s="918"/>
      <c r="PUM216" s="918"/>
      <c r="PUN216" s="887"/>
      <c r="PUO216" s="887"/>
      <c r="PUS216" s="744"/>
      <c r="PUT216" s="744"/>
      <c r="PUU216" s="744"/>
      <c r="PUW216" s="746"/>
      <c r="PUY216" s="744"/>
      <c r="PUZ216" s="744"/>
      <c r="PVA216" s="744"/>
      <c r="PVB216" s="745"/>
      <c r="PVE216" s="918"/>
      <c r="PVF216" s="918"/>
      <c r="PVG216" s="918"/>
      <c r="PVH216" s="918"/>
      <c r="PVI216" s="918"/>
      <c r="PVJ216" s="918"/>
      <c r="PVK216" s="887"/>
      <c r="PVL216" s="887"/>
      <c r="PVP216" s="744"/>
      <c r="PVQ216" s="744"/>
      <c r="PVR216" s="744"/>
      <c r="PVT216" s="746"/>
      <c r="PVV216" s="744"/>
      <c r="PVW216" s="744"/>
      <c r="PVX216" s="744"/>
      <c r="PVY216" s="745"/>
      <c r="PWB216" s="918"/>
      <c r="PWC216" s="918"/>
      <c r="PWD216" s="918"/>
      <c r="PWE216" s="918"/>
      <c r="PWF216" s="918"/>
      <c r="PWG216" s="918"/>
      <c r="PWH216" s="887"/>
      <c r="PWI216" s="887"/>
      <c r="PWM216" s="744"/>
      <c r="PWN216" s="744"/>
      <c r="PWO216" s="744"/>
      <c r="PWQ216" s="746"/>
      <c r="PWS216" s="744"/>
      <c r="PWT216" s="744"/>
      <c r="PWU216" s="744"/>
      <c r="PWV216" s="745"/>
      <c r="PWY216" s="918"/>
      <c r="PWZ216" s="918"/>
      <c r="PXA216" s="918"/>
      <c r="PXB216" s="918"/>
      <c r="PXC216" s="918"/>
      <c r="PXD216" s="918"/>
      <c r="PXE216" s="887"/>
      <c r="PXF216" s="887"/>
      <c r="PXJ216" s="744"/>
      <c r="PXK216" s="744"/>
      <c r="PXL216" s="744"/>
      <c r="PXN216" s="746"/>
      <c r="PXP216" s="744"/>
      <c r="PXQ216" s="744"/>
      <c r="PXR216" s="744"/>
      <c r="PXS216" s="745"/>
      <c r="PXV216" s="918"/>
      <c r="PXW216" s="918"/>
      <c r="PXX216" s="918"/>
      <c r="PXY216" s="918"/>
      <c r="PXZ216" s="918"/>
      <c r="PYA216" s="918"/>
      <c r="PYB216" s="887"/>
      <c r="PYC216" s="887"/>
      <c r="PYG216" s="744"/>
      <c r="PYH216" s="744"/>
      <c r="PYI216" s="744"/>
      <c r="PYK216" s="746"/>
      <c r="PYM216" s="744"/>
      <c r="PYN216" s="744"/>
      <c r="PYO216" s="744"/>
      <c r="PYP216" s="745"/>
      <c r="PYS216" s="918"/>
      <c r="PYT216" s="918"/>
      <c r="PYU216" s="918"/>
      <c r="PYV216" s="918"/>
      <c r="PYW216" s="918"/>
      <c r="PYX216" s="918"/>
      <c r="PYY216" s="887"/>
      <c r="PYZ216" s="887"/>
      <c r="PZD216" s="744"/>
      <c r="PZE216" s="744"/>
      <c r="PZF216" s="744"/>
      <c r="PZH216" s="746"/>
      <c r="PZJ216" s="744"/>
      <c r="PZK216" s="744"/>
      <c r="PZL216" s="744"/>
      <c r="PZM216" s="745"/>
      <c r="PZP216" s="918"/>
      <c r="PZQ216" s="918"/>
      <c r="PZR216" s="918"/>
      <c r="PZS216" s="918"/>
      <c r="PZT216" s="918"/>
      <c r="PZU216" s="918"/>
      <c r="PZV216" s="887"/>
      <c r="PZW216" s="887"/>
      <c r="QAA216" s="744"/>
      <c r="QAB216" s="744"/>
      <c r="QAC216" s="744"/>
      <c r="QAE216" s="746"/>
      <c r="QAG216" s="744"/>
      <c r="QAH216" s="744"/>
      <c r="QAI216" s="744"/>
      <c r="QAJ216" s="745"/>
      <c r="QAM216" s="918"/>
      <c r="QAN216" s="918"/>
      <c r="QAO216" s="918"/>
      <c r="QAP216" s="918"/>
      <c r="QAQ216" s="918"/>
      <c r="QAR216" s="918"/>
      <c r="QAS216" s="887"/>
      <c r="QAT216" s="887"/>
      <c r="QAX216" s="744"/>
      <c r="QAY216" s="744"/>
      <c r="QAZ216" s="744"/>
      <c r="QBB216" s="746"/>
      <c r="QBD216" s="744"/>
      <c r="QBE216" s="744"/>
      <c r="QBF216" s="744"/>
      <c r="QBG216" s="745"/>
      <c r="QBJ216" s="918"/>
      <c r="QBK216" s="918"/>
      <c r="QBL216" s="918"/>
      <c r="QBM216" s="918"/>
      <c r="QBN216" s="918"/>
      <c r="QBO216" s="918"/>
      <c r="QBP216" s="887"/>
      <c r="QBQ216" s="887"/>
      <c r="QBU216" s="744"/>
      <c r="QBV216" s="744"/>
      <c r="QBW216" s="744"/>
      <c r="QBY216" s="746"/>
      <c r="QCA216" s="744"/>
      <c r="QCB216" s="744"/>
      <c r="QCC216" s="744"/>
      <c r="QCD216" s="745"/>
      <c r="QCG216" s="918"/>
      <c r="QCH216" s="918"/>
      <c r="QCI216" s="918"/>
      <c r="QCJ216" s="918"/>
      <c r="QCK216" s="918"/>
      <c r="QCL216" s="918"/>
      <c r="QCM216" s="887"/>
      <c r="QCN216" s="887"/>
      <c r="QCR216" s="744"/>
      <c r="QCS216" s="744"/>
      <c r="QCT216" s="744"/>
      <c r="QCV216" s="746"/>
      <c r="QCX216" s="744"/>
      <c r="QCY216" s="744"/>
      <c r="QCZ216" s="744"/>
      <c r="QDA216" s="745"/>
      <c r="QDD216" s="918"/>
      <c r="QDE216" s="918"/>
      <c r="QDF216" s="918"/>
      <c r="QDG216" s="918"/>
      <c r="QDH216" s="918"/>
      <c r="QDI216" s="918"/>
      <c r="QDJ216" s="887"/>
      <c r="QDK216" s="887"/>
      <c r="QDO216" s="744"/>
      <c r="QDP216" s="744"/>
      <c r="QDQ216" s="744"/>
      <c r="QDS216" s="746"/>
      <c r="QDU216" s="744"/>
      <c r="QDV216" s="744"/>
      <c r="QDW216" s="744"/>
      <c r="QDX216" s="745"/>
      <c r="QEA216" s="918"/>
      <c r="QEB216" s="918"/>
      <c r="QEC216" s="918"/>
      <c r="QED216" s="918"/>
      <c r="QEE216" s="918"/>
      <c r="QEF216" s="918"/>
      <c r="QEG216" s="887"/>
      <c r="QEH216" s="887"/>
      <c r="QEL216" s="744"/>
      <c r="QEM216" s="744"/>
      <c r="QEN216" s="744"/>
      <c r="QEP216" s="746"/>
      <c r="QER216" s="744"/>
      <c r="QES216" s="744"/>
      <c r="QET216" s="744"/>
      <c r="QEU216" s="745"/>
      <c r="QEX216" s="918"/>
      <c r="QEY216" s="918"/>
      <c r="QEZ216" s="918"/>
      <c r="QFA216" s="918"/>
      <c r="QFB216" s="918"/>
      <c r="QFC216" s="918"/>
      <c r="QFD216" s="887"/>
      <c r="QFE216" s="887"/>
      <c r="QFI216" s="744"/>
      <c r="QFJ216" s="744"/>
      <c r="QFK216" s="744"/>
      <c r="QFM216" s="746"/>
      <c r="QFO216" s="744"/>
      <c r="QFP216" s="744"/>
      <c r="QFQ216" s="744"/>
      <c r="QFR216" s="745"/>
      <c r="QFU216" s="918"/>
      <c r="QFV216" s="918"/>
      <c r="QFW216" s="918"/>
      <c r="QFX216" s="918"/>
      <c r="QFY216" s="918"/>
      <c r="QFZ216" s="918"/>
      <c r="QGA216" s="887"/>
      <c r="QGB216" s="887"/>
      <c r="QGF216" s="744"/>
      <c r="QGG216" s="744"/>
      <c r="QGH216" s="744"/>
      <c r="QGJ216" s="746"/>
      <c r="QGL216" s="744"/>
      <c r="QGM216" s="744"/>
      <c r="QGN216" s="744"/>
      <c r="QGO216" s="745"/>
      <c r="QGR216" s="918"/>
      <c r="QGS216" s="918"/>
      <c r="QGT216" s="918"/>
      <c r="QGU216" s="918"/>
      <c r="QGV216" s="918"/>
      <c r="QGW216" s="918"/>
      <c r="QGX216" s="887"/>
      <c r="QGY216" s="887"/>
      <c r="QHC216" s="744"/>
      <c r="QHD216" s="744"/>
      <c r="QHE216" s="744"/>
      <c r="QHG216" s="746"/>
      <c r="QHI216" s="744"/>
      <c r="QHJ216" s="744"/>
      <c r="QHK216" s="744"/>
      <c r="QHL216" s="745"/>
      <c r="QHO216" s="918"/>
      <c r="QHP216" s="918"/>
      <c r="QHQ216" s="918"/>
      <c r="QHR216" s="918"/>
      <c r="QHS216" s="918"/>
      <c r="QHT216" s="918"/>
      <c r="QHU216" s="887"/>
      <c r="QHV216" s="887"/>
      <c r="QHZ216" s="744"/>
      <c r="QIA216" s="744"/>
      <c r="QIB216" s="744"/>
      <c r="QID216" s="746"/>
      <c r="QIF216" s="744"/>
      <c r="QIG216" s="744"/>
      <c r="QIH216" s="744"/>
      <c r="QII216" s="745"/>
      <c r="QIL216" s="918"/>
      <c r="QIM216" s="918"/>
      <c r="QIN216" s="918"/>
      <c r="QIO216" s="918"/>
      <c r="QIP216" s="918"/>
      <c r="QIQ216" s="918"/>
      <c r="QIR216" s="887"/>
      <c r="QIS216" s="887"/>
      <c r="QIW216" s="744"/>
      <c r="QIX216" s="744"/>
      <c r="QIY216" s="744"/>
      <c r="QJA216" s="746"/>
      <c r="QJC216" s="744"/>
      <c r="QJD216" s="744"/>
      <c r="QJE216" s="744"/>
      <c r="QJF216" s="745"/>
      <c r="QJI216" s="918"/>
      <c r="QJJ216" s="918"/>
      <c r="QJK216" s="918"/>
      <c r="QJL216" s="918"/>
      <c r="QJM216" s="918"/>
      <c r="QJN216" s="918"/>
      <c r="QJO216" s="887"/>
      <c r="QJP216" s="887"/>
      <c r="QJT216" s="744"/>
      <c r="QJU216" s="744"/>
      <c r="QJV216" s="744"/>
      <c r="QJX216" s="746"/>
      <c r="QJZ216" s="744"/>
      <c r="QKA216" s="744"/>
      <c r="QKB216" s="744"/>
      <c r="QKC216" s="745"/>
      <c r="QKF216" s="918"/>
      <c r="QKG216" s="918"/>
      <c r="QKH216" s="918"/>
      <c r="QKI216" s="918"/>
      <c r="QKJ216" s="918"/>
      <c r="QKK216" s="918"/>
      <c r="QKL216" s="887"/>
      <c r="QKM216" s="887"/>
      <c r="QKQ216" s="744"/>
      <c r="QKR216" s="744"/>
      <c r="QKS216" s="744"/>
      <c r="QKU216" s="746"/>
      <c r="QKW216" s="744"/>
      <c r="QKX216" s="744"/>
      <c r="QKY216" s="744"/>
      <c r="QKZ216" s="745"/>
      <c r="QLC216" s="918"/>
      <c r="QLD216" s="918"/>
      <c r="QLE216" s="918"/>
      <c r="QLF216" s="918"/>
      <c r="QLG216" s="918"/>
      <c r="QLH216" s="918"/>
      <c r="QLI216" s="887"/>
      <c r="QLJ216" s="887"/>
      <c r="QLN216" s="744"/>
      <c r="QLO216" s="744"/>
      <c r="QLP216" s="744"/>
      <c r="QLR216" s="746"/>
      <c r="QLT216" s="744"/>
      <c r="QLU216" s="744"/>
      <c r="QLV216" s="744"/>
      <c r="QLW216" s="745"/>
      <c r="QLZ216" s="918"/>
      <c r="QMA216" s="918"/>
      <c r="QMB216" s="918"/>
      <c r="QMC216" s="918"/>
      <c r="QMD216" s="918"/>
      <c r="QME216" s="918"/>
      <c r="QMF216" s="887"/>
      <c r="QMG216" s="887"/>
      <c r="QMK216" s="744"/>
      <c r="QML216" s="744"/>
      <c r="QMM216" s="744"/>
      <c r="QMO216" s="746"/>
      <c r="QMQ216" s="744"/>
      <c r="QMR216" s="744"/>
      <c r="QMS216" s="744"/>
      <c r="QMT216" s="745"/>
      <c r="QMW216" s="918"/>
      <c r="QMX216" s="918"/>
      <c r="QMY216" s="918"/>
      <c r="QMZ216" s="918"/>
      <c r="QNA216" s="918"/>
      <c r="QNB216" s="918"/>
      <c r="QNC216" s="887"/>
      <c r="QND216" s="887"/>
      <c r="QNH216" s="744"/>
      <c r="QNI216" s="744"/>
      <c r="QNJ216" s="744"/>
      <c r="QNL216" s="746"/>
      <c r="QNN216" s="744"/>
      <c r="QNO216" s="744"/>
      <c r="QNP216" s="744"/>
      <c r="QNQ216" s="745"/>
      <c r="QNT216" s="918"/>
      <c r="QNU216" s="918"/>
      <c r="QNV216" s="918"/>
      <c r="QNW216" s="918"/>
      <c r="QNX216" s="918"/>
      <c r="QNY216" s="918"/>
      <c r="QNZ216" s="887"/>
      <c r="QOA216" s="887"/>
      <c r="QOE216" s="744"/>
      <c r="QOF216" s="744"/>
      <c r="QOG216" s="744"/>
      <c r="QOI216" s="746"/>
      <c r="QOK216" s="744"/>
      <c r="QOL216" s="744"/>
      <c r="QOM216" s="744"/>
      <c r="QON216" s="745"/>
      <c r="QOQ216" s="918"/>
      <c r="QOR216" s="918"/>
      <c r="QOS216" s="918"/>
      <c r="QOT216" s="918"/>
      <c r="QOU216" s="918"/>
      <c r="QOV216" s="918"/>
      <c r="QOW216" s="887"/>
      <c r="QOX216" s="887"/>
      <c r="QPB216" s="744"/>
      <c r="QPC216" s="744"/>
      <c r="QPD216" s="744"/>
      <c r="QPF216" s="746"/>
      <c r="QPH216" s="744"/>
      <c r="QPI216" s="744"/>
      <c r="QPJ216" s="744"/>
      <c r="QPK216" s="745"/>
      <c r="QPN216" s="918"/>
      <c r="QPO216" s="918"/>
      <c r="QPP216" s="918"/>
      <c r="QPQ216" s="918"/>
      <c r="QPR216" s="918"/>
      <c r="QPS216" s="918"/>
      <c r="QPT216" s="887"/>
      <c r="QPU216" s="887"/>
      <c r="QPY216" s="744"/>
      <c r="QPZ216" s="744"/>
      <c r="QQA216" s="744"/>
      <c r="QQC216" s="746"/>
      <c r="QQE216" s="744"/>
      <c r="QQF216" s="744"/>
      <c r="QQG216" s="744"/>
      <c r="QQH216" s="745"/>
      <c r="QQK216" s="918"/>
      <c r="QQL216" s="918"/>
      <c r="QQM216" s="918"/>
      <c r="QQN216" s="918"/>
      <c r="QQO216" s="918"/>
      <c r="QQP216" s="918"/>
      <c r="QQQ216" s="887"/>
      <c r="QQR216" s="887"/>
      <c r="QQV216" s="744"/>
      <c r="QQW216" s="744"/>
      <c r="QQX216" s="744"/>
      <c r="QQZ216" s="746"/>
      <c r="QRB216" s="744"/>
      <c r="QRC216" s="744"/>
      <c r="QRD216" s="744"/>
      <c r="QRE216" s="745"/>
      <c r="QRH216" s="918"/>
      <c r="QRI216" s="918"/>
      <c r="QRJ216" s="918"/>
      <c r="QRK216" s="918"/>
      <c r="QRL216" s="918"/>
      <c r="QRM216" s="918"/>
      <c r="QRN216" s="887"/>
      <c r="QRO216" s="887"/>
      <c r="QRS216" s="744"/>
      <c r="QRT216" s="744"/>
      <c r="QRU216" s="744"/>
      <c r="QRW216" s="746"/>
      <c r="QRY216" s="744"/>
      <c r="QRZ216" s="744"/>
      <c r="QSA216" s="744"/>
      <c r="QSB216" s="745"/>
      <c r="QSE216" s="918"/>
      <c r="QSF216" s="918"/>
      <c r="QSG216" s="918"/>
      <c r="QSH216" s="918"/>
      <c r="QSI216" s="918"/>
      <c r="QSJ216" s="918"/>
      <c r="QSK216" s="887"/>
      <c r="QSL216" s="887"/>
      <c r="QSP216" s="744"/>
      <c r="QSQ216" s="744"/>
      <c r="QSR216" s="744"/>
      <c r="QST216" s="746"/>
      <c r="QSV216" s="744"/>
      <c r="QSW216" s="744"/>
      <c r="QSX216" s="744"/>
      <c r="QSY216" s="745"/>
      <c r="QTB216" s="918"/>
      <c r="QTC216" s="918"/>
      <c r="QTD216" s="918"/>
      <c r="QTE216" s="918"/>
      <c r="QTF216" s="918"/>
      <c r="QTG216" s="918"/>
      <c r="QTH216" s="887"/>
      <c r="QTI216" s="887"/>
      <c r="QTM216" s="744"/>
      <c r="QTN216" s="744"/>
      <c r="QTO216" s="744"/>
      <c r="QTQ216" s="746"/>
      <c r="QTS216" s="744"/>
      <c r="QTT216" s="744"/>
      <c r="QTU216" s="744"/>
      <c r="QTV216" s="745"/>
      <c r="QTY216" s="918"/>
      <c r="QTZ216" s="918"/>
      <c r="QUA216" s="918"/>
      <c r="QUB216" s="918"/>
      <c r="QUC216" s="918"/>
      <c r="QUD216" s="918"/>
      <c r="QUE216" s="887"/>
      <c r="QUF216" s="887"/>
      <c r="QUJ216" s="744"/>
      <c r="QUK216" s="744"/>
      <c r="QUL216" s="744"/>
      <c r="QUN216" s="746"/>
      <c r="QUP216" s="744"/>
      <c r="QUQ216" s="744"/>
      <c r="QUR216" s="744"/>
      <c r="QUS216" s="745"/>
      <c r="QUV216" s="918"/>
      <c r="QUW216" s="918"/>
      <c r="QUX216" s="918"/>
      <c r="QUY216" s="918"/>
      <c r="QUZ216" s="918"/>
      <c r="QVA216" s="918"/>
      <c r="QVB216" s="887"/>
      <c r="QVC216" s="887"/>
      <c r="QVG216" s="744"/>
      <c r="QVH216" s="744"/>
      <c r="QVI216" s="744"/>
      <c r="QVK216" s="746"/>
      <c r="QVM216" s="744"/>
      <c r="QVN216" s="744"/>
      <c r="QVO216" s="744"/>
      <c r="QVP216" s="745"/>
      <c r="QVS216" s="918"/>
      <c r="QVT216" s="918"/>
      <c r="QVU216" s="918"/>
      <c r="QVV216" s="918"/>
      <c r="QVW216" s="918"/>
      <c r="QVX216" s="918"/>
      <c r="QVY216" s="887"/>
      <c r="QVZ216" s="887"/>
      <c r="QWD216" s="744"/>
      <c r="QWE216" s="744"/>
      <c r="QWF216" s="744"/>
      <c r="QWH216" s="746"/>
      <c r="QWJ216" s="744"/>
      <c r="QWK216" s="744"/>
      <c r="QWL216" s="744"/>
      <c r="QWM216" s="745"/>
      <c r="QWP216" s="918"/>
      <c r="QWQ216" s="918"/>
      <c r="QWR216" s="918"/>
      <c r="QWS216" s="918"/>
      <c r="QWT216" s="918"/>
      <c r="QWU216" s="918"/>
      <c r="QWV216" s="887"/>
      <c r="QWW216" s="887"/>
      <c r="QXA216" s="744"/>
      <c r="QXB216" s="744"/>
      <c r="QXC216" s="744"/>
      <c r="QXE216" s="746"/>
      <c r="QXG216" s="744"/>
      <c r="QXH216" s="744"/>
      <c r="QXI216" s="744"/>
      <c r="QXJ216" s="745"/>
      <c r="QXM216" s="918"/>
      <c r="QXN216" s="918"/>
      <c r="QXO216" s="918"/>
      <c r="QXP216" s="918"/>
      <c r="QXQ216" s="918"/>
      <c r="QXR216" s="918"/>
      <c r="QXS216" s="887"/>
      <c r="QXT216" s="887"/>
      <c r="QXX216" s="744"/>
      <c r="QXY216" s="744"/>
      <c r="QXZ216" s="744"/>
      <c r="QYB216" s="746"/>
      <c r="QYD216" s="744"/>
      <c r="QYE216" s="744"/>
      <c r="QYF216" s="744"/>
      <c r="QYG216" s="745"/>
      <c r="QYJ216" s="918"/>
      <c r="QYK216" s="918"/>
      <c r="QYL216" s="918"/>
      <c r="QYM216" s="918"/>
      <c r="QYN216" s="918"/>
      <c r="QYO216" s="918"/>
      <c r="QYP216" s="887"/>
      <c r="QYQ216" s="887"/>
      <c r="QYU216" s="744"/>
      <c r="QYV216" s="744"/>
      <c r="QYW216" s="744"/>
      <c r="QYY216" s="746"/>
      <c r="QZA216" s="744"/>
      <c r="QZB216" s="744"/>
      <c r="QZC216" s="744"/>
      <c r="QZD216" s="745"/>
      <c r="QZG216" s="918"/>
      <c r="QZH216" s="918"/>
      <c r="QZI216" s="918"/>
      <c r="QZJ216" s="918"/>
      <c r="QZK216" s="918"/>
      <c r="QZL216" s="918"/>
      <c r="QZM216" s="887"/>
      <c r="QZN216" s="887"/>
      <c r="QZR216" s="744"/>
      <c r="QZS216" s="744"/>
      <c r="QZT216" s="744"/>
      <c r="QZV216" s="746"/>
      <c r="QZX216" s="744"/>
      <c r="QZY216" s="744"/>
      <c r="QZZ216" s="744"/>
      <c r="RAA216" s="745"/>
      <c r="RAD216" s="918"/>
      <c r="RAE216" s="918"/>
      <c r="RAF216" s="918"/>
      <c r="RAG216" s="918"/>
      <c r="RAH216" s="918"/>
      <c r="RAI216" s="918"/>
      <c r="RAJ216" s="887"/>
      <c r="RAK216" s="887"/>
      <c r="RAO216" s="744"/>
      <c r="RAP216" s="744"/>
      <c r="RAQ216" s="744"/>
      <c r="RAS216" s="746"/>
      <c r="RAU216" s="744"/>
      <c r="RAV216" s="744"/>
      <c r="RAW216" s="744"/>
      <c r="RAX216" s="745"/>
      <c r="RBA216" s="918"/>
      <c r="RBB216" s="918"/>
      <c r="RBC216" s="918"/>
      <c r="RBD216" s="918"/>
      <c r="RBE216" s="918"/>
      <c r="RBF216" s="918"/>
      <c r="RBG216" s="887"/>
      <c r="RBH216" s="887"/>
      <c r="RBL216" s="744"/>
      <c r="RBM216" s="744"/>
      <c r="RBN216" s="744"/>
      <c r="RBP216" s="746"/>
      <c r="RBR216" s="744"/>
      <c r="RBS216" s="744"/>
      <c r="RBT216" s="744"/>
      <c r="RBU216" s="745"/>
      <c r="RBX216" s="918"/>
      <c r="RBY216" s="918"/>
      <c r="RBZ216" s="918"/>
      <c r="RCA216" s="918"/>
      <c r="RCB216" s="918"/>
      <c r="RCC216" s="918"/>
      <c r="RCD216" s="887"/>
      <c r="RCE216" s="887"/>
      <c r="RCI216" s="744"/>
      <c r="RCJ216" s="744"/>
      <c r="RCK216" s="744"/>
      <c r="RCM216" s="746"/>
      <c r="RCO216" s="744"/>
      <c r="RCP216" s="744"/>
      <c r="RCQ216" s="744"/>
      <c r="RCR216" s="745"/>
      <c r="RCU216" s="918"/>
      <c r="RCV216" s="918"/>
      <c r="RCW216" s="918"/>
      <c r="RCX216" s="918"/>
      <c r="RCY216" s="918"/>
      <c r="RCZ216" s="918"/>
      <c r="RDA216" s="887"/>
      <c r="RDB216" s="887"/>
      <c r="RDF216" s="744"/>
      <c r="RDG216" s="744"/>
      <c r="RDH216" s="744"/>
      <c r="RDJ216" s="746"/>
      <c r="RDL216" s="744"/>
      <c r="RDM216" s="744"/>
      <c r="RDN216" s="744"/>
      <c r="RDO216" s="745"/>
      <c r="RDR216" s="918"/>
      <c r="RDS216" s="918"/>
      <c r="RDT216" s="918"/>
      <c r="RDU216" s="918"/>
      <c r="RDV216" s="918"/>
      <c r="RDW216" s="918"/>
      <c r="RDX216" s="887"/>
      <c r="RDY216" s="887"/>
      <c r="REC216" s="744"/>
      <c r="RED216" s="744"/>
      <c r="REE216" s="744"/>
      <c r="REG216" s="746"/>
      <c r="REI216" s="744"/>
      <c r="REJ216" s="744"/>
      <c r="REK216" s="744"/>
      <c r="REL216" s="745"/>
      <c r="REO216" s="918"/>
      <c r="REP216" s="918"/>
      <c r="REQ216" s="918"/>
      <c r="RER216" s="918"/>
      <c r="RES216" s="918"/>
      <c r="RET216" s="918"/>
      <c r="REU216" s="887"/>
      <c r="REV216" s="887"/>
      <c r="REZ216" s="744"/>
      <c r="RFA216" s="744"/>
      <c r="RFB216" s="744"/>
      <c r="RFD216" s="746"/>
      <c r="RFF216" s="744"/>
      <c r="RFG216" s="744"/>
      <c r="RFH216" s="744"/>
      <c r="RFI216" s="745"/>
      <c r="RFL216" s="918"/>
      <c r="RFM216" s="918"/>
      <c r="RFN216" s="918"/>
      <c r="RFO216" s="918"/>
      <c r="RFP216" s="918"/>
      <c r="RFQ216" s="918"/>
      <c r="RFR216" s="887"/>
      <c r="RFS216" s="887"/>
      <c r="RFW216" s="744"/>
      <c r="RFX216" s="744"/>
      <c r="RFY216" s="744"/>
      <c r="RGA216" s="746"/>
      <c r="RGC216" s="744"/>
      <c r="RGD216" s="744"/>
      <c r="RGE216" s="744"/>
      <c r="RGF216" s="745"/>
      <c r="RGI216" s="918"/>
      <c r="RGJ216" s="918"/>
      <c r="RGK216" s="918"/>
      <c r="RGL216" s="918"/>
      <c r="RGM216" s="918"/>
      <c r="RGN216" s="918"/>
      <c r="RGO216" s="887"/>
      <c r="RGP216" s="887"/>
      <c r="RGT216" s="744"/>
      <c r="RGU216" s="744"/>
      <c r="RGV216" s="744"/>
      <c r="RGX216" s="746"/>
      <c r="RGZ216" s="744"/>
      <c r="RHA216" s="744"/>
      <c r="RHB216" s="744"/>
      <c r="RHC216" s="745"/>
      <c r="RHF216" s="918"/>
      <c r="RHG216" s="918"/>
      <c r="RHH216" s="918"/>
      <c r="RHI216" s="918"/>
      <c r="RHJ216" s="918"/>
      <c r="RHK216" s="918"/>
      <c r="RHL216" s="887"/>
      <c r="RHM216" s="887"/>
      <c r="RHQ216" s="744"/>
      <c r="RHR216" s="744"/>
      <c r="RHS216" s="744"/>
      <c r="RHU216" s="746"/>
      <c r="RHW216" s="744"/>
      <c r="RHX216" s="744"/>
      <c r="RHY216" s="744"/>
      <c r="RHZ216" s="745"/>
      <c r="RIC216" s="918"/>
      <c r="RID216" s="918"/>
      <c r="RIE216" s="918"/>
      <c r="RIF216" s="918"/>
      <c r="RIG216" s="918"/>
      <c r="RIH216" s="918"/>
      <c r="RII216" s="887"/>
      <c r="RIJ216" s="887"/>
      <c r="RIN216" s="744"/>
      <c r="RIO216" s="744"/>
      <c r="RIP216" s="744"/>
      <c r="RIR216" s="746"/>
      <c r="RIT216" s="744"/>
      <c r="RIU216" s="744"/>
      <c r="RIV216" s="744"/>
      <c r="RIW216" s="745"/>
      <c r="RIZ216" s="918"/>
      <c r="RJA216" s="918"/>
      <c r="RJB216" s="918"/>
      <c r="RJC216" s="918"/>
      <c r="RJD216" s="918"/>
      <c r="RJE216" s="918"/>
      <c r="RJF216" s="887"/>
      <c r="RJG216" s="887"/>
      <c r="RJK216" s="744"/>
      <c r="RJL216" s="744"/>
      <c r="RJM216" s="744"/>
      <c r="RJO216" s="746"/>
      <c r="RJQ216" s="744"/>
      <c r="RJR216" s="744"/>
      <c r="RJS216" s="744"/>
      <c r="RJT216" s="745"/>
      <c r="RJW216" s="918"/>
      <c r="RJX216" s="918"/>
      <c r="RJY216" s="918"/>
      <c r="RJZ216" s="918"/>
      <c r="RKA216" s="918"/>
      <c r="RKB216" s="918"/>
      <c r="RKC216" s="887"/>
      <c r="RKD216" s="887"/>
      <c r="RKH216" s="744"/>
      <c r="RKI216" s="744"/>
      <c r="RKJ216" s="744"/>
      <c r="RKL216" s="746"/>
      <c r="RKN216" s="744"/>
      <c r="RKO216" s="744"/>
      <c r="RKP216" s="744"/>
      <c r="RKQ216" s="745"/>
      <c r="RKT216" s="918"/>
      <c r="RKU216" s="918"/>
      <c r="RKV216" s="918"/>
      <c r="RKW216" s="918"/>
      <c r="RKX216" s="918"/>
      <c r="RKY216" s="918"/>
      <c r="RKZ216" s="887"/>
      <c r="RLA216" s="887"/>
      <c r="RLE216" s="744"/>
      <c r="RLF216" s="744"/>
      <c r="RLG216" s="744"/>
      <c r="RLI216" s="746"/>
      <c r="RLK216" s="744"/>
      <c r="RLL216" s="744"/>
      <c r="RLM216" s="744"/>
      <c r="RLN216" s="745"/>
      <c r="RLQ216" s="918"/>
      <c r="RLR216" s="918"/>
      <c r="RLS216" s="918"/>
      <c r="RLT216" s="918"/>
      <c r="RLU216" s="918"/>
      <c r="RLV216" s="918"/>
      <c r="RLW216" s="887"/>
      <c r="RLX216" s="887"/>
      <c r="RMB216" s="744"/>
      <c r="RMC216" s="744"/>
      <c r="RMD216" s="744"/>
      <c r="RMF216" s="746"/>
      <c r="RMH216" s="744"/>
      <c r="RMI216" s="744"/>
      <c r="RMJ216" s="744"/>
      <c r="RMK216" s="745"/>
      <c r="RMN216" s="918"/>
      <c r="RMO216" s="918"/>
      <c r="RMP216" s="918"/>
      <c r="RMQ216" s="918"/>
      <c r="RMR216" s="918"/>
      <c r="RMS216" s="918"/>
      <c r="RMT216" s="887"/>
      <c r="RMU216" s="887"/>
      <c r="RMY216" s="744"/>
      <c r="RMZ216" s="744"/>
      <c r="RNA216" s="744"/>
      <c r="RNC216" s="746"/>
      <c r="RNE216" s="744"/>
      <c r="RNF216" s="744"/>
      <c r="RNG216" s="744"/>
      <c r="RNH216" s="745"/>
      <c r="RNK216" s="918"/>
      <c r="RNL216" s="918"/>
      <c r="RNM216" s="918"/>
      <c r="RNN216" s="918"/>
      <c r="RNO216" s="918"/>
      <c r="RNP216" s="918"/>
      <c r="RNQ216" s="887"/>
      <c r="RNR216" s="887"/>
      <c r="RNV216" s="744"/>
      <c r="RNW216" s="744"/>
      <c r="RNX216" s="744"/>
      <c r="RNZ216" s="746"/>
      <c r="ROB216" s="744"/>
      <c r="ROC216" s="744"/>
      <c r="ROD216" s="744"/>
      <c r="ROE216" s="745"/>
      <c r="ROH216" s="918"/>
      <c r="ROI216" s="918"/>
      <c r="ROJ216" s="918"/>
      <c r="ROK216" s="918"/>
      <c r="ROL216" s="918"/>
      <c r="ROM216" s="918"/>
      <c r="RON216" s="887"/>
      <c r="ROO216" s="887"/>
      <c r="ROS216" s="744"/>
      <c r="ROT216" s="744"/>
      <c r="ROU216" s="744"/>
      <c r="ROW216" s="746"/>
      <c r="ROY216" s="744"/>
      <c r="ROZ216" s="744"/>
      <c r="RPA216" s="744"/>
      <c r="RPB216" s="745"/>
      <c r="RPE216" s="918"/>
      <c r="RPF216" s="918"/>
      <c r="RPG216" s="918"/>
      <c r="RPH216" s="918"/>
      <c r="RPI216" s="918"/>
      <c r="RPJ216" s="918"/>
      <c r="RPK216" s="887"/>
      <c r="RPL216" s="887"/>
      <c r="RPP216" s="744"/>
      <c r="RPQ216" s="744"/>
      <c r="RPR216" s="744"/>
      <c r="RPT216" s="746"/>
      <c r="RPV216" s="744"/>
      <c r="RPW216" s="744"/>
      <c r="RPX216" s="744"/>
      <c r="RPY216" s="745"/>
      <c r="RQB216" s="918"/>
      <c r="RQC216" s="918"/>
      <c r="RQD216" s="918"/>
      <c r="RQE216" s="918"/>
      <c r="RQF216" s="918"/>
      <c r="RQG216" s="918"/>
      <c r="RQH216" s="887"/>
      <c r="RQI216" s="887"/>
      <c r="RQM216" s="744"/>
      <c r="RQN216" s="744"/>
      <c r="RQO216" s="744"/>
      <c r="RQQ216" s="746"/>
      <c r="RQS216" s="744"/>
      <c r="RQT216" s="744"/>
      <c r="RQU216" s="744"/>
      <c r="RQV216" s="745"/>
      <c r="RQY216" s="918"/>
      <c r="RQZ216" s="918"/>
      <c r="RRA216" s="918"/>
      <c r="RRB216" s="918"/>
      <c r="RRC216" s="918"/>
      <c r="RRD216" s="918"/>
      <c r="RRE216" s="887"/>
      <c r="RRF216" s="887"/>
      <c r="RRJ216" s="744"/>
      <c r="RRK216" s="744"/>
      <c r="RRL216" s="744"/>
      <c r="RRN216" s="746"/>
      <c r="RRP216" s="744"/>
      <c r="RRQ216" s="744"/>
      <c r="RRR216" s="744"/>
      <c r="RRS216" s="745"/>
      <c r="RRV216" s="918"/>
      <c r="RRW216" s="918"/>
      <c r="RRX216" s="918"/>
      <c r="RRY216" s="918"/>
      <c r="RRZ216" s="918"/>
      <c r="RSA216" s="918"/>
      <c r="RSB216" s="887"/>
      <c r="RSC216" s="887"/>
      <c r="RSG216" s="744"/>
      <c r="RSH216" s="744"/>
      <c r="RSI216" s="744"/>
      <c r="RSK216" s="746"/>
      <c r="RSM216" s="744"/>
      <c r="RSN216" s="744"/>
      <c r="RSO216" s="744"/>
      <c r="RSP216" s="745"/>
      <c r="RSS216" s="918"/>
      <c r="RST216" s="918"/>
      <c r="RSU216" s="918"/>
      <c r="RSV216" s="918"/>
      <c r="RSW216" s="918"/>
      <c r="RSX216" s="918"/>
      <c r="RSY216" s="887"/>
      <c r="RSZ216" s="887"/>
      <c r="RTD216" s="744"/>
      <c r="RTE216" s="744"/>
      <c r="RTF216" s="744"/>
      <c r="RTH216" s="746"/>
      <c r="RTJ216" s="744"/>
      <c r="RTK216" s="744"/>
      <c r="RTL216" s="744"/>
      <c r="RTM216" s="745"/>
      <c r="RTP216" s="918"/>
      <c r="RTQ216" s="918"/>
      <c r="RTR216" s="918"/>
      <c r="RTS216" s="918"/>
      <c r="RTT216" s="918"/>
      <c r="RTU216" s="918"/>
      <c r="RTV216" s="887"/>
      <c r="RTW216" s="887"/>
      <c r="RUA216" s="744"/>
      <c r="RUB216" s="744"/>
      <c r="RUC216" s="744"/>
      <c r="RUE216" s="746"/>
      <c r="RUG216" s="744"/>
      <c r="RUH216" s="744"/>
      <c r="RUI216" s="744"/>
      <c r="RUJ216" s="745"/>
      <c r="RUM216" s="918"/>
      <c r="RUN216" s="918"/>
      <c r="RUO216" s="918"/>
      <c r="RUP216" s="918"/>
      <c r="RUQ216" s="918"/>
      <c r="RUR216" s="918"/>
      <c r="RUS216" s="887"/>
      <c r="RUT216" s="887"/>
      <c r="RUX216" s="744"/>
      <c r="RUY216" s="744"/>
      <c r="RUZ216" s="744"/>
      <c r="RVB216" s="746"/>
      <c r="RVD216" s="744"/>
      <c r="RVE216" s="744"/>
      <c r="RVF216" s="744"/>
      <c r="RVG216" s="745"/>
      <c r="RVJ216" s="918"/>
      <c r="RVK216" s="918"/>
      <c r="RVL216" s="918"/>
      <c r="RVM216" s="918"/>
      <c r="RVN216" s="918"/>
      <c r="RVO216" s="918"/>
      <c r="RVP216" s="887"/>
      <c r="RVQ216" s="887"/>
      <c r="RVU216" s="744"/>
      <c r="RVV216" s="744"/>
      <c r="RVW216" s="744"/>
      <c r="RVY216" s="746"/>
      <c r="RWA216" s="744"/>
      <c r="RWB216" s="744"/>
      <c r="RWC216" s="744"/>
      <c r="RWD216" s="745"/>
      <c r="RWG216" s="918"/>
      <c r="RWH216" s="918"/>
      <c r="RWI216" s="918"/>
      <c r="RWJ216" s="918"/>
      <c r="RWK216" s="918"/>
      <c r="RWL216" s="918"/>
      <c r="RWM216" s="887"/>
      <c r="RWN216" s="887"/>
      <c r="RWR216" s="744"/>
      <c r="RWS216" s="744"/>
      <c r="RWT216" s="744"/>
      <c r="RWV216" s="746"/>
      <c r="RWX216" s="744"/>
      <c r="RWY216" s="744"/>
      <c r="RWZ216" s="744"/>
      <c r="RXA216" s="745"/>
      <c r="RXD216" s="918"/>
      <c r="RXE216" s="918"/>
      <c r="RXF216" s="918"/>
      <c r="RXG216" s="918"/>
      <c r="RXH216" s="918"/>
      <c r="RXI216" s="918"/>
      <c r="RXJ216" s="887"/>
      <c r="RXK216" s="887"/>
      <c r="RXO216" s="744"/>
      <c r="RXP216" s="744"/>
      <c r="RXQ216" s="744"/>
      <c r="RXS216" s="746"/>
      <c r="RXU216" s="744"/>
      <c r="RXV216" s="744"/>
      <c r="RXW216" s="744"/>
      <c r="RXX216" s="745"/>
      <c r="RYA216" s="918"/>
      <c r="RYB216" s="918"/>
      <c r="RYC216" s="918"/>
      <c r="RYD216" s="918"/>
      <c r="RYE216" s="918"/>
      <c r="RYF216" s="918"/>
      <c r="RYG216" s="887"/>
      <c r="RYH216" s="887"/>
      <c r="RYL216" s="744"/>
      <c r="RYM216" s="744"/>
      <c r="RYN216" s="744"/>
      <c r="RYP216" s="746"/>
      <c r="RYR216" s="744"/>
      <c r="RYS216" s="744"/>
      <c r="RYT216" s="744"/>
      <c r="RYU216" s="745"/>
      <c r="RYX216" s="918"/>
      <c r="RYY216" s="918"/>
      <c r="RYZ216" s="918"/>
      <c r="RZA216" s="918"/>
      <c r="RZB216" s="918"/>
      <c r="RZC216" s="918"/>
      <c r="RZD216" s="887"/>
      <c r="RZE216" s="887"/>
      <c r="RZI216" s="744"/>
      <c r="RZJ216" s="744"/>
      <c r="RZK216" s="744"/>
      <c r="RZM216" s="746"/>
      <c r="RZO216" s="744"/>
      <c r="RZP216" s="744"/>
      <c r="RZQ216" s="744"/>
      <c r="RZR216" s="745"/>
      <c r="RZU216" s="918"/>
      <c r="RZV216" s="918"/>
      <c r="RZW216" s="918"/>
      <c r="RZX216" s="918"/>
      <c r="RZY216" s="918"/>
      <c r="RZZ216" s="918"/>
      <c r="SAA216" s="887"/>
      <c r="SAB216" s="887"/>
      <c r="SAF216" s="744"/>
      <c r="SAG216" s="744"/>
      <c r="SAH216" s="744"/>
      <c r="SAJ216" s="746"/>
      <c r="SAL216" s="744"/>
      <c r="SAM216" s="744"/>
      <c r="SAN216" s="744"/>
      <c r="SAO216" s="745"/>
      <c r="SAR216" s="918"/>
      <c r="SAS216" s="918"/>
      <c r="SAT216" s="918"/>
      <c r="SAU216" s="918"/>
      <c r="SAV216" s="918"/>
      <c r="SAW216" s="918"/>
      <c r="SAX216" s="887"/>
      <c r="SAY216" s="887"/>
      <c r="SBC216" s="744"/>
      <c r="SBD216" s="744"/>
      <c r="SBE216" s="744"/>
      <c r="SBG216" s="746"/>
      <c r="SBI216" s="744"/>
      <c r="SBJ216" s="744"/>
      <c r="SBK216" s="744"/>
      <c r="SBL216" s="745"/>
      <c r="SBO216" s="918"/>
      <c r="SBP216" s="918"/>
      <c r="SBQ216" s="918"/>
      <c r="SBR216" s="918"/>
      <c r="SBS216" s="918"/>
      <c r="SBT216" s="918"/>
      <c r="SBU216" s="887"/>
      <c r="SBV216" s="887"/>
      <c r="SBZ216" s="744"/>
      <c r="SCA216" s="744"/>
      <c r="SCB216" s="744"/>
      <c r="SCD216" s="746"/>
      <c r="SCF216" s="744"/>
      <c r="SCG216" s="744"/>
      <c r="SCH216" s="744"/>
      <c r="SCI216" s="745"/>
      <c r="SCL216" s="918"/>
      <c r="SCM216" s="918"/>
      <c r="SCN216" s="918"/>
      <c r="SCO216" s="918"/>
      <c r="SCP216" s="918"/>
      <c r="SCQ216" s="918"/>
      <c r="SCR216" s="887"/>
      <c r="SCS216" s="887"/>
      <c r="SCW216" s="744"/>
      <c r="SCX216" s="744"/>
      <c r="SCY216" s="744"/>
      <c r="SDA216" s="746"/>
      <c r="SDC216" s="744"/>
      <c r="SDD216" s="744"/>
      <c r="SDE216" s="744"/>
      <c r="SDF216" s="745"/>
      <c r="SDI216" s="918"/>
      <c r="SDJ216" s="918"/>
      <c r="SDK216" s="918"/>
      <c r="SDL216" s="918"/>
      <c r="SDM216" s="918"/>
      <c r="SDN216" s="918"/>
      <c r="SDO216" s="887"/>
      <c r="SDP216" s="887"/>
      <c r="SDT216" s="744"/>
      <c r="SDU216" s="744"/>
      <c r="SDV216" s="744"/>
      <c r="SDX216" s="746"/>
      <c r="SDZ216" s="744"/>
      <c r="SEA216" s="744"/>
      <c r="SEB216" s="744"/>
      <c r="SEC216" s="745"/>
      <c r="SEF216" s="918"/>
      <c r="SEG216" s="918"/>
      <c r="SEH216" s="918"/>
      <c r="SEI216" s="918"/>
      <c r="SEJ216" s="918"/>
      <c r="SEK216" s="918"/>
      <c r="SEL216" s="887"/>
      <c r="SEM216" s="887"/>
      <c r="SEQ216" s="744"/>
      <c r="SER216" s="744"/>
      <c r="SES216" s="744"/>
      <c r="SEU216" s="746"/>
      <c r="SEW216" s="744"/>
      <c r="SEX216" s="744"/>
      <c r="SEY216" s="744"/>
      <c r="SEZ216" s="745"/>
      <c r="SFC216" s="918"/>
      <c r="SFD216" s="918"/>
      <c r="SFE216" s="918"/>
      <c r="SFF216" s="918"/>
      <c r="SFG216" s="918"/>
      <c r="SFH216" s="918"/>
      <c r="SFI216" s="887"/>
      <c r="SFJ216" s="887"/>
      <c r="SFN216" s="744"/>
      <c r="SFO216" s="744"/>
      <c r="SFP216" s="744"/>
      <c r="SFR216" s="746"/>
      <c r="SFT216" s="744"/>
      <c r="SFU216" s="744"/>
      <c r="SFV216" s="744"/>
      <c r="SFW216" s="745"/>
      <c r="SFZ216" s="918"/>
      <c r="SGA216" s="918"/>
      <c r="SGB216" s="918"/>
      <c r="SGC216" s="918"/>
      <c r="SGD216" s="918"/>
      <c r="SGE216" s="918"/>
      <c r="SGF216" s="887"/>
      <c r="SGG216" s="887"/>
      <c r="SGK216" s="744"/>
      <c r="SGL216" s="744"/>
      <c r="SGM216" s="744"/>
      <c r="SGO216" s="746"/>
      <c r="SGQ216" s="744"/>
      <c r="SGR216" s="744"/>
      <c r="SGS216" s="744"/>
      <c r="SGT216" s="745"/>
      <c r="SGW216" s="918"/>
      <c r="SGX216" s="918"/>
      <c r="SGY216" s="918"/>
      <c r="SGZ216" s="918"/>
      <c r="SHA216" s="918"/>
      <c r="SHB216" s="918"/>
      <c r="SHC216" s="887"/>
      <c r="SHD216" s="887"/>
      <c r="SHH216" s="744"/>
      <c r="SHI216" s="744"/>
      <c r="SHJ216" s="744"/>
      <c r="SHL216" s="746"/>
      <c r="SHN216" s="744"/>
      <c r="SHO216" s="744"/>
      <c r="SHP216" s="744"/>
      <c r="SHQ216" s="745"/>
      <c r="SHT216" s="918"/>
      <c r="SHU216" s="918"/>
      <c r="SHV216" s="918"/>
      <c r="SHW216" s="918"/>
      <c r="SHX216" s="918"/>
      <c r="SHY216" s="918"/>
      <c r="SHZ216" s="887"/>
      <c r="SIA216" s="887"/>
      <c r="SIE216" s="744"/>
      <c r="SIF216" s="744"/>
      <c r="SIG216" s="744"/>
      <c r="SII216" s="746"/>
      <c r="SIK216" s="744"/>
      <c r="SIL216" s="744"/>
      <c r="SIM216" s="744"/>
      <c r="SIN216" s="745"/>
      <c r="SIQ216" s="918"/>
      <c r="SIR216" s="918"/>
      <c r="SIS216" s="918"/>
      <c r="SIT216" s="918"/>
      <c r="SIU216" s="918"/>
      <c r="SIV216" s="918"/>
      <c r="SIW216" s="887"/>
      <c r="SIX216" s="887"/>
      <c r="SJB216" s="744"/>
      <c r="SJC216" s="744"/>
      <c r="SJD216" s="744"/>
      <c r="SJF216" s="746"/>
      <c r="SJH216" s="744"/>
      <c r="SJI216" s="744"/>
      <c r="SJJ216" s="744"/>
      <c r="SJK216" s="745"/>
      <c r="SJN216" s="918"/>
      <c r="SJO216" s="918"/>
      <c r="SJP216" s="918"/>
      <c r="SJQ216" s="918"/>
      <c r="SJR216" s="918"/>
      <c r="SJS216" s="918"/>
      <c r="SJT216" s="887"/>
      <c r="SJU216" s="887"/>
      <c r="SJY216" s="744"/>
      <c r="SJZ216" s="744"/>
      <c r="SKA216" s="744"/>
      <c r="SKC216" s="746"/>
      <c r="SKE216" s="744"/>
      <c r="SKF216" s="744"/>
      <c r="SKG216" s="744"/>
      <c r="SKH216" s="745"/>
      <c r="SKK216" s="918"/>
      <c r="SKL216" s="918"/>
      <c r="SKM216" s="918"/>
      <c r="SKN216" s="918"/>
      <c r="SKO216" s="918"/>
      <c r="SKP216" s="918"/>
      <c r="SKQ216" s="887"/>
      <c r="SKR216" s="887"/>
      <c r="SKV216" s="744"/>
      <c r="SKW216" s="744"/>
      <c r="SKX216" s="744"/>
      <c r="SKZ216" s="746"/>
      <c r="SLB216" s="744"/>
      <c r="SLC216" s="744"/>
      <c r="SLD216" s="744"/>
      <c r="SLE216" s="745"/>
      <c r="SLH216" s="918"/>
      <c r="SLI216" s="918"/>
      <c r="SLJ216" s="918"/>
      <c r="SLK216" s="918"/>
      <c r="SLL216" s="918"/>
      <c r="SLM216" s="918"/>
      <c r="SLN216" s="887"/>
      <c r="SLO216" s="887"/>
      <c r="SLS216" s="744"/>
      <c r="SLT216" s="744"/>
      <c r="SLU216" s="744"/>
      <c r="SLW216" s="746"/>
      <c r="SLY216" s="744"/>
      <c r="SLZ216" s="744"/>
      <c r="SMA216" s="744"/>
      <c r="SMB216" s="745"/>
      <c r="SME216" s="918"/>
      <c r="SMF216" s="918"/>
      <c r="SMG216" s="918"/>
      <c r="SMH216" s="918"/>
      <c r="SMI216" s="918"/>
      <c r="SMJ216" s="918"/>
      <c r="SMK216" s="887"/>
      <c r="SML216" s="887"/>
      <c r="SMP216" s="744"/>
      <c r="SMQ216" s="744"/>
      <c r="SMR216" s="744"/>
      <c r="SMT216" s="746"/>
      <c r="SMV216" s="744"/>
      <c r="SMW216" s="744"/>
      <c r="SMX216" s="744"/>
      <c r="SMY216" s="745"/>
      <c r="SNB216" s="918"/>
      <c r="SNC216" s="918"/>
      <c r="SND216" s="918"/>
      <c r="SNE216" s="918"/>
      <c r="SNF216" s="918"/>
      <c r="SNG216" s="918"/>
      <c r="SNH216" s="887"/>
      <c r="SNI216" s="887"/>
      <c r="SNM216" s="744"/>
      <c r="SNN216" s="744"/>
      <c r="SNO216" s="744"/>
      <c r="SNQ216" s="746"/>
      <c r="SNS216" s="744"/>
      <c r="SNT216" s="744"/>
      <c r="SNU216" s="744"/>
      <c r="SNV216" s="745"/>
      <c r="SNY216" s="918"/>
      <c r="SNZ216" s="918"/>
      <c r="SOA216" s="918"/>
      <c r="SOB216" s="918"/>
      <c r="SOC216" s="918"/>
      <c r="SOD216" s="918"/>
      <c r="SOE216" s="887"/>
      <c r="SOF216" s="887"/>
      <c r="SOJ216" s="744"/>
      <c r="SOK216" s="744"/>
      <c r="SOL216" s="744"/>
      <c r="SON216" s="746"/>
      <c r="SOP216" s="744"/>
      <c r="SOQ216" s="744"/>
      <c r="SOR216" s="744"/>
      <c r="SOS216" s="745"/>
      <c r="SOV216" s="918"/>
      <c r="SOW216" s="918"/>
      <c r="SOX216" s="918"/>
      <c r="SOY216" s="918"/>
      <c r="SOZ216" s="918"/>
      <c r="SPA216" s="918"/>
      <c r="SPB216" s="887"/>
      <c r="SPC216" s="887"/>
      <c r="SPG216" s="744"/>
      <c r="SPH216" s="744"/>
      <c r="SPI216" s="744"/>
      <c r="SPK216" s="746"/>
      <c r="SPM216" s="744"/>
      <c r="SPN216" s="744"/>
      <c r="SPO216" s="744"/>
      <c r="SPP216" s="745"/>
      <c r="SPS216" s="918"/>
      <c r="SPT216" s="918"/>
      <c r="SPU216" s="918"/>
      <c r="SPV216" s="918"/>
      <c r="SPW216" s="918"/>
      <c r="SPX216" s="918"/>
      <c r="SPY216" s="887"/>
      <c r="SPZ216" s="887"/>
      <c r="SQD216" s="744"/>
      <c r="SQE216" s="744"/>
      <c r="SQF216" s="744"/>
      <c r="SQH216" s="746"/>
      <c r="SQJ216" s="744"/>
      <c r="SQK216" s="744"/>
      <c r="SQL216" s="744"/>
      <c r="SQM216" s="745"/>
      <c r="SQP216" s="918"/>
      <c r="SQQ216" s="918"/>
      <c r="SQR216" s="918"/>
      <c r="SQS216" s="918"/>
      <c r="SQT216" s="918"/>
      <c r="SQU216" s="918"/>
      <c r="SQV216" s="887"/>
      <c r="SQW216" s="887"/>
      <c r="SRA216" s="744"/>
      <c r="SRB216" s="744"/>
      <c r="SRC216" s="744"/>
      <c r="SRE216" s="746"/>
      <c r="SRG216" s="744"/>
      <c r="SRH216" s="744"/>
      <c r="SRI216" s="744"/>
      <c r="SRJ216" s="745"/>
      <c r="SRM216" s="918"/>
      <c r="SRN216" s="918"/>
      <c r="SRO216" s="918"/>
      <c r="SRP216" s="918"/>
      <c r="SRQ216" s="918"/>
      <c r="SRR216" s="918"/>
      <c r="SRS216" s="887"/>
      <c r="SRT216" s="887"/>
      <c r="SRX216" s="744"/>
      <c r="SRY216" s="744"/>
      <c r="SRZ216" s="744"/>
      <c r="SSB216" s="746"/>
      <c r="SSD216" s="744"/>
      <c r="SSE216" s="744"/>
      <c r="SSF216" s="744"/>
      <c r="SSG216" s="745"/>
      <c r="SSJ216" s="918"/>
      <c r="SSK216" s="918"/>
      <c r="SSL216" s="918"/>
      <c r="SSM216" s="918"/>
      <c r="SSN216" s="918"/>
      <c r="SSO216" s="918"/>
      <c r="SSP216" s="887"/>
      <c r="SSQ216" s="887"/>
      <c r="SSU216" s="744"/>
      <c r="SSV216" s="744"/>
      <c r="SSW216" s="744"/>
      <c r="SSY216" s="746"/>
      <c r="STA216" s="744"/>
      <c r="STB216" s="744"/>
      <c r="STC216" s="744"/>
      <c r="STD216" s="745"/>
      <c r="STG216" s="918"/>
      <c r="STH216" s="918"/>
      <c r="STI216" s="918"/>
      <c r="STJ216" s="918"/>
      <c r="STK216" s="918"/>
      <c r="STL216" s="918"/>
      <c r="STM216" s="887"/>
      <c r="STN216" s="887"/>
      <c r="STR216" s="744"/>
      <c r="STS216" s="744"/>
      <c r="STT216" s="744"/>
      <c r="STV216" s="746"/>
      <c r="STX216" s="744"/>
      <c r="STY216" s="744"/>
      <c r="STZ216" s="744"/>
      <c r="SUA216" s="745"/>
      <c r="SUD216" s="918"/>
      <c r="SUE216" s="918"/>
      <c r="SUF216" s="918"/>
      <c r="SUG216" s="918"/>
      <c r="SUH216" s="918"/>
      <c r="SUI216" s="918"/>
      <c r="SUJ216" s="887"/>
      <c r="SUK216" s="887"/>
      <c r="SUO216" s="744"/>
      <c r="SUP216" s="744"/>
      <c r="SUQ216" s="744"/>
      <c r="SUS216" s="746"/>
      <c r="SUU216" s="744"/>
      <c r="SUV216" s="744"/>
      <c r="SUW216" s="744"/>
      <c r="SUX216" s="745"/>
      <c r="SVA216" s="918"/>
      <c r="SVB216" s="918"/>
      <c r="SVC216" s="918"/>
      <c r="SVD216" s="918"/>
      <c r="SVE216" s="918"/>
      <c r="SVF216" s="918"/>
      <c r="SVG216" s="887"/>
      <c r="SVH216" s="887"/>
      <c r="SVL216" s="744"/>
      <c r="SVM216" s="744"/>
      <c r="SVN216" s="744"/>
      <c r="SVP216" s="746"/>
      <c r="SVR216" s="744"/>
      <c r="SVS216" s="744"/>
      <c r="SVT216" s="744"/>
      <c r="SVU216" s="745"/>
      <c r="SVX216" s="918"/>
      <c r="SVY216" s="918"/>
      <c r="SVZ216" s="918"/>
      <c r="SWA216" s="918"/>
      <c r="SWB216" s="918"/>
      <c r="SWC216" s="918"/>
      <c r="SWD216" s="887"/>
      <c r="SWE216" s="887"/>
      <c r="SWI216" s="744"/>
      <c r="SWJ216" s="744"/>
      <c r="SWK216" s="744"/>
      <c r="SWM216" s="746"/>
      <c r="SWO216" s="744"/>
      <c r="SWP216" s="744"/>
      <c r="SWQ216" s="744"/>
      <c r="SWR216" s="745"/>
      <c r="SWU216" s="918"/>
      <c r="SWV216" s="918"/>
      <c r="SWW216" s="918"/>
      <c r="SWX216" s="918"/>
      <c r="SWY216" s="918"/>
      <c r="SWZ216" s="918"/>
      <c r="SXA216" s="887"/>
      <c r="SXB216" s="887"/>
      <c r="SXF216" s="744"/>
      <c r="SXG216" s="744"/>
      <c r="SXH216" s="744"/>
      <c r="SXJ216" s="746"/>
      <c r="SXL216" s="744"/>
      <c r="SXM216" s="744"/>
      <c r="SXN216" s="744"/>
      <c r="SXO216" s="745"/>
      <c r="SXR216" s="918"/>
      <c r="SXS216" s="918"/>
      <c r="SXT216" s="918"/>
      <c r="SXU216" s="918"/>
      <c r="SXV216" s="918"/>
      <c r="SXW216" s="918"/>
      <c r="SXX216" s="887"/>
      <c r="SXY216" s="887"/>
      <c r="SYC216" s="744"/>
      <c r="SYD216" s="744"/>
      <c r="SYE216" s="744"/>
      <c r="SYG216" s="746"/>
      <c r="SYI216" s="744"/>
      <c r="SYJ216" s="744"/>
      <c r="SYK216" s="744"/>
      <c r="SYL216" s="745"/>
      <c r="SYO216" s="918"/>
      <c r="SYP216" s="918"/>
      <c r="SYQ216" s="918"/>
      <c r="SYR216" s="918"/>
      <c r="SYS216" s="918"/>
      <c r="SYT216" s="918"/>
      <c r="SYU216" s="887"/>
      <c r="SYV216" s="887"/>
      <c r="SYZ216" s="744"/>
      <c r="SZA216" s="744"/>
      <c r="SZB216" s="744"/>
      <c r="SZD216" s="746"/>
      <c r="SZF216" s="744"/>
      <c r="SZG216" s="744"/>
      <c r="SZH216" s="744"/>
      <c r="SZI216" s="745"/>
      <c r="SZL216" s="918"/>
      <c r="SZM216" s="918"/>
      <c r="SZN216" s="918"/>
      <c r="SZO216" s="918"/>
      <c r="SZP216" s="918"/>
      <c r="SZQ216" s="918"/>
      <c r="SZR216" s="887"/>
      <c r="SZS216" s="887"/>
      <c r="SZW216" s="744"/>
      <c r="SZX216" s="744"/>
      <c r="SZY216" s="744"/>
      <c r="TAA216" s="746"/>
      <c r="TAC216" s="744"/>
      <c r="TAD216" s="744"/>
      <c r="TAE216" s="744"/>
      <c r="TAF216" s="745"/>
      <c r="TAI216" s="918"/>
      <c r="TAJ216" s="918"/>
      <c r="TAK216" s="918"/>
      <c r="TAL216" s="918"/>
      <c r="TAM216" s="918"/>
      <c r="TAN216" s="918"/>
      <c r="TAO216" s="887"/>
      <c r="TAP216" s="887"/>
      <c r="TAT216" s="744"/>
      <c r="TAU216" s="744"/>
      <c r="TAV216" s="744"/>
      <c r="TAX216" s="746"/>
      <c r="TAZ216" s="744"/>
      <c r="TBA216" s="744"/>
      <c r="TBB216" s="744"/>
      <c r="TBC216" s="745"/>
      <c r="TBF216" s="918"/>
      <c r="TBG216" s="918"/>
      <c r="TBH216" s="918"/>
      <c r="TBI216" s="918"/>
      <c r="TBJ216" s="918"/>
      <c r="TBK216" s="918"/>
      <c r="TBL216" s="887"/>
      <c r="TBM216" s="887"/>
      <c r="TBQ216" s="744"/>
      <c r="TBR216" s="744"/>
      <c r="TBS216" s="744"/>
      <c r="TBU216" s="746"/>
      <c r="TBW216" s="744"/>
      <c r="TBX216" s="744"/>
      <c r="TBY216" s="744"/>
      <c r="TBZ216" s="745"/>
      <c r="TCC216" s="918"/>
      <c r="TCD216" s="918"/>
      <c r="TCE216" s="918"/>
      <c r="TCF216" s="918"/>
      <c r="TCG216" s="918"/>
      <c r="TCH216" s="918"/>
      <c r="TCI216" s="887"/>
      <c r="TCJ216" s="887"/>
      <c r="TCN216" s="744"/>
      <c r="TCO216" s="744"/>
      <c r="TCP216" s="744"/>
      <c r="TCR216" s="746"/>
      <c r="TCT216" s="744"/>
      <c r="TCU216" s="744"/>
      <c r="TCV216" s="744"/>
      <c r="TCW216" s="745"/>
      <c r="TCZ216" s="918"/>
      <c r="TDA216" s="918"/>
      <c r="TDB216" s="918"/>
      <c r="TDC216" s="918"/>
      <c r="TDD216" s="918"/>
      <c r="TDE216" s="918"/>
      <c r="TDF216" s="887"/>
      <c r="TDG216" s="887"/>
      <c r="TDK216" s="744"/>
      <c r="TDL216" s="744"/>
      <c r="TDM216" s="744"/>
      <c r="TDO216" s="746"/>
      <c r="TDQ216" s="744"/>
      <c r="TDR216" s="744"/>
      <c r="TDS216" s="744"/>
      <c r="TDT216" s="745"/>
      <c r="TDW216" s="918"/>
      <c r="TDX216" s="918"/>
      <c r="TDY216" s="918"/>
      <c r="TDZ216" s="918"/>
      <c r="TEA216" s="918"/>
      <c r="TEB216" s="918"/>
      <c r="TEC216" s="887"/>
      <c r="TED216" s="887"/>
      <c r="TEH216" s="744"/>
      <c r="TEI216" s="744"/>
      <c r="TEJ216" s="744"/>
      <c r="TEL216" s="746"/>
      <c r="TEN216" s="744"/>
      <c r="TEO216" s="744"/>
      <c r="TEP216" s="744"/>
      <c r="TEQ216" s="745"/>
      <c r="TET216" s="918"/>
      <c r="TEU216" s="918"/>
      <c r="TEV216" s="918"/>
      <c r="TEW216" s="918"/>
      <c r="TEX216" s="918"/>
      <c r="TEY216" s="918"/>
      <c r="TEZ216" s="887"/>
      <c r="TFA216" s="887"/>
      <c r="TFE216" s="744"/>
      <c r="TFF216" s="744"/>
      <c r="TFG216" s="744"/>
      <c r="TFI216" s="746"/>
      <c r="TFK216" s="744"/>
      <c r="TFL216" s="744"/>
      <c r="TFM216" s="744"/>
      <c r="TFN216" s="745"/>
      <c r="TFQ216" s="918"/>
      <c r="TFR216" s="918"/>
      <c r="TFS216" s="918"/>
      <c r="TFT216" s="918"/>
      <c r="TFU216" s="918"/>
      <c r="TFV216" s="918"/>
      <c r="TFW216" s="887"/>
      <c r="TFX216" s="887"/>
      <c r="TGB216" s="744"/>
      <c r="TGC216" s="744"/>
      <c r="TGD216" s="744"/>
      <c r="TGF216" s="746"/>
      <c r="TGH216" s="744"/>
      <c r="TGI216" s="744"/>
      <c r="TGJ216" s="744"/>
      <c r="TGK216" s="745"/>
      <c r="TGN216" s="918"/>
      <c r="TGO216" s="918"/>
      <c r="TGP216" s="918"/>
      <c r="TGQ216" s="918"/>
      <c r="TGR216" s="918"/>
      <c r="TGS216" s="918"/>
      <c r="TGT216" s="887"/>
      <c r="TGU216" s="887"/>
      <c r="TGY216" s="744"/>
      <c r="TGZ216" s="744"/>
      <c r="THA216" s="744"/>
      <c r="THC216" s="746"/>
      <c r="THE216" s="744"/>
      <c r="THF216" s="744"/>
      <c r="THG216" s="744"/>
      <c r="THH216" s="745"/>
      <c r="THK216" s="918"/>
      <c r="THL216" s="918"/>
      <c r="THM216" s="918"/>
      <c r="THN216" s="918"/>
      <c r="THO216" s="918"/>
      <c r="THP216" s="918"/>
      <c r="THQ216" s="887"/>
      <c r="THR216" s="887"/>
      <c r="THV216" s="744"/>
      <c r="THW216" s="744"/>
      <c r="THX216" s="744"/>
      <c r="THZ216" s="746"/>
      <c r="TIB216" s="744"/>
      <c r="TIC216" s="744"/>
      <c r="TID216" s="744"/>
      <c r="TIE216" s="745"/>
      <c r="TIH216" s="918"/>
      <c r="TII216" s="918"/>
      <c r="TIJ216" s="918"/>
      <c r="TIK216" s="918"/>
      <c r="TIL216" s="918"/>
      <c r="TIM216" s="918"/>
      <c r="TIN216" s="887"/>
      <c r="TIO216" s="887"/>
      <c r="TIS216" s="744"/>
      <c r="TIT216" s="744"/>
      <c r="TIU216" s="744"/>
      <c r="TIW216" s="746"/>
      <c r="TIY216" s="744"/>
      <c r="TIZ216" s="744"/>
      <c r="TJA216" s="744"/>
      <c r="TJB216" s="745"/>
      <c r="TJE216" s="918"/>
      <c r="TJF216" s="918"/>
      <c r="TJG216" s="918"/>
      <c r="TJH216" s="918"/>
      <c r="TJI216" s="918"/>
      <c r="TJJ216" s="918"/>
      <c r="TJK216" s="887"/>
      <c r="TJL216" s="887"/>
      <c r="TJP216" s="744"/>
      <c r="TJQ216" s="744"/>
      <c r="TJR216" s="744"/>
      <c r="TJT216" s="746"/>
      <c r="TJV216" s="744"/>
      <c r="TJW216" s="744"/>
      <c r="TJX216" s="744"/>
      <c r="TJY216" s="745"/>
      <c r="TKB216" s="918"/>
      <c r="TKC216" s="918"/>
      <c r="TKD216" s="918"/>
      <c r="TKE216" s="918"/>
      <c r="TKF216" s="918"/>
      <c r="TKG216" s="918"/>
      <c r="TKH216" s="887"/>
      <c r="TKI216" s="887"/>
      <c r="TKM216" s="744"/>
      <c r="TKN216" s="744"/>
      <c r="TKO216" s="744"/>
      <c r="TKQ216" s="746"/>
      <c r="TKS216" s="744"/>
      <c r="TKT216" s="744"/>
      <c r="TKU216" s="744"/>
      <c r="TKV216" s="745"/>
      <c r="TKY216" s="918"/>
      <c r="TKZ216" s="918"/>
      <c r="TLA216" s="918"/>
      <c r="TLB216" s="918"/>
      <c r="TLC216" s="918"/>
      <c r="TLD216" s="918"/>
      <c r="TLE216" s="887"/>
      <c r="TLF216" s="887"/>
      <c r="TLJ216" s="744"/>
      <c r="TLK216" s="744"/>
      <c r="TLL216" s="744"/>
      <c r="TLN216" s="746"/>
      <c r="TLP216" s="744"/>
      <c r="TLQ216" s="744"/>
      <c r="TLR216" s="744"/>
      <c r="TLS216" s="745"/>
      <c r="TLV216" s="918"/>
      <c r="TLW216" s="918"/>
      <c r="TLX216" s="918"/>
      <c r="TLY216" s="918"/>
      <c r="TLZ216" s="918"/>
      <c r="TMA216" s="918"/>
      <c r="TMB216" s="887"/>
      <c r="TMC216" s="887"/>
      <c r="TMG216" s="744"/>
      <c r="TMH216" s="744"/>
      <c r="TMI216" s="744"/>
      <c r="TMK216" s="746"/>
      <c r="TMM216" s="744"/>
      <c r="TMN216" s="744"/>
      <c r="TMO216" s="744"/>
      <c r="TMP216" s="745"/>
      <c r="TMS216" s="918"/>
      <c r="TMT216" s="918"/>
      <c r="TMU216" s="918"/>
      <c r="TMV216" s="918"/>
      <c r="TMW216" s="918"/>
      <c r="TMX216" s="918"/>
      <c r="TMY216" s="887"/>
      <c r="TMZ216" s="887"/>
      <c r="TND216" s="744"/>
      <c r="TNE216" s="744"/>
      <c r="TNF216" s="744"/>
      <c r="TNH216" s="746"/>
      <c r="TNJ216" s="744"/>
      <c r="TNK216" s="744"/>
      <c r="TNL216" s="744"/>
      <c r="TNM216" s="745"/>
      <c r="TNP216" s="918"/>
      <c r="TNQ216" s="918"/>
      <c r="TNR216" s="918"/>
      <c r="TNS216" s="918"/>
      <c r="TNT216" s="918"/>
      <c r="TNU216" s="918"/>
      <c r="TNV216" s="887"/>
      <c r="TNW216" s="887"/>
      <c r="TOA216" s="744"/>
      <c r="TOB216" s="744"/>
      <c r="TOC216" s="744"/>
      <c r="TOE216" s="746"/>
      <c r="TOG216" s="744"/>
      <c r="TOH216" s="744"/>
      <c r="TOI216" s="744"/>
      <c r="TOJ216" s="745"/>
      <c r="TOM216" s="918"/>
      <c r="TON216" s="918"/>
      <c r="TOO216" s="918"/>
      <c r="TOP216" s="918"/>
      <c r="TOQ216" s="918"/>
      <c r="TOR216" s="918"/>
      <c r="TOS216" s="887"/>
      <c r="TOT216" s="887"/>
      <c r="TOX216" s="744"/>
      <c r="TOY216" s="744"/>
      <c r="TOZ216" s="744"/>
      <c r="TPB216" s="746"/>
      <c r="TPD216" s="744"/>
      <c r="TPE216" s="744"/>
      <c r="TPF216" s="744"/>
      <c r="TPG216" s="745"/>
      <c r="TPJ216" s="918"/>
      <c r="TPK216" s="918"/>
      <c r="TPL216" s="918"/>
      <c r="TPM216" s="918"/>
      <c r="TPN216" s="918"/>
      <c r="TPO216" s="918"/>
      <c r="TPP216" s="887"/>
      <c r="TPQ216" s="887"/>
      <c r="TPU216" s="744"/>
      <c r="TPV216" s="744"/>
      <c r="TPW216" s="744"/>
      <c r="TPY216" s="746"/>
      <c r="TQA216" s="744"/>
      <c r="TQB216" s="744"/>
      <c r="TQC216" s="744"/>
      <c r="TQD216" s="745"/>
      <c r="TQG216" s="918"/>
      <c r="TQH216" s="918"/>
      <c r="TQI216" s="918"/>
      <c r="TQJ216" s="918"/>
      <c r="TQK216" s="918"/>
      <c r="TQL216" s="918"/>
      <c r="TQM216" s="887"/>
      <c r="TQN216" s="887"/>
      <c r="TQR216" s="744"/>
      <c r="TQS216" s="744"/>
      <c r="TQT216" s="744"/>
      <c r="TQV216" s="746"/>
      <c r="TQX216" s="744"/>
      <c r="TQY216" s="744"/>
      <c r="TQZ216" s="744"/>
      <c r="TRA216" s="745"/>
      <c r="TRD216" s="918"/>
      <c r="TRE216" s="918"/>
      <c r="TRF216" s="918"/>
      <c r="TRG216" s="918"/>
      <c r="TRH216" s="918"/>
      <c r="TRI216" s="918"/>
      <c r="TRJ216" s="887"/>
      <c r="TRK216" s="887"/>
      <c r="TRO216" s="744"/>
      <c r="TRP216" s="744"/>
      <c r="TRQ216" s="744"/>
      <c r="TRS216" s="746"/>
      <c r="TRU216" s="744"/>
      <c r="TRV216" s="744"/>
      <c r="TRW216" s="744"/>
      <c r="TRX216" s="745"/>
      <c r="TSA216" s="918"/>
      <c r="TSB216" s="918"/>
      <c r="TSC216" s="918"/>
      <c r="TSD216" s="918"/>
      <c r="TSE216" s="918"/>
      <c r="TSF216" s="918"/>
      <c r="TSG216" s="887"/>
      <c r="TSH216" s="887"/>
      <c r="TSL216" s="744"/>
      <c r="TSM216" s="744"/>
      <c r="TSN216" s="744"/>
      <c r="TSP216" s="746"/>
      <c r="TSR216" s="744"/>
      <c r="TSS216" s="744"/>
      <c r="TST216" s="744"/>
      <c r="TSU216" s="745"/>
      <c r="TSX216" s="918"/>
      <c r="TSY216" s="918"/>
      <c r="TSZ216" s="918"/>
      <c r="TTA216" s="918"/>
      <c r="TTB216" s="918"/>
      <c r="TTC216" s="918"/>
      <c r="TTD216" s="887"/>
      <c r="TTE216" s="887"/>
      <c r="TTI216" s="744"/>
      <c r="TTJ216" s="744"/>
      <c r="TTK216" s="744"/>
      <c r="TTM216" s="746"/>
      <c r="TTO216" s="744"/>
      <c r="TTP216" s="744"/>
      <c r="TTQ216" s="744"/>
      <c r="TTR216" s="745"/>
      <c r="TTU216" s="918"/>
      <c r="TTV216" s="918"/>
      <c r="TTW216" s="918"/>
      <c r="TTX216" s="918"/>
      <c r="TTY216" s="918"/>
      <c r="TTZ216" s="918"/>
      <c r="TUA216" s="887"/>
      <c r="TUB216" s="887"/>
      <c r="TUF216" s="744"/>
      <c r="TUG216" s="744"/>
      <c r="TUH216" s="744"/>
      <c r="TUJ216" s="746"/>
      <c r="TUL216" s="744"/>
      <c r="TUM216" s="744"/>
      <c r="TUN216" s="744"/>
      <c r="TUO216" s="745"/>
      <c r="TUR216" s="918"/>
      <c r="TUS216" s="918"/>
      <c r="TUT216" s="918"/>
      <c r="TUU216" s="918"/>
      <c r="TUV216" s="918"/>
      <c r="TUW216" s="918"/>
      <c r="TUX216" s="887"/>
      <c r="TUY216" s="887"/>
      <c r="TVC216" s="744"/>
      <c r="TVD216" s="744"/>
      <c r="TVE216" s="744"/>
      <c r="TVG216" s="746"/>
      <c r="TVI216" s="744"/>
      <c r="TVJ216" s="744"/>
      <c r="TVK216" s="744"/>
      <c r="TVL216" s="745"/>
      <c r="TVO216" s="918"/>
      <c r="TVP216" s="918"/>
      <c r="TVQ216" s="918"/>
      <c r="TVR216" s="918"/>
      <c r="TVS216" s="918"/>
      <c r="TVT216" s="918"/>
      <c r="TVU216" s="887"/>
      <c r="TVV216" s="887"/>
      <c r="TVZ216" s="744"/>
      <c r="TWA216" s="744"/>
      <c r="TWB216" s="744"/>
      <c r="TWD216" s="746"/>
      <c r="TWF216" s="744"/>
      <c r="TWG216" s="744"/>
      <c r="TWH216" s="744"/>
      <c r="TWI216" s="745"/>
      <c r="TWL216" s="918"/>
      <c r="TWM216" s="918"/>
      <c r="TWN216" s="918"/>
      <c r="TWO216" s="918"/>
      <c r="TWP216" s="918"/>
      <c r="TWQ216" s="918"/>
      <c r="TWR216" s="887"/>
      <c r="TWS216" s="887"/>
      <c r="TWW216" s="744"/>
      <c r="TWX216" s="744"/>
      <c r="TWY216" s="744"/>
      <c r="TXA216" s="746"/>
      <c r="TXC216" s="744"/>
      <c r="TXD216" s="744"/>
      <c r="TXE216" s="744"/>
      <c r="TXF216" s="745"/>
      <c r="TXI216" s="918"/>
      <c r="TXJ216" s="918"/>
      <c r="TXK216" s="918"/>
      <c r="TXL216" s="918"/>
      <c r="TXM216" s="918"/>
      <c r="TXN216" s="918"/>
      <c r="TXO216" s="887"/>
      <c r="TXP216" s="887"/>
      <c r="TXT216" s="744"/>
      <c r="TXU216" s="744"/>
      <c r="TXV216" s="744"/>
      <c r="TXX216" s="746"/>
      <c r="TXZ216" s="744"/>
      <c r="TYA216" s="744"/>
      <c r="TYB216" s="744"/>
      <c r="TYC216" s="745"/>
      <c r="TYF216" s="918"/>
      <c r="TYG216" s="918"/>
      <c r="TYH216" s="918"/>
      <c r="TYI216" s="918"/>
      <c r="TYJ216" s="918"/>
      <c r="TYK216" s="918"/>
      <c r="TYL216" s="887"/>
      <c r="TYM216" s="887"/>
      <c r="TYQ216" s="744"/>
      <c r="TYR216" s="744"/>
      <c r="TYS216" s="744"/>
      <c r="TYU216" s="746"/>
      <c r="TYW216" s="744"/>
      <c r="TYX216" s="744"/>
      <c r="TYY216" s="744"/>
      <c r="TYZ216" s="745"/>
      <c r="TZC216" s="918"/>
      <c r="TZD216" s="918"/>
      <c r="TZE216" s="918"/>
      <c r="TZF216" s="918"/>
      <c r="TZG216" s="918"/>
      <c r="TZH216" s="918"/>
      <c r="TZI216" s="887"/>
      <c r="TZJ216" s="887"/>
      <c r="TZN216" s="744"/>
      <c r="TZO216" s="744"/>
      <c r="TZP216" s="744"/>
      <c r="TZR216" s="746"/>
      <c r="TZT216" s="744"/>
      <c r="TZU216" s="744"/>
      <c r="TZV216" s="744"/>
      <c r="TZW216" s="745"/>
      <c r="TZZ216" s="918"/>
      <c r="UAA216" s="918"/>
      <c r="UAB216" s="918"/>
      <c r="UAC216" s="918"/>
      <c r="UAD216" s="918"/>
      <c r="UAE216" s="918"/>
      <c r="UAF216" s="887"/>
      <c r="UAG216" s="887"/>
      <c r="UAK216" s="744"/>
      <c r="UAL216" s="744"/>
      <c r="UAM216" s="744"/>
      <c r="UAO216" s="746"/>
      <c r="UAQ216" s="744"/>
      <c r="UAR216" s="744"/>
      <c r="UAS216" s="744"/>
      <c r="UAT216" s="745"/>
      <c r="UAW216" s="918"/>
      <c r="UAX216" s="918"/>
      <c r="UAY216" s="918"/>
      <c r="UAZ216" s="918"/>
      <c r="UBA216" s="918"/>
      <c r="UBB216" s="918"/>
      <c r="UBC216" s="887"/>
      <c r="UBD216" s="887"/>
      <c r="UBH216" s="744"/>
      <c r="UBI216" s="744"/>
      <c r="UBJ216" s="744"/>
      <c r="UBL216" s="746"/>
      <c r="UBN216" s="744"/>
      <c r="UBO216" s="744"/>
      <c r="UBP216" s="744"/>
      <c r="UBQ216" s="745"/>
      <c r="UBT216" s="918"/>
      <c r="UBU216" s="918"/>
      <c r="UBV216" s="918"/>
      <c r="UBW216" s="918"/>
      <c r="UBX216" s="918"/>
      <c r="UBY216" s="918"/>
      <c r="UBZ216" s="887"/>
      <c r="UCA216" s="887"/>
      <c r="UCE216" s="744"/>
      <c r="UCF216" s="744"/>
      <c r="UCG216" s="744"/>
      <c r="UCI216" s="746"/>
      <c r="UCK216" s="744"/>
      <c r="UCL216" s="744"/>
      <c r="UCM216" s="744"/>
      <c r="UCN216" s="745"/>
      <c r="UCQ216" s="918"/>
      <c r="UCR216" s="918"/>
      <c r="UCS216" s="918"/>
      <c r="UCT216" s="918"/>
      <c r="UCU216" s="918"/>
      <c r="UCV216" s="918"/>
      <c r="UCW216" s="887"/>
      <c r="UCX216" s="887"/>
      <c r="UDB216" s="744"/>
      <c r="UDC216" s="744"/>
      <c r="UDD216" s="744"/>
      <c r="UDF216" s="746"/>
      <c r="UDH216" s="744"/>
      <c r="UDI216" s="744"/>
      <c r="UDJ216" s="744"/>
      <c r="UDK216" s="745"/>
      <c r="UDN216" s="918"/>
      <c r="UDO216" s="918"/>
      <c r="UDP216" s="918"/>
      <c r="UDQ216" s="918"/>
      <c r="UDR216" s="918"/>
      <c r="UDS216" s="918"/>
      <c r="UDT216" s="887"/>
      <c r="UDU216" s="887"/>
      <c r="UDY216" s="744"/>
      <c r="UDZ216" s="744"/>
      <c r="UEA216" s="744"/>
      <c r="UEC216" s="746"/>
      <c r="UEE216" s="744"/>
      <c r="UEF216" s="744"/>
      <c r="UEG216" s="744"/>
      <c r="UEH216" s="745"/>
      <c r="UEK216" s="918"/>
      <c r="UEL216" s="918"/>
      <c r="UEM216" s="918"/>
      <c r="UEN216" s="918"/>
      <c r="UEO216" s="918"/>
      <c r="UEP216" s="918"/>
      <c r="UEQ216" s="887"/>
      <c r="UER216" s="887"/>
      <c r="UEV216" s="744"/>
      <c r="UEW216" s="744"/>
      <c r="UEX216" s="744"/>
      <c r="UEZ216" s="746"/>
      <c r="UFB216" s="744"/>
      <c r="UFC216" s="744"/>
      <c r="UFD216" s="744"/>
      <c r="UFE216" s="745"/>
      <c r="UFH216" s="918"/>
      <c r="UFI216" s="918"/>
      <c r="UFJ216" s="918"/>
      <c r="UFK216" s="918"/>
      <c r="UFL216" s="918"/>
      <c r="UFM216" s="918"/>
      <c r="UFN216" s="887"/>
      <c r="UFO216" s="887"/>
      <c r="UFS216" s="744"/>
      <c r="UFT216" s="744"/>
      <c r="UFU216" s="744"/>
      <c r="UFW216" s="746"/>
      <c r="UFY216" s="744"/>
      <c r="UFZ216" s="744"/>
      <c r="UGA216" s="744"/>
      <c r="UGB216" s="745"/>
      <c r="UGE216" s="918"/>
      <c r="UGF216" s="918"/>
      <c r="UGG216" s="918"/>
      <c r="UGH216" s="918"/>
      <c r="UGI216" s="918"/>
      <c r="UGJ216" s="918"/>
      <c r="UGK216" s="887"/>
      <c r="UGL216" s="887"/>
      <c r="UGP216" s="744"/>
      <c r="UGQ216" s="744"/>
      <c r="UGR216" s="744"/>
      <c r="UGT216" s="746"/>
      <c r="UGV216" s="744"/>
      <c r="UGW216" s="744"/>
      <c r="UGX216" s="744"/>
      <c r="UGY216" s="745"/>
      <c r="UHB216" s="918"/>
      <c r="UHC216" s="918"/>
      <c r="UHD216" s="918"/>
      <c r="UHE216" s="918"/>
      <c r="UHF216" s="918"/>
      <c r="UHG216" s="918"/>
      <c r="UHH216" s="887"/>
      <c r="UHI216" s="887"/>
      <c r="UHM216" s="744"/>
      <c r="UHN216" s="744"/>
      <c r="UHO216" s="744"/>
      <c r="UHQ216" s="746"/>
      <c r="UHS216" s="744"/>
      <c r="UHT216" s="744"/>
      <c r="UHU216" s="744"/>
      <c r="UHV216" s="745"/>
      <c r="UHY216" s="918"/>
      <c r="UHZ216" s="918"/>
      <c r="UIA216" s="918"/>
      <c r="UIB216" s="918"/>
      <c r="UIC216" s="918"/>
      <c r="UID216" s="918"/>
      <c r="UIE216" s="887"/>
      <c r="UIF216" s="887"/>
      <c r="UIJ216" s="744"/>
      <c r="UIK216" s="744"/>
      <c r="UIL216" s="744"/>
      <c r="UIN216" s="746"/>
      <c r="UIP216" s="744"/>
      <c r="UIQ216" s="744"/>
      <c r="UIR216" s="744"/>
      <c r="UIS216" s="745"/>
      <c r="UIV216" s="918"/>
      <c r="UIW216" s="918"/>
      <c r="UIX216" s="918"/>
      <c r="UIY216" s="918"/>
      <c r="UIZ216" s="918"/>
      <c r="UJA216" s="918"/>
      <c r="UJB216" s="887"/>
      <c r="UJC216" s="887"/>
      <c r="UJG216" s="744"/>
      <c r="UJH216" s="744"/>
      <c r="UJI216" s="744"/>
      <c r="UJK216" s="746"/>
      <c r="UJM216" s="744"/>
      <c r="UJN216" s="744"/>
      <c r="UJO216" s="744"/>
      <c r="UJP216" s="745"/>
      <c r="UJS216" s="918"/>
      <c r="UJT216" s="918"/>
      <c r="UJU216" s="918"/>
      <c r="UJV216" s="918"/>
      <c r="UJW216" s="918"/>
      <c r="UJX216" s="918"/>
      <c r="UJY216" s="887"/>
      <c r="UJZ216" s="887"/>
      <c r="UKD216" s="744"/>
      <c r="UKE216" s="744"/>
      <c r="UKF216" s="744"/>
      <c r="UKH216" s="746"/>
      <c r="UKJ216" s="744"/>
      <c r="UKK216" s="744"/>
      <c r="UKL216" s="744"/>
      <c r="UKM216" s="745"/>
      <c r="UKP216" s="918"/>
      <c r="UKQ216" s="918"/>
      <c r="UKR216" s="918"/>
      <c r="UKS216" s="918"/>
      <c r="UKT216" s="918"/>
      <c r="UKU216" s="918"/>
      <c r="UKV216" s="887"/>
      <c r="UKW216" s="887"/>
      <c r="ULA216" s="744"/>
      <c r="ULB216" s="744"/>
      <c r="ULC216" s="744"/>
      <c r="ULE216" s="746"/>
      <c r="ULG216" s="744"/>
      <c r="ULH216" s="744"/>
      <c r="ULI216" s="744"/>
      <c r="ULJ216" s="745"/>
      <c r="ULM216" s="918"/>
      <c r="ULN216" s="918"/>
      <c r="ULO216" s="918"/>
      <c r="ULP216" s="918"/>
      <c r="ULQ216" s="918"/>
      <c r="ULR216" s="918"/>
      <c r="ULS216" s="887"/>
      <c r="ULT216" s="887"/>
      <c r="ULX216" s="744"/>
      <c r="ULY216" s="744"/>
      <c r="ULZ216" s="744"/>
      <c r="UMB216" s="746"/>
      <c r="UMD216" s="744"/>
      <c r="UME216" s="744"/>
      <c r="UMF216" s="744"/>
      <c r="UMG216" s="745"/>
      <c r="UMJ216" s="918"/>
      <c r="UMK216" s="918"/>
      <c r="UML216" s="918"/>
      <c r="UMM216" s="918"/>
      <c r="UMN216" s="918"/>
      <c r="UMO216" s="918"/>
      <c r="UMP216" s="887"/>
      <c r="UMQ216" s="887"/>
      <c r="UMU216" s="744"/>
      <c r="UMV216" s="744"/>
      <c r="UMW216" s="744"/>
      <c r="UMY216" s="746"/>
      <c r="UNA216" s="744"/>
      <c r="UNB216" s="744"/>
      <c r="UNC216" s="744"/>
      <c r="UND216" s="745"/>
      <c r="UNG216" s="918"/>
      <c r="UNH216" s="918"/>
      <c r="UNI216" s="918"/>
      <c r="UNJ216" s="918"/>
      <c r="UNK216" s="918"/>
      <c r="UNL216" s="918"/>
      <c r="UNM216" s="887"/>
      <c r="UNN216" s="887"/>
      <c r="UNR216" s="744"/>
      <c r="UNS216" s="744"/>
      <c r="UNT216" s="744"/>
      <c r="UNV216" s="746"/>
      <c r="UNX216" s="744"/>
      <c r="UNY216" s="744"/>
      <c r="UNZ216" s="744"/>
      <c r="UOA216" s="745"/>
      <c r="UOD216" s="918"/>
      <c r="UOE216" s="918"/>
      <c r="UOF216" s="918"/>
      <c r="UOG216" s="918"/>
      <c r="UOH216" s="918"/>
      <c r="UOI216" s="918"/>
      <c r="UOJ216" s="887"/>
      <c r="UOK216" s="887"/>
      <c r="UOO216" s="744"/>
      <c r="UOP216" s="744"/>
      <c r="UOQ216" s="744"/>
      <c r="UOS216" s="746"/>
      <c r="UOU216" s="744"/>
      <c r="UOV216" s="744"/>
      <c r="UOW216" s="744"/>
      <c r="UOX216" s="745"/>
      <c r="UPA216" s="918"/>
      <c r="UPB216" s="918"/>
      <c r="UPC216" s="918"/>
      <c r="UPD216" s="918"/>
      <c r="UPE216" s="918"/>
      <c r="UPF216" s="918"/>
      <c r="UPG216" s="887"/>
      <c r="UPH216" s="887"/>
      <c r="UPL216" s="744"/>
      <c r="UPM216" s="744"/>
      <c r="UPN216" s="744"/>
      <c r="UPP216" s="746"/>
      <c r="UPR216" s="744"/>
      <c r="UPS216" s="744"/>
      <c r="UPT216" s="744"/>
      <c r="UPU216" s="745"/>
      <c r="UPX216" s="918"/>
      <c r="UPY216" s="918"/>
      <c r="UPZ216" s="918"/>
      <c r="UQA216" s="918"/>
      <c r="UQB216" s="918"/>
      <c r="UQC216" s="918"/>
      <c r="UQD216" s="887"/>
      <c r="UQE216" s="887"/>
      <c r="UQI216" s="744"/>
      <c r="UQJ216" s="744"/>
      <c r="UQK216" s="744"/>
      <c r="UQM216" s="746"/>
      <c r="UQO216" s="744"/>
      <c r="UQP216" s="744"/>
      <c r="UQQ216" s="744"/>
      <c r="UQR216" s="745"/>
      <c r="UQU216" s="918"/>
      <c r="UQV216" s="918"/>
      <c r="UQW216" s="918"/>
      <c r="UQX216" s="918"/>
      <c r="UQY216" s="918"/>
      <c r="UQZ216" s="918"/>
      <c r="URA216" s="887"/>
      <c r="URB216" s="887"/>
      <c r="URF216" s="744"/>
      <c r="URG216" s="744"/>
      <c r="URH216" s="744"/>
      <c r="URJ216" s="746"/>
      <c r="URL216" s="744"/>
      <c r="URM216" s="744"/>
      <c r="URN216" s="744"/>
      <c r="URO216" s="745"/>
      <c r="URR216" s="918"/>
      <c r="URS216" s="918"/>
      <c r="URT216" s="918"/>
      <c r="URU216" s="918"/>
      <c r="URV216" s="918"/>
      <c r="URW216" s="918"/>
      <c r="URX216" s="887"/>
      <c r="URY216" s="887"/>
      <c r="USC216" s="744"/>
      <c r="USD216" s="744"/>
      <c r="USE216" s="744"/>
      <c r="USG216" s="746"/>
      <c r="USI216" s="744"/>
      <c r="USJ216" s="744"/>
      <c r="USK216" s="744"/>
      <c r="USL216" s="745"/>
      <c r="USO216" s="918"/>
      <c r="USP216" s="918"/>
      <c r="USQ216" s="918"/>
      <c r="USR216" s="918"/>
      <c r="USS216" s="918"/>
      <c r="UST216" s="918"/>
      <c r="USU216" s="887"/>
      <c r="USV216" s="887"/>
      <c r="USZ216" s="744"/>
      <c r="UTA216" s="744"/>
      <c r="UTB216" s="744"/>
      <c r="UTD216" s="746"/>
      <c r="UTF216" s="744"/>
      <c r="UTG216" s="744"/>
      <c r="UTH216" s="744"/>
      <c r="UTI216" s="745"/>
      <c r="UTL216" s="918"/>
      <c r="UTM216" s="918"/>
      <c r="UTN216" s="918"/>
      <c r="UTO216" s="918"/>
      <c r="UTP216" s="918"/>
      <c r="UTQ216" s="918"/>
      <c r="UTR216" s="887"/>
      <c r="UTS216" s="887"/>
      <c r="UTW216" s="744"/>
      <c r="UTX216" s="744"/>
      <c r="UTY216" s="744"/>
      <c r="UUA216" s="746"/>
      <c r="UUC216" s="744"/>
      <c r="UUD216" s="744"/>
      <c r="UUE216" s="744"/>
      <c r="UUF216" s="745"/>
      <c r="UUI216" s="918"/>
      <c r="UUJ216" s="918"/>
      <c r="UUK216" s="918"/>
      <c r="UUL216" s="918"/>
      <c r="UUM216" s="918"/>
      <c r="UUN216" s="918"/>
      <c r="UUO216" s="887"/>
      <c r="UUP216" s="887"/>
      <c r="UUT216" s="744"/>
      <c r="UUU216" s="744"/>
      <c r="UUV216" s="744"/>
      <c r="UUX216" s="746"/>
      <c r="UUZ216" s="744"/>
      <c r="UVA216" s="744"/>
      <c r="UVB216" s="744"/>
      <c r="UVC216" s="745"/>
      <c r="UVF216" s="918"/>
      <c r="UVG216" s="918"/>
      <c r="UVH216" s="918"/>
      <c r="UVI216" s="918"/>
      <c r="UVJ216" s="918"/>
      <c r="UVK216" s="918"/>
      <c r="UVL216" s="887"/>
      <c r="UVM216" s="887"/>
      <c r="UVQ216" s="744"/>
      <c r="UVR216" s="744"/>
      <c r="UVS216" s="744"/>
      <c r="UVU216" s="746"/>
      <c r="UVW216" s="744"/>
      <c r="UVX216" s="744"/>
      <c r="UVY216" s="744"/>
      <c r="UVZ216" s="745"/>
      <c r="UWC216" s="918"/>
      <c r="UWD216" s="918"/>
      <c r="UWE216" s="918"/>
      <c r="UWF216" s="918"/>
      <c r="UWG216" s="918"/>
      <c r="UWH216" s="918"/>
      <c r="UWI216" s="887"/>
      <c r="UWJ216" s="887"/>
      <c r="UWN216" s="744"/>
      <c r="UWO216" s="744"/>
      <c r="UWP216" s="744"/>
      <c r="UWR216" s="746"/>
      <c r="UWT216" s="744"/>
      <c r="UWU216" s="744"/>
      <c r="UWV216" s="744"/>
      <c r="UWW216" s="745"/>
      <c r="UWZ216" s="918"/>
      <c r="UXA216" s="918"/>
      <c r="UXB216" s="918"/>
      <c r="UXC216" s="918"/>
      <c r="UXD216" s="918"/>
      <c r="UXE216" s="918"/>
      <c r="UXF216" s="887"/>
      <c r="UXG216" s="887"/>
      <c r="UXK216" s="744"/>
      <c r="UXL216" s="744"/>
      <c r="UXM216" s="744"/>
      <c r="UXO216" s="746"/>
      <c r="UXQ216" s="744"/>
      <c r="UXR216" s="744"/>
      <c r="UXS216" s="744"/>
      <c r="UXT216" s="745"/>
      <c r="UXW216" s="918"/>
      <c r="UXX216" s="918"/>
      <c r="UXY216" s="918"/>
      <c r="UXZ216" s="918"/>
      <c r="UYA216" s="918"/>
      <c r="UYB216" s="918"/>
      <c r="UYC216" s="887"/>
      <c r="UYD216" s="887"/>
      <c r="UYH216" s="744"/>
      <c r="UYI216" s="744"/>
      <c r="UYJ216" s="744"/>
      <c r="UYL216" s="746"/>
      <c r="UYN216" s="744"/>
      <c r="UYO216" s="744"/>
      <c r="UYP216" s="744"/>
      <c r="UYQ216" s="745"/>
      <c r="UYT216" s="918"/>
      <c r="UYU216" s="918"/>
      <c r="UYV216" s="918"/>
      <c r="UYW216" s="918"/>
      <c r="UYX216" s="918"/>
      <c r="UYY216" s="918"/>
      <c r="UYZ216" s="887"/>
      <c r="UZA216" s="887"/>
      <c r="UZE216" s="744"/>
      <c r="UZF216" s="744"/>
      <c r="UZG216" s="744"/>
      <c r="UZI216" s="746"/>
      <c r="UZK216" s="744"/>
      <c r="UZL216" s="744"/>
      <c r="UZM216" s="744"/>
      <c r="UZN216" s="745"/>
      <c r="UZQ216" s="918"/>
      <c r="UZR216" s="918"/>
      <c r="UZS216" s="918"/>
      <c r="UZT216" s="918"/>
      <c r="UZU216" s="918"/>
      <c r="UZV216" s="918"/>
      <c r="UZW216" s="887"/>
      <c r="UZX216" s="887"/>
      <c r="VAB216" s="744"/>
      <c r="VAC216" s="744"/>
      <c r="VAD216" s="744"/>
      <c r="VAF216" s="746"/>
      <c r="VAH216" s="744"/>
      <c r="VAI216" s="744"/>
      <c r="VAJ216" s="744"/>
      <c r="VAK216" s="745"/>
      <c r="VAN216" s="918"/>
      <c r="VAO216" s="918"/>
      <c r="VAP216" s="918"/>
      <c r="VAQ216" s="918"/>
      <c r="VAR216" s="918"/>
      <c r="VAS216" s="918"/>
      <c r="VAT216" s="887"/>
      <c r="VAU216" s="887"/>
      <c r="VAY216" s="744"/>
      <c r="VAZ216" s="744"/>
      <c r="VBA216" s="744"/>
      <c r="VBC216" s="746"/>
      <c r="VBE216" s="744"/>
      <c r="VBF216" s="744"/>
      <c r="VBG216" s="744"/>
      <c r="VBH216" s="745"/>
      <c r="VBK216" s="918"/>
      <c r="VBL216" s="918"/>
      <c r="VBM216" s="918"/>
      <c r="VBN216" s="918"/>
      <c r="VBO216" s="918"/>
      <c r="VBP216" s="918"/>
      <c r="VBQ216" s="887"/>
      <c r="VBR216" s="887"/>
      <c r="VBV216" s="744"/>
      <c r="VBW216" s="744"/>
      <c r="VBX216" s="744"/>
      <c r="VBZ216" s="746"/>
      <c r="VCB216" s="744"/>
      <c r="VCC216" s="744"/>
      <c r="VCD216" s="744"/>
      <c r="VCE216" s="745"/>
      <c r="VCH216" s="918"/>
      <c r="VCI216" s="918"/>
      <c r="VCJ216" s="918"/>
      <c r="VCK216" s="918"/>
      <c r="VCL216" s="918"/>
      <c r="VCM216" s="918"/>
      <c r="VCN216" s="887"/>
      <c r="VCO216" s="887"/>
      <c r="VCS216" s="744"/>
      <c r="VCT216" s="744"/>
      <c r="VCU216" s="744"/>
      <c r="VCW216" s="746"/>
      <c r="VCY216" s="744"/>
      <c r="VCZ216" s="744"/>
      <c r="VDA216" s="744"/>
      <c r="VDB216" s="745"/>
      <c r="VDE216" s="918"/>
      <c r="VDF216" s="918"/>
      <c r="VDG216" s="918"/>
      <c r="VDH216" s="918"/>
      <c r="VDI216" s="918"/>
      <c r="VDJ216" s="918"/>
      <c r="VDK216" s="887"/>
      <c r="VDL216" s="887"/>
      <c r="VDP216" s="744"/>
      <c r="VDQ216" s="744"/>
      <c r="VDR216" s="744"/>
      <c r="VDT216" s="746"/>
      <c r="VDV216" s="744"/>
      <c r="VDW216" s="744"/>
      <c r="VDX216" s="744"/>
      <c r="VDY216" s="745"/>
      <c r="VEB216" s="918"/>
      <c r="VEC216" s="918"/>
      <c r="VED216" s="918"/>
      <c r="VEE216" s="918"/>
      <c r="VEF216" s="918"/>
      <c r="VEG216" s="918"/>
      <c r="VEH216" s="887"/>
      <c r="VEI216" s="887"/>
      <c r="VEM216" s="744"/>
      <c r="VEN216" s="744"/>
      <c r="VEO216" s="744"/>
      <c r="VEQ216" s="746"/>
      <c r="VES216" s="744"/>
      <c r="VET216" s="744"/>
      <c r="VEU216" s="744"/>
      <c r="VEV216" s="745"/>
      <c r="VEY216" s="918"/>
      <c r="VEZ216" s="918"/>
      <c r="VFA216" s="918"/>
      <c r="VFB216" s="918"/>
      <c r="VFC216" s="918"/>
      <c r="VFD216" s="918"/>
      <c r="VFE216" s="887"/>
      <c r="VFF216" s="887"/>
      <c r="VFJ216" s="744"/>
      <c r="VFK216" s="744"/>
      <c r="VFL216" s="744"/>
      <c r="VFN216" s="746"/>
      <c r="VFP216" s="744"/>
      <c r="VFQ216" s="744"/>
      <c r="VFR216" s="744"/>
      <c r="VFS216" s="745"/>
      <c r="VFV216" s="918"/>
      <c r="VFW216" s="918"/>
      <c r="VFX216" s="918"/>
      <c r="VFY216" s="918"/>
      <c r="VFZ216" s="918"/>
      <c r="VGA216" s="918"/>
      <c r="VGB216" s="887"/>
      <c r="VGC216" s="887"/>
      <c r="VGG216" s="744"/>
      <c r="VGH216" s="744"/>
      <c r="VGI216" s="744"/>
      <c r="VGK216" s="746"/>
      <c r="VGM216" s="744"/>
      <c r="VGN216" s="744"/>
      <c r="VGO216" s="744"/>
      <c r="VGP216" s="745"/>
      <c r="VGS216" s="918"/>
      <c r="VGT216" s="918"/>
      <c r="VGU216" s="918"/>
      <c r="VGV216" s="918"/>
      <c r="VGW216" s="918"/>
      <c r="VGX216" s="918"/>
      <c r="VGY216" s="887"/>
      <c r="VGZ216" s="887"/>
      <c r="VHD216" s="744"/>
      <c r="VHE216" s="744"/>
      <c r="VHF216" s="744"/>
      <c r="VHH216" s="746"/>
      <c r="VHJ216" s="744"/>
      <c r="VHK216" s="744"/>
      <c r="VHL216" s="744"/>
      <c r="VHM216" s="745"/>
      <c r="VHP216" s="918"/>
      <c r="VHQ216" s="918"/>
      <c r="VHR216" s="918"/>
      <c r="VHS216" s="918"/>
      <c r="VHT216" s="918"/>
      <c r="VHU216" s="918"/>
      <c r="VHV216" s="887"/>
      <c r="VHW216" s="887"/>
      <c r="VIA216" s="744"/>
      <c r="VIB216" s="744"/>
      <c r="VIC216" s="744"/>
      <c r="VIE216" s="746"/>
      <c r="VIG216" s="744"/>
      <c r="VIH216" s="744"/>
      <c r="VII216" s="744"/>
      <c r="VIJ216" s="745"/>
      <c r="VIM216" s="918"/>
      <c r="VIN216" s="918"/>
      <c r="VIO216" s="918"/>
      <c r="VIP216" s="918"/>
      <c r="VIQ216" s="918"/>
      <c r="VIR216" s="918"/>
      <c r="VIS216" s="887"/>
      <c r="VIT216" s="887"/>
      <c r="VIX216" s="744"/>
      <c r="VIY216" s="744"/>
      <c r="VIZ216" s="744"/>
      <c r="VJB216" s="746"/>
      <c r="VJD216" s="744"/>
      <c r="VJE216" s="744"/>
      <c r="VJF216" s="744"/>
      <c r="VJG216" s="745"/>
      <c r="VJJ216" s="918"/>
      <c r="VJK216" s="918"/>
      <c r="VJL216" s="918"/>
      <c r="VJM216" s="918"/>
      <c r="VJN216" s="918"/>
      <c r="VJO216" s="918"/>
      <c r="VJP216" s="887"/>
      <c r="VJQ216" s="887"/>
      <c r="VJU216" s="744"/>
      <c r="VJV216" s="744"/>
      <c r="VJW216" s="744"/>
      <c r="VJY216" s="746"/>
      <c r="VKA216" s="744"/>
      <c r="VKB216" s="744"/>
      <c r="VKC216" s="744"/>
      <c r="VKD216" s="745"/>
      <c r="VKG216" s="918"/>
      <c r="VKH216" s="918"/>
      <c r="VKI216" s="918"/>
      <c r="VKJ216" s="918"/>
      <c r="VKK216" s="918"/>
      <c r="VKL216" s="918"/>
      <c r="VKM216" s="887"/>
      <c r="VKN216" s="887"/>
      <c r="VKR216" s="744"/>
      <c r="VKS216" s="744"/>
      <c r="VKT216" s="744"/>
      <c r="VKV216" s="746"/>
      <c r="VKX216" s="744"/>
      <c r="VKY216" s="744"/>
      <c r="VKZ216" s="744"/>
      <c r="VLA216" s="745"/>
      <c r="VLD216" s="918"/>
      <c r="VLE216" s="918"/>
      <c r="VLF216" s="918"/>
      <c r="VLG216" s="918"/>
      <c r="VLH216" s="918"/>
      <c r="VLI216" s="918"/>
      <c r="VLJ216" s="887"/>
      <c r="VLK216" s="887"/>
      <c r="VLO216" s="744"/>
      <c r="VLP216" s="744"/>
      <c r="VLQ216" s="744"/>
      <c r="VLS216" s="746"/>
      <c r="VLU216" s="744"/>
      <c r="VLV216" s="744"/>
      <c r="VLW216" s="744"/>
      <c r="VLX216" s="745"/>
      <c r="VMA216" s="918"/>
      <c r="VMB216" s="918"/>
      <c r="VMC216" s="918"/>
      <c r="VMD216" s="918"/>
      <c r="VME216" s="918"/>
      <c r="VMF216" s="918"/>
      <c r="VMG216" s="887"/>
      <c r="VMH216" s="887"/>
      <c r="VML216" s="744"/>
      <c r="VMM216" s="744"/>
      <c r="VMN216" s="744"/>
      <c r="VMP216" s="746"/>
      <c r="VMR216" s="744"/>
      <c r="VMS216" s="744"/>
      <c r="VMT216" s="744"/>
      <c r="VMU216" s="745"/>
      <c r="VMX216" s="918"/>
      <c r="VMY216" s="918"/>
      <c r="VMZ216" s="918"/>
      <c r="VNA216" s="918"/>
      <c r="VNB216" s="918"/>
      <c r="VNC216" s="918"/>
      <c r="VND216" s="887"/>
      <c r="VNE216" s="887"/>
      <c r="VNI216" s="744"/>
      <c r="VNJ216" s="744"/>
      <c r="VNK216" s="744"/>
      <c r="VNM216" s="746"/>
      <c r="VNO216" s="744"/>
      <c r="VNP216" s="744"/>
      <c r="VNQ216" s="744"/>
      <c r="VNR216" s="745"/>
      <c r="VNU216" s="918"/>
      <c r="VNV216" s="918"/>
      <c r="VNW216" s="918"/>
      <c r="VNX216" s="918"/>
      <c r="VNY216" s="918"/>
      <c r="VNZ216" s="918"/>
      <c r="VOA216" s="887"/>
      <c r="VOB216" s="887"/>
      <c r="VOF216" s="744"/>
      <c r="VOG216" s="744"/>
      <c r="VOH216" s="744"/>
      <c r="VOJ216" s="746"/>
      <c r="VOL216" s="744"/>
      <c r="VOM216" s="744"/>
      <c r="VON216" s="744"/>
      <c r="VOO216" s="745"/>
      <c r="VOR216" s="918"/>
      <c r="VOS216" s="918"/>
      <c r="VOT216" s="918"/>
      <c r="VOU216" s="918"/>
      <c r="VOV216" s="918"/>
      <c r="VOW216" s="918"/>
      <c r="VOX216" s="887"/>
      <c r="VOY216" s="887"/>
      <c r="VPC216" s="744"/>
      <c r="VPD216" s="744"/>
      <c r="VPE216" s="744"/>
      <c r="VPG216" s="746"/>
      <c r="VPI216" s="744"/>
      <c r="VPJ216" s="744"/>
      <c r="VPK216" s="744"/>
      <c r="VPL216" s="745"/>
      <c r="VPO216" s="918"/>
      <c r="VPP216" s="918"/>
      <c r="VPQ216" s="918"/>
      <c r="VPR216" s="918"/>
      <c r="VPS216" s="918"/>
      <c r="VPT216" s="918"/>
      <c r="VPU216" s="887"/>
      <c r="VPV216" s="887"/>
      <c r="VPZ216" s="744"/>
      <c r="VQA216" s="744"/>
      <c r="VQB216" s="744"/>
      <c r="VQD216" s="746"/>
      <c r="VQF216" s="744"/>
      <c r="VQG216" s="744"/>
      <c r="VQH216" s="744"/>
      <c r="VQI216" s="745"/>
      <c r="VQL216" s="918"/>
      <c r="VQM216" s="918"/>
      <c r="VQN216" s="918"/>
      <c r="VQO216" s="918"/>
      <c r="VQP216" s="918"/>
      <c r="VQQ216" s="918"/>
      <c r="VQR216" s="887"/>
      <c r="VQS216" s="887"/>
      <c r="VQW216" s="744"/>
      <c r="VQX216" s="744"/>
      <c r="VQY216" s="744"/>
      <c r="VRA216" s="746"/>
      <c r="VRC216" s="744"/>
      <c r="VRD216" s="744"/>
      <c r="VRE216" s="744"/>
      <c r="VRF216" s="745"/>
      <c r="VRI216" s="918"/>
      <c r="VRJ216" s="918"/>
      <c r="VRK216" s="918"/>
      <c r="VRL216" s="918"/>
      <c r="VRM216" s="918"/>
      <c r="VRN216" s="918"/>
      <c r="VRO216" s="887"/>
      <c r="VRP216" s="887"/>
      <c r="VRT216" s="744"/>
      <c r="VRU216" s="744"/>
      <c r="VRV216" s="744"/>
      <c r="VRX216" s="746"/>
      <c r="VRZ216" s="744"/>
      <c r="VSA216" s="744"/>
      <c r="VSB216" s="744"/>
      <c r="VSC216" s="745"/>
      <c r="VSF216" s="918"/>
      <c r="VSG216" s="918"/>
      <c r="VSH216" s="918"/>
      <c r="VSI216" s="918"/>
      <c r="VSJ216" s="918"/>
      <c r="VSK216" s="918"/>
      <c r="VSL216" s="887"/>
      <c r="VSM216" s="887"/>
      <c r="VSQ216" s="744"/>
      <c r="VSR216" s="744"/>
      <c r="VSS216" s="744"/>
      <c r="VSU216" s="746"/>
      <c r="VSW216" s="744"/>
      <c r="VSX216" s="744"/>
      <c r="VSY216" s="744"/>
      <c r="VSZ216" s="745"/>
      <c r="VTC216" s="918"/>
      <c r="VTD216" s="918"/>
      <c r="VTE216" s="918"/>
      <c r="VTF216" s="918"/>
      <c r="VTG216" s="918"/>
      <c r="VTH216" s="918"/>
      <c r="VTI216" s="887"/>
      <c r="VTJ216" s="887"/>
      <c r="VTN216" s="744"/>
      <c r="VTO216" s="744"/>
      <c r="VTP216" s="744"/>
      <c r="VTR216" s="746"/>
      <c r="VTT216" s="744"/>
      <c r="VTU216" s="744"/>
      <c r="VTV216" s="744"/>
      <c r="VTW216" s="745"/>
      <c r="VTZ216" s="918"/>
      <c r="VUA216" s="918"/>
      <c r="VUB216" s="918"/>
      <c r="VUC216" s="918"/>
      <c r="VUD216" s="918"/>
      <c r="VUE216" s="918"/>
      <c r="VUF216" s="887"/>
      <c r="VUG216" s="887"/>
      <c r="VUK216" s="744"/>
      <c r="VUL216" s="744"/>
      <c r="VUM216" s="744"/>
      <c r="VUO216" s="746"/>
      <c r="VUQ216" s="744"/>
      <c r="VUR216" s="744"/>
      <c r="VUS216" s="744"/>
      <c r="VUT216" s="745"/>
      <c r="VUW216" s="918"/>
      <c r="VUX216" s="918"/>
      <c r="VUY216" s="918"/>
      <c r="VUZ216" s="918"/>
      <c r="VVA216" s="918"/>
      <c r="VVB216" s="918"/>
      <c r="VVC216" s="887"/>
      <c r="VVD216" s="887"/>
      <c r="VVH216" s="744"/>
      <c r="VVI216" s="744"/>
      <c r="VVJ216" s="744"/>
      <c r="VVL216" s="746"/>
      <c r="VVN216" s="744"/>
      <c r="VVO216" s="744"/>
      <c r="VVP216" s="744"/>
      <c r="VVQ216" s="745"/>
      <c r="VVT216" s="918"/>
      <c r="VVU216" s="918"/>
      <c r="VVV216" s="918"/>
      <c r="VVW216" s="918"/>
      <c r="VVX216" s="918"/>
      <c r="VVY216" s="918"/>
      <c r="VVZ216" s="887"/>
      <c r="VWA216" s="887"/>
      <c r="VWE216" s="744"/>
      <c r="VWF216" s="744"/>
      <c r="VWG216" s="744"/>
      <c r="VWI216" s="746"/>
      <c r="VWK216" s="744"/>
      <c r="VWL216" s="744"/>
      <c r="VWM216" s="744"/>
      <c r="VWN216" s="745"/>
      <c r="VWQ216" s="918"/>
      <c r="VWR216" s="918"/>
      <c r="VWS216" s="918"/>
      <c r="VWT216" s="918"/>
      <c r="VWU216" s="918"/>
      <c r="VWV216" s="918"/>
      <c r="VWW216" s="887"/>
      <c r="VWX216" s="887"/>
      <c r="VXB216" s="744"/>
      <c r="VXC216" s="744"/>
      <c r="VXD216" s="744"/>
      <c r="VXF216" s="746"/>
      <c r="VXH216" s="744"/>
      <c r="VXI216" s="744"/>
      <c r="VXJ216" s="744"/>
      <c r="VXK216" s="745"/>
      <c r="VXN216" s="918"/>
      <c r="VXO216" s="918"/>
      <c r="VXP216" s="918"/>
      <c r="VXQ216" s="918"/>
      <c r="VXR216" s="918"/>
      <c r="VXS216" s="918"/>
      <c r="VXT216" s="887"/>
      <c r="VXU216" s="887"/>
      <c r="VXY216" s="744"/>
      <c r="VXZ216" s="744"/>
      <c r="VYA216" s="744"/>
      <c r="VYC216" s="746"/>
      <c r="VYE216" s="744"/>
      <c r="VYF216" s="744"/>
      <c r="VYG216" s="744"/>
      <c r="VYH216" s="745"/>
      <c r="VYK216" s="918"/>
      <c r="VYL216" s="918"/>
      <c r="VYM216" s="918"/>
      <c r="VYN216" s="918"/>
      <c r="VYO216" s="918"/>
      <c r="VYP216" s="918"/>
      <c r="VYQ216" s="887"/>
      <c r="VYR216" s="887"/>
      <c r="VYV216" s="744"/>
      <c r="VYW216" s="744"/>
      <c r="VYX216" s="744"/>
      <c r="VYZ216" s="746"/>
      <c r="VZB216" s="744"/>
      <c r="VZC216" s="744"/>
      <c r="VZD216" s="744"/>
      <c r="VZE216" s="745"/>
      <c r="VZH216" s="918"/>
      <c r="VZI216" s="918"/>
      <c r="VZJ216" s="918"/>
      <c r="VZK216" s="918"/>
      <c r="VZL216" s="918"/>
      <c r="VZM216" s="918"/>
      <c r="VZN216" s="887"/>
      <c r="VZO216" s="887"/>
      <c r="VZS216" s="744"/>
      <c r="VZT216" s="744"/>
      <c r="VZU216" s="744"/>
      <c r="VZW216" s="746"/>
      <c r="VZY216" s="744"/>
      <c r="VZZ216" s="744"/>
      <c r="WAA216" s="744"/>
      <c r="WAB216" s="745"/>
      <c r="WAE216" s="918"/>
      <c r="WAF216" s="918"/>
      <c r="WAG216" s="918"/>
      <c r="WAH216" s="918"/>
      <c r="WAI216" s="918"/>
      <c r="WAJ216" s="918"/>
      <c r="WAK216" s="887"/>
      <c r="WAL216" s="887"/>
      <c r="WAP216" s="744"/>
      <c r="WAQ216" s="744"/>
      <c r="WAR216" s="744"/>
      <c r="WAT216" s="746"/>
      <c r="WAV216" s="744"/>
      <c r="WAW216" s="744"/>
      <c r="WAX216" s="744"/>
      <c r="WAY216" s="745"/>
      <c r="WBB216" s="918"/>
      <c r="WBC216" s="918"/>
      <c r="WBD216" s="918"/>
      <c r="WBE216" s="918"/>
      <c r="WBF216" s="918"/>
      <c r="WBG216" s="918"/>
      <c r="WBH216" s="887"/>
      <c r="WBI216" s="887"/>
      <c r="WBM216" s="744"/>
      <c r="WBN216" s="744"/>
      <c r="WBO216" s="744"/>
      <c r="WBQ216" s="746"/>
      <c r="WBS216" s="744"/>
      <c r="WBT216" s="744"/>
      <c r="WBU216" s="744"/>
      <c r="WBV216" s="745"/>
      <c r="WBY216" s="918"/>
      <c r="WBZ216" s="918"/>
      <c r="WCA216" s="918"/>
      <c r="WCB216" s="918"/>
      <c r="WCC216" s="918"/>
      <c r="WCD216" s="918"/>
      <c r="WCE216" s="887"/>
      <c r="WCF216" s="887"/>
      <c r="WCJ216" s="744"/>
      <c r="WCK216" s="744"/>
      <c r="WCL216" s="744"/>
      <c r="WCN216" s="746"/>
      <c r="WCP216" s="744"/>
      <c r="WCQ216" s="744"/>
      <c r="WCR216" s="744"/>
      <c r="WCS216" s="745"/>
      <c r="WCV216" s="918"/>
      <c r="WCW216" s="918"/>
      <c r="WCX216" s="918"/>
      <c r="WCY216" s="918"/>
      <c r="WCZ216" s="918"/>
      <c r="WDA216" s="918"/>
      <c r="WDB216" s="887"/>
      <c r="WDC216" s="887"/>
      <c r="WDG216" s="744"/>
      <c r="WDH216" s="744"/>
      <c r="WDI216" s="744"/>
      <c r="WDK216" s="746"/>
      <c r="WDM216" s="744"/>
      <c r="WDN216" s="744"/>
      <c r="WDO216" s="744"/>
      <c r="WDP216" s="745"/>
      <c r="WDS216" s="918"/>
      <c r="WDT216" s="918"/>
      <c r="WDU216" s="918"/>
      <c r="WDV216" s="918"/>
      <c r="WDW216" s="918"/>
      <c r="WDX216" s="918"/>
      <c r="WDY216" s="887"/>
      <c r="WDZ216" s="887"/>
      <c r="WED216" s="744"/>
      <c r="WEE216" s="744"/>
      <c r="WEF216" s="744"/>
      <c r="WEH216" s="746"/>
      <c r="WEJ216" s="744"/>
      <c r="WEK216" s="744"/>
      <c r="WEL216" s="744"/>
      <c r="WEM216" s="745"/>
      <c r="WEP216" s="918"/>
      <c r="WEQ216" s="918"/>
      <c r="WER216" s="918"/>
      <c r="WES216" s="918"/>
      <c r="WET216" s="918"/>
      <c r="WEU216" s="918"/>
      <c r="WEV216" s="887"/>
      <c r="WEW216" s="887"/>
      <c r="WFA216" s="744"/>
      <c r="WFB216" s="744"/>
      <c r="WFC216" s="744"/>
      <c r="WFE216" s="746"/>
      <c r="WFG216" s="744"/>
      <c r="WFH216" s="744"/>
      <c r="WFI216" s="744"/>
      <c r="WFJ216" s="745"/>
      <c r="WFM216" s="918"/>
      <c r="WFN216" s="918"/>
      <c r="WFO216" s="918"/>
      <c r="WFP216" s="918"/>
      <c r="WFQ216" s="918"/>
      <c r="WFR216" s="918"/>
      <c r="WFS216" s="887"/>
      <c r="WFT216" s="887"/>
      <c r="WFX216" s="744"/>
      <c r="WFY216" s="744"/>
      <c r="WFZ216" s="744"/>
      <c r="WGB216" s="746"/>
      <c r="WGD216" s="744"/>
      <c r="WGE216" s="744"/>
      <c r="WGF216" s="744"/>
      <c r="WGG216" s="745"/>
      <c r="WGJ216" s="918"/>
      <c r="WGK216" s="918"/>
      <c r="WGL216" s="918"/>
      <c r="WGM216" s="918"/>
      <c r="WGN216" s="918"/>
      <c r="WGO216" s="918"/>
      <c r="WGP216" s="887"/>
      <c r="WGQ216" s="887"/>
      <c r="WGU216" s="744"/>
      <c r="WGV216" s="744"/>
      <c r="WGW216" s="744"/>
      <c r="WGY216" s="746"/>
      <c r="WHA216" s="744"/>
      <c r="WHB216" s="744"/>
      <c r="WHC216" s="744"/>
      <c r="WHD216" s="745"/>
      <c r="WHG216" s="918"/>
      <c r="WHH216" s="918"/>
      <c r="WHI216" s="918"/>
      <c r="WHJ216" s="918"/>
      <c r="WHK216" s="918"/>
      <c r="WHL216" s="918"/>
      <c r="WHM216" s="887"/>
      <c r="WHN216" s="887"/>
      <c r="WHR216" s="744"/>
      <c r="WHS216" s="744"/>
      <c r="WHT216" s="744"/>
      <c r="WHV216" s="746"/>
      <c r="WHX216" s="744"/>
      <c r="WHY216" s="744"/>
      <c r="WHZ216" s="744"/>
      <c r="WIA216" s="745"/>
      <c r="WID216" s="918"/>
      <c r="WIE216" s="918"/>
      <c r="WIF216" s="918"/>
      <c r="WIG216" s="918"/>
      <c r="WIH216" s="918"/>
      <c r="WII216" s="918"/>
      <c r="WIJ216" s="887"/>
      <c r="WIK216" s="887"/>
      <c r="WIO216" s="744"/>
      <c r="WIP216" s="744"/>
      <c r="WIQ216" s="744"/>
      <c r="WIS216" s="746"/>
      <c r="WIU216" s="744"/>
      <c r="WIV216" s="744"/>
      <c r="WIW216" s="744"/>
      <c r="WIX216" s="745"/>
      <c r="WJA216" s="918"/>
      <c r="WJB216" s="918"/>
      <c r="WJC216" s="918"/>
      <c r="WJD216" s="918"/>
      <c r="WJE216" s="918"/>
      <c r="WJF216" s="918"/>
      <c r="WJG216" s="887"/>
      <c r="WJH216" s="887"/>
      <c r="WJL216" s="744"/>
      <c r="WJM216" s="744"/>
      <c r="WJN216" s="744"/>
      <c r="WJP216" s="746"/>
      <c r="WJR216" s="744"/>
      <c r="WJS216" s="744"/>
      <c r="WJT216" s="744"/>
      <c r="WJU216" s="745"/>
      <c r="WJX216" s="918"/>
      <c r="WJY216" s="918"/>
      <c r="WJZ216" s="918"/>
      <c r="WKA216" s="918"/>
      <c r="WKB216" s="918"/>
      <c r="WKC216" s="918"/>
      <c r="WKD216" s="887"/>
      <c r="WKE216" s="887"/>
      <c r="WKI216" s="744"/>
      <c r="WKJ216" s="744"/>
      <c r="WKK216" s="744"/>
      <c r="WKM216" s="746"/>
      <c r="WKO216" s="744"/>
      <c r="WKP216" s="744"/>
      <c r="WKQ216" s="744"/>
      <c r="WKR216" s="745"/>
      <c r="WKU216" s="918"/>
      <c r="WKV216" s="918"/>
      <c r="WKW216" s="918"/>
      <c r="WKX216" s="918"/>
      <c r="WKY216" s="918"/>
      <c r="WKZ216" s="918"/>
      <c r="WLA216" s="887"/>
      <c r="WLB216" s="887"/>
      <c r="WLF216" s="744"/>
      <c r="WLG216" s="744"/>
      <c r="WLH216" s="744"/>
      <c r="WLJ216" s="746"/>
      <c r="WLL216" s="744"/>
      <c r="WLM216" s="744"/>
      <c r="WLN216" s="744"/>
      <c r="WLO216" s="745"/>
      <c r="WLR216" s="918"/>
      <c r="WLS216" s="918"/>
      <c r="WLT216" s="918"/>
      <c r="WLU216" s="918"/>
      <c r="WLV216" s="918"/>
      <c r="WLW216" s="918"/>
      <c r="WLX216" s="887"/>
      <c r="WLY216" s="887"/>
      <c r="WMC216" s="744"/>
      <c r="WMD216" s="744"/>
      <c r="WME216" s="744"/>
      <c r="WMG216" s="746"/>
      <c r="WMI216" s="744"/>
      <c r="WMJ216" s="744"/>
      <c r="WMK216" s="744"/>
      <c r="WML216" s="745"/>
      <c r="WMO216" s="918"/>
      <c r="WMP216" s="918"/>
      <c r="WMQ216" s="918"/>
      <c r="WMR216" s="918"/>
      <c r="WMS216" s="918"/>
      <c r="WMT216" s="918"/>
      <c r="WMU216" s="887"/>
      <c r="WMV216" s="887"/>
      <c r="WMZ216" s="744"/>
      <c r="WNA216" s="744"/>
      <c r="WNB216" s="744"/>
      <c r="WND216" s="746"/>
      <c r="WNF216" s="744"/>
      <c r="WNG216" s="744"/>
      <c r="WNH216" s="744"/>
      <c r="WNI216" s="745"/>
      <c r="WNL216" s="918"/>
      <c r="WNM216" s="918"/>
      <c r="WNN216" s="918"/>
      <c r="WNO216" s="918"/>
      <c r="WNP216" s="918"/>
      <c r="WNQ216" s="918"/>
      <c r="WNR216" s="887"/>
      <c r="WNS216" s="887"/>
      <c r="WNW216" s="744"/>
      <c r="WNX216" s="744"/>
      <c r="WNY216" s="744"/>
      <c r="WOA216" s="746"/>
      <c r="WOC216" s="744"/>
      <c r="WOD216" s="744"/>
      <c r="WOE216" s="744"/>
      <c r="WOF216" s="745"/>
      <c r="WOI216" s="918"/>
      <c r="WOJ216" s="918"/>
      <c r="WOK216" s="918"/>
      <c r="WOL216" s="918"/>
      <c r="WOM216" s="918"/>
      <c r="WON216" s="918"/>
      <c r="WOO216" s="887"/>
      <c r="WOP216" s="887"/>
      <c r="WOT216" s="744"/>
      <c r="WOU216" s="744"/>
      <c r="WOV216" s="744"/>
      <c r="WOX216" s="746"/>
      <c r="WOZ216" s="744"/>
      <c r="WPA216" s="744"/>
      <c r="WPB216" s="744"/>
      <c r="WPC216" s="745"/>
      <c r="WPF216" s="918"/>
      <c r="WPG216" s="918"/>
      <c r="WPH216" s="918"/>
      <c r="WPI216" s="918"/>
      <c r="WPJ216" s="918"/>
      <c r="WPK216" s="918"/>
      <c r="WPL216" s="887"/>
      <c r="WPM216" s="887"/>
      <c r="WPQ216" s="744"/>
      <c r="WPR216" s="744"/>
      <c r="WPS216" s="744"/>
      <c r="WPU216" s="746"/>
      <c r="WPW216" s="744"/>
      <c r="WPX216" s="744"/>
      <c r="WPY216" s="744"/>
      <c r="WPZ216" s="745"/>
      <c r="WQC216" s="918"/>
      <c r="WQD216" s="918"/>
      <c r="WQE216" s="918"/>
      <c r="WQF216" s="918"/>
      <c r="WQG216" s="918"/>
      <c r="WQH216" s="918"/>
      <c r="WQI216" s="887"/>
      <c r="WQJ216" s="887"/>
      <c r="WQN216" s="744"/>
      <c r="WQO216" s="744"/>
      <c r="WQP216" s="744"/>
      <c r="WQR216" s="746"/>
      <c r="WQT216" s="744"/>
      <c r="WQU216" s="744"/>
      <c r="WQV216" s="744"/>
      <c r="WQW216" s="745"/>
      <c r="WQZ216" s="918"/>
      <c r="WRA216" s="918"/>
      <c r="WRB216" s="918"/>
      <c r="WRC216" s="918"/>
      <c r="WRD216" s="918"/>
      <c r="WRE216" s="918"/>
      <c r="WRF216" s="887"/>
      <c r="WRG216" s="887"/>
      <c r="WRK216" s="744"/>
      <c r="WRL216" s="744"/>
      <c r="WRM216" s="744"/>
      <c r="WRO216" s="746"/>
      <c r="WRQ216" s="744"/>
      <c r="WRR216" s="744"/>
      <c r="WRS216" s="744"/>
      <c r="WRT216" s="745"/>
      <c r="WRW216" s="918"/>
      <c r="WRX216" s="918"/>
      <c r="WRY216" s="918"/>
      <c r="WRZ216" s="918"/>
      <c r="WSA216" s="918"/>
      <c r="WSB216" s="918"/>
      <c r="WSC216" s="887"/>
      <c r="WSD216" s="887"/>
      <c r="WSH216" s="744"/>
      <c r="WSI216" s="744"/>
      <c r="WSJ216" s="744"/>
      <c r="WSL216" s="746"/>
      <c r="WSN216" s="744"/>
      <c r="WSO216" s="744"/>
      <c r="WSP216" s="744"/>
      <c r="WSQ216" s="745"/>
      <c r="WST216" s="918"/>
      <c r="WSU216" s="918"/>
      <c r="WSV216" s="918"/>
      <c r="WSW216" s="918"/>
      <c r="WSX216" s="918"/>
      <c r="WSY216" s="918"/>
      <c r="WSZ216" s="887"/>
      <c r="WTA216" s="887"/>
      <c r="WTE216" s="744"/>
      <c r="WTF216" s="744"/>
      <c r="WTG216" s="744"/>
      <c r="WTI216" s="746"/>
      <c r="WTK216" s="744"/>
      <c r="WTL216" s="744"/>
      <c r="WTM216" s="744"/>
      <c r="WTN216" s="745"/>
      <c r="WTQ216" s="918"/>
      <c r="WTR216" s="918"/>
      <c r="WTS216" s="918"/>
      <c r="WTT216" s="918"/>
      <c r="WTU216" s="918"/>
      <c r="WTV216" s="918"/>
      <c r="WTW216" s="887"/>
      <c r="WTX216" s="887"/>
      <c r="WUB216" s="744"/>
      <c r="WUC216" s="744"/>
      <c r="WUD216" s="744"/>
      <c r="WUF216" s="746"/>
      <c r="WUH216" s="744"/>
      <c r="WUI216" s="744"/>
      <c r="WUJ216" s="744"/>
      <c r="WUK216" s="745"/>
      <c r="WUN216" s="918"/>
      <c r="WUO216" s="918"/>
      <c r="WUP216" s="918"/>
      <c r="WUQ216" s="918"/>
      <c r="WUR216" s="918"/>
      <c r="WUS216" s="918"/>
      <c r="WUT216" s="887"/>
      <c r="WUU216" s="887"/>
      <c r="WUY216" s="744"/>
      <c r="WUZ216" s="744"/>
      <c r="WVA216" s="744"/>
      <c r="WVC216" s="746"/>
      <c r="WVE216" s="744"/>
      <c r="WVF216" s="744"/>
      <c r="WVG216" s="744"/>
      <c r="WVH216" s="745"/>
      <c r="WVK216" s="918"/>
      <c r="WVL216" s="918"/>
      <c r="WVM216" s="918"/>
      <c r="WVN216" s="918"/>
      <c r="WVO216" s="918"/>
      <c r="WVP216" s="918"/>
      <c r="WVQ216" s="887"/>
      <c r="WVR216" s="887"/>
      <c r="WVV216" s="744"/>
      <c r="WVW216" s="744"/>
      <c r="WVX216" s="744"/>
      <c r="WVZ216" s="746"/>
      <c r="WWB216" s="744"/>
      <c r="WWC216" s="744"/>
      <c r="WWD216" s="744"/>
      <c r="WWE216" s="745"/>
      <c r="WWH216" s="918"/>
      <c r="WWI216" s="918"/>
      <c r="WWJ216" s="918"/>
      <c r="WWK216" s="918"/>
      <c r="WWL216" s="918"/>
      <c r="WWM216" s="918"/>
      <c r="WWN216" s="887"/>
      <c r="WWO216" s="887"/>
      <c r="WWS216" s="744"/>
      <c r="WWT216" s="744"/>
      <c r="WWU216" s="744"/>
      <c r="WWW216" s="746"/>
      <c r="WWY216" s="744"/>
      <c r="WWZ216" s="744"/>
      <c r="WXA216" s="744"/>
      <c r="WXB216" s="745"/>
      <c r="WXE216" s="918"/>
      <c r="WXF216" s="918"/>
      <c r="WXG216" s="918"/>
      <c r="WXH216" s="918"/>
      <c r="WXI216" s="918"/>
      <c r="WXJ216" s="918"/>
      <c r="WXK216" s="887"/>
      <c r="WXL216" s="887"/>
      <c r="WXP216" s="744"/>
      <c r="WXQ216" s="744"/>
      <c r="WXR216" s="744"/>
      <c r="WXT216" s="746"/>
      <c r="WXV216" s="744"/>
      <c r="WXW216" s="744"/>
      <c r="WXX216" s="744"/>
      <c r="WXY216" s="745"/>
      <c r="WYB216" s="918"/>
      <c r="WYC216" s="918"/>
      <c r="WYD216" s="918"/>
      <c r="WYE216" s="918"/>
      <c r="WYF216" s="918"/>
      <c r="WYG216" s="918"/>
      <c r="WYH216" s="887"/>
      <c r="WYI216" s="887"/>
      <c r="WYM216" s="744"/>
      <c r="WYN216" s="744"/>
      <c r="WYO216" s="744"/>
      <c r="WYQ216" s="746"/>
      <c r="WYS216" s="744"/>
      <c r="WYT216" s="744"/>
      <c r="WYU216" s="744"/>
      <c r="WYV216" s="745"/>
      <c r="WYY216" s="918"/>
      <c r="WYZ216" s="918"/>
      <c r="WZA216" s="918"/>
      <c r="WZB216" s="918"/>
      <c r="WZC216" s="918"/>
      <c r="WZD216" s="918"/>
      <c r="WZE216" s="887"/>
      <c r="WZF216" s="887"/>
      <c r="WZJ216" s="744"/>
      <c r="WZK216" s="744"/>
      <c r="WZL216" s="744"/>
      <c r="WZN216" s="746"/>
      <c r="WZP216" s="744"/>
      <c r="WZQ216" s="744"/>
      <c r="WZR216" s="744"/>
      <c r="WZS216" s="745"/>
      <c r="WZV216" s="918"/>
      <c r="WZW216" s="918"/>
      <c r="WZX216" s="918"/>
      <c r="WZY216" s="918"/>
      <c r="WZZ216" s="918"/>
      <c r="XAA216" s="918"/>
      <c r="XAB216" s="887"/>
      <c r="XAC216" s="887"/>
      <c r="XAG216" s="744"/>
      <c r="XAH216" s="744"/>
      <c r="XAI216" s="744"/>
      <c r="XAK216" s="746"/>
      <c r="XAM216" s="744"/>
      <c r="XAN216" s="744"/>
      <c r="XAO216" s="744"/>
      <c r="XAP216" s="745"/>
      <c r="XAS216" s="918"/>
      <c r="XAT216" s="918"/>
      <c r="XAU216" s="918"/>
      <c r="XAV216" s="918"/>
      <c r="XAW216" s="918"/>
      <c r="XAX216" s="918"/>
      <c r="XAY216" s="887"/>
      <c r="XAZ216" s="887"/>
      <c r="XBD216" s="744"/>
      <c r="XBE216" s="744"/>
      <c r="XBF216" s="744"/>
      <c r="XBH216" s="746"/>
      <c r="XBJ216" s="744"/>
      <c r="XBK216" s="744"/>
      <c r="XBL216" s="744"/>
      <c r="XBM216" s="745"/>
      <c r="XBP216" s="918"/>
      <c r="XBQ216" s="918"/>
      <c r="XBR216" s="918"/>
      <c r="XBS216" s="918"/>
      <c r="XBT216" s="918"/>
      <c r="XBU216" s="918"/>
      <c r="XBV216" s="887"/>
      <c r="XBW216" s="887"/>
      <c r="XCA216" s="744"/>
      <c r="XCB216" s="744"/>
      <c r="XCC216" s="744"/>
      <c r="XCE216" s="746"/>
      <c r="XCG216" s="744"/>
      <c r="XCH216" s="744"/>
      <c r="XCI216" s="744"/>
      <c r="XCJ216" s="745"/>
      <c r="XCM216" s="918"/>
      <c r="XCN216" s="918"/>
      <c r="XCO216" s="918"/>
      <c r="XCP216" s="918"/>
      <c r="XCQ216" s="918"/>
      <c r="XCR216" s="918"/>
      <c r="XCS216" s="887"/>
      <c r="XCT216" s="887"/>
      <c r="XCX216" s="744"/>
      <c r="XCY216" s="744"/>
      <c r="XCZ216" s="744"/>
      <c r="XDB216" s="746"/>
      <c r="XDD216" s="744"/>
      <c r="XDE216" s="744"/>
      <c r="XDF216" s="744"/>
      <c r="XDG216" s="745"/>
      <c r="XDJ216" s="918"/>
      <c r="XDK216" s="918"/>
      <c r="XDL216" s="918"/>
      <c r="XDM216" s="918"/>
      <c r="XDN216" s="918"/>
      <c r="XDO216" s="918"/>
      <c r="XDP216" s="887"/>
      <c r="XDQ216" s="887"/>
      <c r="XDU216" s="744"/>
      <c r="XDV216" s="744"/>
      <c r="XDW216" s="744"/>
      <c r="XDY216" s="746"/>
      <c r="XEA216" s="744"/>
      <c r="XEB216" s="744"/>
      <c r="XEC216" s="744"/>
      <c r="XED216" s="745"/>
      <c r="XEG216" s="918"/>
      <c r="XEH216" s="918"/>
      <c r="XEI216" s="918"/>
      <c r="XEJ216" s="918"/>
      <c r="XEK216" s="918"/>
      <c r="XEL216" s="918"/>
      <c r="XEM216" s="887"/>
      <c r="XEN216" s="887"/>
      <c r="XER216" s="744"/>
      <c r="XES216" s="744"/>
      <c r="XET216" s="744"/>
      <c r="XEV216" s="746"/>
      <c r="XEX216" s="744"/>
      <c r="XEY216" s="744"/>
      <c r="XEZ216" s="744"/>
      <c r="XFA216" s="745"/>
      <c r="XFD216" s="744"/>
    </row>
    <row r="217" spans="1:2047 2049:7168 7172:9215 9219:10240 10243:11262 11266:12287 12290:13309 13313:14334 14337:16384">
      <c r="A217" s="766">
        <v>2018</v>
      </c>
      <c r="B217" s="757">
        <f>(K146*($E146/365))+(K147*($E147/365))</f>
        <v>15.428983417447728</v>
      </c>
      <c r="C217" s="757">
        <f>(L146*($E146/365))+(L147*($E147/365))</f>
        <v>31.218457101658252</v>
      </c>
      <c r="D217" s="757">
        <f>(M146*($E146/365))+(M147*($E147/365))</f>
        <v>30.483056957462146</v>
      </c>
      <c r="E217" s="758">
        <f t="shared" ref="E217" si="49">B217+C217+D217</f>
        <v>77.130497476568138</v>
      </c>
      <c r="F217" s="766"/>
      <c r="G217" s="766">
        <v>2018</v>
      </c>
      <c r="H217" s="918">
        <f>(O146/$R146*100*($E146/365))+(O147/$R147*100*($E147/365))</f>
        <v>20.705417746513639</v>
      </c>
      <c r="I217" s="918"/>
      <c r="J217" s="918">
        <f>(Q146/$R146*100*($E146/365))+(Q147/$R147*100*($E147/365))</f>
        <v>38.120505957067131</v>
      </c>
      <c r="K217" s="918"/>
      <c r="L217" s="918">
        <f>(Q146/$R146*100*($E146/365))+(Q147/$R147*100*($E147/365))</f>
        <v>38.120505957067131</v>
      </c>
      <c r="M217" s="918"/>
      <c r="N217" s="887">
        <f t="shared" ref="N217" si="50">H217+J217+L217</f>
        <v>96.946429660647908</v>
      </c>
      <c r="O217" s="887"/>
      <c r="P217" s="766"/>
      <c r="Q217" s="766"/>
      <c r="R217" s="766">
        <v>2018</v>
      </c>
      <c r="S217" s="757">
        <f>(O146*($E146/365))+(O147*($E147/365))</f>
        <v>11.491506849315069</v>
      </c>
      <c r="T217" s="757">
        <f>(P146*($E146/365))+(P147*($E147/365))</f>
        <v>22.744383561643836</v>
      </c>
      <c r="U217" s="757">
        <f>(Q146*($E146/365))+(Q147*($E147/365))</f>
        <v>19.898904109589044</v>
      </c>
      <c r="V217" s="757"/>
      <c r="W217" s="762">
        <f t="shared" ref="W217" si="51">S217+T217+U217</f>
        <v>54.134794520547942</v>
      </c>
    </row>
    <row r="218" spans="1:2047 2049:7168 7172:9215 9219:10240 10243:11262 11266:12287 12290:13309 13313:14334 14337:16384">
      <c r="A218" s="802">
        <v>2019</v>
      </c>
      <c r="B218" s="798">
        <f>(K148*($E148/365))+(K149*($E149/365))+(K150*(E150/365))+(K151*(E151/365))</f>
        <v>20.418168709444846</v>
      </c>
      <c r="C218" s="798">
        <f>(L148*($E148/365))+(L149*($E149/365))+(L150*(E150/365))+(L151*(E151/365))</f>
        <v>42.544173118919993</v>
      </c>
      <c r="D218" s="798">
        <f>(M148*($E148/365))+(M149*($E149/365))+(M150*(E150/365))+(M151*(E151/365))</f>
        <v>14.051022433988486</v>
      </c>
      <c r="E218" s="797">
        <f t="shared" ref="E218" si="52">B218+C218+D218</f>
        <v>77.013364262353321</v>
      </c>
      <c r="F218" s="802"/>
      <c r="G218" s="802">
        <v>2019</v>
      </c>
      <c r="H218" s="918">
        <f>(O148/$R148*100*($E148/365))+(O149/$R149*100*($E149/365))+(O150/R150*100*(E150/365))+(O151/R151*100*(E151/365))</f>
        <v>23.898309268172284</v>
      </c>
      <c r="I218" s="918"/>
      <c r="J218" s="918">
        <f>(P148/$R148*100*($E148/365))+(P149/$R149*100*($E149/365))+(P150/R150*100*(E150/365))+(P151/R151*100*(E151/365))</f>
        <v>63.918975179853504</v>
      </c>
      <c r="K218" s="918"/>
      <c r="L218" s="918">
        <f>(Q148/$R148*100*($E148/365))+(Q149/$R149*100*($E149/365))+(Q150/R150*100*(E150/365))+(Q151/R151*100*(E151/365))</f>
        <v>12.182715551974214</v>
      </c>
      <c r="M218" s="918"/>
      <c r="N218" s="887">
        <f t="shared" ref="N218" si="53">H218+J218+L218</f>
        <v>100</v>
      </c>
      <c r="O218" s="887"/>
      <c r="P218" s="802"/>
      <c r="Q218" s="802"/>
      <c r="R218" s="802">
        <v>2019</v>
      </c>
      <c r="S218" s="798">
        <f>(O148*($E148/365))+(O149*($E149/365))+(O150*(E150/365))+(O151*(E151/365))</f>
        <v>13.263561643835617</v>
      </c>
      <c r="T218" s="798">
        <f>(P148*($E148/365))+(P149*($E149/365))+(P150*(E150/365))+(P151*(E151/365))</f>
        <v>35.253424657534246</v>
      </c>
      <c r="U218" s="798">
        <f>(Q148*($E148/365))+(Q149*($E149/365))+(Q150*(E150/365))+(Q151*(E151/365))</f>
        <v>6.6273972602739724</v>
      </c>
      <c r="V218" s="798"/>
      <c r="W218" s="801">
        <f t="shared" ref="W218" si="54">S218+T218+U218</f>
        <v>55.144383561643835</v>
      </c>
    </row>
    <row r="219" spans="1:2047 2049:7168 7172:9215 9219:10240 10243:11262 11266:12287 12290:13309 13313:14334 14337:16384">
      <c r="AB219" s="37"/>
      <c r="AI219" s="2"/>
      <c r="AT219" s="1"/>
      <c r="BA219" s="1"/>
    </row>
  </sheetData>
  <mergeCells count="3261">
    <mergeCell ref="J218:K218"/>
    <mergeCell ref="L218:M218"/>
    <mergeCell ref="H218:I218"/>
    <mergeCell ref="N218:O218"/>
    <mergeCell ref="H217:I217"/>
    <mergeCell ref="J217:K217"/>
    <mergeCell ref="L217:M217"/>
    <mergeCell ref="N217:O217"/>
    <mergeCell ref="XCS216:XCT216"/>
    <mergeCell ref="XDJ216:XDK216"/>
    <mergeCell ref="XDL216:XDM216"/>
    <mergeCell ref="XDN216:XDO216"/>
    <mergeCell ref="XDP216:XDQ216"/>
    <mergeCell ref="XEG216:XEH216"/>
    <mergeCell ref="XEI216:XEJ216"/>
    <mergeCell ref="XEK216:XEL216"/>
    <mergeCell ref="XEM216:XEN216"/>
    <mergeCell ref="XAW216:XAX216"/>
    <mergeCell ref="XAY216:XAZ216"/>
    <mergeCell ref="XBP216:XBQ216"/>
    <mergeCell ref="XBR216:XBS216"/>
    <mergeCell ref="XBT216:XBU216"/>
    <mergeCell ref="XBV216:XBW216"/>
    <mergeCell ref="XCM216:XCN216"/>
    <mergeCell ref="XCO216:XCP216"/>
    <mergeCell ref="XCQ216:XCR216"/>
    <mergeCell ref="WZA216:WZB216"/>
    <mergeCell ref="WZC216:WZD216"/>
    <mergeCell ref="WZE216:WZF216"/>
    <mergeCell ref="WZV216:WZW216"/>
    <mergeCell ref="WZX216:WZY216"/>
    <mergeCell ref="WZZ216:XAA216"/>
    <mergeCell ref="XAB216:XAC216"/>
    <mergeCell ref="XAS216:XAT216"/>
    <mergeCell ref="XAU216:XAV216"/>
    <mergeCell ref="WXE216:WXF216"/>
    <mergeCell ref="WXG216:WXH216"/>
    <mergeCell ref="WXI216:WXJ216"/>
    <mergeCell ref="WXK216:WXL216"/>
    <mergeCell ref="WYB216:WYC216"/>
    <mergeCell ref="WYD216:WYE216"/>
    <mergeCell ref="WYF216:WYG216"/>
    <mergeCell ref="WYH216:WYI216"/>
    <mergeCell ref="WYY216:WYZ216"/>
    <mergeCell ref="WUT216:WUU216"/>
    <mergeCell ref="WVK216:WVL216"/>
    <mergeCell ref="WVM216:WVN216"/>
    <mergeCell ref="WVO216:WVP216"/>
    <mergeCell ref="WVQ216:WVR216"/>
    <mergeCell ref="WWH216:WWI216"/>
    <mergeCell ref="WWJ216:WWK216"/>
    <mergeCell ref="WWL216:WWM216"/>
    <mergeCell ref="WWN216:WWO216"/>
    <mergeCell ref="WSX216:WSY216"/>
    <mergeCell ref="WSZ216:WTA216"/>
    <mergeCell ref="WTQ216:WTR216"/>
    <mergeCell ref="WTS216:WTT216"/>
    <mergeCell ref="WTU216:WTV216"/>
    <mergeCell ref="WTW216:WTX216"/>
    <mergeCell ref="WUN216:WUO216"/>
    <mergeCell ref="WUP216:WUQ216"/>
    <mergeCell ref="WUR216:WUS216"/>
    <mergeCell ref="WRB216:WRC216"/>
    <mergeCell ref="WRD216:WRE216"/>
    <mergeCell ref="WRF216:WRG216"/>
    <mergeCell ref="WRW216:WRX216"/>
    <mergeCell ref="WRY216:WRZ216"/>
    <mergeCell ref="WSA216:WSB216"/>
    <mergeCell ref="WSC216:WSD216"/>
    <mergeCell ref="WST216:WSU216"/>
    <mergeCell ref="WSV216:WSW216"/>
    <mergeCell ref="WPF216:WPG216"/>
    <mergeCell ref="WPH216:WPI216"/>
    <mergeCell ref="WPJ216:WPK216"/>
    <mergeCell ref="WPL216:WPM216"/>
    <mergeCell ref="WQC216:WQD216"/>
    <mergeCell ref="WQE216:WQF216"/>
    <mergeCell ref="WQG216:WQH216"/>
    <mergeCell ref="WQI216:WQJ216"/>
    <mergeCell ref="WQZ216:WRA216"/>
    <mergeCell ref="WMU216:WMV216"/>
    <mergeCell ref="WNL216:WNM216"/>
    <mergeCell ref="WNN216:WNO216"/>
    <mergeCell ref="WNP216:WNQ216"/>
    <mergeCell ref="WNR216:WNS216"/>
    <mergeCell ref="WOI216:WOJ216"/>
    <mergeCell ref="WOK216:WOL216"/>
    <mergeCell ref="WOM216:WON216"/>
    <mergeCell ref="WOO216:WOP216"/>
    <mergeCell ref="WKY216:WKZ216"/>
    <mergeCell ref="WLA216:WLB216"/>
    <mergeCell ref="WLR216:WLS216"/>
    <mergeCell ref="WLT216:WLU216"/>
    <mergeCell ref="WLV216:WLW216"/>
    <mergeCell ref="WLX216:WLY216"/>
    <mergeCell ref="WMO216:WMP216"/>
    <mergeCell ref="WMQ216:WMR216"/>
    <mergeCell ref="WMS216:WMT216"/>
    <mergeCell ref="WJC216:WJD216"/>
    <mergeCell ref="WJE216:WJF216"/>
    <mergeCell ref="WJG216:WJH216"/>
    <mergeCell ref="WJX216:WJY216"/>
    <mergeCell ref="WJZ216:WKA216"/>
    <mergeCell ref="WKB216:WKC216"/>
    <mergeCell ref="WKD216:WKE216"/>
    <mergeCell ref="WKU216:WKV216"/>
    <mergeCell ref="WKW216:WKX216"/>
    <mergeCell ref="WHG216:WHH216"/>
    <mergeCell ref="WHI216:WHJ216"/>
    <mergeCell ref="WHK216:WHL216"/>
    <mergeCell ref="WHM216:WHN216"/>
    <mergeCell ref="WID216:WIE216"/>
    <mergeCell ref="WIF216:WIG216"/>
    <mergeCell ref="WIH216:WII216"/>
    <mergeCell ref="WIJ216:WIK216"/>
    <mergeCell ref="WJA216:WJB216"/>
    <mergeCell ref="WEV216:WEW216"/>
    <mergeCell ref="WFM216:WFN216"/>
    <mergeCell ref="WFO216:WFP216"/>
    <mergeCell ref="WFQ216:WFR216"/>
    <mergeCell ref="WFS216:WFT216"/>
    <mergeCell ref="WGJ216:WGK216"/>
    <mergeCell ref="WGL216:WGM216"/>
    <mergeCell ref="WGN216:WGO216"/>
    <mergeCell ref="WGP216:WGQ216"/>
    <mergeCell ref="WCZ216:WDA216"/>
    <mergeCell ref="WDB216:WDC216"/>
    <mergeCell ref="WDS216:WDT216"/>
    <mergeCell ref="WDU216:WDV216"/>
    <mergeCell ref="WDW216:WDX216"/>
    <mergeCell ref="WDY216:WDZ216"/>
    <mergeCell ref="WEP216:WEQ216"/>
    <mergeCell ref="WER216:WES216"/>
    <mergeCell ref="WET216:WEU216"/>
    <mergeCell ref="WBD216:WBE216"/>
    <mergeCell ref="WBF216:WBG216"/>
    <mergeCell ref="WBH216:WBI216"/>
    <mergeCell ref="WBY216:WBZ216"/>
    <mergeCell ref="WCA216:WCB216"/>
    <mergeCell ref="WCC216:WCD216"/>
    <mergeCell ref="WCE216:WCF216"/>
    <mergeCell ref="WCV216:WCW216"/>
    <mergeCell ref="WCX216:WCY216"/>
    <mergeCell ref="VZH216:VZI216"/>
    <mergeCell ref="VZJ216:VZK216"/>
    <mergeCell ref="VZL216:VZM216"/>
    <mergeCell ref="VZN216:VZO216"/>
    <mergeCell ref="WAE216:WAF216"/>
    <mergeCell ref="WAG216:WAH216"/>
    <mergeCell ref="WAI216:WAJ216"/>
    <mergeCell ref="WAK216:WAL216"/>
    <mergeCell ref="WBB216:WBC216"/>
    <mergeCell ref="VWW216:VWX216"/>
    <mergeCell ref="VXN216:VXO216"/>
    <mergeCell ref="VXP216:VXQ216"/>
    <mergeCell ref="VXR216:VXS216"/>
    <mergeCell ref="VXT216:VXU216"/>
    <mergeCell ref="VYK216:VYL216"/>
    <mergeCell ref="VYM216:VYN216"/>
    <mergeCell ref="VYO216:VYP216"/>
    <mergeCell ref="VYQ216:VYR216"/>
    <mergeCell ref="VVA216:VVB216"/>
    <mergeCell ref="VVC216:VVD216"/>
    <mergeCell ref="VVT216:VVU216"/>
    <mergeCell ref="VVV216:VVW216"/>
    <mergeCell ref="VVX216:VVY216"/>
    <mergeCell ref="VVZ216:VWA216"/>
    <mergeCell ref="VWQ216:VWR216"/>
    <mergeCell ref="VWS216:VWT216"/>
    <mergeCell ref="VWU216:VWV216"/>
    <mergeCell ref="VTE216:VTF216"/>
    <mergeCell ref="VTG216:VTH216"/>
    <mergeCell ref="VTI216:VTJ216"/>
    <mergeCell ref="VTZ216:VUA216"/>
    <mergeCell ref="VUB216:VUC216"/>
    <mergeCell ref="VUD216:VUE216"/>
    <mergeCell ref="VUF216:VUG216"/>
    <mergeCell ref="VUW216:VUX216"/>
    <mergeCell ref="VUY216:VUZ216"/>
    <mergeCell ref="VRI216:VRJ216"/>
    <mergeCell ref="VRK216:VRL216"/>
    <mergeCell ref="VRM216:VRN216"/>
    <mergeCell ref="VRO216:VRP216"/>
    <mergeCell ref="VSF216:VSG216"/>
    <mergeCell ref="VSH216:VSI216"/>
    <mergeCell ref="VSJ216:VSK216"/>
    <mergeCell ref="VSL216:VSM216"/>
    <mergeCell ref="VTC216:VTD216"/>
    <mergeCell ref="VOX216:VOY216"/>
    <mergeCell ref="VPO216:VPP216"/>
    <mergeCell ref="VPQ216:VPR216"/>
    <mergeCell ref="VPS216:VPT216"/>
    <mergeCell ref="VPU216:VPV216"/>
    <mergeCell ref="VQL216:VQM216"/>
    <mergeCell ref="VQN216:VQO216"/>
    <mergeCell ref="VQP216:VQQ216"/>
    <mergeCell ref="VQR216:VQS216"/>
    <mergeCell ref="VNB216:VNC216"/>
    <mergeCell ref="VND216:VNE216"/>
    <mergeCell ref="VNU216:VNV216"/>
    <mergeCell ref="VNW216:VNX216"/>
    <mergeCell ref="VNY216:VNZ216"/>
    <mergeCell ref="VOA216:VOB216"/>
    <mergeCell ref="VOR216:VOS216"/>
    <mergeCell ref="VOT216:VOU216"/>
    <mergeCell ref="VOV216:VOW216"/>
    <mergeCell ref="VLF216:VLG216"/>
    <mergeCell ref="VLH216:VLI216"/>
    <mergeCell ref="VLJ216:VLK216"/>
    <mergeCell ref="VMA216:VMB216"/>
    <mergeCell ref="VMC216:VMD216"/>
    <mergeCell ref="VME216:VMF216"/>
    <mergeCell ref="VMG216:VMH216"/>
    <mergeCell ref="VMX216:VMY216"/>
    <mergeCell ref="VMZ216:VNA216"/>
    <mergeCell ref="VJJ216:VJK216"/>
    <mergeCell ref="VJL216:VJM216"/>
    <mergeCell ref="VJN216:VJO216"/>
    <mergeCell ref="VJP216:VJQ216"/>
    <mergeCell ref="VKG216:VKH216"/>
    <mergeCell ref="VKI216:VKJ216"/>
    <mergeCell ref="VKK216:VKL216"/>
    <mergeCell ref="VKM216:VKN216"/>
    <mergeCell ref="VLD216:VLE216"/>
    <mergeCell ref="VGY216:VGZ216"/>
    <mergeCell ref="VHP216:VHQ216"/>
    <mergeCell ref="VHR216:VHS216"/>
    <mergeCell ref="VHT216:VHU216"/>
    <mergeCell ref="VHV216:VHW216"/>
    <mergeCell ref="VIM216:VIN216"/>
    <mergeCell ref="VIO216:VIP216"/>
    <mergeCell ref="VIQ216:VIR216"/>
    <mergeCell ref="VIS216:VIT216"/>
    <mergeCell ref="VFC216:VFD216"/>
    <mergeCell ref="VFE216:VFF216"/>
    <mergeCell ref="VFV216:VFW216"/>
    <mergeCell ref="VFX216:VFY216"/>
    <mergeCell ref="VFZ216:VGA216"/>
    <mergeCell ref="VGB216:VGC216"/>
    <mergeCell ref="VGS216:VGT216"/>
    <mergeCell ref="VGU216:VGV216"/>
    <mergeCell ref="VGW216:VGX216"/>
    <mergeCell ref="VDG216:VDH216"/>
    <mergeCell ref="VDI216:VDJ216"/>
    <mergeCell ref="VDK216:VDL216"/>
    <mergeCell ref="VEB216:VEC216"/>
    <mergeCell ref="VED216:VEE216"/>
    <mergeCell ref="VEF216:VEG216"/>
    <mergeCell ref="VEH216:VEI216"/>
    <mergeCell ref="VEY216:VEZ216"/>
    <mergeCell ref="VFA216:VFB216"/>
    <mergeCell ref="VBK216:VBL216"/>
    <mergeCell ref="VBM216:VBN216"/>
    <mergeCell ref="VBO216:VBP216"/>
    <mergeCell ref="VBQ216:VBR216"/>
    <mergeCell ref="VCH216:VCI216"/>
    <mergeCell ref="VCJ216:VCK216"/>
    <mergeCell ref="VCL216:VCM216"/>
    <mergeCell ref="VCN216:VCO216"/>
    <mergeCell ref="VDE216:VDF216"/>
    <mergeCell ref="UYZ216:UZA216"/>
    <mergeCell ref="UZQ216:UZR216"/>
    <mergeCell ref="UZS216:UZT216"/>
    <mergeCell ref="UZU216:UZV216"/>
    <mergeCell ref="UZW216:UZX216"/>
    <mergeCell ref="VAN216:VAO216"/>
    <mergeCell ref="VAP216:VAQ216"/>
    <mergeCell ref="VAR216:VAS216"/>
    <mergeCell ref="VAT216:VAU216"/>
    <mergeCell ref="UXD216:UXE216"/>
    <mergeCell ref="UXF216:UXG216"/>
    <mergeCell ref="UXW216:UXX216"/>
    <mergeCell ref="UXY216:UXZ216"/>
    <mergeCell ref="UYA216:UYB216"/>
    <mergeCell ref="UYC216:UYD216"/>
    <mergeCell ref="UYT216:UYU216"/>
    <mergeCell ref="UYV216:UYW216"/>
    <mergeCell ref="UYX216:UYY216"/>
    <mergeCell ref="UVH216:UVI216"/>
    <mergeCell ref="UVJ216:UVK216"/>
    <mergeCell ref="UVL216:UVM216"/>
    <mergeCell ref="UWC216:UWD216"/>
    <mergeCell ref="UWE216:UWF216"/>
    <mergeCell ref="UWG216:UWH216"/>
    <mergeCell ref="UWI216:UWJ216"/>
    <mergeCell ref="UWZ216:UXA216"/>
    <mergeCell ref="UXB216:UXC216"/>
    <mergeCell ref="UTL216:UTM216"/>
    <mergeCell ref="UTN216:UTO216"/>
    <mergeCell ref="UTP216:UTQ216"/>
    <mergeCell ref="UTR216:UTS216"/>
    <mergeCell ref="UUI216:UUJ216"/>
    <mergeCell ref="UUK216:UUL216"/>
    <mergeCell ref="UUM216:UUN216"/>
    <mergeCell ref="UUO216:UUP216"/>
    <mergeCell ref="UVF216:UVG216"/>
    <mergeCell ref="URA216:URB216"/>
    <mergeCell ref="URR216:URS216"/>
    <mergeCell ref="URT216:URU216"/>
    <mergeCell ref="URV216:URW216"/>
    <mergeCell ref="URX216:URY216"/>
    <mergeCell ref="USO216:USP216"/>
    <mergeCell ref="USQ216:USR216"/>
    <mergeCell ref="USS216:UST216"/>
    <mergeCell ref="USU216:USV216"/>
    <mergeCell ref="UPE216:UPF216"/>
    <mergeCell ref="UPG216:UPH216"/>
    <mergeCell ref="UPX216:UPY216"/>
    <mergeCell ref="UPZ216:UQA216"/>
    <mergeCell ref="UQB216:UQC216"/>
    <mergeCell ref="UQD216:UQE216"/>
    <mergeCell ref="UQU216:UQV216"/>
    <mergeCell ref="UQW216:UQX216"/>
    <mergeCell ref="UQY216:UQZ216"/>
    <mergeCell ref="UNI216:UNJ216"/>
    <mergeCell ref="UNK216:UNL216"/>
    <mergeCell ref="UNM216:UNN216"/>
    <mergeCell ref="UOD216:UOE216"/>
    <mergeCell ref="UOF216:UOG216"/>
    <mergeCell ref="UOH216:UOI216"/>
    <mergeCell ref="UOJ216:UOK216"/>
    <mergeCell ref="UPA216:UPB216"/>
    <mergeCell ref="UPC216:UPD216"/>
    <mergeCell ref="ULM216:ULN216"/>
    <mergeCell ref="ULO216:ULP216"/>
    <mergeCell ref="ULQ216:ULR216"/>
    <mergeCell ref="ULS216:ULT216"/>
    <mergeCell ref="UMJ216:UMK216"/>
    <mergeCell ref="UML216:UMM216"/>
    <mergeCell ref="UMN216:UMO216"/>
    <mergeCell ref="UMP216:UMQ216"/>
    <mergeCell ref="UNG216:UNH216"/>
    <mergeCell ref="UJB216:UJC216"/>
    <mergeCell ref="UJS216:UJT216"/>
    <mergeCell ref="UJU216:UJV216"/>
    <mergeCell ref="UJW216:UJX216"/>
    <mergeCell ref="UJY216:UJZ216"/>
    <mergeCell ref="UKP216:UKQ216"/>
    <mergeCell ref="UKR216:UKS216"/>
    <mergeCell ref="UKT216:UKU216"/>
    <mergeCell ref="UKV216:UKW216"/>
    <mergeCell ref="UHF216:UHG216"/>
    <mergeCell ref="UHH216:UHI216"/>
    <mergeCell ref="UHY216:UHZ216"/>
    <mergeCell ref="UIA216:UIB216"/>
    <mergeCell ref="UIC216:UID216"/>
    <mergeCell ref="UIE216:UIF216"/>
    <mergeCell ref="UIV216:UIW216"/>
    <mergeCell ref="UIX216:UIY216"/>
    <mergeCell ref="UIZ216:UJA216"/>
    <mergeCell ref="UFJ216:UFK216"/>
    <mergeCell ref="UFL216:UFM216"/>
    <mergeCell ref="UFN216:UFO216"/>
    <mergeCell ref="UGE216:UGF216"/>
    <mergeCell ref="UGG216:UGH216"/>
    <mergeCell ref="UGI216:UGJ216"/>
    <mergeCell ref="UGK216:UGL216"/>
    <mergeCell ref="UHB216:UHC216"/>
    <mergeCell ref="UHD216:UHE216"/>
    <mergeCell ref="UDN216:UDO216"/>
    <mergeCell ref="UDP216:UDQ216"/>
    <mergeCell ref="UDR216:UDS216"/>
    <mergeCell ref="UDT216:UDU216"/>
    <mergeCell ref="UEK216:UEL216"/>
    <mergeCell ref="UEM216:UEN216"/>
    <mergeCell ref="UEO216:UEP216"/>
    <mergeCell ref="UEQ216:UER216"/>
    <mergeCell ref="UFH216:UFI216"/>
    <mergeCell ref="UBC216:UBD216"/>
    <mergeCell ref="UBT216:UBU216"/>
    <mergeCell ref="UBV216:UBW216"/>
    <mergeCell ref="UBX216:UBY216"/>
    <mergeCell ref="UBZ216:UCA216"/>
    <mergeCell ref="UCQ216:UCR216"/>
    <mergeCell ref="UCS216:UCT216"/>
    <mergeCell ref="UCU216:UCV216"/>
    <mergeCell ref="UCW216:UCX216"/>
    <mergeCell ref="TZG216:TZH216"/>
    <mergeCell ref="TZI216:TZJ216"/>
    <mergeCell ref="TZZ216:UAA216"/>
    <mergeCell ref="UAB216:UAC216"/>
    <mergeCell ref="UAD216:UAE216"/>
    <mergeCell ref="UAF216:UAG216"/>
    <mergeCell ref="UAW216:UAX216"/>
    <mergeCell ref="UAY216:UAZ216"/>
    <mergeCell ref="UBA216:UBB216"/>
    <mergeCell ref="TXK216:TXL216"/>
    <mergeCell ref="TXM216:TXN216"/>
    <mergeCell ref="TXO216:TXP216"/>
    <mergeCell ref="TYF216:TYG216"/>
    <mergeCell ref="TYH216:TYI216"/>
    <mergeCell ref="TYJ216:TYK216"/>
    <mergeCell ref="TYL216:TYM216"/>
    <mergeCell ref="TZC216:TZD216"/>
    <mergeCell ref="TZE216:TZF216"/>
    <mergeCell ref="TVO216:TVP216"/>
    <mergeCell ref="TVQ216:TVR216"/>
    <mergeCell ref="TVS216:TVT216"/>
    <mergeCell ref="TVU216:TVV216"/>
    <mergeCell ref="TWL216:TWM216"/>
    <mergeCell ref="TWN216:TWO216"/>
    <mergeCell ref="TWP216:TWQ216"/>
    <mergeCell ref="TWR216:TWS216"/>
    <mergeCell ref="TXI216:TXJ216"/>
    <mergeCell ref="TTD216:TTE216"/>
    <mergeCell ref="TTU216:TTV216"/>
    <mergeCell ref="TTW216:TTX216"/>
    <mergeCell ref="TTY216:TTZ216"/>
    <mergeCell ref="TUA216:TUB216"/>
    <mergeCell ref="TUR216:TUS216"/>
    <mergeCell ref="TUT216:TUU216"/>
    <mergeCell ref="TUV216:TUW216"/>
    <mergeCell ref="TUX216:TUY216"/>
    <mergeCell ref="TRH216:TRI216"/>
    <mergeCell ref="TRJ216:TRK216"/>
    <mergeCell ref="TSA216:TSB216"/>
    <mergeCell ref="TSC216:TSD216"/>
    <mergeCell ref="TSE216:TSF216"/>
    <mergeCell ref="TSG216:TSH216"/>
    <mergeCell ref="TSX216:TSY216"/>
    <mergeCell ref="TSZ216:TTA216"/>
    <mergeCell ref="TTB216:TTC216"/>
    <mergeCell ref="TPL216:TPM216"/>
    <mergeCell ref="TPN216:TPO216"/>
    <mergeCell ref="TPP216:TPQ216"/>
    <mergeCell ref="TQG216:TQH216"/>
    <mergeCell ref="TQI216:TQJ216"/>
    <mergeCell ref="TQK216:TQL216"/>
    <mergeCell ref="TQM216:TQN216"/>
    <mergeCell ref="TRD216:TRE216"/>
    <mergeCell ref="TRF216:TRG216"/>
    <mergeCell ref="TNP216:TNQ216"/>
    <mergeCell ref="TNR216:TNS216"/>
    <mergeCell ref="TNT216:TNU216"/>
    <mergeCell ref="TNV216:TNW216"/>
    <mergeCell ref="TOM216:TON216"/>
    <mergeCell ref="TOO216:TOP216"/>
    <mergeCell ref="TOQ216:TOR216"/>
    <mergeCell ref="TOS216:TOT216"/>
    <mergeCell ref="TPJ216:TPK216"/>
    <mergeCell ref="TLE216:TLF216"/>
    <mergeCell ref="TLV216:TLW216"/>
    <mergeCell ref="TLX216:TLY216"/>
    <mergeCell ref="TLZ216:TMA216"/>
    <mergeCell ref="TMB216:TMC216"/>
    <mergeCell ref="TMS216:TMT216"/>
    <mergeCell ref="TMU216:TMV216"/>
    <mergeCell ref="TMW216:TMX216"/>
    <mergeCell ref="TMY216:TMZ216"/>
    <mergeCell ref="TJI216:TJJ216"/>
    <mergeCell ref="TJK216:TJL216"/>
    <mergeCell ref="TKB216:TKC216"/>
    <mergeCell ref="TKD216:TKE216"/>
    <mergeCell ref="TKF216:TKG216"/>
    <mergeCell ref="TKH216:TKI216"/>
    <mergeCell ref="TKY216:TKZ216"/>
    <mergeCell ref="TLA216:TLB216"/>
    <mergeCell ref="TLC216:TLD216"/>
    <mergeCell ref="THM216:THN216"/>
    <mergeCell ref="THO216:THP216"/>
    <mergeCell ref="THQ216:THR216"/>
    <mergeCell ref="TIH216:TII216"/>
    <mergeCell ref="TIJ216:TIK216"/>
    <mergeCell ref="TIL216:TIM216"/>
    <mergeCell ref="TIN216:TIO216"/>
    <mergeCell ref="TJE216:TJF216"/>
    <mergeCell ref="TJG216:TJH216"/>
    <mergeCell ref="TFQ216:TFR216"/>
    <mergeCell ref="TFS216:TFT216"/>
    <mergeCell ref="TFU216:TFV216"/>
    <mergeCell ref="TFW216:TFX216"/>
    <mergeCell ref="TGN216:TGO216"/>
    <mergeCell ref="TGP216:TGQ216"/>
    <mergeCell ref="TGR216:TGS216"/>
    <mergeCell ref="TGT216:TGU216"/>
    <mergeCell ref="THK216:THL216"/>
    <mergeCell ref="TDF216:TDG216"/>
    <mergeCell ref="TDW216:TDX216"/>
    <mergeCell ref="TDY216:TDZ216"/>
    <mergeCell ref="TEA216:TEB216"/>
    <mergeCell ref="TEC216:TED216"/>
    <mergeCell ref="TET216:TEU216"/>
    <mergeCell ref="TEV216:TEW216"/>
    <mergeCell ref="TEX216:TEY216"/>
    <mergeCell ref="TEZ216:TFA216"/>
    <mergeCell ref="TBJ216:TBK216"/>
    <mergeCell ref="TBL216:TBM216"/>
    <mergeCell ref="TCC216:TCD216"/>
    <mergeCell ref="TCE216:TCF216"/>
    <mergeCell ref="TCG216:TCH216"/>
    <mergeCell ref="TCI216:TCJ216"/>
    <mergeCell ref="TCZ216:TDA216"/>
    <mergeCell ref="TDB216:TDC216"/>
    <mergeCell ref="TDD216:TDE216"/>
    <mergeCell ref="SZN216:SZO216"/>
    <mergeCell ref="SZP216:SZQ216"/>
    <mergeCell ref="SZR216:SZS216"/>
    <mergeCell ref="TAI216:TAJ216"/>
    <mergeCell ref="TAK216:TAL216"/>
    <mergeCell ref="TAM216:TAN216"/>
    <mergeCell ref="TAO216:TAP216"/>
    <mergeCell ref="TBF216:TBG216"/>
    <mergeCell ref="TBH216:TBI216"/>
    <mergeCell ref="SXR216:SXS216"/>
    <mergeCell ref="SXT216:SXU216"/>
    <mergeCell ref="SXV216:SXW216"/>
    <mergeCell ref="SXX216:SXY216"/>
    <mergeCell ref="SYO216:SYP216"/>
    <mergeCell ref="SYQ216:SYR216"/>
    <mergeCell ref="SYS216:SYT216"/>
    <mergeCell ref="SYU216:SYV216"/>
    <mergeCell ref="SZL216:SZM216"/>
    <mergeCell ref="SVG216:SVH216"/>
    <mergeCell ref="SVX216:SVY216"/>
    <mergeCell ref="SVZ216:SWA216"/>
    <mergeCell ref="SWB216:SWC216"/>
    <mergeCell ref="SWD216:SWE216"/>
    <mergeCell ref="SWU216:SWV216"/>
    <mergeCell ref="SWW216:SWX216"/>
    <mergeCell ref="SWY216:SWZ216"/>
    <mergeCell ref="SXA216:SXB216"/>
    <mergeCell ref="STK216:STL216"/>
    <mergeCell ref="STM216:STN216"/>
    <mergeCell ref="SUD216:SUE216"/>
    <mergeCell ref="SUF216:SUG216"/>
    <mergeCell ref="SUH216:SUI216"/>
    <mergeCell ref="SUJ216:SUK216"/>
    <mergeCell ref="SVA216:SVB216"/>
    <mergeCell ref="SVC216:SVD216"/>
    <mergeCell ref="SVE216:SVF216"/>
    <mergeCell ref="SRO216:SRP216"/>
    <mergeCell ref="SRQ216:SRR216"/>
    <mergeCell ref="SRS216:SRT216"/>
    <mergeCell ref="SSJ216:SSK216"/>
    <mergeCell ref="SSL216:SSM216"/>
    <mergeCell ref="SSN216:SSO216"/>
    <mergeCell ref="SSP216:SSQ216"/>
    <mergeCell ref="STG216:STH216"/>
    <mergeCell ref="STI216:STJ216"/>
    <mergeCell ref="SPS216:SPT216"/>
    <mergeCell ref="SPU216:SPV216"/>
    <mergeCell ref="SPW216:SPX216"/>
    <mergeCell ref="SPY216:SPZ216"/>
    <mergeCell ref="SQP216:SQQ216"/>
    <mergeCell ref="SQR216:SQS216"/>
    <mergeCell ref="SQT216:SQU216"/>
    <mergeCell ref="SQV216:SQW216"/>
    <mergeCell ref="SRM216:SRN216"/>
    <mergeCell ref="SNH216:SNI216"/>
    <mergeCell ref="SNY216:SNZ216"/>
    <mergeCell ref="SOA216:SOB216"/>
    <mergeCell ref="SOC216:SOD216"/>
    <mergeCell ref="SOE216:SOF216"/>
    <mergeCell ref="SOV216:SOW216"/>
    <mergeCell ref="SOX216:SOY216"/>
    <mergeCell ref="SOZ216:SPA216"/>
    <mergeCell ref="SPB216:SPC216"/>
    <mergeCell ref="SLL216:SLM216"/>
    <mergeCell ref="SLN216:SLO216"/>
    <mergeCell ref="SME216:SMF216"/>
    <mergeCell ref="SMG216:SMH216"/>
    <mergeCell ref="SMI216:SMJ216"/>
    <mergeCell ref="SMK216:SML216"/>
    <mergeCell ref="SNB216:SNC216"/>
    <mergeCell ref="SND216:SNE216"/>
    <mergeCell ref="SNF216:SNG216"/>
    <mergeCell ref="SJP216:SJQ216"/>
    <mergeCell ref="SJR216:SJS216"/>
    <mergeCell ref="SJT216:SJU216"/>
    <mergeCell ref="SKK216:SKL216"/>
    <mergeCell ref="SKM216:SKN216"/>
    <mergeCell ref="SKO216:SKP216"/>
    <mergeCell ref="SKQ216:SKR216"/>
    <mergeCell ref="SLH216:SLI216"/>
    <mergeCell ref="SLJ216:SLK216"/>
    <mergeCell ref="SHT216:SHU216"/>
    <mergeCell ref="SHV216:SHW216"/>
    <mergeCell ref="SHX216:SHY216"/>
    <mergeCell ref="SHZ216:SIA216"/>
    <mergeCell ref="SIQ216:SIR216"/>
    <mergeCell ref="SIS216:SIT216"/>
    <mergeCell ref="SIU216:SIV216"/>
    <mergeCell ref="SIW216:SIX216"/>
    <mergeCell ref="SJN216:SJO216"/>
    <mergeCell ref="SFI216:SFJ216"/>
    <mergeCell ref="SFZ216:SGA216"/>
    <mergeCell ref="SGB216:SGC216"/>
    <mergeCell ref="SGD216:SGE216"/>
    <mergeCell ref="SGF216:SGG216"/>
    <mergeCell ref="SGW216:SGX216"/>
    <mergeCell ref="SGY216:SGZ216"/>
    <mergeCell ref="SHA216:SHB216"/>
    <mergeCell ref="SHC216:SHD216"/>
    <mergeCell ref="SDM216:SDN216"/>
    <mergeCell ref="SDO216:SDP216"/>
    <mergeCell ref="SEF216:SEG216"/>
    <mergeCell ref="SEH216:SEI216"/>
    <mergeCell ref="SEJ216:SEK216"/>
    <mergeCell ref="SEL216:SEM216"/>
    <mergeCell ref="SFC216:SFD216"/>
    <mergeCell ref="SFE216:SFF216"/>
    <mergeCell ref="SFG216:SFH216"/>
    <mergeCell ref="SBQ216:SBR216"/>
    <mergeCell ref="SBS216:SBT216"/>
    <mergeCell ref="SBU216:SBV216"/>
    <mergeCell ref="SCL216:SCM216"/>
    <mergeCell ref="SCN216:SCO216"/>
    <mergeCell ref="SCP216:SCQ216"/>
    <mergeCell ref="SCR216:SCS216"/>
    <mergeCell ref="SDI216:SDJ216"/>
    <mergeCell ref="SDK216:SDL216"/>
    <mergeCell ref="RZU216:RZV216"/>
    <mergeCell ref="RZW216:RZX216"/>
    <mergeCell ref="RZY216:RZZ216"/>
    <mergeCell ref="SAA216:SAB216"/>
    <mergeCell ref="SAR216:SAS216"/>
    <mergeCell ref="SAT216:SAU216"/>
    <mergeCell ref="SAV216:SAW216"/>
    <mergeCell ref="SAX216:SAY216"/>
    <mergeCell ref="SBO216:SBP216"/>
    <mergeCell ref="RXJ216:RXK216"/>
    <mergeCell ref="RYA216:RYB216"/>
    <mergeCell ref="RYC216:RYD216"/>
    <mergeCell ref="RYE216:RYF216"/>
    <mergeCell ref="RYG216:RYH216"/>
    <mergeCell ref="RYX216:RYY216"/>
    <mergeCell ref="RYZ216:RZA216"/>
    <mergeCell ref="RZB216:RZC216"/>
    <mergeCell ref="RZD216:RZE216"/>
    <mergeCell ref="RVN216:RVO216"/>
    <mergeCell ref="RVP216:RVQ216"/>
    <mergeCell ref="RWG216:RWH216"/>
    <mergeCell ref="RWI216:RWJ216"/>
    <mergeCell ref="RWK216:RWL216"/>
    <mergeCell ref="RWM216:RWN216"/>
    <mergeCell ref="RXD216:RXE216"/>
    <mergeCell ref="RXF216:RXG216"/>
    <mergeCell ref="RXH216:RXI216"/>
    <mergeCell ref="RTR216:RTS216"/>
    <mergeCell ref="RTT216:RTU216"/>
    <mergeCell ref="RTV216:RTW216"/>
    <mergeCell ref="RUM216:RUN216"/>
    <mergeCell ref="RUO216:RUP216"/>
    <mergeCell ref="RUQ216:RUR216"/>
    <mergeCell ref="RUS216:RUT216"/>
    <mergeCell ref="RVJ216:RVK216"/>
    <mergeCell ref="RVL216:RVM216"/>
    <mergeCell ref="RRV216:RRW216"/>
    <mergeCell ref="RRX216:RRY216"/>
    <mergeCell ref="RRZ216:RSA216"/>
    <mergeCell ref="RSB216:RSC216"/>
    <mergeCell ref="RSS216:RST216"/>
    <mergeCell ref="RSU216:RSV216"/>
    <mergeCell ref="RSW216:RSX216"/>
    <mergeCell ref="RSY216:RSZ216"/>
    <mergeCell ref="RTP216:RTQ216"/>
    <mergeCell ref="RPK216:RPL216"/>
    <mergeCell ref="RQB216:RQC216"/>
    <mergeCell ref="RQD216:RQE216"/>
    <mergeCell ref="RQF216:RQG216"/>
    <mergeCell ref="RQH216:RQI216"/>
    <mergeCell ref="RQY216:RQZ216"/>
    <mergeCell ref="RRA216:RRB216"/>
    <mergeCell ref="RRC216:RRD216"/>
    <mergeCell ref="RRE216:RRF216"/>
    <mergeCell ref="RNO216:RNP216"/>
    <mergeCell ref="RNQ216:RNR216"/>
    <mergeCell ref="ROH216:ROI216"/>
    <mergeCell ref="ROJ216:ROK216"/>
    <mergeCell ref="ROL216:ROM216"/>
    <mergeCell ref="RON216:ROO216"/>
    <mergeCell ref="RPE216:RPF216"/>
    <mergeCell ref="RPG216:RPH216"/>
    <mergeCell ref="RPI216:RPJ216"/>
    <mergeCell ref="RLS216:RLT216"/>
    <mergeCell ref="RLU216:RLV216"/>
    <mergeCell ref="RLW216:RLX216"/>
    <mergeCell ref="RMN216:RMO216"/>
    <mergeCell ref="RMP216:RMQ216"/>
    <mergeCell ref="RMR216:RMS216"/>
    <mergeCell ref="RMT216:RMU216"/>
    <mergeCell ref="RNK216:RNL216"/>
    <mergeCell ref="RNM216:RNN216"/>
    <mergeCell ref="RJW216:RJX216"/>
    <mergeCell ref="RJY216:RJZ216"/>
    <mergeCell ref="RKA216:RKB216"/>
    <mergeCell ref="RKC216:RKD216"/>
    <mergeCell ref="RKT216:RKU216"/>
    <mergeCell ref="RKV216:RKW216"/>
    <mergeCell ref="RKX216:RKY216"/>
    <mergeCell ref="RKZ216:RLA216"/>
    <mergeCell ref="RLQ216:RLR216"/>
    <mergeCell ref="RHL216:RHM216"/>
    <mergeCell ref="RIC216:RID216"/>
    <mergeCell ref="RIE216:RIF216"/>
    <mergeCell ref="RIG216:RIH216"/>
    <mergeCell ref="RII216:RIJ216"/>
    <mergeCell ref="RIZ216:RJA216"/>
    <mergeCell ref="RJB216:RJC216"/>
    <mergeCell ref="RJD216:RJE216"/>
    <mergeCell ref="RJF216:RJG216"/>
    <mergeCell ref="RFP216:RFQ216"/>
    <mergeCell ref="RFR216:RFS216"/>
    <mergeCell ref="RGI216:RGJ216"/>
    <mergeCell ref="RGK216:RGL216"/>
    <mergeCell ref="RGM216:RGN216"/>
    <mergeCell ref="RGO216:RGP216"/>
    <mergeCell ref="RHF216:RHG216"/>
    <mergeCell ref="RHH216:RHI216"/>
    <mergeCell ref="RHJ216:RHK216"/>
    <mergeCell ref="RDT216:RDU216"/>
    <mergeCell ref="RDV216:RDW216"/>
    <mergeCell ref="RDX216:RDY216"/>
    <mergeCell ref="REO216:REP216"/>
    <mergeCell ref="REQ216:RER216"/>
    <mergeCell ref="RES216:RET216"/>
    <mergeCell ref="REU216:REV216"/>
    <mergeCell ref="RFL216:RFM216"/>
    <mergeCell ref="RFN216:RFO216"/>
    <mergeCell ref="RBX216:RBY216"/>
    <mergeCell ref="RBZ216:RCA216"/>
    <mergeCell ref="RCB216:RCC216"/>
    <mergeCell ref="RCD216:RCE216"/>
    <mergeCell ref="RCU216:RCV216"/>
    <mergeCell ref="RCW216:RCX216"/>
    <mergeCell ref="RCY216:RCZ216"/>
    <mergeCell ref="RDA216:RDB216"/>
    <mergeCell ref="RDR216:RDS216"/>
    <mergeCell ref="QZM216:QZN216"/>
    <mergeCell ref="RAD216:RAE216"/>
    <mergeCell ref="RAF216:RAG216"/>
    <mergeCell ref="RAH216:RAI216"/>
    <mergeCell ref="RAJ216:RAK216"/>
    <mergeCell ref="RBA216:RBB216"/>
    <mergeCell ref="RBC216:RBD216"/>
    <mergeCell ref="RBE216:RBF216"/>
    <mergeCell ref="RBG216:RBH216"/>
    <mergeCell ref="QXQ216:QXR216"/>
    <mergeCell ref="QXS216:QXT216"/>
    <mergeCell ref="QYJ216:QYK216"/>
    <mergeCell ref="QYL216:QYM216"/>
    <mergeCell ref="QYN216:QYO216"/>
    <mergeCell ref="QYP216:QYQ216"/>
    <mergeCell ref="QZG216:QZH216"/>
    <mergeCell ref="QZI216:QZJ216"/>
    <mergeCell ref="QZK216:QZL216"/>
    <mergeCell ref="QVU216:QVV216"/>
    <mergeCell ref="QVW216:QVX216"/>
    <mergeCell ref="QVY216:QVZ216"/>
    <mergeCell ref="QWP216:QWQ216"/>
    <mergeCell ref="QWR216:QWS216"/>
    <mergeCell ref="QWT216:QWU216"/>
    <mergeCell ref="QWV216:QWW216"/>
    <mergeCell ref="QXM216:QXN216"/>
    <mergeCell ref="QXO216:QXP216"/>
    <mergeCell ref="QTY216:QTZ216"/>
    <mergeCell ref="QUA216:QUB216"/>
    <mergeCell ref="QUC216:QUD216"/>
    <mergeCell ref="QUE216:QUF216"/>
    <mergeCell ref="QUV216:QUW216"/>
    <mergeCell ref="QUX216:QUY216"/>
    <mergeCell ref="QUZ216:QVA216"/>
    <mergeCell ref="QVB216:QVC216"/>
    <mergeCell ref="QVS216:QVT216"/>
    <mergeCell ref="QRN216:QRO216"/>
    <mergeCell ref="QSE216:QSF216"/>
    <mergeCell ref="QSG216:QSH216"/>
    <mergeCell ref="QSI216:QSJ216"/>
    <mergeCell ref="QSK216:QSL216"/>
    <mergeCell ref="QTB216:QTC216"/>
    <mergeCell ref="QTD216:QTE216"/>
    <mergeCell ref="QTF216:QTG216"/>
    <mergeCell ref="QTH216:QTI216"/>
    <mergeCell ref="QPR216:QPS216"/>
    <mergeCell ref="QPT216:QPU216"/>
    <mergeCell ref="QQK216:QQL216"/>
    <mergeCell ref="QQM216:QQN216"/>
    <mergeCell ref="QQO216:QQP216"/>
    <mergeCell ref="QQQ216:QQR216"/>
    <mergeCell ref="QRH216:QRI216"/>
    <mergeCell ref="QRJ216:QRK216"/>
    <mergeCell ref="QRL216:QRM216"/>
    <mergeCell ref="QNV216:QNW216"/>
    <mergeCell ref="QNX216:QNY216"/>
    <mergeCell ref="QNZ216:QOA216"/>
    <mergeCell ref="QOQ216:QOR216"/>
    <mergeCell ref="QOS216:QOT216"/>
    <mergeCell ref="QOU216:QOV216"/>
    <mergeCell ref="QOW216:QOX216"/>
    <mergeCell ref="QPN216:QPO216"/>
    <mergeCell ref="QPP216:QPQ216"/>
    <mergeCell ref="QLZ216:QMA216"/>
    <mergeCell ref="QMB216:QMC216"/>
    <mergeCell ref="QMD216:QME216"/>
    <mergeCell ref="QMF216:QMG216"/>
    <mergeCell ref="QMW216:QMX216"/>
    <mergeCell ref="QMY216:QMZ216"/>
    <mergeCell ref="QNA216:QNB216"/>
    <mergeCell ref="QNC216:QND216"/>
    <mergeCell ref="QNT216:QNU216"/>
    <mergeCell ref="QJO216:QJP216"/>
    <mergeCell ref="QKF216:QKG216"/>
    <mergeCell ref="QKH216:QKI216"/>
    <mergeCell ref="QKJ216:QKK216"/>
    <mergeCell ref="QKL216:QKM216"/>
    <mergeCell ref="QLC216:QLD216"/>
    <mergeCell ref="QLE216:QLF216"/>
    <mergeCell ref="QLG216:QLH216"/>
    <mergeCell ref="QLI216:QLJ216"/>
    <mergeCell ref="QHS216:QHT216"/>
    <mergeCell ref="QHU216:QHV216"/>
    <mergeCell ref="QIL216:QIM216"/>
    <mergeCell ref="QIN216:QIO216"/>
    <mergeCell ref="QIP216:QIQ216"/>
    <mergeCell ref="QIR216:QIS216"/>
    <mergeCell ref="QJI216:QJJ216"/>
    <mergeCell ref="QJK216:QJL216"/>
    <mergeCell ref="QJM216:QJN216"/>
    <mergeCell ref="QFW216:QFX216"/>
    <mergeCell ref="QFY216:QFZ216"/>
    <mergeCell ref="QGA216:QGB216"/>
    <mergeCell ref="QGR216:QGS216"/>
    <mergeCell ref="QGT216:QGU216"/>
    <mergeCell ref="QGV216:QGW216"/>
    <mergeCell ref="QGX216:QGY216"/>
    <mergeCell ref="QHO216:QHP216"/>
    <mergeCell ref="QHQ216:QHR216"/>
    <mergeCell ref="QEA216:QEB216"/>
    <mergeCell ref="QEC216:QED216"/>
    <mergeCell ref="QEE216:QEF216"/>
    <mergeCell ref="QEG216:QEH216"/>
    <mergeCell ref="QEX216:QEY216"/>
    <mergeCell ref="QEZ216:QFA216"/>
    <mergeCell ref="QFB216:QFC216"/>
    <mergeCell ref="QFD216:QFE216"/>
    <mergeCell ref="QFU216:QFV216"/>
    <mergeCell ref="QBP216:QBQ216"/>
    <mergeCell ref="QCG216:QCH216"/>
    <mergeCell ref="QCI216:QCJ216"/>
    <mergeCell ref="QCK216:QCL216"/>
    <mergeCell ref="QCM216:QCN216"/>
    <mergeCell ref="QDD216:QDE216"/>
    <mergeCell ref="QDF216:QDG216"/>
    <mergeCell ref="QDH216:QDI216"/>
    <mergeCell ref="QDJ216:QDK216"/>
    <mergeCell ref="PZT216:PZU216"/>
    <mergeCell ref="PZV216:PZW216"/>
    <mergeCell ref="QAM216:QAN216"/>
    <mergeCell ref="QAO216:QAP216"/>
    <mergeCell ref="QAQ216:QAR216"/>
    <mergeCell ref="QAS216:QAT216"/>
    <mergeCell ref="QBJ216:QBK216"/>
    <mergeCell ref="QBL216:QBM216"/>
    <mergeCell ref="QBN216:QBO216"/>
    <mergeCell ref="PXX216:PXY216"/>
    <mergeCell ref="PXZ216:PYA216"/>
    <mergeCell ref="PYB216:PYC216"/>
    <mergeCell ref="PYS216:PYT216"/>
    <mergeCell ref="PYU216:PYV216"/>
    <mergeCell ref="PYW216:PYX216"/>
    <mergeCell ref="PYY216:PYZ216"/>
    <mergeCell ref="PZP216:PZQ216"/>
    <mergeCell ref="PZR216:PZS216"/>
    <mergeCell ref="PWB216:PWC216"/>
    <mergeCell ref="PWD216:PWE216"/>
    <mergeCell ref="PWF216:PWG216"/>
    <mergeCell ref="PWH216:PWI216"/>
    <mergeCell ref="PWY216:PWZ216"/>
    <mergeCell ref="PXA216:PXB216"/>
    <mergeCell ref="PXC216:PXD216"/>
    <mergeCell ref="PXE216:PXF216"/>
    <mergeCell ref="PXV216:PXW216"/>
    <mergeCell ref="PTQ216:PTR216"/>
    <mergeCell ref="PUH216:PUI216"/>
    <mergeCell ref="PUJ216:PUK216"/>
    <mergeCell ref="PUL216:PUM216"/>
    <mergeCell ref="PUN216:PUO216"/>
    <mergeCell ref="PVE216:PVF216"/>
    <mergeCell ref="PVG216:PVH216"/>
    <mergeCell ref="PVI216:PVJ216"/>
    <mergeCell ref="PVK216:PVL216"/>
    <mergeCell ref="PRU216:PRV216"/>
    <mergeCell ref="PRW216:PRX216"/>
    <mergeCell ref="PSN216:PSO216"/>
    <mergeCell ref="PSP216:PSQ216"/>
    <mergeCell ref="PSR216:PSS216"/>
    <mergeCell ref="PST216:PSU216"/>
    <mergeCell ref="PTK216:PTL216"/>
    <mergeCell ref="PTM216:PTN216"/>
    <mergeCell ref="PTO216:PTP216"/>
    <mergeCell ref="PPY216:PPZ216"/>
    <mergeCell ref="PQA216:PQB216"/>
    <mergeCell ref="PQC216:PQD216"/>
    <mergeCell ref="PQT216:PQU216"/>
    <mergeCell ref="PQV216:PQW216"/>
    <mergeCell ref="PQX216:PQY216"/>
    <mergeCell ref="PQZ216:PRA216"/>
    <mergeCell ref="PRQ216:PRR216"/>
    <mergeCell ref="PRS216:PRT216"/>
    <mergeCell ref="POC216:POD216"/>
    <mergeCell ref="POE216:POF216"/>
    <mergeCell ref="POG216:POH216"/>
    <mergeCell ref="POI216:POJ216"/>
    <mergeCell ref="POZ216:PPA216"/>
    <mergeCell ref="PPB216:PPC216"/>
    <mergeCell ref="PPD216:PPE216"/>
    <mergeCell ref="PPF216:PPG216"/>
    <mergeCell ref="PPW216:PPX216"/>
    <mergeCell ref="PLR216:PLS216"/>
    <mergeCell ref="PMI216:PMJ216"/>
    <mergeCell ref="PMK216:PML216"/>
    <mergeCell ref="PMM216:PMN216"/>
    <mergeCell ref="PMO216:PMP216"/>
    <mergeCell ref="PNF216:PNG216"/>
    <mergeCell ref="PNH216:PNI216"/>
    <mergeCell ref="PNJ216:PNK216"/>
    <mergeCell ref="PNL216:PNM216"/>
    <mergeCell ref="PJV216:PJW216"/>
    <mergeCell ref="PJX216:PJY216"/>
    <mergeCell ref="PKO216:PKP216"/>
    <mergeCell ref="PKQ216:PKR216"/>
    <mergeCell ref="PKS216:PKT216"/>
    <mergeCell ref="PKU216:PKV216"/>
    <mergeCell ref="PLL216:PLM216"/>
    <mergeCell ref="PLN216:PLO216"/>
    <mergeCell ref="PLP216:PLQ216"/>
    <mergeCell ref="PHZ216:PIA216"/>
    <mergeCell ref="PIB216:PIC216"/>
    <mergeCell ref="PID216:PIE216"/>
    <mergeCell ref="PIU216:PIV216"/>
    <mergeCell ref="PIW216:PIX216"/>
    <mergeCell ref="PIY216:PIZ216"/>
    <mergeCell ref="PJA216:PJB216"/>
    <mergeCell ref="PJR216:PJS216"/>
    <mergeCell ref="PJT216:PJU216"/>
    <mergeCell ref="PGD216:PGE216"/>
    <mergeCell ref="PGF216:PGG216"/>
    <mergeCell ref="PGH216:PGI216"/>
    <mergeCell ref="PGJ216:PGK216"/>
    <mergeCell ref="PHA216:PHB216"/>
    <mergeCell ref="PHC216:PHD216"/>
    <mergeCell ref="PHE216:PHF216"/>
    <mergeCell ref="PHG216:PHH216"/>
    <mergeCell ref="PHX216:PHY216"/>
    <mergeCell ref="PDS216:PDT216"/>
    <mergeCell ref="PEJ216:PEK216"/>
    <mergeCell ref="PEL216:PEM216"/>
    <mergeCell ref="PEN216:PEO216"/>
    <mergeCell ref="PEP216:PEQ216"/>
    <mergeCell ref="PFG216:PFH216"/>
    <mergeCell ref="PFI216:PFJ216"/>
    <mergeCell ref="PFK216:PFL216"/>
    <mergeCell ref="PFM216:PFN216"/>
    <mergeCell ref="PBW216:PBX216"/>
    <mergeCell ref="PBY216:PBZ216"/>
    <mergeCell ref="PCP216:PCQ216"/>
    <mergeCell ref="PCR216:PCS216"/>
    <mergeCell ref="PCT216:PCU216"/>
    <mergeCell ref="PCV216:PCW216"/>
    <mergeCell ref="PDM216:PDN216"/>
    <mergeCell ref="PDO216:PDP216"/>
    <mergeCell ref="PDQ216:PDR216"/>
    <mergeCell ref="PAA216:PAB216"/>
    <mergeCell ref="PAC216:PAD216"/>
    <mergeCell ref="PAE216:PAF216"/>
    <mergeCell ref="PAV216:PAW216"/>
    <mergeCell ref="PAX216:PAY216"/>
    <mergeCell ref="PAZ216:PBA216"/>
    <mergeCell ref="PBB216:PBC216"/>
    <mergeCell ref="PBS216:PBT216"/>
    <mergeCell ref="PBU216:PBV216"/>
    <mergeCell ref="OYE216:OYF216"/>
    <mergeCell ref="OYG216:OYH216"/>
    <mergeCell ref="OYI216:OYJ216"/>
    <mergeCell ref="OYK216:OYL216"/>
    <mergeCell ref="OZB216:OZC216"/>
    <mergeCell ref="OZD216:OZE216"/>
    <mergeCell ref="OZF216:OZG216"/>
    <mergeCell ref="OZH216:OZI216"/>
    <mergeCell ref="OZY216:OZZ216"/>
    <mergeCell ref="OVT216:OVU216"/>
    <mergeCell ref="OWK216:OWL216"/>
    <mergeCell ref="OWM216:OWN216"/>
    <mergeCell ref="OWO216:OWP216"/>
    <mergeCell ref="OWQ216:OWR216"/>
    <mergeCell ref="OXH216:OXI216"/>
    <mergeCell ref="OXJ216:OXK216"/>
    <mergeCell ref="OXL216:OXM216"/>
    <mergeCell ref="OXN216:OXO216"/>
    <mergeCell ref="OTX216:OTY216"/>
    <mergeCell ref="OTZ216:OUA216"/>
    <mergeCell ref="OUQ216:OUR216"/>
    <mergeCell ref="OUS216:OUT216"/>
    <mergeCell ref="OUU216:OUV216"/>
    <mergeCell ref="OUW216:OUX216"/>
    <mergeCell ref="OVN216:OVO216"/>
    <mergeCell ref="OVP216:OVQ216"/>
    <mergeCell ref="OVR216:OVS216"/>
    <mergeCell ref="OSB216:OSC216"/>
    <mergeCell ref="OSD216:OSE216"/>
    <mergeCell ref="OSF216:OSG216"/>
    <mergeCell ref="OSW216:OSX216"/>
    <mergeCell ref="OSY216:OSZ216"/>
    <mergeCell ref="OTA216:OTB216"/>
    <mergeCell ref="OTC216:OTD216"/>
    <mergeCell ref="OTT216:OTU216"/>
    <mergeCell ref="OTV216:OTW216"/>
    <mergeCell ref="OQF216:OQG216"/>
    <mergeCell ref="OQH216:OQI216"/>
    <mergeCell ref="OQJ216:OQK216"/>
    <mergeCell ref="OQL216:OQM216"/>
    <mergeCell ref="ORC216:ORD216"/>
    <mergeCell ref="ORE216:ORF216"/>
    <mergeCell ref="ORG216:ORH216"/>
    <mergeCell ref="ORI216:ORJ216"/>
    <mergeCell ref="ORZ216:OSA216"/>
    <mergeCell ref="ONU216:ONV216"/>
    <mergeCell ref="OOL216:OOM216"/>
    <mergeCell ref="OON216:OOO216"/>
    <mergeCell ref="OOP216:OOQ216"/>
    <mergeCell ref="OOR216:OOS216"/>
    <mergeCell ref="OPI216:OPJ216"/>
    <mergeCell ref="OPK216:OPL216"/>
    <mergeCell ref="OPM216:OPN216"/>
    <mergeCell ref="OPO216:OPP216"/>
    <mergeCell ref="OLY216:OLZ216"/>
    <mergeCell ref="OMA216:OMB216"/>
    <mergeCell ref="OMR216:OMS216"/>
    <mergeCell ref="OMT216:OMU216"/>
    <mergeCell ref="OMV216:OMW216"/>
    <mergeCell ref="OMX216:OMY216"/>
    <mergeCell ref="ONO216:ONP216"/>
    <mergeCell ref="ONQ216:ONR216"/>
    <mergeCell ref="ONS216:ONT216"/>
    <mergeCell ref="OKC216:OKD216"/>
    <mergeCell ref="OKE216:OKF216"/>
    <mergeCell ref="OKG216:OKH216"/>
    <mergeCell ref="OKX216:OKY216"/>
    <mergeCell ref="OKZ216:OLA216"/>
    <mergeCell ref="OLB216:OLC216"/>
    <mergeCell ref="OLD216:OLE216"/>
    <mergeCell ref="OLU216:OLV216"/>
    <mergeCell ref="OLW216:OLX216"/>
    <mergeCell ref="OIG216:OIH216"/>
    <mergeCell ref="OII216:OIJ216"/>
    <mergeCell ref="OIK216:OIL216"/>
    <mergeCell ref="OIM216:OIN216"/>
    <mergeCell ref="OJD216:OJE216"/>
    <mergeCell ref="OJF216:OJG216"/>
    <mergeCell ref="OJH216:OJI216"/>
    <mergeCell ref="OJJ216:OJK216"/>
    <mergeCell ref="OKA216:OKB216"/>
    <mergeCell ref="OFV216:OFW216"/>
    <mergeCell ref="OGM216:OGN216"/>
    <mergeCell ref="OGO216:OGP216"/>
    <mergeCell ref="OGQ216:OGR216"/>
    <mergeCell ref="OGS216:OGT216"/>
    <mergeCell ref="OHJ216:OHK216"/>
    <mergeCell ref="OHL216:OHM216"/>
    <mergeCell ref="OHN216:OHO216"/>
    <mergeCell ref="OHP216:OHQ216"/>
    <mergeCell ref="ODZ216:OEA216"/>
    <mergeCell ref="OEB216:OEC216"/>
    <mergeCell ref="OES216:OET216"/>
    <mergeCell ref="OEU216:OEV216"/>
    <mergeCell ref="OEW216:OEX216"/>
    <mergeCell ref="OEY216:OEZ216"/>
    <mergeCell ref="OFP216:OFQ216"/>
    <mergeCell ref="OFR216:OFS216"/>
    <mergeCell ref="OFT216:OFU216"/>
    <mergeCell ref="OCD216:OCE216"/>
    <mergeCell ref="OCF216:OCG216"/>
    <mergeCell ref="OCH216:OCI216"/>
    <mergeCell ref="OCY216:OCZ216"/>
    <mergeCell ref="ODA216:ODB216"/>
    <mergeCell ref="ODC216:ODD216"/>
    <mergeCell ref="ODE216:ODF216"/>
    <mergeCell ref="ODV216:ODW216"/>
    <mergeCell ref="ODX216:ODY216"/>
    <mergeCell ref="OAH216:OAI216"/>
    <mergeCell ref="OAJ216:OAK216"/>
    <mergeCell ref="OAL216:OAM216"/>
    <mergeCell ref="OAN216:OAO216"/>
    <mergeCell ref="OBE216:OBF216"/>
    <mergeCell ref="OBG216:OBH216"/>
    <mergeCell ref="OBI216:OBJ216"/>
    <mergeCell ref="OBK216:OBL216"/>
    <mergeCell ref="OCB216:OCC216"/>
    <mergeCell ref="NXW216:NXX216"/>
    <mergeCell ref="NYN216:NYO216"/>
    <mergeCell ref="NYP216:NYQ216"/>
    <mergeCell ref="NYR216:NYS216"/>
    <mergeCell ref="NYT216:NYU216"/>
    <mergeCell ref="NZK216:NZL216"/>
    <mergeCell ref="NZM216:NZN216"/>
    <mergeCell ref="NZO216:NZP216"/>
    <mergeCell ref="NZQ216:NZR216"/>
    <mergeCell ref="NWA216:NWB216"/>
    <mergeCell ref="NWC216:NWD216"/>
    <mergeCell ref="NWT216:NWU216"/>
    <mergeCell ref="NWV216:NWW216"/>
    <mergeCell ref="NWX216:NWY216"/>
    <mergeCell ref="NWZ216:NXA216"/>
    <mergeCell ref="NXQ216:NXR216"/>
    <mergeCell ref="NXS216:NXT216"/>
    <mergeCell ref="NXU216:NXV216"/>
    <mergeCell ref="NUE216:NUF216"/>
    <mergeCell ref="NUG216:NUH216"/>
    <mergeCell ref="NUI216:NUJ216"/>
    <mergeCell ref="NUZ216:NVA216"/>
    <mergeCell ref="NVB216:NVC216"/>
    <mergeCell ref="NVD216:NVE216"/>
    <mergeCell ref="NVF216:NVG216"/>
    <mergeCell ref="NVW216:NVX216"/>
    <mergeCell ref="NVY216:NVZ216"/>
    <mergeCell ref="NSI216:NSJ216"/>
    <mergeCell ref="NSK216:NSL216"/>
    <mergeCell ref="NSM216:NSN216"/>
    <mergeCell ref="NSO216:NSP216"/>
    <mergeCell ref="NTF216:NTG216"/>
    <mergeCell ref="NTH216:NTI216"/>
    <mergeCell ref="NTJ216:NTK216"/>
    <mergeCell ref="NTL216:NTM216"/>
    <mergeCell ref="NUC216:NUD216"/>
    <mergeCell ref="NPX216:NPY216"/>
    <mergeCell ref="NQO216:NQP216"/>
    <mergeCell ref="NQQ216:NQR216"/>
    <mergeCell ref="NQS216:NQT216"/>
    <mergeCell ref="NQU216:NQV216"/>
    <mergeCell ref="NRL216:NRM216"/>
    <mergeCell ref="NRN216:NRO216"/>
    <mergeCell ref="NRP216:NRQ216"/>
    <mergeCell ref="NRR216:NRS216"/>
    <mergeCell ref="NOB216:NOC216"/>
    <mergeCell ref="NOD216:NOE216"/>
    <mergeCell ref="NOU216:NOV216"/>
    <mergeCell ref="NOW216:NOX216"/>
    <mergeCell ref="NOY216:NOZ216"/>
    <mergeCell ref="NPA216:NPB216"/>
    <mergeCell ref="NPR216:NPS216"/>
    <mergeCell ref="NPT216:NPU216"/>
    <mergeCell ref="NPV216:NPW216"/>
    <mergeCell ref="NMF216:NMG216"/>
    <mergeCell ref="NMH216:NMI216"/>
    <mergeCell ref="NMJ216:NMK216"/>
    <mergeCell ref="NNA216:NNB216"/>
    <mergeCell ref="NNC216:NND216"/>
    <mergeCell ref="NNE216:NNF216"/>
    <mergeCell ref="NNG216:NNH216"/>
    <mergeCell ref="NNX216:NNY216"/>
    <mergeCell ref="NNZ216:NOA216"/>
    <mergeCell ref="NKJ216:NKK216"/>
    <mergeCell ref="NKL216:NKM216"/>
    <mergeCell ref="NKN216:NKO216"/>
    <mergeCell ref="NKP216:NKQ216"/>
    <mergeCell ref="NLG216:NLH216"/>
    <mergeCell ref="NLI216:NLJ216"/>
    <mergeCell ref="NLK216:NLL216"/>
    <mergeCell ref="NLM216:NLN216"/>
    <mergeCell ref="NMD216:NME216"/>
    <mergeCell ref="NHY216:NHZ216"/>
    <mergeCell ref="NIP216:NIQ216"/>
    <mergeCell ref="NIR216:NIS216"/>
    <mergeCell ref="NIT216:NIU216"/>
    <mergeCell ref="NIV216:NIW216"/>
    <mergeCell ref="NJM216:NJN216"/>
    <mergeCell ref="NJO216:NJP216"/>
    <mergeCell ref="NJQ216:NJR216"/>
    <mergeCell ref="NJS216:NJT216"/>
    <mergeCell ref="NGC216:NGD216"/>
    <mergeCell ref="NGE216:NGF216"/>
    <mergeCell ref="NGV216:NGW216"/>
    <mergeCell ref="NGX216:NGY216"/>
    <mergeCell ref="NGZ216:NHA216"/>
    <mergeCell ref="NHB216:NHC216"/>
    <mergeCell ref="NHS216:NHT216"/>
    <mergeCell ref="NHU216:NHV216"/>
    <mergeCell ref="NHW216:NHX216"/>
    <mergeCell ref="NEG216:NEH216"/>
    <mergeCell ref="NEI216:NEJ216"/>
    <mergeCell ref="NEK216:NEL216"/>
    <mergeCell ref="NFB216:NFC216"/>
    <mergeCell ref="NFD216:NFE216"/>
    <mergeCell ref="NFF216:NFG216"/>
    <mergeCell ref="NFH216:NFI216"/>
    <mergeCell ref="NFY216:NFZ216"/>
    <mergeCell ref="NGA216:NGB216"/>
    <mergeCell ref="NCK216:NCL216"/>
    <mergeCell ref="NCM216:NCN216"/>
    <mergeCell ref="NCO216:NCP216"/>
    <mergeCell ref="NCQ216:NCR216"/>
    <mergeCell ref="NDH216:NDI216"/>
    <mergeCell ref="NDJ216:NDK216"/>
    <mergeCell ref="NDL216:NDM216"/>
    <mergeCell ref="NDN216:NDO216"/>
    <mergeCell ref="NEE216:NEF216"/>
    <mergeCell ref="MZZ216:NAA216"/>
    <mergeCell ref="NAQ216:NAR216"/>
    <mergeCell ref="NAS216:NAT216"/>
    <mergeCell ref="NAU216:NAV216"/>
    <mergeCell ref="NAW216:NAX216"/>
    <mergeCell ref="NBN216:NBO216"/>
    <mergeCell ref="NBP216:NBQ216"/>
    <mergeCell ref="NBR216:NBS216"/>
    <mergeCell ref="NBT216:NBU216"/>
    <mergeCell ref="MYD216:MYE216"/>
    <mergeCell ref="MYF216:MYG216"/>
    <mergeCell ref="MYW216:MYX216"/>
    <mergeCell ref="MYY216:MYZ216"/>
    <mergeCell ref="MZA216:MZB216"/>
    <mergeCell ref="MZC216:MZD216"/>
    <mergeCell ref="MZT216:MZU216"/>
    <mergeCell ref="MZV216:MZW216"/>
    <mergeCell ref="MZX216:MZY216"/>
    <mergeCell ref="MWH216:MWI216"/>
    <mergeCell ref="MWJ216:MWK216"/>
    <mergeCell ref="MWL216:MWM216"/>
    <mergeCell ref="MXC216:MXD216"/>
    <mergeCell ref="MXE216:MXF216"/>
    <mergeCell ref="MXG216:MXH216"/>
    <mergeCell ref="MXI216:MXJ216"/>
    <mergeCell ref="MXZ216:MYA216"/>
    <mergeCell ref="MYB216:MYC216"/>
    <mergeCell ref="MUL216:MUM216"/>
    <mergeCell ref="MUN216:MUO216"/>
    <mergeCell ref="MUP216:MUQ216"/>
    <mergeCell ref="MUR216:MUS216"/>
    <mergeCell ref="MVI216:MVJ216"/>
    <mergeCell ref="MVK216:MVL216"/>
    <mergeCell ref="MVM216:MVN216"/>
    <mergeCell ref="MVO216:MVP216"/>
    <mergeCell ref="MWF216:MWG216"/>
    <mergeCell ref="MSA216:MSB216"/>
    <mergeCell ref="MSR216:MSS216"/>
    <mergeCell ref="MST216:MSU216"/>
    <mergeCell ref="MSV216:MSW216"/>
    <mergeCell ref="MSX216:MSY216"/>
    <mergeCell ref="MTO216:MTP216"/>
    <mergeCell ref="MTQ216:MTR216"/>
    <mergeCell ref="MTS216:MTT216"/>
    <mergeCell ref="MTU216:MTV216"/>
    <mergeCell ref="MQE216:MQF216"/>
    <mergeCell ref="MQG216:MQH216"/>
    <mergeCell ref="MQX216:MQY216"/>
    <mergeCell ref="MQZ216:MRA216"/>
    <mergeCell ref="MRB216:MRC216"/>
    <mergeCell ref="MRD216:MRE216"/>
    <mergeCell ref="MRU216:MRV216"/>
    <mergeCell ref="MRW216:MRX216"/>
    <mergeCell ref="MRY216:MRZ216"/>
    <mergeCell ref="MOI216:MOJ216"/>
    <mergeCell ref="MOK216:MOL216"/>
    <mergeCell ref="MOM216:MON216"/>
    <mergeCell ref="MPD216:MPE216"/>
    <mergeCell ref="MPF216:MPG216"/>
    <mergeCell ref="MPH216:MPI216"/>
    <mergeCell ref="MPJ216:MPK216"/>
    <mergeCell ref="MQA216:MQB216"/>
    <mergeCell ref="MQC216:MQD216"/>
    <mergeCell ref="MMM216:MMN216"/>
    <mergeCell ref="MMO216:MMP216"/>
    <mergeCell ref="MMQ216:MMR216"/>
    <mergeCell ref="MMS216:MMT216"/>
    <mergeCell ref="MNJ216:MNK216"/>
    <mergeCell ref="MNL216:MNM216"/>
    <mergeCell ref="MNN216:MNO216"/>
    <mergeCell ref="MNP216:MNQ216"/>
    <mergeCell ref="MOG216:MOH216"/>
    <mergeCell ref="MKB216:MKC216"/>
    <mergeCell ref="MKS216:MKT216"/>
    <mergeCell ref="MKU216:MKV216"/>
    <mergeCell ref="MKW216:MKX216"/>
    <mergeCell ref="MKY216:MKZ216"/>
    <mergeCell ref="MLP216:MLQ216"/>
    <mergeCell ref="MLR216:MLS216"/>
    <mergeCell ref="MLT216:MLU216"/>
    <mergeCell ref="MLV216:MLW216"/>
    <mergeCell ref="MIF216:MIG216"/>
    <mergeCell ref="MIH216:MII216"/>
    <mergeCell ref="MIY216:MIZ216"/>
    <mergeCell ref="MJA216:MJB216"/>
    <mergeCell ref="MJC216:MJD216"/>
    <mergeCell ref="MJE216:MJF216"/>
    <mergeCell ref="MJV216:MJW216"/>
    <mergeCell ref="MJX216:MJY216"/>
    <mergeCell ref="MJZ216:MKA216"/>
    <mergeCell ref="MGJ216:MGK216"/>
    <mergeCell ref="MGL216:MGM216"/>
    <mergeCell ref="MGN216:MGO216"/>
    <mergeCell ref="MHE216:MHF216"/>
    <mergeCell ref="MHG216:MHH216"/>
    <mergeCell ref="MHI216:MHJ216"/>
    <mergeCell ref="MHK216:MHL216"/>
    <mergeCell ref="MIB216:MIC216"/>
    <mergeCell ref="MID216:MIE216"/>
    <mergeCell ref="MEN216:MEO216"/>
    <mergeCell ref="MEP216:MEQ216"/>
    <mergeCell ref="MER216:MES216"/>
    <mergeCell ref="MET216:MEU216"/>
    <mergeCell ref="MFK216:MFL216"/>
    <mergeCell ref="MFM216:MFN216"/>
    <mergeCell ref="MFO216:MFP216"/>
    <mergeCell ref="MFQ216:MFR216"/>
    <mergeCell ref="MGH216:MGI216"/>
    <mergeCell ref="MCC216:MCD216"/>
    <mergeCell ref="MCT216:MCU216"/>
    <mergeCell ref="MCV216:MCW216"/>
    <mergeCell ref="MCX216:MCY216"/>
    <mergeCell ref="MCZ216:MDA216"/>
    <mergeCell ref="MDQ216:MDR216"/>
    <mergeCell ref="MDS216:MDT216"/>
    <mergeCell ref="MDU216:MDV216"/>
    <mergeCell ref="MDW216:MDX216"/>
    <mergeCell ref="MAG216:MAH216"/>
    <mergeCell ref="MAI216:MAJ216"/>
    <mergeCell ref="MAZ216:MBA216"/>
    <mergeCell ref="MBB216:MBC216"/>
    <mergeCell ref="MBD216:MBE216"/>
    <mergeCell ref="MBF216:MBG216"/>
    <mergeCell ref="MBW216:MBX216"/>
    <mergeCell ref="MBY216:MBZ216"/>
    <mergeCell ref="MCA216:MCB216"/>
    <mergeCell ref="LYK216:LYL216"/>
    <mergeCell ref="LYM216:LYN216"/>
    <mergeCell ref="LYO216:LYP216"/>
    <mergeCell ref="LZF216:LZG216"/>
    <mergeCell ref="LZH216:LZI216"/>
    <mergeCell ref="LZJ216:LZK216"/>
    <mergeCell ref="LZL216:LZM216"/>
    <mergeCell ref="MAC216:MAD216"/>
    <mergeCell ref="MAE216:MAF216"/>
    <mergeCell ref="LWO216:LWP216"/>
    <mergeCell ref="LWQ216:LWR216"/>
    <mergeCell ref="LWS216:LWT216"/>
    <mergeCell ref="LWU216:LWV216"/>
    <mergeCell ref="LXL216:LXM216"/>
    <mergeCell ref="LXN216:LXO216"/>
    <mergeCell ref="LXP216:LXQ216"/>
    <mergeCell ref="LXR216:LXS216"/>
    <mergeCell ref="LYI216:LYJ216"/>
    <mergeCell ref="LUD216:LUE216"/>
    <mergeCell ref="LUU216:LUV216"/>
    <mergeCell ref="LUW216:LUX216"/>
    <mergeCell ref="LUY216:LUZ216"/>
    <mergeCell ref="LVA216:LVB216"/>
    <mergeCell ref="LVR216:LVS216"/>
    <mergeCell ref="LVT216:LVU216"/>
    <mergeCell ref="LVV216:LVW216"/>
    <mergeCell ref="LVX216:LVY216"/>
    <mergeCell ref="LSH216:LSI216"/>
    <mergeCell ref="LSJ216:LSK216"/>
    <mergeCell ref="LTA216:LTB216"/>
    <mergeCell ref="LTC216:LTD216"/>
    <mergeCell ref="LTE216:LTF216"/>
    <mergeCell ref="LTG216:LTH216"/>
    <mergeCell ref="LTX216:LTY216"/>
    <mergeCell ref="LTZ216:LUA216"/>
    <mergeCell ref="LUB216:LUC216"/>
    <mergeCell ref="LQL216:LQM216"/>
    <mergeCell ref="LQN216:LQO216"/>
    <mergeCell ref="LQP216:LQQ216"/>
    <mergeCell ref="LRG216:LRH216"/>
    <mergeCell ref="LRI216:LRJ216"/>
    <mergeCell ref="LRK216:LRL216"/>
    <mergeCell ref="LRM216:LRN216"/>
    <mergeCell ref="LSD216:LSE216"/>
    <mergeCell ref="LSF216:LSG216"/>
    <mergeCell ref="LOP216:LOQ216"/>
    <mergeCell ref="LOR216:LOS216"/>
    <mergeCell ref="LOT216:LOU216"/>
    <mergeCell ref="LOV216:LOW216"/>
    <mergeCell ref="LPM216:LPN216"/>
    <mergeCell ref="LPO216:LPP216"/>
    <mergeCell ref="LPQ216:LPR216"/>
    <mergeCell ref="LPS216:LPT216"/>
    <mergeCell ref="LQJ216:LQK216"/>
    <mergeCell ref="LME216:LMF216"/>
    <mergeCell ref="LMV216:LMW216"/>
    <mergeCell ref="LMX216:LMY216"/>
    <mergeCell ref="LMZ216:LNA216"/>
    <mergeCell ref="LNB216:LNC216"/>
    <mergeCell ref="LNS216:LNT216"/>
    <mergeCell ref="LNU216:LNV216"/>
    <mergeCell ref="LNW216:LNX216"/>
    <mergeCell ref="LNY216:LNZ216"/>
    <mergeCell ref="LKI216:LKJ216"/>
    <mergeCell ref="LKK216:LKL216"/>
    <mergeCell ref="LLB216:LLC216"/>
    <mergeCell ref="LLD216:LLE216"/>
    <mergeCell ref="LLF216:LLG216"/>
    <mergeCell ref="LLH216:LLI216"/>
    <mergeCell ref="LLY216:LLZ216"/>
    <mergeCell ref="LMA216:LMB216"/>
    <mergeCell ref="LMC216:LMD216"/>
    <mergeCell ref="LIM216:LIN216"/>
    <mergeCell ref="LIO216:LIP216"/>
    <mergeCell ref="LIQ216:LIR216"/>
    <mergeCell ref="LJH216:LJI216"/>
    <mergeCell ref="LJJ216:LJK216"/>
    <mergeCell ref="LJL216:LJM216"/>
    <mergeCell ref="LJN216:LJO216"/>
    <mergeCell ref="LKE216:LKF216"/>
    <mergeCell ref="LKG216:LKH216"/>
    <mergeCell ref="LGQ216:LGR216"/>
    <mergeCell ref="LGS216:LGT216"/>
    <mergeCell ref="LGU216:LGV216"/>
    <mergeCell ref="LGW216:LGX216"/>
    <mergeCell ref="LHN216:LHO216"/>
    <mergeCell ref="LHP216:LHQ216"/>
    <mergeCell ref="LHR216:LHS216"/>
    <mergeCell ref="LHT216:LHU216"/>
    <mergeCell ref="LIK216:LIL216"/>
    <mergeCell ref="LEF216:LEG216"/>
    <mergeCell ref="LEW216:LEX216"/>
    <mergeCell ref="LEY216:LEZ216"/>
    <mergeCell ref="LFA216:LFB216"/>
    <mergeCell ref="LFC216:LFD216"/>
    <mergeCell ref="LFT216:LFU216"/>
    <mergeCell ref="LFV216:LFW216"/>
    <mergeCell ref="LFX216:LFY216"/>
    <mergeCell ref="LFZ216:LGA216"/>
    <mergeCell ref="LCJ216:LCK216"/>
    <mergeCell ref="LCL216:LCM216"/>
    <mergeCell ref="LDC216:LDD216"/>
    <mergeCell ref="LDE216:LDF216"/>
    <mergeCell ref="LDG216:LDH216"/>
    <mergeCell ref="LDI216:LDJ216"/>
    <mergeCell ref="LDZ216:LEA216"/>
    <mergeCell ref="LEB216:LEC216"/>
    <mergeCell ref="LED216:LEE216"/>
    <mergeCell ref="LAN216:LAO216"/>
    <mergeCell ref="LAP216:LAQ216"/>
    <mergeCell ref="LAR216:LAS216"/>
    <mergeCell ref="LBI216:LBJ216"/>
    <mergeCell ref="LBK216:LBL216"/>
    <mergeCell ref="LBM216:LBN216"/>
    <mergeCell ref="LBO216:LBP216"/>
    <mergeCell ref="LCF216:LCG216"/>
    <mergeCell ref="LCH216:LCI216"/>
    <mergeCell ref="KYR216:KYS216"/>
    <mergeCell ref="KYT216:KYU216"/>
    <mergeCell ref="KYV216:KYW216"/>
    <mergeCell ref="KYX216:KYY216"/>
    <mergeCell ref="KZO216:KZP216"/>
    <mergeCell ref="KZQ216:KZR216"/>
    <mergeCell ref="KZS216:KZT216"/>
    <mergeCell ref="KZU216:KZV216"/>
    <mergeCell ref="LAL216:LAM216"/>
    <mergeCell ref="KWG216:KWH216"/>
    <mergeCell ref="KWX216:KWY216"/>
    <mergeCell ref="KWZ216:KXA216"/>
    <mergeCell ref="KXB216:KXC216"/>
    <mergeCell ref="KXD216:KXE216"/>
    <mergeCell ref="KXU216:KXV216"/>
    <mergeCell ref="KXW216:KXX216"/>
    <mergeCell ref="KXY216:KXZ216"/>
    <mergeCell ref="KYA216:KYB216"/>
    <mergeCell ref="KUK216:KUL216"/>
    <mergeCell ref="KUM216:KUN216"/>
    <mergeCell ref="KVD216:KVE216"/>
    <mergeCell ref="KVF216:KVG216"/>
    <mergeCell ref="KVH216:KVI216"/>
    <mergeCell ref="KVJ216:KVK216"/>
    <mergeCell ref="KWA216:KWB216"/>
    <mergeCell ref="KWC216:KWD216"/>
    <mergeCell ref="KWE216:KWF216"/>
    <mergeCell ref="KSO216:KSP216"/>
    <mergeCell ref="KSQ216:KSR216"/>
    <mergeCell ref="KSS216:KST216"/>
    <mergeCell ref="KTJ216:KTK216"/>
    <mergeCell ref="KTL216:KTM216"/>
    <mergeCell ref="KTN216:KTO216"/>
    <mergeCell ref="KTP216:KTQ216"/>
    <mergeCell ref="KUG216:KUH216"/>
    <mergeCell ref="KUI216:KUJ216"/>
    <mergeCell ref="KQS216:KQT216"/>
    <mergeCell ref="KQU216:KQV216"/>
    <mergeCell ref="KQW216:KQX216"/>
    <mergeCell ref="KQY216:KQZ216"/>
    <mergeCell ref="KRP216:KRQ216"/>
    <mergeCell ref="KRR216:KRS216"/>
    <mergeCell ref="KRT216:KRU216"/>
    <mergeCell ref="KRV216:KRW216"/>
    <mergeCell ref="KSM216:KSN216"/>
    <mergeCell ref="KOH216:KOI216"/>
    <mergeCell ref="KOY216:KOZ216"/>
    <mergeCell ref="KPA216:KPB216"/>
    <mergeCell ref="KPC216:KPD216"/>
    <mergeCell ref="KPE216:KPF216"/>
    <mergeCell ref="KPV216:KPW216"/>
    <mergeCell ref="KPX216:KPY216"/>
    <mergeCell ref="KPZ216:KQA216"/>
    <mergeCell ref="KQB216:KQC216"/>
    <mergeCell ref="KML216:KMM216"/>
    <mergeCell ref="KMN216:KMO216"/>
    <mergeCell ref="KNE216:KNF216"/>
    <mergeCell ref="KNG216:KNH216"/>
    <mergeCell ref="KNI216:KNJ216"/>
    <mergeCell ref="KNK216:KNL216"/>
    <mergeCell ref="KOB216:KOC216"/>
    <mergeCell ref="KOD216:KOE216"/>
    <mergeCell ref="KOF216:KOG216"/>
    <mergeCell ref="KKP216:KKQ216"/>
    <mergeCell ref="KKR216:KKS216"/>
    <mergeCell ref="KKT216:KKU216"/>
    <mergeCell ref="KLK216:KLL216"/>
    <mergeCell ref="KLM216:KLN216"/>
    <mergeCell ref="KLO216:KLP216"/>
    <mergeCell ref="KLQ216:KLR216"/>
    <mergeCell ref="KMH216:KMI216"/>
    <mergeCell ref="KMJ216:KMK216"/>
    <mergeCell ref="KIT216:KIU216"/>
    <mergeCell ref="KIV216:KIW216"/>
    <mergeCell ref="KIX216:KIY216"/>
    <mergeCell ref="KIZ216:KJA216"/>
    <mergeCell ref="KJQ216:KJR216"/>
    <mergeCell ref="KJS216:KJT216"/>
    <mergeCell ref="KJU216:KJV216"/>
    <mergeCell ref="KJW216:KJX216"/>
    <mergeCell ref="KKN216:KKO216"/>
    <mergeCell ref="KGI216:KGJ216"/>
    <mergeCell ref="KGZ216:KHA216"/>
    <mergeCell ref="KHB216:KHC216"/>
    <mergeCell ref="KHD216:KHE216"/>
    <mergeCell ref="KHF216:KHG216"/>
    <mergeCell ref="KHW216:KHX216"/>
    <mergeCell ref="KHY216:KHZ216"/>
    <mergeCell ref="KIA216:KIB216"/>
    <mergeCell ref="KIC216:KID216"/>
    <mergeCell ref="KEM216:KEN216"/>
    <mergeCell ref="KEO216:KEP216"/>
    <mergeCell ref="KFF216:KFG216"/>
    <mergeCell ref="KFH216:KFI216"/>
    <mergeCell ref="KFJ216:KFK216"/>
    <mergeCell ref="KFL216:KFM216"/>
    <mergeCell ref="KGC216:KGD216"/>
    <mergeCell ref="KGE216:KGF216"/>
    <mergeCell ref="KGG216:KGH216"/>
    <mergeCell ref="KCQ216:KCR216"/>
    <mergeCell ref="KCS216:KCT216"/>
    <mergeCell ref="KCU216:KCV216"/>
    <mergeCell ref="KDL216:KDM216"/>
    <mergeCell ref="KDN216:KDO216"/>
    <mergeCell ref="KDP216:KDQ216"/>
    <mergeCell ref="KDR216:KDS216"/>
    <mergeCell ref="KEI216:KEJ216"/>
    <mergeCell ref="KEK216:KEL216"/>
    <mergeCell ref="KAU216:KAV216"/>
    <mergeCell ref="KAW216:KAX216"/>
    <mergeCell ref="KAY216:KAZ216"/>
    <mergeCell ref="KBA216:KBB216"/>
    <mergeCell ref="KBR216:KBS216"/>
    <mergeCell ref="KBT216:KBU216"/>
    <mergeCell ref="KBV216:KBW216"/>
    <mergeCell ref="KBX216:KBY216"/>
    <mergeCell ref="KCO216:KCP216"/>
    <mergeCell ref="JYJ216:JYK216"/>
    <mergeCell ref="JZA216:JZB216"/>
    <mergeCell ref="JZC216:JZD216"/>
    <mergeCell ref="JZE216:JZF216"/>
    <mergeCell ref="JZG216:JZH216"/>
    <mergeCell ref="JZX216:JZY216"/>
    <mergeCell ref="JZZ216:KAA216"/>
    <mergeCell ref="KAB216:KAC216"/>
    <mergeCell ref="KAD216:KAE216"/>
    <mergeCell ref="JWN216:JWO216"/>
    <mergeCell ref="JWP216:JWQ216"/>
    <mergeCell ref="JXG216:JXH216"/>
    <mergeCell ref="JXI216:JXJ216"/>
    <mergeCell ref="JXK216:JXL216"/>
    <mergeCell ref="JXM216:JXN216"/>
    <mergeCell ref="JYD216:JYE216"/>
    <mergeCell ref="JYF216:JYG216"/>
    <mergeCell ref="JYH216:JYI216"/>
    <mergeCell ref="JUR216:JUS216"/>
    <mergeCell ref="JUT216:JUU216"/>
    <mergeCell ref="JUV216:JUW216"/>
    <mergeCell ref="JVM216:JVN216"/>
    <mergeCell ref="JVO216:JVP216"/>
    <mergeCell ref="JVQ216:JVR216"/>
    <mergeCell ref="JVS216:JVT216"/>
    <mergeCell ref="JWJ216:JWK216"/>
    <mergeCell ref="JWL216:JWM216"/>
    <mergeCell ref="JSV216:JSW216"/>
    <mergeCell ref="JSX216:JSY216"/>
    <mergeCell ref="JSZ216:JTA216"/>
    <mergeCell ref="JTB216:JTC216"/>
    <mergeCell ref="JTS216:JTT216"/>
    <mergeCell ref="JTU216:JTV216"/>
    <mergeCell ref="JTW216:JTX216"/>
    <mergeCell ref="JTY216:JTZ216"/>
    <mergeCell ref="JUP216:JUQ216"/>
    <mergeCell ref="JQK216:JQL216"/>
    <mergeCell ref="JRB216:JRC216"/>
    <mergeCell ref="JRD216:JRE216"/>
    <mergeCell ref="JRF216:JRG216"/>
    <mergeCell ref="JRH216:JRI216"/>
    <mergeCell ref="JRY216:JRZ216"/>
    <mergeCell ref="JSA216:JSB216"/>
    <mergeCell ref="JSC216:JSD216"/>
    <mergeCell ref="JSE216:JSF216"/>
    <mergeCell ref="JOO216:JOP216"/>
    <mergeCell ref="JOQ216:JOR216"/>
    <mergeCell ref="JPH216:JPI216"/>
    <mergeCell ref="JPJ216:JPK216"/>
    <mergeCell ref="JPL216:JPM216"/>
    <mergeCell ref="JPN216:JPO216"/>
    <mergeCell ref="JQE216:JQF216"/>
    <mergeCell ref="JQG216:JQH216"/>
    <mergeCell ref="JQI216:JQJ216"/>
    <mergeCell ref="JMS216:JMT216"/>
    <mergeCell ref="JMU216:JMV216"/>
    <mergeCell ref="JMW216:JMX216"/>
    <mergeCell ref="JNN216:JNO216"/>
    <mergeCell ref="JNP216:JNQ216"/>
    <mergeCell ref="JNR216:JNS216"/>
    <mergeCell ref="JNT216:JNU216"/>
    <mergeCell ref="JOK216:JOL216"/>
    <mergeCell ref="JOM216:JON216"/>
    <mergeCell ref="JKW216:JKX216"/>
    <mergeCell ref="JKY216:JKZ216"/>
    <mergeCell ref="JLA216:JLB216"/>
    <mergeCell ref="JLC216:JLD216"/>
    <mergeCell ref="JLT216:JLU216"/>
    <mergeCell ref="JLV216:JLW216"/>
    <mergeCell ref="JLX216:JLY216"/>
    <mergeCell ref="JLZ216:JMA216"/>
    <mergeCell ref="JMQ216:JMR216"/>
    <mergeCell ref="JIL216:JIM216"/>
    <mergeCell ref="JJC216:JJD216"/>
    <mergeCell ref="JJE216:JJF216"/>
    <mergeCell ref="JJG216:JJH216"/>
    <mergeCell ref="JJI216:JJJ216"/>
    <mergeCell ref="JJZ216:JKA216"/>
    <mergeCell ref="JKB216:JKC216"/>
    <mergeCell ref="JKD216:JKE216"/>
    <mergeCell ref="JKF216:JKG216"/>
    <mergeCell ref="JGP216:JGQ216"/>
    <mergeCell ref="JGR216:JGS216"/>
    <mergeCell ref="JHI216:JHJ216"/>
    <mergeCell ref="JHK216:JHL216"/>
    <mergeCell ref="JHM216:JHN216"/>
    <mergeCell ref="JHO216:JHP216"/>
    <mergeCell ref="JIF216:JIG216"/>
    <mergeCell ref="JIH216:JII216"/>
    <mergeCell ref="JIJ216:JIK216"/>
    <mergeCell ref="JET216:JEU216"/>
    <mergeCell ref="JEV216:JEW216"/>
    <mergeCell ref="JEX216:JEY216"/>
    <mergeCell ref="JFO216:JFP216"/>
    <mergeCell ref="JFQ216:JFR216"/>
    <mergeCell ref="JFS216:JFT216"/>
    <mergeCell ref="JFU216:JFV216"/>
    <mergeCell ref="JGL216:JGM216"/>
    <mergeCell ref="JGN216:JGO216"/>
    <mergeCell ref="JCX216:JCY216"/>
    <mergeCell ref="JCZ216:JDA216"/>
    <mergeCell ref="JDB216:JDC216"/>
    <mergeCell ref="JDD216:JDE216"/>
    <mergeCell ref="JDU216:JDV216"/>
    <mergeCell ref="JDW216:JDX216"/>
    <mergeCell ref="JDY216:JDZ216"/>
    <mergeCell ref="JEA216:JEB216"/>
    <mergeCell ref="JER216:JES216"/>
    <mergeCell ref="JAM216:JAN216"/>
    <mergeCell ref="JBD216:JBE216"/>
    <mergeCell ref="JBF216:JBG216"/>
    <mergeCell ref="JBH216:JBI216"/>
    <mergeCell ref="JBJ216:JBK216"/>
    <mergeCell ref="JCA216:JCB216"/>
    <mergeCell ref="JCC216:JCD216"/>
    <mergeCell ref="JCE216:JCF216"/>
    <mergeCell ref="JCG216:JCH216"/>
    <mergeCell ref="IYQ216:IYR216"/>
    <mergeCell ref="IYS216:IYT216"/>
    <mergeCell ref="IZJ216:IZK216"/>
    <mergeCell ref="IZL216:IZM216"/>
    <mergeCell ref="IZN216:IZO216"/>
    <mergeCell ref="IZP216:IZQ216"/>
    <mergeCell ref="JAG216:JAH216"/>
    <mergeCell ref="JAI216:JAJ216"/>
    <mergeCell ref="JAK216:JAL216"/>
    <mergeCell ref="IWU216:IWV216"/>
    <mergeCell ref="IWW216:IWX216"/>
    <mergeCell ref="IWY216:IWZ216"/>
    <mergeCell ref="IXP216:IXQ216"/>
    <mergeCell ref="IXR216:IXS216"/>
    <mergeCell ref="IXT216:IXU216"/>
    <mergeCell ref="IXV216:IXW216"/>
    <mergeCell ref="IYM216:IYN216"/>
    <mergeCell ref="IYO216:IYP216"/>
    <mergeCell ref="IUY216:IUZ216"/>
    <mergeCell ref="IVA216:IVB216"/>
    <mergeCell ref="IVC216:IVD216"/>
    <mergeCell ref="IVE216:IVF216"/>
    <mergeCell ref="IVV216:IVW216"/>
    <mergeCell ref="IVX216:IVY216"/>
    <mergeCell ref="IVZ216:IWA216"/>
    <mergeCell ref="IWB216:IWC216"/>
    <mergeCell ref="IWS216:IWT216"/>
    <mergeCell ref="ISN216:ISO216"/>
    <mergeCell ref="ITE216:ITF216"/>
    <mergeCell ref="ITG216:ITH216"/>
    <mergeCell ref="ITI216:ITJ216"/>
    <mergeCell ref="ITK216:ITL216"/>
    <mergeCell ref="IUB216:IUC216"/>
    <mergeCell ref="IUD216:IUE216"/>
    <mergeCell ref="IUF216:IUG216"/>
    <mergeCell ref="IUH216:IUI216"/>
    <mergeCell ref="IQR216:IQS216"/>
    <mergeCell ref="IQT216:IQU216"/>
    <mergeCell ref="IRK216:IRL216"/>
    <mergeCell ref="IRM216:IRN216"/>
    <mergeCell ref="IRO216:IRP216"/>
    <mergeCell ref="IRQ216:IRR216"/>
    <mergeCell ref="ISH216:ISI216"/>
    <mergeCell ref="ISJ216:ISK216"/>
    <mergeCell ref="ISL216:ISM216"/>
    <mergeCell ref="IOV216:IOW216"/>
    <mergeCell ref="IOX216:IOY216"/>
    <mergeCell ref="IOZ216:IPA216"/>
    <mergeCell ref="IPQ216:IPR216"/>
    <mergeCell ref="IPS216:IPT216"/>
    <mergeCell ref="IPU216:IPV216"/>
    <mergeCell ref="IPW216:IPX216"/>
    <mergeCell ref="IQN216:IQO216"/>
    <mergeCell ref="IQP216:IQQ216"/>
    <mergeCell ref="IMZ216:INA216"/>
    <mergeCell ref="INB216:INC216"/>
    <mergeCell ref="IND216:INE216"/>
    <mergeCell ref="INF216:ING216"/>
    <mergeCell ref="INW216:INX216"/>
    <mergeCell ref="INY216:INZ216"/>
    <mergeCell ref="IOA216:IOB216"/>
    <mergeCell ref="IOC216:IOD216"/>
    <mergeCell ref="IOT216:IOU216"/>
    <mergeCell ref="IKO216:IKP216"/>
    <mergeCell ref="ILF216:ILG216"/>
    <mergeCell ref="ILH216:ILI216"/>
    <mergeCell ref="ILJ216:ILK216"/>
    <mergeCell ref="ILL216:ILM216"/>
    <mergeCell ref="IMC216:IMD216"/>
    <mergeCell ref="IME216:IMF216"/>
    <mergeCell ref="IMG216:IMH216"/>
    <mergeCell ref="IMI216:IMJ216"/>
    <mergeCell ref="IIS216:IIT216"/>
    <mergeCell ref="IIU216:IIV216"/>
    <mergeCell ref="IJL216:IJM216"/>
    <mergeCell ref="IJN216:IJO216"/>
    <mergeCell ref="IJP216:IJQ216"/>
    <mergeCell ref="IJR216:IJS216"/>
    <mergeCell ref="IKI216:IKJ216"/>
    <mergeCell ref="IKK216:IKL216"/>
    <mergeCell ref="IKM216:IKN216"/>
    <mergeCell ref="IGW216:IGX216"/>
    <mergeCell ref="IGY216:IGZ216"/>
    <mergeCell ref="IHA216:IHB216"/>
    <mergeCell ref="IHR216:IHS216"/>
    <mergeCell ref="IHT216:IHU216"/>
    <mergeCell ref="IHV216:IHW216"/>
    <mergeCell ref="IHX216:IHY216"/>
    <mergeCell ref="IIO216:IIP216"/>
    <mergeCell ref="IIQ216:IIR216"/>
    <mergeCell ref="IFA216:IFB216"/>
    <mergeCell ref="IFC216:IFD216"/>
    <mergeCell ref="IFE216:IFF216"/>
    <mergeCell ref="IFG216:IFH216"/>
    <mergeCell ref="IFX216:IFY216"/>
    <mergeCell ref="IFZ216:IGA216"/>
    <mergeCell ref="IGB216:IGC216"/>
    <mergeCell ref="IGD216:IGE216"/>
    <mergeCell ref="IGU216:IGV216"/>
    <mergeCell ref="ICP216:ICQ216"/>
    <mergeCell ref="IDG216:IDH216"/>
    <mergeCell ref="IDI216:IDJ216"/>
    <mergeCell ref="IDK216:IDL216"/>
    <mergeCell ref="IDM216:IDN216"/>
    <mergeCell ref="IED216:IEE216"/>
    <mergeCell ref="IEF216:IEG216"/>
    <mergeCell ref="IEH216:IEI216"/>
    <mergeCell ref="IEJ216:IEK216"/>
    <mergeCell ref="IAT216:IAU216"/>
    <mergeCell ref="IAV216:IAW216"/>
    <mergeCell ref="IBM216:IBN216"/>
    <mergeCell ref="IBO216:IBP216"/>
    <mergeCell ref="IBQ216:IBR216"/>
    <mergeCell ref="IBS216:IBT216"/>
    <mergeCell ref="ICJ216:ICK216"/>
    <mergeCell ref="ICL216:ICM216"/>
    <mergeCell ref="ICN216:ICO216"/>
    <mergeCell ref="HYX216:HYY216"/>
    <mergeCell ref="HYZ216:HZA216"/>
    <mergeCell ref="HZB216:HZC216"/>
    <mergeCell ref="HZS216:HZT216"/>
    <mergeCell ref="HZU216:HZV216"/>
    <mergeCell ref="HZW216:HZX216"/>
    <mergeCell ref="HZY216:HZZ216"/>
    <mergeCell ref="IAP216:IAQ216"/>
    <mergeCell ref="IAR216:IAS216"/>
    <mergeCell ref="HXB216:HXC216"/>
    <mergeCell ref="HXD216:HXE216"/>
    <mergeCell ref="HXF216:HXG216"/>
    <mergeCell ref="HXH216:HXI216"/>
    <mergeCell ref="HXY216:HXZ216"/>
    <mergeCell ref="HYA216:HYB216"/>
    <mergeCell ref="HYC216:HYD216"/>
    <mergeCell ref="HYE216:HYF216"/>
    <mergeCell ref="HYV216:HYW216"/>
    <mergeCell ref="HUQ216:HUR216"/>
    <mergeCell ref="HVH216:HVI216"/>
    <mergeCell ref="HVJ216:HVK216"/>
    <mergeCell ref="HVL216:HVM216"/>
    <mergeCell ref="HVN216:HVO216"/>
    <mergeCell ref="HWE216:HWF216"/>
    <mergeCell ref="HWG216:HWH216"/>
    <mergeCell ref="HWI216:HWJ216"/>
    <mergeCell ref="HWK216:HWL216"/>
    <mergeCell ref="HSU216:HSV216"/>
    <mergeCell ref="HSW216:HSX216"/>
    <mergeCell ref="HTN216:HTO216"/>
    <mergeCell ref="HTP216:HTQ216"/>
    <mergeCell ref="HTR216:HTS216"/>
    <mergeCell ref="HTT216:HTU216"/>
    <mergeCell ref="HUK216:HUL216"/>
    <mergeCell ref="HUM216:HUN216"/>
    <mergeCell ref="HUO216:HUP216"/>
    <mergeCell ref="HQY216:HQZ216"/>
    <mergeCell ref="HRA216:HRB216"/>
    <mergeCell ref="HRC216:HRD216"/>
    <mergeCell ref="HRT216:HRU216"/>
    <mergeCell ref="HRV216:HRW216"/>
    <mergeCell ref="HRX216:HRY216"/>
    <mergeCell ref="HRZ216:HSA216"/>
    <mergeCell ref="HSQ216:HSR216"/>
    <mergeCell ref="HSS216:HST216"/>
    <mergeCell ref="HPC216:HPD216"/>
    <mergeCell ref="HPE216:HPF216"/>
    <mergeCell ref="HPG216:HPH216"/>
    <mergeCell ref="HPI216:HPJ216"/>
    <mergeCell ref="HPZ216:HQA216"/>
    <mergeCell ref="HQB216:HQC216"/>
    <mergeCell ref="HQD216:HQE216"/>
    <mergeCell ref="HQF216:HQG216"/>
    <mergeCell ref="HQW216:HQX216"/>
    <mergeCell ref="HMR216:HMS216"/>
    <mergeCell ref="HNI216:HNJ216"/>
    <mergeCell ref="HNK216:HNL216"/>
    <mergeCell ref="HNM216:HNN216"/>
    <mergeCell ref="HNO216:HNP216"/>
    <mergeCell ref="HOF216:HOG216"/>
    <mergeCell ref="HOH216:HOI216"/>
    <mergeCell ref="HOJ216:HOK216"/>
    <mergeCell ref="HOL216:HOM216"/>
    <mergeCell ref="HKV216:HKW216"/>
    <mergeCell ref="HKX216:HKY216"/>
    <mergeCell ref="HLO216:HLP216"/>
    <mergeCell ref="HLQ216:HLR216"/>
    <mergeCell ref="HLS216:HLT216"/>
    <mergeCell ref="HLU216:HLV216"/>
    <mergeCell ref="HML216:HMM216"/>
    <mergeCell ref="HMN216:HMO216"/>
    <mergeCell ref="HMP216:HMQ216"/>
    <mergeCell ref="HIZ216:HJA216"/>
    <mergeCell ref="HJB216:HJC216"/>
    <mergeCell ref="HJD216:HJE216"/>
    <mergeCell ref="HJU216:HJV216"/>
    <mergeCell ref="HJW216:HJX216"/>
    <mergeCell ref="HJY216:HJZ216"/>
    <mergeCell ref="HKA216:HKB216"/>
    <mergeCell ref="HKR216:HKS216"/>
    <mergeCell ref="HKT216:HKU216"/>
    <mergeCell ref="HHD216:HHE216"/>
    <mergeCell ref="HHF216:HHG216"/>
    <mergeCell ref="HHH216:HHI216"/>
    <mergeCell ref="HHJ216:HHK216"/>
    <mergeCell ref="HIA216:HIB216"/>
    <mergeCell ref="HIC216:HID216"/>
    <mergeCell ref="HIE216:HIF216"/>
    <mergeCell ref="HIG216:HIH216"/>
    <mergeCell ref="HIX216:HIY216"/>
    <mergeCell ref="HES216:HET216"/>
    <mergeCell ref="HFJ216:HFK216"/>
    <mergeCell ref="HFL216:HFM216"/>
    <mergeCell ref="HFN216:HFO216"/>
    <mergeCell ref="HFP216:HFQ216"/>
    <mergeCell ref="HGG216:HGH216"/>
    <mergeCell ref="HGI216:HGJ216"/>
    <mergeCell ref="HGK216:HGL216"/>
    <mergeCell ref="HGM216:HGN216"/>
    <mergeCell ref="HCW216:HCX216"/>
    <mergeCell ref="HCY216:HCZ216"/>
    <mergeCell ref="HDP216:HDQ216"/>
    <mergeCell ref="HDR216:HDS216"/>
    <mergeCell ref="HDT216:HDU216"/>
    <mergeCell ref="HDV216:HDW216"/>
    <mergeCell ref="HEM216:HEN216"/>
    <mergeCell ref="HEO216:HEP216"/>
    <mergeCell ref="HEQ216:HER216"/>
    <mergeCell ref="HBA216:HBB216"/>
    <mergeCell ref="HBC216:HBD216"/>
    <mergeCell ref="HBE216:HBF216"/>
    <mergeCell ref="HBV216:HBW216"/>
    <mergeCell ref="HBX216:HBY216"/>
    <mergeCell ref="HBZ216:HCA216"/>
    <mergeCell ref="HCB216:HCC216"/>
    <mergeCell ref="HCS216:HCT216"/>
    <mergeCell ref="HCU216:HCV216"/>
    <mergeCell ref="GZE216:GZF216"/>
    <mergeCell ref="GZG216:GZH216"/>
    <mergeCell ref="GZI216:GZJ216"/>
    <mergeCell ref="GZK216:GZL216"/>
    <mergeCell ref="HAB216:HAC216"/>
    <mergeCell ref="HAD216:HAE216"/>
    <mergeCell ref="HAF216:HAG216"/>
    <mergeCell ref="HAH216:HAI216"/>
    <mergeCell ref="HAY216:HAZ216"/>
    <mergeCell ref="GWT216:GWU216"/>
    <mergeCell ref="GXK216:GXL216"/>
    <mergeCell ref="GXM216:GXN216"/>
    <mergeCell ref="GXO216:GXP216"/>
    <mergeCell ref="GXQ216:GXR216"/>
    <mergeCell ref="GYH216:GYI216"/>
    <mergeCell ref="GYJ216:GYK216"/>
    <mergeCell ref="GYL216:GYM216"/>
    <mergeCell ref="GYN216:GYO216"/>
    <mergeCell ref="GUX216:GUY216"/>
    <mergeCell ref="GUZ216:GVA216"/>
    <mergeCell ref="GVQ216:GVR216"/>
    <mergeCell ref="GVS216:GVT216"/>
    <mergeCell ref="GVU216:GVV216"/>
    <mergeCell ref="GVW216:GVX216"/>
    <mergeCell ref="GWN216:GWO216"/>
    <mergeCell ref="GWP216:GWQ216"/>
    <mergeCell ref="GWR216:GWS216"/>
    <mergeCell ref="GTB216:GTC216"/>
    <mergeCell ref="GTD216:GTE216"/>
    <mergeCell ref="GTF216:GTG216"/>
    <mergeCell ref="GTW216:GTX216"/>
    <mergeCell ref="GTY216:GTZ216"/>
    <mergeCell ref="GUA216:GUB216"/>
    <mergeCell ref="GUC216:GUD216"/>
    <mergeCell ref="GUT216:GUU216"/>
    <mergeCell ref="GUV216:GUW216"/>
    <mergeCell ref="GRF216:GRG216"/>
    <mergeCell ref="GRH216:GRI216"/>
    <mergeCell ref="GRJ216:GRK216"/>
    <mergeCell ref="GRL216:GRM216"/>
    <mergeCell ref="GSC216:GSD216"/>
    <mergeCell ref="GSE216:GSF216"/>
    <mergeCell ref="GSG216:GSH216"/>
    <mergeCell ref="GSI216:GSJ216"/>
    <mergeCell ref="GSZ216:GTA216"/>
    <mergeCell ref="GOU216:GOV216"/>
    <mergeCell ref="GPL216:GPM216"/>
    <mergeCell ref="GPN216:GPO216"/>
    <mergeCell ref="GPP216:GPQ216"/>
    <mergeCell ref="GPR216:GPS216"/>
    <mergeCell ref="GQI216:GQJ216"/>
    <mergeCell ref="GQK216:GQL216"/>
    <mergeCell ref="GQM216:GQN216"/>
    <mergeCell ref="GQO216:GQP216"/>
    <mergeCell ref="GMY216:GMZ216"/>
    <mergeCell ref="GNA216:GNB216"/>
    <mergeCell ref="GNR216:GNS216"/>
    <mergeCell ref="GNT216:GNU216"/>
    <mergeCell ref="GNV216:GNW216"/>
    <mergeCell ref="GNX216:GNY216"/>
    <mergeCell ref="GOO216:GOP216"/>
    <mergeCell ref="GOQ216:GOR216"/>
    <mergeCell ref="GOS216:GOT216"/>
    <mergeCell ref="GLC216:GLD216"/>
    <mergeCell ref="GLE216:GLF216"/>
    <mergeCell ref="GLG216:GLH216"/>
    <mergeCell ref="GLX216:GLY216"/>
    <mergeCell ref="GLZ216:GMA216"/>
    <mergeCell ref="GMB216:GMC216"/>
    <mergeCell ref="GMD216:GME216"/>
    <mergeCell ref="GMU216:GMV216"/>
    <mergeCell ref="GMW216:GMX216"/>
    <mergeCell ref="GJG216:GJH216"/>
    <mergeCell ref="GJI216:GJJ216"/>
    <mergeCell ref="GJK216:GJL216"/>
    <mergeCell ref="GJM216:GJN216"/>
    <mergeCell ref="GKD216:GKE216"/>
    <mergeCell ref="GKF216:GKG216"/>
    <mergeCell ref="GKH216:GKI216"/>
    <mergeCell ref="GKJ216:GKK216"/>
    <mergeCell ref="GLA216:GLB216"/>
    <mergeCell ref="GGV216:GGW216"/>
    <mergeCell ref="GHM216:GHN216"/>
    <mergeCell ref="GHO216:GHP216"/>
    <mergeCell ref="GHQ216:GHR216"/>
    <mergeCell ref="GHS216:GHT216"/>
    <mergeCell ref="GIJ216:GIK216"/>
    <mergeCell ref="GIL216:GIM216"/>
    <mergeCell ref="GIN216:GIO216"/>
    <mergeCell ref="GIP216:GIQ216"/>
    <mergeCell ref="GEZ216:GFA216"/>
    <mergeCell ref="GFB216:GFC216"/>
    <mergeCell ref="GFS216:GFT216"/>
    <mergeCell ref="GFU216:GFV216"/>
    <mergeCell ref="GFW216:GFX216"/>
    <mergeCell ref="GFY216:GFZ216"/>
    <mergeCell ref="GGP216:GGQ216"/>
    <mergeCell ref="GGR216:GGS216"/>
    <mergeCell ref="GGT216:GGU216"/>
    <mergeCell ref="GDD216:GDE216"/>
    <mergeCell ref="GDF216:GDG216"/>
    <mergeCell ref="GDH216:GDI216"/>
    <mergeCell ref="GDY216:GDZ216"/>
    <mergeCell ref="GEA216:GEB216"/>
    <mergeCell ref="GEC216:GED216"/>
    <mergeCell ref="GEE216:GEF216"/>
    <mergeCell ref="GEV216:GEW216"/>
    <mergeCell ref="GEX216:GEY216"/>
    <mergeCell ref="GBH216:GBI216"/>
    <mergeCell ref="GBJ216:GBK216"/>
    <mergeCell ref="GBL216:GBM216"/>
    <mergeCell ref="GBN216:GBO216"/>
    <mergeCell ref="GCE216:GCF216"/>
    <mergeCell ref="GCG216:GCH216"/>
    <mergeCell ref="GCI216:GCJ216"/>
    <mergeCell ref="GCK216:GCL216"/>
    <mergeCell ref="GDB216:GDC216"/>
    <mergeCell ref="FYW216:FYX216"/>
    <mergeCell ref="FZN216:FZO216"/>
    <mergeCell ref="FZP216:FZQ216"/>
    <mergeCell ref="FZR216:FZS216"/>
    <mergeCell ref="FZT216:FZU216"/>
    <mergeCell ref="GAK216:GAL216"/>
    <mergeCell ref="GAM216:GAN216"/>
    <mergeCell ref="GAO216:GAP216"/>
    <mergeCell ref="GAQ216:GAR216"/>
    <mergeCell ref="FXA216:FXB216"/>
    <mergeCell ref="FXC216:FXD216"/>
    <mergeCell ref="FXT216:FXU216"/>
    <mergeCell ref="FXV216:FXW216"/>
    <mergeCell ref="FXX216:FXY216"/>
    <mergeCell ref="FXZ216:FYA216"/>
    <mergeCell ref="FYQ216:FYR216"/>
    <mergeCell ref="FYS216:FYT216"/>
    <mergeCell ref="FYU216:FYV216"/>
    <mergeCell ref="FVE216:FVF216"/>
    <mergeCell ref="FVG216:FVH216"/>
    <mergeCell ref="FVI216:FVJ216"/>
    <mergeCell ref="FVZ216:FWA216"/>
    <mergeCell ref="FWB216:FWC216"/>
    <mergeCell ref="FWD216:FWE216"/>
    <mergeCell ref="FWF216:FWG216"/>
    <mergeCell ref="FWW216:FWX216"/>
    <mergeCell ref="FWY216:FWZ216"/>
    <mergeCell ref="FTI216:FTJ216"/>
    <mergeCell ref="FTK216:FTL216"/>
    <mergeCell ref="FTM216:FTN216"/>
    <mergeCell ref="FTO216:FTP216"/>
    <mergeCell ref="FUF216:FUG216"/>
    <mergeCell ref="FUH216:FUI216"/>
    <mergeCell ref="FUJ216:FUK216"/>
    <mergeCell ref="FUL216:FUM216"/>
    <mergeCell ref="FVC216:FVD216"/>
    <mergeCell ref="FQX216:FQY216"/>
    <mergeCell ref="FRO216:FRP216"/>
    <mergeCell ref="FRQ216:FRR216"/>
    <mergeCell ref="FRS216:FRT216"/>
    <mergeCell ref="FRU216:FRV216"/>
    <mergeCell ref="FSL216:FSM216"/>
    <mergeCell ref="FSN216:FSO216"/>
    <mergeCell ref="FSP216:FSQ216"/>
    <mergeCell ref="FSR216:FSS216"/>
    <mergeCell ref="FPB216:FPC216"/>
    <mergeCell ref="FPD216:FPE216"/>
    <mergeCell ref="FPU216:FPV216"/>
    <mergeCell ref="FPW216:FPX216"/>
    <mergeCell ref="FPY216:FPZ216"/>
    <mergeCell ref="FQA216:FQB216"/>
    <mergeCell ref="FQR216:FQS216"/>
    <mergeCell ref="FQT216:FQU216"/>
    <mergeCell ref="FQV216:FQW216"/>
    <mergeCell ref="FNF216:FNG216"/>
    <mergeCell ref="FNH216:FNI216"/>
    <mergeCell ref="FNJ216:FNK216"/>
    <mergeCell ref="FOA216:FOB216"/>
    <mergeCell ref="FOC216:FOD216"/>
    <mergeCell ref="FOE216:FOF216"/>
    <mergeCell ref="FOG216:FOH216"/>
    <mergeCell ref="FOX216:FOY216"/>
    <mergeCell ref="FOZ216:FPA216"/>
    <mergeCell ref="FLJ216:FLK216"/>
    <mergeCell ref="FLL216:FLM216"/>
    <mergeCell ref="FLN216:FLO216"/>
    <mergeCell ref="FLP216:FLQ216"/>
    <mergeCell ref="FMG216:FMH216"/>
    <mergeCell ref="FMI216:FMJ216"/>
    <mergeCell ref="FMK216:FML216"/>
    <mergeCell ref="FMM216:FMN216"/>
    <mergeCell ref="FND216:FNE216"/>
    <mergeCell ref="FIY216:FIZ216"/>
    <mergeCell ref="FJP216:FJQ216"/>
    <mergeCell ref="FJR216:FJS216"/>
    <mergeCell ref="FJT216:FJU216"/>
    <mergeCell ref="FJV216:FJW216"/>
    <mergeCell ref="FKM216:FKN216"/>
    <mergeCell ref="FKO216:FKP216"/>
    <mergeCell ref="FKQ216:FKR216"/>
    <mergeCell ref="FKS216:FKT216"/>
    <mergeCell ref="FHC216:FHD216"/>
    <mergeCell ref="FHE216:FHF216"/>
    <mergeCell ref="FHV216:FHW216"/>
    <mergeCell ref="FHX216:FHY216"/>
    <mergeCell ref="FHZ216:FIA216"/>
    <mergeCell ref="FIB216:FIC216"/>
    <mergeCell ref="FIS216:FIT216"/>
    <mergeCell ref="FIU216:FIV216"/>
    <mergeCell ref="FIW216:FIX216"/>
    <mergeCell ref="FFG216:FFH216"/>
    <mergeCell ref="FFI216:FFJ216"/>
    <mergeCell ref="FFK216:FFL216"/>
    <mergeCell ref="FGB216:FGC216"/>
    <mergeCell ref="FGD216:FGE216"/>
    <mergeCell ref="FGF216:FGG216"/>
    <mergeCell ref="FGH216:FGI216"/>
    <mergeCell ref="FGY216:FGZ216"/>
    <mergeCell ref="FHA216:FHB216"/>
    <mergeCell ref="FDK216:FDL216"/>
    <mergeCell ref="FDM216:FDN216"/>
    <mergeCell ref="FDO216:FDP216"/>
    <mergeCell ref="FDQ216:FDR216"/>
    <mergeCell ref="FEH216:FEI216"/>
    <mergeCell ref="FEJ216:FEK216"/>
    <mergeCell ref="FEL216:FEM216"/>
    <mergeCell ref="FEN216:FEO216"/>
    <mergeCell ref="FFE216:FFF216"/>
    <mergeCell ref="FAZ216:FBA216"/>
    <mergeCell ref="FBQ216:FBR216"/>
    <mergeCell ref="FBS216:FBT216"/>
    <mergeCell ref="FBU216:FBV216"/>
    <mergeCell ref="FBW216:FBX216"/>
    <mergeCell ref="FCN216:FCO216"/>
    <mergeCell ref="FCP216:FCQ216"/>
    <mergeCell ref="FCR216:FCS216"/>
    <mergeCell ref="FCT216:FCU216"/>
    <mergeCell ref="EZD216:EZE216"/>
    <mergeCell ref="EZF216:EZG216"/>
    <mergeCell ref="EZW216:EZX216"/>
    <mergeCell ref="EZY216:EZZ216"/>
    <mergeCell ref="FAA216:FAB216"/>
    <mergeCell ref="FAC216:FAD216"/>
    <mergeCell ref="FAT216:FAU216"/>
    <mergeCell ref="FAV216:FAW216"/>
    <mergeCell ref="FAX216:FAY216"/>
    <mergeCell ref="EXH216:EXI216"/>
    <mergeCell ref="EXJ216:EXK216"/>
    <mergeCell ref="EXL216:EXM216"/>
    <mergeCell ref="EYC216:EYD216"/>
    <mergeCell ref="EYE216:EYF216"/>
    <mergeCell ref="EYG216:EYH216"/>
    <mergeCell ref="EYI216:EYJ216"/>
    <mergeCell ref="EYZ216:EZA216"/>
    <mergeCell ref="EZB216:EZC216"/>
    <mergeCell ref="EVL216:EVM216"/>
    <mergeCell ref="EVN216:EVO216"/>
    <mergeCell ref="EVP216:EVQ216"/>
    <mergeCell ref="EVR216:EVS216"/>
    <mergeCell ref="EWI216:EWJ216"/>
    <mergeCell ref="EWK216:EWL216"/>
    <mergeCell ref="EWM216:EWN216"/>
    <mergeCell ref="EWO216:EWP216"/>
    <mergeCell ref="EXF216:EXG216"/>
    <mergeCell ref="ETA216:ETB216"/>
    <mergeCell ref="ETR216:ETS216"/>
    <mergeCell ref="ETT216:ETU216"/>
    <mergeCell ref="ETV216:ETW216"/>
    <mergeCell ref="ETX216:ETY216"/>
    <mergeCell ref="EUO216:EUP216"/>
    <mergeCell ref="EUQ216:EUR216"/>
    <mergeCell ref="EUS216:EUT216"/>
    <mergeCell ref="EUU216:EUV216"/>
    <mergeCell ref="ERE216:ERF216"/>
    <mergeCell ref="ERG216:ERH216"/>
    <mergeCell ref="ERX216:ERY216"/>
    <mergeCell ref="ERZ216:ESA216"/>
    <mergeCell ref="ESB216:ESC216"/>
    <mergeCell ref="ESD216:ESE216"/>
    <mergeCell ref="ESU216:ESV216"/>
    <mergeCell ref="ESW216:ESX216"/>
    <mergeCell ref="ESY216:ESZ216"/>
    <mergeCell ref="EPI216:EPJ216"/>
    <mergeCell ref="EPK216:EPL216"/>
    <mergeCell ref="EPM216:EPN216"/>
    <mergeCell ref="EQD216:EQE216"/>
    <mergeCell ref="EQF216:EQG216"/>
    <mergeCell ref="EQH216:EQI216"/>
    <mergeCell ref="EQJ216:EQK216"/>
    <mergeCell ref="ERA216:ERB216"/>
    <mergeCell ref="ERC216:ERD216"/>
    <mergeCell ref="ENM216:ENN216"/>
    <mergeCell ref="ENO216:ENP216"/>
    <mergeCell ref="ENQ216:ENR216"/>
    <mergeCell ref="ENS216:ENT216"/>
    <mergeCell ref="EOJ216:EOK216"/>
    <mergeCell ref="EOL216:EOM216"/>
    <mergeCell ref="EON216:EOO216"/>
    <mergeCell ref="EOP216:EOQ216"/>
    <mergeCell ref="EPG216:EPH216"/>
    <mergeCell ref="ELB216:ELC216"/>
    <mergeCell ref="ELS216:ELT216"/>
    <mergeCell ref="ELU216:ELV216"/>
    <mergeCell ref="ELW216:ELX216"/>
    <mergeCell ref="ELY216:ELZ216"/>
    <mergeCell ref="EMP216:EMQ216"/>
    <mergeCell ref="EMR216:EMS216"/>
    <mergeCell ref="EMT216:EMU216"/>
    <mergeCell ref="EMV216:EMW216"/>
    <mergeCell ref="EJF216:EJG216"/>
    <mergeCell ref="EJH216:EJI216"/>
    <mergeCell ref="EJY216:EJZ216"/>
    <mergeCell ref="EKA216:EKB216"/>
    <mergeCell ref="EKC216:EKD216"/>
    <mergeCell ref="EKE216:EKF216"/>
    <mergeCell ref="EKV216:EKW216"/>
    <mergeCell ref="EKX216:EKY216"/>
    <mergeCell ref="EKZ216:ELA216"/>
    <mergeCell ref="EHJ216:EHK216"/>
    <mergeCell ref="EHL216:EHM216"/>
    <mergeCell ref="EHN216:EHO216"/>
    <mergeCell ref="EIE216:EIF216"/>
    <mergeCell ref="EIG216:EIH216"/>
    <mergeCell ref="EII216:EIJ216"/>
    <mergeCell ref="EIK216:EIL216"/>
    <mergeCell ref="EJB216:EJC216"/>
    <mergeCell ref="EJD216:EJE216"/>
    <mergeCell ref="EFN216:EFO216"/>
    <mergeCell ref="EFP216:EFQ216"/>
    <mergeCell ref="EFR216:EFS216"/>
    <mergeCell ref="EFT216:EFU216"/>
    <mergeCell ref="EGK216:EGL216"/>
    <mergeCell ref="EGM216:EGN216"/>
    <mergeCell ref="EGO216:EGP216"/>
    <mergeCell ref="EGQ216:EGR216"/>
    <mergeCell ref="EHH216:EHI216"/>
    <mergeCell ref="EDC216:EDD216"/>
    <mergeCell ref="EDT216:EDU216"/>
    <mergeCell ref="EDV216:EDW216"/>
    <mergeCell ref="EDX216:EDY216"/>
    <mergeCell ref="EDZ216:EEA216"/>
    <mergeCell ref="EEQ216:EER216"/>
    <mergeCell ref="EES216:EET216"/>
    <mergeCell ref="EEU216:EEV216"/>
    <mergeCell ref="EEW216:EEX216"/>
    <mergeCell ref="EBG216:EBH216"/>
    <mergeCell ref="EBI216:EBJ216"/>
    <mergeCell ref="EBZ216:ECA216"/>
    <mergeCell ref="ECB216:ECC216"/>
    <mergeCell ref="ECD216:ECE216"/>
    <mergeCell ref="ECF216:ECG216"/>
    <mergeCell ref="ECW216:ECX216"/>
    <mergeCell ref="ECY216:ECZ216"/>
    <mergeCell ref="EDA216:EDB216"/>
    <mergeCell ref="DZK216:DZL216"/>
    <mergeCell ref="DZM216:DZN216"/>
    <mergeCell ref="DZO216:DZP216"/>
    <mergeCell ref="EAF216:EAG216"/>
    <mergeCell ref="EAH216:EAI216"/>
    <mergeCell ref="EAJ216:EAK216"/>
    <mergeCell ref="EAL216:EAM216"/>
    <mergeCell ref="EBC216:EBD216"/>
    <mergeCell ref="EBE216:EBF216"/>
    <mergeCell ref="DXO216:DXP216"/>
    <mergeCell ref="DXQ216:DXR216"/>
    <mergeCell ref="DXS216:DXT216"/>
    <mergeCell ref="DXU216:DXV216"/>
    <mergeCell ref="DYL216:DYM216"/>
    <mergeCell ref="DYN216:DYO216"/>
    <mergeCell ref="DYP216:DYQ216"/>
    <mergeCell ref="DYR216:DYS216"/>
    <mergeCell ref="DZI216:DZJ216"/>
    <mergeCell ref="DVD216:DVE216"/>
    <mergeCell ref="DVU216:DVV216"/>
    <mergeCell ref="DVW216:DVX216"/>
    <mergeCell ref="DVY216:DVZ216"/>
    <mergeCell ref="DWA216:DWB216"/>
    <mergeCell ref="DWR216:DWS216"/>
    <mergeCell ref="DWT216:DWU216"/>
    <mergeCell ref="DWV216:DWW216"/>
    <mergeCell ref="DWX216:DWY216"/>
    <mergeCell ref="DTH216:DTI216"/>
    <mergeCell ref="DTJ216:DTK216"/>
    <mergeCell ref="DUA216:DUB216"/>
    <mergeCell ref="DUC216:DUD216"/>
    <mergeCell ref="DUE216:DUF216"/>
    <mergeCell ref="DUG216:DUH216"/>
    <mergeCell ref="DUX216:DUY216"/>
    <mergeCell ref="DUZ216:DVA216"/>
    <mergeCell ref="DVB216:DVC216"/>
    <mergeCell ref="DRL216:DRM216"/>
    <mergeCell ref="DRN216:DRO216"/>
    <mergeCell ref="DRP216:DRQ216"/>
    <mergeCell ref="DSG216:DSH216"/>
    <mergeCell ref="DSI216:DSJ216"/>
    <mergeCell ref="DSK216:DSL216"/>
    <mergeCell ref="DSM216:DSN216"/>
    <mergeCell ref="DTD216:DTE216"/>
    <mergeCell ref="DTF216:DTG216"/>
    <mergeCell ref="DPP216:DPQ216"/>
    <mergeCell ref="DPR216:DPS216"/>
    <mergeCell ref="DPT216:DPU216"/>
    <mergeCell ref="DPV216:DPW216"/>
    <mergeCell ref="DQM216:DQN216"/>
    <mergeCell ref="DQO216:DQP216"/>
    <mergeCell ref="DQQ216:DQR216"/>
    <mergeCell ref="DQS216:DQT216"/>
    <mergeCell ref="DRJ216:DRK216"/>
    <mergeCell ref="DNE216:DNF216"/>
    <mergeCell ref="DNV216:DNW216"/>
    <mergeCell ref="DNX216:DNY216"/>
    <mergeCell ref="DNZ216:DOA216"/>
    <mergeCell ref="DOB216:DOC216"/>
    <mergeCell ref="DOS216:DOT216"/>
    <mergeCell ref="DOU216:DOV216"/>
    <mergeCell ref="DOW216:DOX216"/>
    <mergeCell ref="DOY216:DOZ216"/>
    <mergeCell ref="DLI216:DLJ216"/>
    <mergeCell ref="DLK216:DLL216"/>
    <mergeCell ref="DMB216:DMC216"/>
    <mergeCell ref="DMD216:DME216"/>
    <mergeCell ref="DMF216:DMG216"/>
    <mergeCell ref="DMH216:DMI216"/>
    <mergeCell ref="DMY216:DMZ216"/>
    <mergeCell ref="DNA216:DNB216"/>
    <mergeCell ref="DNC216:DND216"/>
    <mergeCell ref="DJM216:DJN216"/>
    <mergeCell ref="DJO216:DJP216"/>
    <mergeCell ref="DJQ216:DJR216"/>
    <mergeCell ref="DKH216:DKI216"/>
    <mergeCell ref="DKJ216:DKK216"/>
    <mergeCell ref="DKL216:DKM216"/>
    <mergeCell ref="DKN216:DKO216"/>
    <mergeCell ref="DLE216:DLF216"/>
    <mergeCell ref="DLG216:DLH216"/>
    <mergeCell ref="DHQ216:DHR216"/>
    <mergeCell ref="DHS216:DHT216"/>
    <mergeCell ref="DHU216:DHV216"/>
    <mergeCell ref="DHW216:DHX216"/>
    <mergeCell ref="DIN216:DIO216"/>
    <mergeCell ref="DIP216:DIQ216"/>
    <mergeCell ref="DIR216:DIS216"/>
    <mergeCell ref="DIT216:DIU216"/>
    <mergeCell ref="DJK216:DJL216"/>
    <mergeCell ref="DFF216:DFG216"/>
    <mergeCell ref="DFW216:DFX216"/>
    <mergeCell ref="DFY216:DFZ216"/>
    <mergeCell ref="DGA216:DGB216"/>
    <mergeCell ref="DGC216:DGD216"/>
    <mergeCell ref="DGT216:DGU216"/>
    <mergeCell ref="DGV216:DGW216"/>
    <mergeCell ref="DGX216:DGY216"/>
    <mergeCell ref="DGZ216:DHA216"/>
    <mergeCell ref="DDJ216:DDK216"/>
    <mergeCell ref="DDL216:DDM216"/>
    <mergeCell ref="DEC216:DED216"/>
    <mergeCell ref="DEE216:DEF216"/>
    <mergeCell ref="DEG216:DEH216"/>
    <mergeCell ref="DEI216:DEJ216"/>
    <mergeCell ref="DEZ216:DFA216"/>
    <mergeCell ref="DFB216:DFC216"/>
    <mergeCell ref="DFD216:DFE216"/>
    <mergeCell ref="DBN216:DBO216"/>
    <mergeCell ref="DBP216:DBQ216"/>
    <mergeCell ref="DBR216:DBS216"/>
    <mergeCell ref="DCI216:DCJ216"/>
    <mergeCell ref="DCK216:DCL216"/>
    <mergeCell ref="DCM216:DCN216"/>
    <mergeCell ref="DCO216:DCP216"/>
    <mergeCell ref="DDF216:DDG216"/>
    <mergeCell ref="DDH216:DDI216"/>
    <mergeCell ref="CZR216:CZS216"/>
    <mergeCell ref="CZT216:CZU216"/>
    <mergeCell ref="CZV216:CZW216"/>
    <mergeCell ref="CZX216:CZY216"/>
    <mergeCell ref="DAO216:DAP216"/>
    <mergeCell ref="DAQ216:DAR216"/>
    <mergeCell ref="DAS216:DAT216"/>
    <mergeCell ref="DAU216:DAV216"/>
    <mergeCell ref="DBL216:DBM216"/>
    <mergeCell ref="CXG216:CXH216"/>
    <mergeCell ref="CXX216:CXY216"/>
    <mergeCell ref="CXZ216:CYA216"/>
    <mergeCell ref="CYB216:CYC216"/>
    <mergeCell ref="CYD216:CYE216"/>
    <mergeCell ref="CYU216:CYV216"/>
    <mergeCell ref="CYW216:CYX216"/>
    <mergeCell ref="CYY216:CYZ216"/>
    <mergeCell ref="CZA216:CZB216"/>
    <mergeCell ref="CVK216:CVL216"/>
    <mergeCell ref="CVM216:CVN216"/>
    <mergeCell ref="CWD216:CWE216"/>
    <mergeCell ref="CWF216:CWG216"/>
    <mergeCell ref="CWH216:CWI216"/>
    <mergeCell ref="CWJ216:CWK216"/>
    <mergeCell ref="CXA216:CXB216"/>
    <mergeCell ref="CXC216:CXD216"/>
    <mergeCell ref="CXE216:CXF216"/>
    <mergeCell ref="CTO216:CTP216"/>
    <mergeCell ref="CTQ216:CTR216"/>
    <mergeCell ref="CTS216:CTT216"/>
    <mergeCell ref="CUJ216:CUK216"/>
    <mergeCell ref="CUL216:CUM216"/>
    <mergeCell ref="CUN216:CUO216"/>
    <mergeCell ref="CUP216:CUQ216"/>
    <mergeCell ref="CVG216:CVH216"/>
    <mergeCell ref="CVI216:CVJ216"/>
    <mergeCell ref="CRS216:CRT216"/>
    <mergeCell ref="CRU216:CRV216"/>
    <mergeCell ref="CRW216:CRX216"/>
    <mergeCell ref="CRY216:CRZ216"/>
    <mergeCell ref="CSP216:CSQ216"/>
    <mergeCell ref="CSR216:CSS216"/>
    <mergeCell ref="CST216:CSU216"/>
    <mergeCell ref="CSV216:CSW216"/>
    <mergeCell ref="CTM216:CTN216"/>
    <mergeCell ref="CPH216:CPI216"/>
    <mergeCell ref="CPY216:CPZ216"/>
    <mergeCell ref="CQA216:CQB216"/>
    <mergeCell ref="CQC216:CQD216"/>
    <mergeCell ref="CQE216:CQF216"/>
    <mergeCell ref="CQV216:CQW216"/>
    <mergeCell ref="CQX216:CQY216"/>
    <mergeCell ref="CQZ216:CRA216"/>
    <mergeCell ref="CRB216:CRC216"/>
    <mergeCell ref="CNL216:CNM216"/>
    <mergeCell ref="CNN216:CNO216"/>
    <mergeCell ref="COE216:COF216"/>
    <mergeCell ref="COG216:COH216"/>
    <mergeCell ref="COI216:COJ216"/>
    <mergeCell ref="COK216:COL216"/>
    <mergeCell ref="CPB216:CPC216"/>
    <mergeCell ref="CPD216:CPE216"/>
    <mergeCell ref="CPF216:CPG216"/>
    <mergeCell ref="CLP216:CLQ216"/>
    <mergeCell ref="CLR216:CLS216"/>
    <mergeCell ref="CLT216:CLU216"/>
    <mergeCell ref="CMK216:CML216"/>
    <mergeCell ref="CMM216:CMN216"/>
    <mergeCell ref="CMO216:CMP216"/>
    <mergeCell ref="CMQ216:CMR216"/>
    <mergeCell ref="CNH216:CNI216"/>
    <mergeCell ref="CNJ216:CNK216"/>
    <mergeCell ref="CJT216:CJU216"/>
    <mergeCell ref="CJV216:CJW216"/>
    <mergeCell ref="CJX216:CJY216"/>
    <mergeCell ref="CJZ216:CKA216"/>
    <mergeCell ref="CKQ216:CKR216"/>
    <mergeCell ref="CKS216:CKT216"/>
    <mergeCell ref="CKU216:CKV216"/>
    <mergeCell ref="CKW216:CKX216"/>
    <mergeCell ref="CLN216:CLO216"/>
    <mergeCell ref="CHI216:CHJ216"/>
    <mergeCell ref="CHZ216:CIA216"/>
    <mergeCell ref="CIB216:CIC216"/>
    <mergeCell ref="CID216:CIE216"/>
    <mergeCell ref="CIF216:CIG216"/>
    <mergeCell ref="CIW216:CIX216"/>
    <mergeCell ref="CIY216:CIZ216"/>
    <mergeCell ref="CJA216:CJB216"/>
    <mergeCell ref="CJC216:CJD216"/>
    <mergeCell ref="CFM216:CFN216"/>
    <mergeCell ref="CFO216:CFP216"/>
    <mergeCell ref="CGF216:CGG216"/>
    <mergeCell ref="CGH216:CGI216"/>
    <mergeCell ref="CGJ216:CGK216"/>
    <mergeCell ref="CGL216:CGM216"/>
    <mergeCell ref="CHC216:CHD216"/>
    <mergeCell ref="CHE216:CHF216"/>
    <mergeCell ref="CHG216:CHH216"/>
    <mergeCell ref="CDQ216:CDR216"/>
    <mergeCell ref="CDS216:CDT216"/>
    <mergeCell ref="CDU216:CDV216"/>
    <mergeCell ref="CEL216:CEM216"/>
    <mergeCell ref="CEN216:CEO216"/>
    <mergeCell ref="CEP216:CEQ216"/>
    <mergeCell ref="CER216:CES216"/>
    <mergeCell ref="CFI216:CFJ216"/>
    <mergeCell ref="CFK216:CFL216"/>
    <mergeCell ref="CBU216:CBV216"/>
    <mergeCell ref="CBW216:CBX216"/>
    <mergeCell ref="CBY216:CBZ216"/>
    <mergeCell ref="CCA216:CCB216"/>
    <mergeCell ref="CCR216:CCS216"/>
    <mergeCell ref="CCT216:CCU216"/>
    <mergeCell ref="CCV216:CCW216"/>
    <mergeCell ref="CCX216:CCY216"/>
    <mergeCell ref="CDO216:CDP216"/>
    <mergeCell ref="BZJ216:BZK216"/>
    <mergeCell ref="CAA216:CAB216"/>
    <mergeCell ref="CAC216:CAD216"/>
    <mergeCell ref="CAE216:CAF216"/>
    <mergeCell ref="CAG216:CAH216"/>
    <mergeCell ref="CAX216:CAY216"/>
    <mergeCell ref="CAZ216:CBA216"/>
    <mergeCell ref="CBB216:CBC216"/>
    <mergeCell ref="CBD216:CBE216"/>
    <mergeCell ref="BXN216:BXO216"/>
    <mergeCell ref="BXP216:BXQ216"/>
    <mergeCell ref="BYG216:BYH216"/>
    <mergeCell ref="BYI216:BYJ216"/>
    <mergeCell ref="BYK216:BYL216"/>
    <mergeCell ref="BYM216:BYN216"/>
    <mergeCell ref="BZD216:BZE216"/>
    <mergeCell ref="BZF216:BZG216"/>
    <mergeCell ref="BZH216:BZI216"/>
    <mergeCell ref="BVR216:BVS216"/>
    <mergeCell ref="BVT216:BVU216"/>
    <mergeCell ref="BVV216:BVW216"/>
    <mergeCell ref="BWM216:BWN216"/>
    <mergeCell ref="BWO216:BWP216"/>
    <mergeCell ref="BWQ216:BWR216"/>
    <mergeCell ref="BWS216:BWT216"/>
    <mergeCell ref="BXJ216:BXK216"/>
    <mergeCell ref="BXL216:BXM216"/>
    <mergeCell ref="BTV216:BTW216"/>
    <mergeCell ref="BTX216:BTY216"/>
    <mergeCell ref="BTZ216:BUA216"/>
    <mergeCell ref="BUB216:BUC216"/>
    <mergeCell ref="BUS216:BUT216"/>
    <mergeCell ref="BUU216:BUV216"/>
    <mergeCell ref="BUW216:BUX216"/>
    <mergeCell ref="BUY216:BUZ216"/>
    <mergeCell ref="BVP216:BVQ216"/>
    <mergeCell ref="BRK216:BRL216"/>
    <mergeCell ref="BSB216:BSC216"/>
    <mergeCell ref="BSD216:BSE216"/>
    <mergeCell ref="BSF216:BSG216"/>
    <mergeCell ref="BSH216:BSI216"/>
    <mergeCell ref="BSY216:BSZ216"/>
    <mergeCell ref="BTA216:BTB216"/>
    <mergeCell ref="BTC216:BTD216"/>
    <mergeCell ref="BTE216:BTF216"/>
    <mergeCell ref="BPO216:BPP216"/>
    <mergeCell ref="BPQ216:BPR216"/>
    <mergeCell ref="BQH216:BQI216"/>
    <mergeCell ref="BQJ216:BQK216"/>
    <mergeCell ref="BQL216:BQM216"/>
    <mergeCell ref="BQN216:BQO216"/>
    <mergeCell ref="BRE216:BRF216"/>
    <mergeCell ref="BRG216:BRH216"/>
    <mergeCell ref="BRI216:BRJ216"/>
    <mergeCell ref="BNS216:BNT216"/>
    <mergeCell ref="BNU216:BNV216"/>
    <mergeCell ref="BNW216:BNX216"/>
    <mergeCell ref="BON216:BOO216"/>
    <mergeCell ref="BOP216:BOQ216"/>
    <mergeCell ref="BOR216:BOS216"/>
    <mergeCell ref="BOT216:BOU216"/>
    <mergeCell ref="BPK216:BPL216"/>
    <mergeCell ref="BPM216:BPN216"/>
    <mergeCell ref="BLW216:BLX216"/>
    <mergeCell ref="BLY216:BLZ216"/>
    <mergeCell ref="BMA216:BMB216"/>
    <mergeCell ref="BMC216:BMD216"/>
    <mergeCell ref="BMT216:BMU216"/>
    <mergeCell ref="BMV216:BMW216"/>
    <mergeCell ref="BMX216:BMY216"/>
    <mergeCell ref="BMZ216:BNA216"/>
    <mergeCell ref="BNQ216:BNR216"/>
    <mergeCell ref="BJL216:BJM216"/>
    <mergeCell ref="BKC216:BKD216"/>
    <mergeCell ref="BKE216:BKF216"/>
    <mergeCell ref="BKG216:BKH216"/>
    <mergeCell ref="BKI216:BKJ216"/>
    <mergeCell ref="BKZ216:BLA216"/>
    <mergeCell ref="BLB216:BLC216"/>
    <mergeCell ref="BLD216:BLE216"/>
    <mergeCell ref="BLF216:BLG216"/>
    <mergeCell ref="BHP216:BHQ216"/>
    <mergeCell ref="BHR216:BHS216"/>
    <mergeCell ref="BII216:BIJ216"/>
    <mergeCell ref="BIK216:BIL216"/>
    <mergeCell ref="BIM216:BIN216"/>
    <mergeCell ref="BIO216:BIP216"/>
    <mergeCell ref="BJF216:BJG216"/>
    <mergeCell ref="BJH216:BJI216"/>
    <mergeCell ref="BJJ216:BJK216"/>
    <mergeCell ref="BFT216:BFU216"/>
    <mergeCell ref="BFV216:BFW216"/>
    <mergeCell ref="BFX216:BFY216"/>
    <mergeCell ref="BGO216:BGP216"/>
    <mergeCell ref="BGQ216:BGR216"/>
    <mergeCell ref="BGS216:BGT216"/>
    <mergeCell ref="BGU216:BGV216"/>
    <mergeCell ref="BHL216:BHM216"/>
    <mergeCell ref="BHN216:BHO216"/>
    <mergeCell ref="BDX216:BDY216"/>
    <mergeCell ref="BDZ216:BEA216"/>
    <mergeCell ref="BEB216:BEC216"/>
    <mergeCell ref="BED216:BEE216"/>
    <mergeCell ref="BEU216:BEV216"/>
    <mergeCell ref="BEW216:BEX216"/>
    <mergeCell ref="BEY216:BEZ216"/>
    <mergeCell ref="BFA216:BFB216"/>
    <mergeCell ref="BFR216:BFS216"/>
    <mergeCell ref="BBM216:BBN216"/>
    <mergeCell ref="BCD216:BCE216"/>
    <mergeCell ref="BCF216:BCG216"/>
    <mergeCell ref="BCH216:BCI216"/>
    <mergeCell ref="BCJ216:BCK216"/>
    <mergeCell ref="BDA216:BDB216"/>
    <mergeCell ref="BDC216:BDD216"/>
    <mergeCell ref="BDE216:BDF216"/>
    <mergeCell ref="BDG216:BDH216"/>
    <mergeCell ref="AZQ216:AZR216"/>
    <mergeCell ref="AZS216:AZT216"/>
    <mergeCell ref="BAJ216:BAK216"/>
    <mergeCell ref="BAL216:BAM216"/>
    <mergeCell ref="BAN216:BAO216"/>
    <mergeCell ref="BAP216:BAQ216"/>
    <mergeCell ref="BBG216:BBH216"/>
    <mergeCell ref="BBI216:BBJ216"/>
    <mergeCell ref="BBK216:BBL216"/>
    <mergeCell ref="AXU216:AXV216"/>
    <mergeCell ref="AXW216:AXX216"/>
    <mergeCell ref="AXY216:AXZ216"/>
    <mergeCell ref="AYP216:AYQ216"/>
    <mergeCell ref="AYR216:AYS216"/>
    <mergeCell ref="AYT216:AYU216"/>
    <mergeCell ref="AYV216:AYW216"/>
    <mergeCell ref="AZM216:AZN216"/>
    <mergeCell ref="AZO216:AZP216"/>
    <mergeCell ref="AVY216:AVZ216"/>
    <mergeCell ref="AWA216:AWB216"/>
    <mergeCell ref="AWC216:AWD216"/>
    <mergeCell ref="AWE216:AWF216"/>
    <mergeCell ref="AWV216:AWW216"/>
    <mergeCell ref="AWX216:AWY216"/>
    <mergeCell ref="AWZ216:AXA216"/>
    <mergeCell ref="AXB216:AXC216"/>
    <mergeCell ref="AXS216:AXT216"/>
    <mergeCell ref="ATN216:ATO216"/>
    <mergeCell ref="AUE216:AUF216"/>
    <mergeCell ref="AUG216:AUH216"/>
    <mergeCell ref="AUI216:AUJ216"/>
    <mergeCell ref="AUK216:AUL216"/>
    <mergeCell ref="AVB216:AVC216"/>
    <mergeCell ref="AVD216:AVE216"/>
    <mergeCell ref="AVF216:AVG216"/>
    <mergeCell ref="AVH216:AVI216"/>
    <mergeCell ref="ARR216:ARS216"/>
    <mergeCell ref="ART216:ARU216"/>
    <mergeCell ref="ASK216:ASL216"/>
    <mergeCell ref="ASM216:ASN216"/>
    <mergeCell ref="ASO216:ASP216"/>
    <mergeCell ref="ASQ216:ASR216"/>
    <mergeCell ref="ATH216:ATI216"/>
    <mergeCell ref="ATJ216:ATK216"/>
    <mergeCell ref="ATL216:ATM216"/>
    <mergeCell ref="APV216:APW216"/>
    <mergeCell ref="APX216:APY216"/>
    <mergeCell ref="APZ216:AQA216"/>
    <mergeCell ref="AQQ216:AQR216"/>
    <mergeCell ref="AQS216:AQT216"/>
    <mergeCell ref="AQU216:AQV216"/>
    <mergeCell ref="AQW216:AQX216"/>
    <mergeCell ref="ARN216:ARO216"/>
    <mergeCell ref="ARP216:ARQ216"/>
    <mergeCell ref="ANZ216:AOA216"/>
    <mergeCell ref="AOB216:AOC216"/>
    <mergeCell ref="AOD216:AOE216"/>
    <mergeCell ref="AOF216:AOG216"/>
    <mergeCell ref="AOW216:AOX216"/>
    <mergeCell ref="AOY216:AOZ216"/>
    <mergeCell ref="APA216:APB216"/>
    <mergeCell ref="APC216:APD216"/>
    <mergeCell ref="APT216:APU216"/>
    <mergeCell ref="ALO216:ALP216"/>
    <mergeCell ref="AMF216:AMG216"/>
    <mergeCell ref="AMH216:AMI216"/>
    <mergeCell ref="AMJ216:AMK216"/>
    <mergeCell ref="AML216:AMM216"/>
    <mergeCell ref="ANC216:AND216"/>
    <mergeCell ref="ANE216:ANF216"/>
    <mergeCell ref="ANG216:ANH216"/>
    <mergeCell ref="ANI216:ANJ216"/>
    <mergeCell ref="AJS216:AJT216"/>
    <mergeCell ref="AJU216:AJV216"/>
    <mergeCell ref="AKL216:AKM216"/>
    <mergeCell ref="AKN216:AKO216"/>
    <mergeCell ref="AKP216:AKQ216"/>
    <mergeCell ref="AKR216:AKS216"/>
    <mergeCell ref="ALI216:ALJ216"/>
    <mergeCell ref="ALK216:ALL216"/>
    <mergeCell ref="ALM216:ALN216"/>
    <mergeCell ref="AHW216:AHX216"/>
    <mergeCell ref="AHY216:AHZ216"/>
    <mergeCell ref="AIA216:AIB216"/>
    <mergeCell ref="AIR216:AIS216"/>
    <mergeCell ref="AIT216:AIU216"/>
    <mergeCell ref="AIV216:AIW216"/>
    <mergeCell ref="AIX216:AIY216"/>
    <mergeCell ref="AJO216:AJP216"/>
    <mergeCell ref="AJQ216:AJR216"/>
    <mergeCell ref="AGA216:AGB216"/>
    <mergeCell ref="AGC216:AGD216"/>
    <mergeCell ref="AGE216:AGF216"/>
    <mergeCell ref="AGG216:AGH216"/>
    <mergeCell ref="AGX216:AGY216"/>
    <mergeCell ref="AGZ216:AHA216"/>
    <mergeCell ref="AHB216:AHC216"/>
    <mergeCell ref="AHD216:AHE216"/>
    <mergeCell ref="AHU216:AHV216"/>
    <mergeCell ref="ADP216:ADQ216"/>
    <mergeCell ref="AEG216:AEH216"/>
    <mergeCell ref="AEI216:AEJ216"/>
    <mergeCell ref="AEK216:AEL216"/>
    <mergeCell ref="AEM216:AEN216"/>
    <mergeCell ref="AFD216:AFE216"/>
    <mergeCell ref="AFF216:AFG216"/>
    <mergeCell ref="AFH216:AFI216"/>
    <mergeCell ref="AFJ216:AFK216"/>
    <mergeCell ref="ABT216:ABU216"/>
    <mergeCell ref="ABV216:ABW216"/>
    <mergeCell ref="ACM216:ACN216"/>
    <mergeCell ref="ACO216:ACP216"/>
    <mergeCell ref="ACQ216:ACR216"/>
    <mergeCell ref="ACS216:ACT216"/>
    <mergeCell ref="ADJ216:ADK216"/>
    <mergeCell ref="ADL216:ADM216"/>
    <mergeCell ref="ADN216:ADO216"/>
    <mergeCell ref="ZX216:ZY216"/>
    <mergeCell ref="ZZ216:AAA216"/>
    <mergeCell ref="AAB216:AAC216"/>
    <mergeCell ref="AAS216:AAT216"/>
    <mergeCell ref="AAU216:AAV216"/>
    <mergeCell ref="AAW216:AAX216"/>
    <mergeCell ref="AAY216:AAZ216"/>
    <mergeCell ref="ABP216:ABQ216"/>
    <mergeCell ref="ABR216:ABS216"/>
    <mergeCell ref="YB216:YC216"/>
    <mergeCell ref="YD216:YE216"/>
    <mergeCell ref="YF216:YG216"/>
    <mergeCell ref="YH216:YI216"/>
    <mergeCell ref="YY216:YZ216"/>
    <mergeCell ref="ZA216:ZB216"/>
    <mergeCell ref="ZC216:ZD216"/>
    <mergeCell ref="ZE216:ZF216"/>
    <mergeCell ref="ZV216:ZW216"/>
    <mergeCell ref="VQ216:VR216"/>
    <mergeCell ref="WH216:WI216"/>
    <mergeCell ref="WJ216:WK216"/>
    <mergeCell ref="WL216:WM216"/>
    <mergeCell ref="WN216:WO216"/>
    <mergeCell ref="XE216:XF216"/>
    <mergeCell ref="XG216:XH216"/>
    <mergeCell ref="XI216:XJ216"/>
    <mergeCell ref="XK216:XL216"/>
    <mergeCell ref="TU216:TV216"/>
    <mergeCell ref="TW216:TX216"/>
    <mergeCell ref="UN216:UO216"/>
    <mergeCell ref="UP216:UQ216"/>
    <mergeCell ref="UR216:US216"/>
    <mergeCell ref="UT216:UU216"/>
    <mergeCell ref="VK216:VL216"/>
    <mergeCell ref="VM216:VN216"/>
    <mergeCell ref="VO216:VP216"/>
    <mergeCell ref="RY216:RZ216"/>
    <mergeCell ref="SA216:SB216"/>
    <mergeCell ref="SC216:SD216"/>
    <mergeCell ref="ST216:SU216"/>
    <mergeCell ref="SV216:SW216"/>
    <mergeCell ref="SX216:SY216"/>
    <mergeCell ref="SZ216:TA216"/>
    <mergeCell ref="TQ216:TR216"/>
    <mergeCell ref="TS216:TT216"/>
    <mergeCell ref="QC216:QD216"/>
    <mergeCell ref="QE216:QF216"/>
    <mergeCell ref="QG216:QH216"/>
    <mergeCell ref="QI216:QJ216"/>
    <mergeCell ref="QZ216:RA216"/>
    <mergeCell ref="RB216:RC216"/>
    <mergeCell ref="RD216:RE216"/>
    <mergeCell ref="RF216:RG216"/>
    <mergeCell ref="RW216:RX216"/>
    <mergeCell ref="NR216:NS216"/>
    <mergeCell ref="OI216:OJ216"/>
    <mergeCell ref="OK216:OL216"/>
    <mergeCell ref="OM216:ON216"/>
    <mergeCell ref="OO216:OP216"/>
    <mergeCell ref="PF216:PG216"/>
    <mergeCell ref="PH216:PI216"/>
    <mergeCell ref="PJ216:PK216"/>
    <mergeCell ref="PL216:PM216"/>
    <mergeCell ref="LV216:LW216"/>
    <mergeCell ref="LX216:LY216"/>
    <mergeCell ref="MO216:MP216"/>
    <mergeCell ref="MQ216:MR216"/>
    <mergeCell ref="MS216:MT216"/>
    <mergeCell ref="MU216:MV216"/>
    <mergeCell ref="NL216:NM216"/>
    <mergeCell ref="NN216:NO216"/>
    <mergeCell ref="NP216:NQ216"/>
    <mergeCell ref="JZ216:KA216"/>
    <mergeCell ref="KB216:KC216"/>
    <mergeCell ref="KD216:KE216"/>
    <mergeCell ref="KU216:KV216"/>
    <mergeCell ref="KW216:KX216"/>
    <mergeCell ref="KY216:KZ216"/>
    <mergeCell ref="LA216:LB216"/>
    <mergeCell ref="LR216:LS216"/>
    <mergeCell ref="LT216:LU216"/>
    <mergeCell ref="ID216:IE216"/>
    <mergeCell ref="IF216:IG216"/>
    <mergeCell ref="IH216:II216"/>
    <mergeCell ref="IJ216:IK216"/>
    <mergeCell ref="JA216:JB216"/>
    <mergeCell ref="JC216:JD216"/>
    <mergeCell ref="JE216:JF216"/>
    <mergeCell ref="JG216:JH216"/>
    <mergeCell ref="JX216:JY216"/>
    <mergeCell ref="FS216:FT216"/>
    <mergeCell ref="GJ216:GK216"/>
    <mergeCell ref="GL216:GM216"/>
    <mergeCell ref="GN216:GO216"/>
    <mergeCell ref="GP216:GQ216"/>
    <mergeCell ref="HG216:HH216"/>
    <mergeCell ref="HI216:HJ216"/>
    <mergeCell ref="HK216:HL216"/>
    <mergeCell ref="HM216:HN216"/>
    <mergeCell ref="DW216:DX216"/>
    <mergeCell ref="DY216:DZ216"/>
    <mergeCell ref="EP216:EQ216"/>
    <mergeCell ref="ER216:ES216"/>
    <mergeCell ref="ET216:EU216"/>
    <mergeCell ref="EV216:EW216"/>
    <mergeCell ref="FM216:FN216"/>
    <mergeCell ref="FO216:FP216"/>
    <mergeCell ref="FQ216:FR216"/>
    <mergeCell ref="CA216:CB216"/>
    <mergeCell ref="CC216:CD216"/>
    <mergeCell ref="CE216:CF216"/>
    <mergeCell ref="CV216:CW216"/>
    <mergeCell ref="CX216:CY216"/>
    <mergeCell ref="CZ216:DA216"/>
    <mergeCell ref="DB216:DC216"/>
    <mergeCell ref="DS216:DT216"/>
    <mergeCell ref="DU216:DV216"/>
    <mergeCell ref="AE216:AF216"/>
    <mergeCell ref="AG216:AH216"/>
    <mergeCell ref="AI216:AJ216"/>
    <mergeCell ref="AK216:AL216"/>
    <mergeCell ref="BB216:BC216"/>
    <mergeCell ref="BD216:BE216"/>
    <mergeCell ref="BF216:BG216"/>
    <mergeCell ref="BH216:BI216"/>
    <mergeCell ref="BY216:BZ216"/>
    <mergeCell ref="H213:I213"/>
    <mergeCell ref="J213:K213"/>
    <mergeCell ref="L213:M213"/>
    <mergeCell ref="N213:O213"/>
    <mergeCell ref="N159:O159"/>
    <mergeCell ref="N158:O158"/>
    <mergeCell ref="H162:I162"/>
    <mergeCell ref="J162:K162"/>
    <mergeCell ref="L162:M162"/>
    <mergeCell ref="L163:M163"/>
    <mergeCell ref="N163:O163"/>
    <mergeCell ref="H160:I160"/>
    <mergeCell ref="J160:K160"/>
    <mergeCell ref="L160:M160"/>
    <mergeCell ref="N160:O160"/>
    <mergeCell ref="H161:I161"/>
    <mergeCell ref="J161:K161"/>
    <mergeCell ref="L161:M161"/>
    <mergeCell ref="N161:O161"/>
    <mergeCell ref="N162:O162"/>
    <mergeCell ref="H163:I163"/>
    <mergeCell ref="J163:K163"/>
    <mergeCell ref="H166:I166"/>
    <mergeCell ref="H171:I171"/>
    <mergeCell ref="J171:K171"/>
    <mergeCell ref="L171:M171"/>
    <mergeCell ref="N171:O171"/>
    <mergeCell ref="H168:I168"/>
    <mergeCell ref="J168:K168"/>
    <mergeCell ref="L168:M168"/>
    <mergeCell ref="N168:O168"/>
    <mergeCell ref="H216:I216"/>
    <mergeCell ref="J216:K216"/>
    <mergeCell ref="L216:M216"/>
    <mergeCell ref="N216:O216"/>
    <mergeCell ref="H215:I215"/>
    <mergeCell ref="J215:K215"/>
    <mergeCell ref="L215:M215"/>
    <mergeCell ref="N215:O215"/>
    <mergeCell ref="H214:I214"/>
    <mergeCell ref="J214:K214"/>
    <mergeCell ref="L214:M214"/>
    <mergeCell ref="N214:O214"/>
    <mergeCell ref="N170:O170"/>
    <mergeCell ref="N169:O169"/>
    <mergeCell ref="N174:O174"/>
    <mergeCell ref="H175:I175"/>
    <mergeCell ref="J175:K175"/>
    <mergeCell ref="L175:M175"/>
    <mergeCell ref="N175:O175"/>
    <mergeCell ref="H172:I172"/>
    <mergeCell ref="J172:K172"/>
    <mergeCell ref="L172:M172"/>
    <mergeCell ref="N172:O172"/>
    <mergeCell ref="H173:I173"/>
    <mergeCell ref="H159:I159"/>
    <mergeCell ref="J159:K159"/>
    <mergeCell ref="L159:M159"/>
    <mergeCell ref="H158:I158"/>
    <mergeCell ref="J158:K158"/>
    <mergeCell ref="L158:M158"/>
    <mergeCell ref="C139:D139"/>
    <mergeCell ref="C141:D141"/>
    <mergeCell ref="C143:D143"/>
    <mergeCell ref="C142:D142"/>
    <mergeCell ref="C144:D144"/>
    <mergeCell ref="C145:D145"/>
    <mergeCell ref="C152:D152"/>
    <mergeCell ref="H170:I170"/>
    <mergeCell ref="J170:K170"/>
    <mergeCell ref="L170:M170"/>
    <mergeCell ref="H169:I169"/>
    <mergeCell ref="J169:K169"/>
    <mergeCell ref="L169:M169"/>
    <mergeCell ref="J166:K166"/>
    <mergeCell ref="C150:D150"/>
    <mergeCell ref="C151:D151"/>
    <mergeCell ref="C149:D149"/>
    <mergeCell ref="C148:D148"/>
    <mergeCell ref="C119:D119"/>
    <mergeCell ref="C111:D111"/>
    <mergeCell ref="C113:D113"/>
    <mergeCell ref="C115:D115"/>
    <mergeCell ref="C116:D116"/>
    <mergeCell ref="N157:O157"/>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1:D131"/>
    <mergeCell ref="C132:D132"/>
    <mergeCell ref="H157:I157"/>
    <mergeCell ref="C146:D146"/>
    <mergeCell ref="C147:D147"/>
    <mergeCell ref="J157:K157"/>
    <mergeCell ref="L157:M157"/>
    <mergeCell ref="C133:D13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84:D84"/>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66:D66"/>
    <mergeCell ref="C67:D67"/>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C48:D48"/>
    <mergeCell ref="C49:D49"/>
    <mergeCell ref="C50:D50"/>
    <mergeCell ref="C26:D26"/>
    <mergeCell ref="C27:D27"/>
    <mergeCell ref="C28:D28"/>
    <mergeCell ref="C29:D29"/>
    <mergeCell ref="C9:D9"/>
    <mergeCell ref="C10:D10"/>
    <mergeCell ref="C11:D11"/>
    <mergeCell ref="C12:D12"/>
    <mergeCell ref="C13:D13"/>
    <mergeCell ref="C14:D14"/>
    <mergeCell ref="C15:D15"/>
    <mergeCell ref="C16:D16"/>
    <mergeCell ref="C17:D17"/>
    <mergeCell ref="C18:D18"/>
    <mergeCell ref="C19:D19"/>
    <mergeCell ref="AL4:AO4"/>
    <mergeCell ref="C7:D7"/>
    <mergeCell ref="C6:D6"/>
    <mergeCell ref="U4:U5"/>
    <mergeCell ref="V4:Y4"/>
    <mergeCell ref="A4:A5"/>
    <mergeCell ref="B4:B5"/>
    <mergeCell ref="C4:D5"/>
    <mergeCell ref="E4:E5"/>
    <mergeCell ref="F4:F5"/>
    <mergeCell ref="G4:J4"/>
    <mergeCell ref="AP4:AS4"/>
    <mergeCell ref="G3:M3"/>
    <mergeCell ref="O3:Q3"/>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R155:W155"/>
    <mergeCell ref="C30:D30"/>
    <mergeCell ref="C31:D31"/>
    <mergeCell ref="C32:D32"/>
    <mergeCell ref="J173:K173"/>
    <mergeCell ref="L173:M173"/>
    <mergeCell ref="N173:O173"/>
    <mergeCell ref="H176:I176"/>
    <mergeCell ref="H177:I177"/>
    <mergeCell ref="H178:I178"/>
    <mergeCell ref="H179:I179"/>
    <mergeCell ref="H180:I180"/>
    <mergeCell ref="H181:I181"/>
    <mergeCell ref="H174:I174"/>
    <mergeCell ref="J174:K174"/>
    <mergeCell ref="L174:M174"/>
    <mergeCell ref="J180:K180"/>
    <mergeCell ref="J181:K181"/>
    <mergeCell ref="L176:M176"/>
    <mergeCell ref="L177:M177"/>
    <mergeCell ref="L178:M178"/>
    <mergeCell ref="L179:M179"/>
    <mergeCell ref="L180:M180"/>
    <mergeCell ref="L181:M181"/>
    <mergeCell ref="J176:K176"/>
    <mergeCell ref="J177:K177"/>
    <mergeCell ref="J178:K178"/>
    <mergeCell ref="J179:K179"/>
    <mergeCell ref="L182:M182"/>
    <mergeCell ref="L183:M183"/>
    <mergeCell ref="L184:M184"/>
    <mergeCell ref="L185:M185"/>
    <mergeCell ref="L186:M186"/>
    <mergeCell ref="L187:M187"/>
    <mergeCell ref="J182:K182"/>
    <mergeCell ref="J183:K183"/>
    <mergeCell ref="J184:K184"/>
    <mergeCell ref="H182:I182"/>
    <mergeCell ref="H183:I183"/>
    <mergeCell ref="H184:I184"/>
    <mergeCell ref="H185:I185"/>
    <mergeCell ref="H186:I186"/>
    <mergeCell ref="H187:I187"/>
    <mergeCell ref="J191:K191"/>
    <mergeCell ref="J192:K192"/>
    <mergeCell ref="J185:K185"/>
    <mergeCell ref="J186:K186"/>
    <mergeCell ref="L189:M189"/>
    <mergeCell ref="L190:M190"/>
    <mergeCell ref="L191:M191"/>
    <mergeCell ref="L192:M192"/>
    <mergeCell ref="J187:K187"/>
    <mergeCell ref="J188:K188"/>
    <mergeCell ref="J189:K189"/>
    <mergeCell ref="J190:K190"/>
    <mergeCell ref="H188:I188"/>
    <mergeCell ref="H189:I189"/>
    <mergeCell ref="H190:I190"/>
    <mergeCell ref="H191:I191"/>
    <mergeCell ref="H192:I192"/>
    <mergeCell ref="C20:D20"/>
    <mergeCell ref="C21:D21"/>
    <mergeCell ref="C22:D22"/>
    <mergeCell ref="C23:D23"/>
    <mergeCell ref="C24:D24"/>
    <mergeCell ref="C25:D25"/>
    <mergeCell ref="C123:D123"/>
    <mergeCell ref="C124:D124"/>
    <mergeCell ref="C125:D125"/>
    <mergeCell ref="C126:D126"/>
    <mergeCell ref="C127:D127"/>
    <mergeCell ref="C128:D128"/>
    <mergeCell ref="N197:O197"/>
    <mergeCell ref="N198:O198"/>
    <mergeCell ref="N187:O187"/>
    <mergeCell ref="N188:O188"/>
    <mergeCell ref="N189:O189"/>
    <mergeCell ref="N190:O190"/>
    <mergeCell ref="N191:O191"/>
    <mergeCell ref="N176:O176"/>
    <mergeCell ref="N177:O177"/>
    <mergeCell ref="N178:O178"/>
    <mergeCell ref="N179:O179"/>
    <mergeCell ref="N180:O180"/>
    <mergeCell ref="N192:O192"/>
    <mergeCell ref="N181:O181"/>
    <mergeCell ref="N182:O182"/>
    <mergeCell ref="N183:O183"/>
    <mergeCell ref="N184:O184"/>
    <mergeCell ref="N185:O185"/>
    <mergeCell ref="N186:O186"/>
    <mergeCell ref="L188:M188"/>
    <mergeCell ref="H200:I200"/>
    <mergeCell ref="H198:I198"/>
    <mergeCell ref="H199:I199"/>
    <mergeCell ref="J197:K197"/>
    <mergeCell ref="J198:K198"/>
    <mergeCell ref="J199:K199"/>
    <mergeCell ref="L195:M195"/>
    <mergeCell ref="L196:M196"/>
    <mergeCell ref="L197:M197"/>
    <mergeCell ref="L198:M198"/>
    <mergeCell ref="H201:I201"/>
    <mergeCell ref="J201:K201"/>
    <mergeCell ref="L201:M201"/>
    <mergeCell ref="N201:O201"/>
    <mergeCell ref="N199:O199"/>
    <mergeCell ref="N200:O200"/>
    <mergeCell ref="N193:O193"/>
    <mergeCell ref="L199:M199"/>
    <mergeCell ref="J195:K195"/>
    <mergeCell ref="J196:K196"/>
    <mergeCell ref="H196:I196"/>
    <mergeCell ref="H197:I197"/>
    <mergeCell ref="H193:I193"/>
    <mergeCell ref="J193:K193"/>
    <mergeCell ref="H194:I194"/>
    <mergeCell ref="H195:I195"/>
    <mergeCell ref="L193:M193"/>
    <mergeCell ref="J194:K194"/>
    <mergeCell ref="AT4:AW4"/>
    <mergeCell ref="AX4:BA4"/>
    <mergeCell ref="H212:I212"/>
    <mergeCell ref="J212:K212"/>
    <mergeCell ref="L212:M212"/>
    <mergeCell ref="N212:O212"/>
    <mergeCell ref="H210:I210"/>
    <mergeCell ref="J210:K210"/>
    <mergeCell ref="L210:M210"/>
    <mergeCell ref="N210:O210"/>
    <mergeCell ref="H211:I211"/>
    <mergeCell ref="J211:K211"/>
    <mergeCell ref="L211:M211"/>
    <mergeCell ref="N211:O211"/>
    <mergeCell ref="J208:K208"/>
    <mergeCell ref="L208:M208"/>
    <mergeCell ref="N208:O208"/>
    <mergeCell ref="H209:I209"/>
    <mergeCell ref="H202:I202"/>
    <mergeCell ref="J202:K202"/>
    <mergeCell ref="L202:M202"/>
    <mergeCell ref="N202:O202"/>
    <mergeCell ref="H203:I203"/>
    <mergeCell ref="J203:K203"/>
    <mergeCell ref="L203:M203"/>
    <mergeCell ref="N203:O203"/>
    <mergeCell ref="N194:O194"/>
    <mergeCell ref="N195:O195"/>
    <mergeCell ref="N196:O196"/>
    <mergeCell ref="L200:M200"/>
    <mergeCell ref="L194:M194"/>
    <mergeCell ref="J200:K200"/>
    <mergeCell ref="J209:K209"/>
    <mergeCell ref="L209:M209"/>
    <mergeCell ref="N209:O209"/>
    <mergeCell ref="H208:I208"/>
    <mergeCell ref="H206:I206"/>
    <mergeCell ref="J206:K206"/>
    <mergeCell ref="L206:M206"/>
    <mergeCell ref="N206:O206"/>
    <mergeCell ref="H207:I207"/>
    <mergeCell ref="J207:K207"/>
    <mergeCell ref="L207:M207"/>
    <mergeCell ref="N207:O207"/>
    <mergeCell ref="H204:I204"/>
    <mergeCell ref="J204:K204"/>
    <mergeCell ref="L204:M204"/>
    <mergeCell ref="N204:O204"/>
    <mergeCell ref="H205:I205"/>
    <mergeCell ref="J205:K205"/>
    <mergeCell ref="L205:M205"/>
    <mergeCell ref="N205:O20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A212"/>
  <sheetViews>
    <sheetView zoomScale="150" zoomScaleNormal="120" workbookViewId="0">
      <pane xSplit="1" ySplit="5" topLeftCell="B109" activePane="bottomRight" state="frozen"/>
      <selection pane="topRight" activeCell="B1" sqref="B1"/>
      <selection pane="bottomLeft" activeCell="A6" sqref="A6"/>
      <selection pane="bottomRight" activeCell="G119" sqref="G11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37" customWidth="1"/>
    <col min="47" max="53" width="5.6640625" style="1" customWidth="1"/>
    <col min="54" max="16384" width="10.6640625" style="1"/>
  </cols>
  <sheetData>
    <row r="1" spans="1:53" s="2" customFormat="1" ht="15" customHeight="1">
      <c r="B1" s="22" t="s">
        <v>14</v>
      </c>
      <c r="AT1" s="36"/>
    </row>
    <row r="2" spans="1:53" s="2" customFormat="1" ht="15" customHeight="1">
      <c r="B2" s="22" t="s">
        <v>60</v>
      </c>
      <c r="AT2" s="36"/>
    </row>
    <row r="3" spans="1:53" s="2" customFormat="1">
      <c r="G3" s="924"/>
      <c r="H3" s="924"/>
      <c r="I3" s="924"/>
      <c r="J3" s="924"/>
      <c r="K3" s="924"/>
      <c r="L3" s="924"/>
      <c r="M3" s="924"/>
      <c r="O3" s="924"/>
      <c r="P3" s="924"/>
      <c r="Q3" s="924"/>
      <c r="AT3" s="3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8" t="s">
        <v>23</v>
      </c>
      <c r="AU5" s="307" t="s">
        <v>24</v>
      </c>
      <c r="AV5" s="307" t="s">
        <v>25</v>
      </c>
      <c r="AW5" s="309" t="s">
        <v>1202</v>
      </c>
      <c r="AX5" s="307" t="s">
        <v>23</v>
      </c>
      <c r="AY5" s="307" t="s">
        <v>24</v>
      </c>
      <c r="AZ5" s="307" t="s">
        <v>25</v>
      </c>
      <c r="BA5" s="310" t="s">
        <v>1202</v>
      </c>
    </row>
    <row r="6" spans="1:53" s="227" customFormat="1">
      <c r="A6" s="233">
        <v>1959</v>
      </c>
      <c r="B6" s="853"/>
      <c r="C6" s="925" t="s">
        <v>687</v>
      </c>
      <c r="D6" s="925"/>
      <c r="E6" s="227">
        <v>0</v>
      </c>
      <c r="G6" s="235">
        <v>17</v>
      </c>
      <c r="J6" s="242">
        <v>17</v>
      </c>
      <c r="K6" s="218">
        <f t="shared" ref="K6:M8" si="0">G6/$J6*100</f>
        <v>100</v>
      </c>
      <c r="L6" s="218">
        <f t="shared" si="0"/>
        <v>0</v>
      </c>
      <c r="M6" s="218">
        <f t="shared" si="0"/>
        <v>0</v>
      </c>
      <c r="N6" s="237">
        <f>K6+L6+M6</f>
        <v>100</v>
      </c>
      <c r="O6" s="217">
        <v>61.5</v>
      </c>
      <c r="P6" s="218"/>
      <c r="Q6" s="218"/>
      <c r="R6" s="219">
        <f>O6+P6+Q6</f>
        <v>61.5</v>
      </c>
      <c r="S6" s="227">
        <v>1</v>
      </c>
      <c r="T6" s="870"/>
      <c r="U6" s="853"/>
      <c r="V6" s="226" t="s">
        <v>497</v>
      </c>
      <c r="W6" s="227" t="s">
        <v>74</v>
      </c>
      <c r="X6" s="227" t="s">
        <v>11</v>
      </c>
      <c r="Y6" s="228">
        <v>61.5</v>
      </c>
      <c r="AD6" s="226"/>
      <c r="AG6" s="228"/>
      <c r="AL6" s="226"/>
      <c r="AO6" s="228"/>
      <c r="AP6" s="226"/>
      <c r="AS6" s="228"/>
      <c r="AT6" s="252"/>
      <c r="AW6" s="228"/>
      <c r="BA6" s="229"/>
    </row>
    <row r="7" spans="1:53" s="227" customFormat="1">
      <c r="A7" s="233">
        <v>1959</v>
      </c>
      <c r="B7" s="853"/>
      <c r="C7" s="925" t="s">
        <v>687</v>
      </c>
      <c r="D7" s="925"/>
      <c r="E7" s="227">
        <v>365</v>
      </c>
      <c r="G7" s="235">
        <v>17</v>
      </c>
      <c r="J7" s="242">
        <v>17</v>
      </c>
      <c r="K7" s="218">
        <f t="shared" si="0"/>
        <v>100</v>
      </c>
      <c r="L7" s="218">
        <f t="shared" si="0"/>
        <v>0</v>
      </c>
      <c r="M7" s="218">
        <f t="shared" si="0"/>
        <v>0</v>
      </c>
      <c r="N7" s="237">
        <f>K7+L7+M7</f>
        <v>100</v>
      </c>
      <c r="O7" s="217">
        <v>61.5</v>
      </c>
      <c r="P7" s="218"/>
      <c r="Q7" s="218"/>
      <c r="R7" s="219">
        <f>O7+P7+Q7</f>
        <v>61.5</v>
      </c>
      <c r="S7" s="227">
        <v>1</v>
      </c>
      <c r="T7" s="870"/>
      <c r="U7" s="853"/>
      <c r="V7" s="226" t="s">
        <v>497</v>
      </c>
      <c r="W7" s="227" t="s">
        <v>74</v>
      </c>
      <c r="X7" s="227" t="s">
        <v>11</v>
      </c>
      <c r="Y7" s="228">
        <v>61.5</v>
      </c>
      <c r="AD7" s="226"/>
      <c r="AG7" s="228"/>
      <c r="AL7" s="226"/>
      <c r="AO7" s="228"/>
      <c r="AP7" s="226"/>
      <c r="AS7" s="228"/>
      <c r="AT7" s="252"/>
      <c r="AW7" s="228"/>
      <c r="BA7" s="229"/>
    </row>
    <row r="8" spans="1:53" s="73" customFormat="1">
      <c r="A8" s="101">
        <v>1960</v>
      </c>
      <c r="B8" s="852"/>
      <c r="C8" s="917" t="s">
        <v>687</v>
      </c>
      <c r="D8" s="917"/>
      <c r="E8" s="73">
        <v>200</v>
      </c>
      <c r="G8" s="119">
        <v>17</v>
      </c>
      <c r="J8" s="126">
        <v>17</v>
      </c>
      <c r="K8" s="92">
        <f t="shared" si="0"/>
        <v>100</v>
      </c>
      <c r="L8" s="92">
        <f t="shared" si="0"/>
        <v>0</v>
      </c>
      <c r="M8" s="92">
        <f t="shared" si="0"/>
        <v>0</v>
      </c>
      <c r="N8" s="121">
        <f>K8+L8+M8</f>
        <v>100</v>
      </c>
      <c r="O8" s="91">
        <v>61.5</v>
      </c>
      <c r="P8" s="92"/>
      <c r="Q8" s="92"/>
      <c r="R8" s="93">
        <f>O8+P8+Q8</f>
        <v>61.5</v>
      </c>
      <c r="S8" s="73">
        <v>1</v>
      </c>
      <c r="T8" s="839"/>
      <c r="U8" s="852"/>
      <c r="V8" s="82" t="s">
        <v>497</v>
      </c>
      <c r="W8" s="73" t="s">
        <v>74</v>
      </c>
      <c r="X8" s="73" t="s">
        <v>11</v>
      </c>
      <c r="Y8" s="83">
        <v>61.5</v>
      </c>
      <c r="AD8" s="82"/>
      <c r="AG8" s="83"/>
      <c r="AL8" s="82"/>
      <c r="AO8" s="83"/>
      <c r="AP8" s="82"/>
      <c r="AS8" s="83"/>
      <c r="AT8" s="150"/>
      <c r="AW8" s="83"/>
      <c r="BA8" s="84"/>
    </row>
    <row r="9" spans="1:53" s="292" customFormat="1">
      <c r="A9" s="338">
        <v>1960</v>
      </c>
      <c r="B9" s="836">
        <v>22116</v>
      </c>
      <c r="C9" s="916" t="s">
        <v>689</v>
      </c>
      <c r="D9" s="916"/>
      <c r="E9" s="292">
        <v>142</v>
      </c>
      <c r="F9" s="292">
        <v>2</v>
      </c>
      <c r="G9" s="366">
        <v>13</v>
      </c>
      <c r="J9" s="377">
        <v>13</v>
      </c>
      <c r="K9" s="336">
        <f t="shared" ref="K9:M50" si="1">G9/$J9*100</f>
        <v>100</v>
      </c>
      <c r="L9" s="336">
        <f t="shared" si="1"/>
        <v>0</v>
      </c>
      <c r="M9" s="336">
        <f t="shared" si="1"/>
        <v>0</v>
      </c>
      <c r="N9" s="368">
        <f t="shared" ref="N9:N50" si="2">K9+L9+M9</f>
        <v>100</v>
      </c>
      <c r="O9" s="335">
        <v>61.5</v>
      </c>
      <c r="P9" s="336"/>
      <c r="Q9" s="336"/>
      <c r="R9" s="337">
        <f t="shared" ref="R9:R72" si="3">O9+P9+Q9</f>
        <v>61.5</v>
      </c>
      <c r="S9" s="292">
        <v>1</v>
      </c>
      <c r="T9" s="838"/>
      <c r="U9" s="836">
        <v>22116</v>
      </c>
      <c r="V9" s="299" t="s">
        <v>497</v>
      </c>
      <c r="W9" s="292" t="s">
        <v>74</v>
      </c>
      <c r="X9" s="292" t="s">
        <v>11</v>
      </c>
      <c r="Y9" s="300">
        <v>61.5</v>
      </c>
      <c r="AD9" s="299"/>
      <c r="AG9" s="300"/>
      <c r="AL9" s="299"/>
      <c r="AO9" s="300"/>
      <c r="AP9" s="299"/>
      <c r="AS9" s="300"/>
      <c r="AT9" s="390"/>
      <c r="AW9" s="300"/>
      <c r="BA9" s="301"/>
    </row>
    <row r="10" spans="1:53" s="73" customFormat="1">
      <c r="A10" s="101">
        <v>1960</v>
      </c>
      <c r="B10" s="852">
        <v>22258</v>
      </c>
      <c r="C10" s="917" t="s">
        <v>688</v>
      </c>
      <c r="D10" s="917"/>
      <c r="E10" s="73">
        <f>366-E8-E9</f>
        <v>24</v>
      </c>
      <c r="F10" s="73">
        <v>1</v>
      </c>
      <c r="G10" s="119">
        <v>15</v>
      </c>
      <c r="J10" s="126">
        <v>15</v>
      </c>
      <c r="K10" s="92">
        <f t="shared" si="1"/>
        <v>100</v>
      </c>
      <c r="L10" s="92">
        <f t="shared" si="1"/>
        <v>0</v>
      </c>
      <c r="M10" s="92">
        <f t="shared" si="1"/>
        <v>0</v>
      </c>
      <c r="N10" s="121">
        <f t="shared" si="2"/>
        <v>100</v>
      </c>
      <c r="O10" s="91">
        <v>63.4</v>
      </c>
      <c r="P10" s="92"/>
      <c r="Q10" s="92"/>
      <c r="R10" s="93">
        <f t="shared" si="3"/>
        <v>63.4</v>
      </c>
      <c r="S10" s="73">
        <v>1</v>
      </c>
      <c r="T10" s="839">
        <v>22240</v>
      </c>
      <c r="U10" s="852">
        <v>22258</v>
      </c>
      <c r="V10" s="82" t="s">
        <v>497</v>
      </c>
      <c r="W10" s="73" t="s">
        <v>74</v>
      </c>
      <c r="X10" s="73" t="s">
        <v>11</v>
      </c>
      <c r="Y10" s="83">
        <v>63.4</v>
      </c>
      <c r="AD10" s="82"/>
      <c r="AG10" s="83"/>
      <c r="AL10" s="82"/>
      <c r="AO10" s="83"/>
      <c r="AP10" s="82"/>
      <c r="AS10" s="83"/>
      <c r="AT10" s="150"/>
      <c r="AW10" s="83"/>
      <c r="BA10" s="84"/>
    </row>
    <row r="11" spans="1:53" s="73" customFormat="1">
      <c r="A11" s="101">
        <v>1961</v>
      </c>
      <c r="B11" s="852"/>
      <c r="C11" s="917" t="s">
        <v>688</v>
      </c>
      <c r="D11" s="917"/>
      <c r="E11" s="73">
        <v>0</v>
      </c>
      <c r="G11" s="119">
        <v>15</v>
      </c>
      <c r="J11" s="126">
        <v>15</v>
      </c>
      <c r="K11" s="92">
        <f t="shared" si="1"/>
        <v>100</v>
      </c>
      <c r="L11" s="92">
        <f t="shared" si="1"/>
        <v>0</v>
      </c>
      <c r="M11" s="92">
        <f t="shared" si="1"/>
        <v>0</v>
      </c>
      <c r="N11" s="121">
        <f t="shared" si="2"/>
        <v>100</v>
      </c>
      <c r="O11" s="91">
        <v>63.4</v>
      </c>
      <c r="P11" s="92"/>
      <c r="Q11" s="92"/>
      <c r="R11" s="93">
        <f t="shared" si="3"/>
        <v>63.4</v>
      </c>
      <c r="S11" s="73">
        <v>1</v>
      </c>
      <c r="T11" s="839"/>
      <c r="U11" s="852"/>
      <c r="V11" s="82" t="s">
        <v>497</v>
      </c>
      <c r="W11" s="73" t="s">
        <v>74</v>
      </c>
      <c r="X11" s="73" t="s">
        <v>11</v>
      </c>
      <c r="Y11" s="83">
        <v>63.4</v>
      </c>
      <c r="AD11" s="82"/>
      <c r="AG11" s="83"/>
      <c r="AL11" s="82"/>
      <c r="AO11" s="83"/>
      <c r="AP11" s="82"/>
      <c r="AS11" s="83"/>
      <c r="AT11" s="150"/>
      <c r="AW11" s="83"/>
      <c r="BA11" s="84"/>
    </row>
    <row r="12" spans="1:53" s="73" customFormat="1">
      <c r="A12" s="101">
        <v>1961</v>
      </c>
      <c r="B12" s="852"/>
      <c r="C12" s="917" t="s">
        <v>688</v>
      </c>
      <c r="D12" s="917"/>
      <c r="E12" s="73">
        <v>365</v>
      </c>
      <c r="G12" s="119">
        <v>15</v>
      </c>
      <c r="J12" s="126">
        <v>15</v>
      </c>
      <c r="K12" s="92">
        <f t="shared" si="1"/>
        <v>100</v>
      </c>
      <c r="L12" s="92">
        <f t="shared" si="1"/>
        <v>0</v>
      </c>
      <c r="M12" s="92">
        <f t="shared" si="1"/>
        <v>0</v>
      </c>
      <c r="N12" s="121">
        <f t="shared" si="2"/>
        <v>100</v>
      </c>
      <c r="O12" s="91">
        <v>63.4</v>
      </c>
      <c r="P12" s="92"/>
      <c r="Q12" s="92"/>
      <c r="R12" s="93">
        <f t="shared" si="3"/>
        <v>63.4</v>
      </c>
      <c r="S12" s="73">
        <v>1</v>
      </c>
      <c r="T12" s="839"/>
      <c r="U12" s="852"/>
      <c r="V12" s="82" t="s">
        <v>497</v>
      </c>
      <c r="W12" s="73" t="s">
        <v>74</v>
      </c>
      <c r="X12" s="73" t="s">
        <v>11</v>
      </c>
      <c r="Y12" s="83">
        <v>63.4</v>
      </c>
      <c r="AD12" s="82"/>
      <c r="AG12" s="83"/>
      <c r="AL12" s="82"/>
      <c r="AO12" s="83"/>
      <c r="AP12" s="82"/>
      <c r="AS12" s="83"/>
      <c r="AT12" s="150"/>
      <c r="AW12" s="83"/>
      <c r="BA12" s="84"/>
    </row>
    <row r="13" spans="1:53" s="73" customFormat="1">
      <c r="A13" s="101">
        <v>1962</v>
      </c>
      <c r="B13" s="852"/>
      <c r="C13" s="917" t="s">
        <v>688</v>
      </c>
      <c r="D13" s="917"/>
      <c r="E13" s="73">
        <v>0</v>
      </c>
      <c r="G13" s="119">
        <v>15</v>
      </c>
      <c r="J13" s="126">
        <v>15</v>
      </c>
      <c r="K13" s="92">
        <f t="shared" si="1"/>
        <v>100</v>
      </c>
      <c r="L13" s="92">
        <f t="shared" si="1"/>
        <v>0</v>
      </c>
      <c r="M13" s="92">
        <f t="shared" si="1"/>
        <v>0</v>
      </c>
      <c r="N13" s="121">
        <f t="shared" si="2"/>
        <v>100</v>
      </c>
      <c r="O13" s="91">
        <v>63.4</v>
      </c>
      <c r="P13" s="92"/>
      <c r="Q13" s="92"/>
      <c r="R13" s="93">
        <f t="shared" si="3"/>
        <v>63.4</v>
      </c>
      <c r="S13" s="73">
        <v>1</v>
      </c>
      <c r="T13" s="839"/>
      <c r="U13" s="852"/>
      <c r="V13" s="82" t="s">
        <v>497</v>
      </c>
      <c r="W13" s="73" t="s">
        <v>74</v>
      </c>
      <c r="X13" s="73" t="s">
        <v>11</v>
      </c>
      <c r="Y13" s="83">
        <v>63.4</v>
      </c>
      <c r="AD13" s="82"/>
      <c r="AG13" s="83"/>
      <c r="AL13" s="82"/>
      <c r="AO13" s="83"/>
      <c r="AP13" s="82"/>
      <c r="AS13" s="83"/>
      <c r="AT13" s="150"/>
      <c r="AW13" s="83"/>
      <c r="BA13" s="84"/>
    </row>
    <row r="14" spans="1:53" s="73" customFormat="1">
      <c r="A14" s="101">
        <v>1962</v>
      </c>
      <c r="B14" s="852"/>
      <c r="C14" s="917" t="s">
        <v>688</v>
      </c>
      <c r="D14" s="917"/>
      <c r="E14" s="73">
        <v>365</v>
      </c>
      <c r="G14" s="119">
        <v>15</v>
      </c>
      <c r="J14" s="126">
        <v>15</v>
      </c>
      <c r="K14" s="92">
        <f t="shared" si="1"/>
        <v>100</v>
      </c>
      <c r="L14" s="92">
        <f t="shared" si="1"/>
        <v>0</v>
      </c>
      <c r="M14" s="92">
        <f t="shared" si="1"/>
        <v>0</v>
      </c>
      <c r="N14" s="121">
        <f t="shared" si="2"/>
        <v>100</v>
      </c>
      <c r="O14" s="91">
        <v>63.4</v>
      </c>
      <c r="P14" s="92"/>
      <c r="Q14" s="92"/>
      <c r="R14" s="93">
        <f t="shared" si="3"/>
        <v>63.4</v>
      </c>
      <c r="S14" s="73">
        <v>1</v>
      </c>
      <c r="T14" s="839"/>
      <c r="U14" s="852"/>
      <c r="V14" s="82" t="s">
        <v>497</v>
      </c>
      <c r="W14" s="73" t="s">
        <v>74</v>
      </c>
      <c r="X14" s="73" t="s">
        <v>11</v>
      </c>
      <c r="Y14" s="83">
        <v>63.4</v>
      </c>
      <c r="AD14" s="82"/>
      <c r="AG14" s="83"/>
      <c r="AL14" s="82"/>
      <c r="AO14" s="83"/>
      <c r="AP14" s="82"/>
      <c r="AS14" s="83"/>
      <c r="AT14" s="150"/>
      <c r="AW14" s="83"/>
      <c r="BA14" s="84"/>
    </row>
    <row r="15" spans="1:53" s="73" customFormat="1">
      <c r="A15" s="101">
        <v>1962.6</v>
      </c>
      <c r="B15" s="852"/>
      <c r="C15" s="917" t="s">
        <v>688</v>
      </c>
      <c r="D15" s="917"/>
      <c r="E15" s="73">
        <v>342</v>
      </c>
      <c r="G15" s="119">
        <v>15</v>
      </c>
      <c r="J15" s="126">
        <v>15</v>
      </c>
      <c r="K15" s="92">
        <f t="shared" si="1"/>
        <v>100</v>
      </c>
      <c r="L15" s="92">
        <f t="shared" si="1"/>
        <v>0</v>
      </c>
      <c r="M15" s="92">
        <f t="shared" si="1"/>
        <v>0</v>
      </c>
      <c r="N15" s="121">
        <f t="shared" si="2"/>
        <v>100</v>
      </c>
      <c r="O15" s="91">
        <v>63.4</v>
      </c>
      <c r="P15" s="92"/>
      <c r="Q15" s="92"/>
      <c r="R15" s="93">
        <f t="shared" si="3"/>
        <v>63.4</v>
      </c>
      <c r="S15" s="73">
        <v>1</v>
      </c>
      <c r="T15" s="839"/>
      <c r="U15" s="852"/>
      <c r="V15" s="82" t="s">
        <v>497</v>
      </c>
      <c r="W15" s="73" t="s">
        <v>74</v>
      </c>
      <c r="X15" s="73" t="s">
        <v>11</v>
      </c>
      <c r="Y15" s="83">
        <v>63.4</v>
      </c>
      <c r="AD15" s="82"/>
      <c r="AG15" s="83"/>
      <c r="AL15" s="82"/>
      <c r="AO15" s="83"/>
      <c r="AP15" s="82"/>
      <c r="AS15" s="83"/>
      <c r="AT15" s="150"/>
      <c r="AW15" s="83"/>
      <c r="BA15" s="84"/>
    </row>
    <row r="16" spans="1:53" s="292" customFormat="1">
      <c r="A16" s="338">
        <v>1963.05714285714</v>
      </c>
      <c r="B16" s="836">
        <v>23354</v>
      </c>
      <c r="C16" s="916" t="s">
        <v>690</v>
      </c>
      <c r="D16" s="916"/>
      <c r="E16" s="292">
        <f>365-E15</f>
        <v>23</v>
      </c>
      <c r="F16" s="292">
        <v>1</v>
      </c>
      <c r="G16" s="366">
        <v>15</v>
      </c>
      <c r="J16" s="377">
        <v>15</v>
      </c>
      <c r="K16" s="336">
        <f t="shared" si="1"/>
        <v>100</v>
      </c>
      <c r="L16" s="336">
        <f t="shared" si="1"/>
        <v>0</v>
      </c>
      <c r="M16" s="336">
        <f t="shared" si="1"/>
        <v>0</v>
      </c>
      <c r="N16" s="368">
        <f t="shared" si="2"/>
        <v>100</v>
      </c>
      <c r="O16" s="335">
        <v>60.6</v>
      </c>
      <c r="P16" s="336"/>
      <c r="Q16" s="336"/>
      <c r="R16" s="337">
        <f t="shared" si="3"/>
        <v>60.6</v>
      </c>
      <c r="S16" s="292">
        <v>1</v>
      </c>
      <c r="T16" s="838">
        <v>23336</v>
      </c>
      <c r="U16" s="836">
        <v>23354</v>
      </c>
      <c r="V16" s="299" t="s">
        <v>497</v>
      </c>
      <c r="W16" s="292" t="s">
        <v>74</v>
      </c>
      <c r="X16" s="292" t="s">
        <v>11</v>
      </c>
      <c r="Y16" s="300">
        <v>60.6</v>
      </c>
      <c r="AD16" s="299"/>
      <c r="AG16" s="300"/>
      <c r="AL16" s="299"/>
      <c r="AO16" s="300"/>
      <c r="AP16" s="299"/>
      <c r="AS16" s="300"/>
      <c r="AT16" s="390"/>
      <c r="AW16" s="300"/>
      <c r="BA16" s="301"/>
    </row>
    <row r="17" spans="1:53" s="292" customFormat="1">
      <c r="A17" s="338">
        <v>1963.5142857142901</v>
      </c>
      <c r="B17" s="836"/>
      <c r="C17" s="916" t="s">
        <v>690</v>
      </c>
      <c r="D17" s="916"/>
      <c r="E17" s="292">
        <v>313</v>
      </c>
      <c r="G17" s="366">
        <v>15</v>
      </c>
      <c r="J17" s="377">
        <v>15</v>
      </c>
      <c r="K17" s="336">
        <f t="shared" si="1"/>
        <v>100</v>
      </c>
      <c r="L17" s="336">
        <f t="shared" si="1"/>
        <v>0</v>
      </c>
      <c r="M17" s="336">
        <f t="shared" si="1"/>
        <v>0</v>
      </c>
      <c r="N17" s="368">
        <f t="shared" si="2"/>
        <v>100</v>
      </c>
      <c r="O17" s="335">
        <v>60.6</v>
      </c>
      <c r="P17" s="336"/>
      <c r="Q17" s="336"/>
      <c r="R17" s="337">
        <f t="shared" si="3"/>
        <v>60.6</v>
      </c>
      <c r="S17" s="292">
        <v>1</v>
      </c>
      <c r="T17" s="838"/>
      <c r="U17" s="836"/>
      <c r="V17" s="299" t="s">
        <v>497</v>
      </c>
      <c r="W17" s="292" t="s">
        <v>74</v>
      </c>
      <c r="X17" s="292" t="s">
        <v>11</v>
      </c>
      <c r="Y17" s="300">
        <v>60.6</v>
      </c>
      <c r="AD17" s="299"/>
      <c r="AG17" s="300"/>
      <c r="AL17" s="299"/>
      <c r="AO17" s="300"/>
      <c r="AP17" s="299"/>
      <c r="AS17" s="300"/>
      <c r="AT17" s="390"/>
      <c r="AW17" s="300"/>
      <c r="BA17" s="301"/>
    </row>
    <row r="18" spans="1:53" s="73" customFormat="1">
      <c r="A18" s="101">
        <v>1963.9714285714299</v>
      </c>
      <c r="B18" s="852">
        <v>23690</v>
      </c>
      <c r="C18" s="917" t="s">
        <v>1177</v>
      </c>
      <c r="D18" s="917"/>
      <c r="E18" s="73">
        <f>366-E17</f>
        <v>53</v>
      </c>
      <c r="F18" s="73">
        <v>3</v>
      </c>
      <c r="G18" s="119">
        <v>15</v>
      </c>
      <c r="J18" s="126">
        <v>15</v>
      </c>
      <c r="K18" s="92">
        <f t="shared" si="1"/>
        <v>100</v>
      </c>
      <c r="L18" s="92">
        <f t="shared" si="1"/>
        <v>0</v>
      </c>
      <c r="M18" s="92">
        <f t="shared" si="1"/>
        <v>0</v>
      </c>
      <c r="N18" s="121">
        <f t="shared" si="2"/>
        <v>100</v>
      </c>
      <c r="O18" s="91">
        <v>60.6</v>
      </c>
      <c r="P18" s="92"/>
      <c r="Q18" s="92"/>
      <c r="R18" s="93">
        <f t="shared" si="3"/>
        <v>60.6</v>
      </c>
      <c r="S18" s="73">
        <v>1</v>
      </c>
      <c r="T18" s="839"/>
      <c r="U18" s="852">
        <v>23690</v>
      </c>
      <c r="V18" s="82" t="s">
        <v>497</v>
      </c>
      <c r="W18" s="73" t="s">
        <v>74</v>
      </c>
      <c r="X18" s="73" t="s">
        <v>11</v>
      </c>
      <c r="Y18" s="83">
        <v>60.6</v>
      </c>
      <c r="AD18" s="82"/>
      <c r="AG18" s="83"/>
      <c r="AL18" s="82"/>
      <c r="AO18" s="83"/>
      <c r="AP18" s="82"/>
      <c r="AS18" s="83"/>
      <c r="AT18" s="150"/>
      <c r="AW18" s="83"/>
      <c r="BA18" s="84"/>
    </row>
    <row r="19" spans="1:53" s="73" customFormat="1">
      <c r="A19" s="101">
        <v>1965</v>
      </c>
      <c r="B19" s="852"/>
      <c r="C19" s="917" t="s">
        <v>1177</v>
      </c>
      <c r="D19" s="917"/>
      <c r="E19" s="73">
        <v>0</v>
      </c>
      <c r="G19" s="119">
        <v>15</v>
      </c>
      <c r="J19" s="126">
        <v>15</v>
      </c>
      <c r="K19" s="92">
        <f t="shared" si="1"/>
        <v>100</v>
      </c>
      <c r="L19" s="92">
        <f t="shared" si="1"/>
        <v>0</v>
      </c>
      <c r="M19" s="92">
        <f t="shared" si="1"/>
        <v>0</v>
      </c>
      <c r="N19" s="121">
        <f t="shared" si="2"/>
        <v>100</v>
      </c>
      <c r="O19" s="91">
        <v>60.6</v>
      </c>
      <c r="P19" s="92"/>
      <c r="Q19" s="92"/>
      <c r="R19" s="93">
        <f t="shared" si="3"/>
        <v>60.6</v>
      </c>
      <c r="S19" s="73">
        <v>1</v>
      </c>
      <c r="T19" s="839"/>
      <c r="U19" s="852"/>
      <c r="V19" s="82" t="s">
        <v>497</v>
      </c>
      <c r="W19" s="73" t="s">
        <v>74</v>
      </c>
      <c r="X19" s="73" t="s">
        <v>11</v>
      </c>
      <c r="Y19" s="83">
        <v>60.6</v>
      </c>
      <c r="AD19" s="82"/>
      <c r="AG19" s="83"/>
      <c r="AL19" s="82"/>
      <c r="AO19" s="83"/>
      <c r="AP19" s="82"/>
      <c r="AS19" s="83"/>
      <c r="AT19" s="150"/>
      <c r="AW19" s="83"/>
      <c r="BA19" s="84"/>
    </row>
    <row r="20" spans="1:53" s="73" customFormat="1">
      <c r="A20" s="101">
        <v>1964.88571428572</v>
      </c>
      <c r="B20" s="852"/>
      <c r="C20" s="917" t="s">
        <v>1177</v>
      </c>
      <c r="D20" s="917"/>
      <c r="E20" s="73">
        <v>365</v>
      </c>
      <c r="G20" s="119">
        <v>15</v>
      </c>
      <c r="J20" s="126">
        <v>15</v>
      </c>
      <c r="K20" s="92">
        <f t="shared" si="1"/>
        <v>100</v>
      </c>
      <c r="L20" s="92">
        <f t="shared" si="1"/>
        <v>0</v>
      </c>
      <c r="M20" s="92">
        <f t="shared" si="1"/>
        <v>0</v>
      </c>
      <c r="N20" s="121">
        <f t="shared" si="2"/>
        <v>100</v>
      </c>
      <c r="O20" s="91">
        <v>60.6</v>
      </c>
      <c r="P20" s="92"/>
      <c r="Q20" s="92"/>
      <c r="R20" s="93">
        <f t="shared" si="3"/>
        <v>60.6</v>
      </c>
      <c r="S20" s="73">
        <v>1</v>
      </c>
      <c r="T20" s="839"/>
      <c r="U20" s="852"/>
      <c r="V20" s="82" t="s">
        <v>497</v>
      </c>
      <c r="W20" s="73" t="s">
        <v>74</v>
      </c>
      <c r="X20" s="73" t="s">
        <v>11</v>
      </c>
      <c r="Y20" s="83">
        <v>60.6</v>
      </c>
      <c r="AD20" s="82"/>
      <c r="AG20" s="83"/>
      <c r="AL20" s="82"/>
      <c r="AO20" s="83"/>
      <c r="AP20" s="82"/>
      <c r="AS20" s="83"/>
      <c r="AT20" s="150"/>
      <c r="AW20" s="83"/>
      <c r="BA20" s="84"/>
    </row>
    <row r="21" spans="1:53" s="73" customFormat="1">
      <c r="A21" s="101">
        <v>1966</v>
      </c>
      <c r="B21" s="852"/>
      <c r="C21" s="917" t="s">
        <v>1177</v>
      </c>
      <c r="D21" s="917"/>
      <c r="E21" s="73">
        <v>0</v>
      </c>
      <c r="G21" s="119">
        <v>15</v>
      </c>
      <c r="J21" s="126">
        <v>15</v>
      </c>
      <c r="K21" s="92">
        <f t="shared" si="1"/>
        <v>100</v>
      </c>
      <c r="L21" s="92">
        <f t="shared" si="1"/>
        <v>0</v>
      </c>
      <c r="M21" s="92">
        <f t="shared" si="1"/>
        <v>0</v>
      </c>
      <c r="N21" s="121">
        <f t="shared" si="2"/>
        <v>100</v>
      </c>
      <c r="O21" s="91">
        <v>60.6</v>
      </c>
      <c r="P21" s="92"/>
      <c r="Q21" s="92"/>
      <c r="R21" s="93">
        <f t="shared" si="3"/>
        <v>60.6</v>
      </c>
      <c r="S21" s="73">
        <v>1</v>
      </c>
      <c r="T21" s="839"/>
      <c r="U21" s="852"/>
      <c r="V21" s="82" t="s">
        <v>497</v>
      </c>
      <c r="W21" s="73" t="s">
        <v>74</v>
      </c>
      <c r="X21" s="73" t="s">
        <v>11</v>
      </c>
      <c r="Y21" s="83">
        <v>60.6</v>
      </c>
      <c r="AD21" s="82"/>
      <c r="AG21" s="83"/>
      <c r="AL21" s="82"/>
      <c r="AO21" s="83"/>
      <c r="AP21" s="82"/>
      <c r="AS21" s="83"/>
      <c r="AT21" s="150"/>
      <c r="AW21" s="83"/>
      <c r="BA21" s="84"/>
    </row>
    <row r="22" spans="1:53" s="73" customFormat="1">
      <c r="A22" s="101">
        <v>1965.8</v>
      </c>
      <c r="B22" s="852"/>
      <c r="C22" s="917" t="s">
        <v>1177</v>
      </c>
      <c r="D22" s="917"/>
      <c r="E22" s="73">
        <v>365</v>
      </c>
      <c r="G22" s="119">
        <v>15</v>
      </c>
      <c r="J22" s="126">
        <v>15</v>
      </c>
      <c r="K22" s="92">
        <f t="shared" si="1"/>
        <v>100</v>
      </c>
      <c r="L22" s="92">
        <f t="shared" si="1"/>
        <v>0</v>
      </c>
      <c r="M22" s="92">
        <f t="shared" si="1"/>
        <v>0</v>
      </c>
      <c r="N22" s="121">
        <f t="shared" si="2"/>
        <v>100</v>
      </c>
      <c r="O22" s="91">
        <v>60.6</v>
      </c>
      <c r="P22" s="92"/>
      <c r="Q22" s="92"/>
      <c r="R22" s="93">
        <f t="shared" si="3"/>
        <v>60.6</v>
      </c>
      <c r="S22" s="73">
        <v>1</v>
      </c>
      <c r="T22" s="839"/>
      <c r="U22" s="852"/>
      <c r="V22" s="82" t="s">
        <v>497</v>
      </c>
      <c r="W22" s="73" t="s">
        <v>74</v>
      </c>
      <c r="X22" s="73" t="s">
        <v>11</v>
      </c>
      <c r="Y22" s="83">
        <v>60.6</v>
      </c>
      <c r="AD22" s="82"/>
      <c r="AG22" s="83"/>
      <c r="AL22" s="82"/>
      <c r="AO22" s="83"/>
      <c r="AP22" s="82"/>
      <c r="AS22" s="83"/>
      <c r="AT22" s="150"/>
      <c r="AW22" s="83"/>
      <c r="BA22" s="84"/>
    </row>
    <row r="23" spans="1:53" s="73" customFormat="1">
      <c r="A23" s="101">
        <v>1967</v>
      </c>
      <c r="B23" s="852"/>
      <c r="C23" s="917" t="s">
        <v>1177</v>
      </c>
      <c r="D23" s="917"/>
      <c r="E23" s="73">
        <v>47</v>
      </c>
      <c r="G23" s="119">
        <v>15</v>
      </c>
      <c r="J23" s="126">
        <v>15</v>
      </c>
      <c r="K23" s="92">
        <f t="shared" si="1"/>
        <v>100</v>
      </c>
      <c r="L23" s="92">
        <f t="shared" si="1"/>
        <v>0</v>
      </c>
      <c r="M23" s="92">
        <f t="shared" si="1"/>
        <v>0</v>
      </c>
      <c r="N23" s="121">
        <f t="shared" si="2"/>
        <v>100</v>
      </c>
      <c r="O23" s="91">
        <v>60.6</v>
      </c>
      <c r="P23" s="92"/>
      <c r="Q23" s="92"/>
      <c r="R23" s="93">
        <f t="shared" si="3"/>
        <v>60.6</v>
      </c>
      <c r="S23" s="73">
        <v>1</v>
      </c>
      <c r="T23" s="839"/>
      <c r="U23" s="852"/>
      <c r="V23" s="82" t="s">
        <v>497</v>
      </c>
      <c r="W23" s="73" t="s">
        <v>74</v>
      </c>
      <c r="X23" s="73" t="s">
        <v>11</v>
      </c>
      <c r="Y23" s="83">
        <v>60.6</v>
      </c>
      <c r="AD23" s="82"/>
      <c r="AG23" s="83"/>
      <c r="AL23" s="82"/>
      <c r="AO23" s="83"/>
      <c r="AP23" s="82"/>
      <c r="AS23" s="83"/>
      <c r="AT23" s="150"/>
      <c r="AW23" s="83"/>
      <c r="BA23" s="84"/>
    </row>
    <row r="24" spans="1:53" s="292" customFormat="1">
      <c r="A24" s="338">
        <v>1966.7142857142901</v>
      </c>
      <c r="B24" s="836">
        <v>24520</v>
      </c>
      <c r="C24" s="916" t="s">
        <v>1178</v>
      </c>
      <c r="D24" s="916"/>
      <c r="E24" s="292">
        <f>365-E23</f>
        <v>318</v>
      </c>
      <c r="F24" s="292">
        <v>1</v>
      </c>
      <c r="G24" s="366">
        <v>15</v>
      </c>
      <c r="J24" s="377">
        <v>15</v>
      </c>
      <c r="K24" s="336">
        <f t="shared" si="1"/>
        <v>100</v>
      </c>
      <c r="L24" s="336">
        <f t="shared" si="1"/>
        <v>0</v>
      </c>
      <c r="M24" s="336">
        <f t="shared" si="1"/>
        <v>0</v>
      </c>
      <c r="N24" s="368">
        <f t="shared" si="2"/>
        <v>100</v>
      </c>
      <c r="O24" s="335">
        <v>57</v>
      </c>
      <c r="P24" s="336"/>
      <c r="Q24" s="336"/>
      <c r="R24" s="337">
        <f t="shared" si="3"/>
        <v>57</v>
      </c>
      <c r="S24" s="292">
        <v>1</v>
      </c>
      <c r="T24" s="838">
        <v>24501</v>
      </c>
      <c r="U24" s="836">
        <v>24520</v>
      </c>
      <c r="V24" s="299" t="s">
        <v>497</v>
      </c>
      <c r="W24" s="292" t="s">
        <v>74</v>
      </c>
      <c r="X24" s="292" t="s">
        <v>11</v>
      </c>
      <c r="Y24" s="300">
        <v>57</v>
      </c>
      <c r="AD24" s="299"/>
      <c r="AG24" s="300"/>
      <c r="AL24" s="299"/>
      <c r="AO24" s="300"/>
      <c r="AP24" s="299"/>
      <c r="AS24" s="300"/>
      <c r="AT24" s="390"/>
      <c r="AW24" s="300"/>
      <c r="BA24" s="301"/>
    </row>
    <row r="25" spans="1:53" s="292" customFormat="1">
      <c r="A25" s="338">
        <v>1968</v>
      </c>
      <c r="B25" s="836"/>
      <c r="C25" s="916" t="s">
        <v>1178</v>
      </c>
      <c r="D25" s="916"/>
      <c r="E25" s="292">
        <v>0</v>
      </c>
      <c r="G25" s="366">
        <v>15</v>
      </c>
      <c r="J25" s="377">
        <v>15</v>
      </c>
      <c r="K25" s="336">
        <f t="shared" si="1"/>
        <v>100</v>
      </c>
      <c r="L25" s="336">
        <f t="shared" si="1"/>
        <v>0</v>
      </c>
      <c r="M25" s="336">
        <f t="shared" si="1"/>
        <v>0</v>
      </c>
      <c r="N25" s="368">
        <f t="shared" si="2"/>
        <v>100</v>
      </c>
      <c r="O25" s="335">
        <v>57</v>
      </c>
      <c r="P25" s="336"/>
      <c r="Q25" s="336"/>
      <c r="R25" s="337">
        <f t="shared" si="3"/>
        <v>57</v>
      </c>
      <c r="S25" s="292">
        <v>1</v>
      </c>
      <c r="T25" s="838"/>
      <c r="U25" s="836"/>
      <c r="V25" s="299" t="s">
        <v>497</v>
      </c>
      <c r="W25" s="292" t="s">
        <v>74</v>
      </c>
      <c r="X25" s="292" t="s">
        <v>11</v>
      </c>
      <c r="Y25" s="300">
        <v>57</v>
      </c>
      <c r="AD25" s="299"/>
      <c r="AG25" s="300"/>
      <c r="AL25" s="299"/>
      <c r="AO25" s="300"/>
      <c r="AP25" s="299"/>
      <c r="AS25" s="300"/>
      <c r="AT25" s="390"/>
      <c r="AW25" s="300"/>
      <c r="BA25" s="301"/>
    </row>
    <row r="26" spans="1:53" s="292" customFormat="1">
      <c r="A26" s="338">
        <v>1967.62857142857</v>
      </c>
      <c r="B26" s="836"/>
      <c r="C26" s="916" t="s">
        <v>1178</v>
      </c>
      <c r="D26" s="916"/>
      <c r="E26" s="292">
        <v>366</v>
      </c>
      <c r="G26" s="366">
        <v>15</v>
      </c>
      <c r="J26" s="377">
        <v>15</v>
      </c>
      <c r="K26" s="336">
        <f t="shared" si="1"/>
        <v>100</v>
      </c>
      <c r="L26" s="336">
        <f t="shared" si="1"/>
        <v>0</v>
      </c>
      <c r="M26" s="336">
        <f t="shared" si="1"/>
        <v>0</v>
      </c>
      <c r="N26" s="368">
        <f t="shared" si="2"/>
        <v>100</v>
      </c>
      <c r="O26" s="335">
        <v>57</v>
      </c>
      <c r="P26" s="336"/>
      <c r="Q26" s="336"/>
      <c r="R26" s="337">
        <f t="shared" si="3"/>
        <v>57</v>
      </c>
      <c r="S26" s="292">
        <v>1</v>
      </c>
      <c r="T26" s="838"/>
      <c r="U26" s="836"/>
      <c r="V26" s="299" t="s">
        <v>497</v>
      </c>
      <c r="W26" s="292" t="s">
        <v>74</v>
      </c>
      <c r="X26" s="292" t="s">
        <v>11</v>
      </c>
      <c r="Y26" s="300">
        <v>57</v>
      </c>
      <c r="AD26" s="299"/>
      <c r="AG26" s="300"/>
      <c r="AL26" s="299"/>
      <c r="AO26" s="300"/>
      <c r="AP26" s="299"/>
      <c r="AS26" s="300"/>
      <c r="AT26" s="390"/>
      <c r="AW26" s="300"/>
      <c r="BA26" s="301"/>
    </row>
    <row r="27" spans="1:53" s="292" customFormat="1">
      <c r="A27" s="338">
        <v>1969</v>
      </c>
      <c r="B27" s="836"/>
      <c r="C27" s="916" t="s">
        <v>1178</v>
      </c>
      <c r="D27" s="916"/>
      <c r="E27" s="292">
        <v>0</v>
      </c>
      <c r="G27" s="366">
        <v>15</v>
      </c>
      <c r="J27" s="377">
        <v>15</v>
      </c>
      <c r="K27" s="336">
        <f t="shared" si="1"/>
        <v>100</v>
      </c>
      <c r="L27" s="336">
        <f t="shared" si="1"/>
        <v>0</v>
      </c>
      <c r="M27" s="336">
        <f t="shared" si="1"/>
        <v>0</v>
      </c>
      <c r="N27" s="368">
        <f t="shared" si="2"/>
        <v>100</v>
      </c>
      <c r="O27" s="335">
        <v>57</v>
      </c>
      <c r="P27" s="336"/>
      <c r="Q27" s="336"/>
      <c r="R27" s="337">
        <f t="shared" si="3"/>
        <v>57</v>
      </c>
      <c r="S27" s="292">
        <v>1</v>
      </c>
      <c r="T27" s="838"/>
      <c r="U27" s="836"/>
      <c r="V27" s="299" t="s">
        <v>497</v>
      </c>
      <c r="W27" s="292" t="s">
        <v>74</v>
      </c>
      <c r="X27" s="292" t="s">
        <v>11</v>
      </c>
      <c r="Y27" s="300">
        <v>57</v>
      </c>
      <c r="AD27" s="299"/>
      <c r="AG27" s="300"/>
      <c r="AL27" s="299"/>
      <c r="AO27" s="300"/>
      <c r="AP27" s="299"/>
      <c r="AS27" s="300"/>
      <c r="AT27" s="390"/>
      <c r="AW27" s="300"/>
      <c r="BA27" s="301"/>
    </row>
    <row r="28" spans="1:53" s="292" customFormat="1">
      <c r="A28" s="338">
        <v>1968.5428571428599</v>
      </c>
      <c r="B28" s="836"/>
      <c r="C28" s="916" t="s">
        <v>1178</v>
      </c>
      <c r="D28" s="916"/>
      <c r="E28" s="292">
        <v>365</v>
      </c>
      <c r="G28" s="366">
        <v>15</v>
      </c>
      <c r="J28" s="377">
        <v>15</v>
      </c>
      <c r="K28" s="336">
        <f t="shared" si="1"/>
        <v>100</v>
      </c>
      <c r="L28" s="336">
        <f t="shared" si="1"/>
        <v>0</v>
      </c>
      <c r="M28" s="336">
        <f t="shared" si="1"/>
        <v>0</v>
      </c>
      <c r="N28" s="368">
        <f t="shared" si="2"/>
        <v>100</v>
      </c>
      <c r="O28" s="335">
        <v>57</v>
      </c>
      <c r="P28" s="336"/>
      <c r="Q28" s="336"/>
      <c r="R28" s="337">
        <f t="shared" si="3"/>
        <v>57</v>
      </c>
      <c r="S28" s="292">
        <v>1</v>
      </c>
      <c r="T28" s="838">
        <v>25564</v>
      </c>
      <c r="U28" s="836"/>
      <c r="V28" s="299" t="s">
        <v>497</v>
      </c>
      <c r="W28" s="292" t="s">
        <v>74</v>
      </c>
      <c r="X28" s="292" t="s">
        <v>11</v>
      </c>
      <c r="Y28" s="300">
        <v>57</v>
      </c>
      <c r="AD28" s="299"/>
      <c r="AG28" s="300"/>
      <c r="AL28" s="299"/>
      <c r="AO28" s="300"/>
      <c r="AP28" s="299"/>
      <c r="AS28" s="300"/>
      <c r="AT28" s="390"/>
      <c r="AW28" s="300"/>
      <c r="BA28" s="301"/>
    </row>
    <row r="29" spans="1:53" s="292" customFormat="1">
      <c r="A29" s="338">
        <v>1970</v>
      </c>
      <c r="B29" s="836"/>
      <c r="C29" s="916" t="s">
        <v>1178</v>
      </c>
      <c r="D29" s="916"/>
      <c r="E29" s="292">
        <v>13</v>
      </c>
      <c r="G29" s="366">
        <v>15</v>
      </c>
      <c r="J29" s="377">
        <v>15</v>
      </c>
      <c r="K29" s="336">
        <f t="shared" si="1"/>
        <v>100</v>
      </c>
      <c r="L29" s="336">
        <f t="shared" si="1"/>
        <v>0</v>
      </c>
      <c r="M29" s="336">
        <f t="shared" si="1"/>
        <v>0</v>
      </c>
      <c r="N29" s="368">
        <f t="shared" si="2"/>
        <v>100</v>
      </c>
      <c r="O29" s="335">
        <v>57</v>
      </c>
      <c r="P29" s="336"/>
      <c r="Q29" s="336"/>
      <c r="R29" s="337">
        <f t="shared" si="3"/>
        <v>57</v>
      </c>
      <c r="S29" s="292">
        <v>1</v>
      </c>
      <c r="T29" s="838"/>
      <c r="U29" s="836"/>
      <c r="V29" s="299" t="s">
        <v>497</v>
      </c>
      <c r="W29" s="292" t="s">
        <v>74</v>
      </c>
      <c r="X29" s="292" t="s">
        <v>11</v>
      </c>
      <c r="Y29" s="300">
        <v>57</v>
      </c>
      <c r="AD29" s="299"/>
      <c r="AG29" s="300"/>
      <c r="AL29" s="299"/>
      <c r="AO29" s="300"/>
      <c r="AP29" s="299"/>
      <c r="AS29" s="300"/>
      <c r="AT29" s="390"/>
      <c r="AW29" s="300"/>
      <c r="BA29" s="301"/>
    </row>
    <row r="30" spans="1:53" s="73" customFormat="1">
      <c r="A30" s="101">
        <v>1970</v>
      </c>
      <c r="B30" s="852">
        <v>25582</v>
      </c>
      <c r="C30" s="917" t="s">
        <v>1179</v>
      </c>
      <c r="D30" s="917"/>
      <c r="E30" s="73">
        <f>365-E29</f>
        <v>352</v>
      </c>
      <c r="F30" s="73">
        <v>1</v>
      </c>
      <c r="G30" s="119">
        <v>15</v>
      </c>
      <c r="J30" s="126">
        <v>15</v>
      </c>
      <c r="K30" s="92">
        <f t="shared" si="1"/>
        <v>100</v>
      </c>
      <c r="L30" s="92">
        <f t="shared" si="1"/>
        <v>0</v>
      </c>
      <c r="M30" s="92">
        <f t="shared" si="1"/>
        <v>0</v>
      </c>
      <c r="N30" s="121">
        <f t="shared" si="2"/>
        <v>100</v>
      </c>
      <c r="O30" s="91">
        <v>59.3</v>
      </c>
      <c r="P30" s="92"/>
      <c r="Q30" s="92"/>
      <c r="R30" s="93">
        <f t="shared" si="3"/>
        <v>59.3</v>
      </c>
      <c r="S30" s="73">
        <v>1</v>
      </c>
      <c r="T30" s="839"/>
      <c r="U30" s="852">
        <v>25582</v>
      </c>
      <c r="V30" s="82" t="s">
        <v>497</v>
      </c>
      <c r="W30" s="73" t="s">
        <v>74</v>
      </c>
      <c r="X30" s="73" t="s">
        <v>11</v>
      </c>
      <c r="Y30" s="83">
        <v>59.3</v>
      </c>
      <c r="AD30" s="82"/>
      <c r="AG30" s="83"/>
      <c r="AL30" s="82"/>
      <c r="AO30" s="83"/>
      <c r="AP30" s="82"/>
      <c r="AS30" s="83"/>
      <c r="AT30" s="150"/>
      <c r="AW30" s="83"/>
      <c r="BA30" s="84"/>
    </row>
    <row r="31" spans="1:53" s="73" customFormat="1">
      <c r="A31" s="101">
        <v>1971</v>
      </c>
      <c r="B31" s="852"/>
      <c r="C31" s="917" t="s">
        <v>1179</v>
      </c>
      <c r="D31" s="917"/>
      <c r="E31" s="73">
        <v>0</v>
      </c>
      <c r="G31" s="119">
        <v>15</v>
      </c>
      <c r="J31" s="126">
        <v>15</v>
      </c>
      <c r="K31" s="92">
        <f t="shared" si="1"/>
        <v>100</v>
      </c>
      <c r="L31" s="92">
        <f t="shared" si="1"/>
        <v>0</v>
      </c>
      <c r="M31" s="92">
        <f t="shared" si="1"/>
        <v>0</v>
      </c>
      <c r="N31" s="121">
        <f t="shared" si="2"/>
        <v>100</v>
      </c>
      <c r="O31" s="91">
        <v>59.3</v>
      </c>
      <c r="P31" s="92"/>
      <c r="Q31" s="92"/>
      <c r="R31" s="93">
        <f t="shared" si="3"/>
        <v>59.3</v>
      </c>
      <c r="S31" s="73">
        <v>1</v>
      </c>
      <c r="T31" s="839"/>
      <c r="U31" s="852"/>
      <c r="V31" s="82" t="s">
        <v>497</v>
      </c>
      <c r="W31" s="73" t="s">
        <v>74</v>
      </c>
      <c r="X31" s="73" t="s">
        <v>11</v>
      </c>
      <c r="Y31" s="83">
        <v>59.3</v>
      </c>
      <c r="AD31" s="82"/>
      <c r="AG31" s="83"/>
      <c r="AL31" s="82"/>
      <c r="AO31" s="83"/>
      <c r="AP31" s="82"/>
      <c r="AS31" s="83"/>
      <c r="AT31" s="150"/>
      <c r="AW31" s="83"/>
      <c r="BA31" s="84"/>
    </row>
    <row r="32" spans="1:53" s="73" customFormat="1">
      <c r="A32" s="101">
        <v>1971</v>
      </c>
      <c r="B32" s="852"/>
      <c r="C32" s="917" t="s">
        <v>1179</v>
      </c>
      <c r="D32" s="917"/>
      <c r="E32" s="73">
        <v>365</v>
      </c>
      <c r="G32" s="119">
        <v>15</v>
      </c>
      <c r="J32" s="126">
        <v>15</v>
      </c>
      <c r="K32" s="92">
        <f t="shared" si="1"/>
        <v>100</v>
      </c>
      <c r="L32" s="92">
        <f t="shared" si="1"/>
        <v>0</v>
      </c>
      <c r="M32" s="92">
        <f t="shared" si="1"/>
        <v>0</v>
      </c>
      <c r="N32" s="121">
        <f t="shared" si="2"/>
        <v>100</v>
      </c>
      <c r="O32" s="91">
        <v>59.3</v>
      </c>
      <c r="P32" s="92"/>
      <c r="Q32" s="92"/>
      <c r="R32" s="93">
        <f t="shared" si="3"/>
        <v>59.3</v>
      </c>
      <c r="S32" s="73">
        <v>1</v>
      </c>
      <c r="T32" s="839"/>
      <c r="U32" s="852"/>
      <c r="V32" s="82" t="s">
        <v>497</v>
      </c>
      <c r="W32" s="73" t="s">
        <v>74</v>
      </c>
      <c r="X32" s="73" t="s">
        <v>11</v>
      </c>
      <c r="Y32" s="83">
        <v>59.3</v>
      </c>
      <c r="AD32" s="82"/>
      <c r="AG32" s="83"/>
      <c r="AL32" s="82"/>
      <c r="AO32" s="83"/>
      <c r="AP32" s="82"/>
      <c r="AS32" s="83"/>
      <c r="AT32" s="150"/>
      <c r="AW32" s="83"/>
      <c r="BA32" s="84"/>
    </row>
    <row r="33" spans="1:53" s="73" customFormat="1">
      <c r="A33" s="101">
        <v>1972</v>
      </c>
      <c r="B33" s="852"/>
      <c r="C33" s="917" t="s">
        <v>1179</v>
      </c>
      <c r="D33" s="917"/>
      <c r="E33" s="73">
        <v>188</v>
      </c>
      <c r="G33" s="119">
        <v>15</v>
      </c>
      <c r="J33" s="126">
        <v>15</v>
      </c>
      <c r="K33" s="92">
        <f t="shared" si="1"/>
        <v>100</v>
      </c>
      <c r="L33" s="92">
        <f t="shared" si="1"/>
        <v>0</v>
      </c>
      <c r="M33" s="92">
        <f t="shared" si="1"/>
        <v>0</v>
      </c>
      <c r="N33" s="121">
        <f t="shared" si="2"/>
        <v>100</v>
      </c>
      <c r="O33" s="91">
        <v>59.3</v>
      </c>
      <c r="P33" s="92"/>
      <c r="Q33" s="92"/>
      <c r="R33" s="93">
        <f t="shared" si="3"/>
        <v>59.3</v>
      </c>
      <c r="S33" s="73">
        <v>1</v>
      </c>
      <c r="T33" s="839"/>
      <c r="U33" s="852"/>
      <c r="V33" s="82" t="s">
        <v>497</v>
      </c>
      <c r="W33" s="73" t="s">
        <v>74</v>
      </c>
      <c r="X33" s="73" t="s">
        <v>11</v>
      </c>
      <c r="Y33" s="83">
        <v>59.3</v>
      </c>
      <c r="AD33" s="82"/>
      <c r="AG33" s="83"/>
      <c r="AL33" s="82"/>
      <c r="AO33" s="83"/>
      <c r="AP33" s="82"/>
      <c r="AS33" s="83"/>
      <c r="AT33" s="150"/>
      <c r="AW33" s="83"/>
      <c r="BA33" s="84"/>
    </row>
    <row r="34" spans="1:53" s="292" customFormat="1">
      <c r="A34" s="338">
        <v>1972</v>
      </c>
      <c r="B34" s="836">
        <v>26487</v>
      </c>
      <c r="C34" s="916" t="s">
        <v>691</v>
      </c>
      <c r="D34" s="916"/>
      <c r="E34" s="292">
        <v>168</v>
      </c>
      <c r="F34" s="292">
        <v>2</v>
      </c>
      <c r="G34" s="366">
        <v>15</v>
      </c>
      <c r="J34" s="377">
        <v>15</v>
      </c>
      <c r="K34" s="336">
        <f t="shared" si="1"/>
        <v>100</v>
      </c>
      <c r="L34" s="336">
        <f t="shared" si="1"/>
        <v>0</v>
      </c>
      <c r="M34" s="336">
        <f t="shared" si="1"/>
        <v>0</v>
      </c>
      <c r="N34" s="368">
        <f t="shared" si="2"/>
        <v>100</v>
      </c>
      <c r="O34" s="335">
        <v>59.3</v>
      </c>
      <c r="P34" s="336"/>
      <c r="Q34" s="336"/>
      <c r="R34" s="337">
        <f t="shared" si="3"/>
        <v>59.3</v>
      </c>
      <c r="S34" s="292">
        <v>1</v>
      </c>
      <c r="T34" s="838"/>
      <c r="U34" s="836">
        <v>26487</v>
      </c>
      <c r="V34" s="299" t="s">
        <v>497</v>
      </c>
      <c r="W34" s="292" t="s">
        <v>74</v>
      </c>
      <c r="X34" s="292" t="s">
        <v>11</v>
      </c>
      <c r="Y34" s="300">
        <v>59.3</v>
      </c>
      <c r="AD34" s="299"/>
      <c r="AG34" s="300"/>
      <c r="AL34" s="299"/>
      <c r="AO34" s="300"/>
      <c r="AP34" s="299"/>
      <c r="AS34" s="300"/>
      <c r="AT34" s="390"/>
      <c r="AW34" s="300"/>
      <c r="BA34" s="301"/>
    </row>
    <row r="35" spans="1:53" s="73" customFormat="1">
      <c r="A35" s="101">
        <v>1972</v>
      </c>
      <c r="B35" s="852">
        <v>26655</v>
      </c>
      <c r="C35" s="917" t="s">
        <v>692</v>
      </c>
      <c r="D35" s="917"/>
      <c r="E35" s="73">
        <f>366-E33-E34</f>
        <v>10</v>
      </c>
      <c r="F35" s="73">
        <v>1</v>
      </c>
      <c r="G35" s="119">
        <v>15</v>
      </c>
      <c r="J35" s="126">
        <v>15</v>
      </c>
      <c r="K35" s="92">
        <f t="shared" si="1"/>
        <v>100</v>
      </c>
      <c r="L35" s="92">
        <f t="shared" si="1"/>
        <v>0</v>
      </c>
      <c r="M35" s="92">
        <f t="shared" si="1"/>
        <v>0</v>
      </c>
      <c r="N35" s="121">
        <f t="shared" si="2"/>
        <v>100</v>
      </c>
      <c r="O35" s="91">
        <v>55.2</v>
      </c>
      <c r="P35" s="92"/>
      <c r="Q35" s="92"/>
      <c r="R35" s="93">
        <f t="shared" si="3"/>
        <v>55.2</v>
      </c>
      <c r="S35" s="73">
        <v>1</v>
      </c>
      <c r="T35" s="839">
        <v>26643</v>
      </c>
      <c r="U35" s="852">
        <v>26655</v>
      </c>
      <c r="V35" s="82" t="s">
        <v>497</v>
      </c>
      <c r="W35" s="73" t="s">
        <v>74</v>
      </c>
      <c r="X35" s="73" t="s">
        <v>11</v>
      </c>
      <c r="Y35" s="83">
        <v>55.2</v>
      </c>
      <c r="AD35" s="82"/>
      <c r="AG35" s="83"/>
      <c r="AL35" s="82"/>
      <c r="AO35" s="83"/>
      <c r="AP35" s="82"/>
      <c r="AS35" s="83"/>
      <c r="AT35" s="150"/>
      <c r="AW35" s="83"/>
      <c r="BA35" s="84"/>
    </row>
    <row r="36" spans="1:53" s="73" customFormat="1">
      <c r="A36" s="101">
        <v>1973</v>
      </c>
      <c r="B36" s="852"/>
      <c r="C36" s="917" t="s">
        <v>692</v>
      </c>
      <c r="D36" s="917"/>
      <c r="E36" s="73">
        <v>0</v>
      </c>
      <c r="G36" s="119">
        <v>15</v>
      </c>
      <c r="J36" s="126">
        <v>15</v>
      </c>
      <c r="K36" s="92">
        <f t="shared" si="1"/>
        <v>100</v>
      </c>
      <c r="L36" s="92">
        <f t="shared" si="1"/>
        <v>0</v>
      </c>
      <c r="M36" s="92">
        <f t="shared" si="1"/>
        <v>0</v>
      </c>
      <c r="N36" s="121">
        <f t="shared" si="2"/>
        <v>100</v>
      </c>
      <c r="O36" s="91">
        <v>55.2</v>
      </c>
      <c r="P36" s="92"/>
      <c r="Q36" s="92"/>
      <c r="R36" s="93">
        <f t="shared" si="3"/>
        <v>55.2</v>
      </c>
      <c r="S36" s="73">
        <v>1</v>
      </c>
      <c r="T36" s="839"/>
      <c r="U36" s="852"/>
      <c r="V36" s="82" t="s">
        <v>497</v>
      </c>
      <c r="W36" s="73" t="s">
        <v>74</v>
      </c>
      <c r="X36" s="73" t="s">
        <v>11</v>
      </c>
      <c r="Y36" s="83">
        <v>55.2</v>
      </c>
      <c r="AD36" s="82"/>
      <c r="AG36" s="83"/>
      <c r="AL36" s="82"/>
      <c r="AO36" s="83"/>
      <c r="AP36" s="82"/>
      <c r="AS36" s="83"/>
      <c r="AT36" s="150"/>
      <c r="AW36" s="83"/>
      <c r="BA36" s="84"/>
    </row>
    <row r="37" spans="1:53" s="73" customFormat="1">
      <c r="A37" s="101">
        <v>1973</v>
      </c>
      <c r="B37" s="852"/>
      <c r="C37" s="917" t="s">
        <v>692</v>
      </c>
      <c r="D37" s="917"/>
      <c r="E37" s="73">
        <v>365</v>
      </c>
      <c r="G37" s="119">
        <v>15</v>
      </c>
      <c r="J37" s="126">
        <v>15</v>
      </c>
      <c r="K37" s="92">
        <f t="shared" si="1"/>
        <v>100</v>
      </c>
      <c r="L37" s="92">
        <f t="shared" si="1"/>
        <v>0</v>
      </c>
      <c r="M37" s="92">
        <f t="shared" si="1"/>
        <v>0</v>
      </c>
      <c r="N37" s="121">
        <f t="shared" si="2"/>
        <v>100</v>
      </c>
      <c r="O37" s="91">
        <v>55.2</v>
      </c>
      <c r="P37" s="92"/>
      <c r="Q37" s="92"/>
      <c r="R37" s="93">
        <f t="shared" si="3"/>
        <v>55.2</v>
      </c>
      <c r="S37" s="73">
        <v>1</v>
      </c>
      <c r="T37" s="839"/>
      <c r="U37" s="852"/>
      <c r="V37" s="82" t="s">
        <v>497</v>
      </c>
      <c r="W37" s="73" t="s">
        <v>74</v>
      </c>
      <c r="X37" s="73" t="s">
        <v>11</v>
      </c>
      <c r="Y37" s="83">
        <v>55.2</v>
      </c>
      <c r="AD37" s="82"/>
      <c r="AG37" s="83"/>
      <c r="AL37" s="82"/>
      <c r="AO37" s="83"/>
      <c r="AP37" s="82"/>
      <c r="AS37" s="83"/>
      <c r="AT37" s="150"/>
      <c r="AW37" s="83"/>
      <c r="BA37" s="84"/>
    </row>
    <row r="38" spans="1:53" s="73" customFormat="1">
      <c r="A38" s="101">
        <v>1974</v>
      </c>
      <c r="B38" s="852"/>
      <c r="C38" s="917" t="s">
        <v>692</v>
      </c>
      <c r="D38" s="917"/>
      <c r="E38" s="73">
        <v>342</v>
      </c>
      <c r="G38" s="119">
        <v>15</v>
      </c>
      <c r="J38" s="126">
        <v>15</v>
      </c>
      <c r="K38" s="92">
        <f t="shared" si="1"/>
        <v>100</v>
      </c>
      <c r="L38" s="92">
        <f t="shared" si="1"/>
        <v>0</v>
      </c>
      <c r="M38" s="92">
        <f t="shared" si="1"/>
        <v>0</v>
      </c>
      <c r="N38" s="121">
        <f t="shared" si="2"/>
        <v>100</v>
      </c>
      <c r="O38" s="91">
        <v>55.2</v>
      </c>
      <c r="P38" s="92"/>
      <c r="Q38" s="92"/>
      <c r="R38" s="93">
        <f t="shared" si="3"/>
        <v>55.2</v>
      </c>
      <c r="S38" s="73">
        <v>1</v>
      </c>
      <c r="T38" s="839"/>
      <c r="U38" s="852"/>
      <c r="V38" s="82" t="s">
        <v>497</v>
      </c>
      <c r="W38" s="73" t="s">
        <v>74</v>
      </c>
      <c r="X38" s="73" t="s">
        <v>11</v>
      </c>
      <c r="Y38" s="83">
        <v>55.2</v>
      </c>
      <c r="AD38" s="82"/>
      <c r="AG38" s="83"/>
      <c r="AL38" s="82"/>
      <c r="AO38" s="83"/>
      <c r="AP38" s="82"/>
      <c r="AS38" s="83"/>
      <c r="AT38" s="150"/>
      <c r="AW38" s="83"/>
      <c r="BA38" s="84"/>
    </row>
    <row r="39" spans="1:53" s="292" customFormat="1">
      <c r="A39" s="338">
        <v>1974</v>
      </c>
      <c r="B39" s="836">
        <v>27372</v>
      </c>
      <c r="C39" s="916" t="s">
        <v>693</v>
      </c>
      <c r="D39" s="916"/>
      <c r="E39" s="292">
        <f>365-E38</f>
        <v>23</v>
      </c>
      <c r="F39" s="292">
        <v>2</v>
      </c>
      <c r="G39" s="366">
        <v>15</v>
      </c>
      <c r="J39" s="377">
        <v>15</v>
      </c>
      <c r="K39" s="336">
        <f t="shared" si="1"/>
        <v>100</v>
      </c>
      <c r="L39" s="336">
        <f t="shared" si="1"/>
        <v>0</v>
      </c>
      <c r="M39" s="336">
        <f t="shared" si="1"/>
        <v>0</v>
      </c>
      <c r="N39" s="368">
        <f t="shared" si="2"/>
        <v>100</v>
      </c>
      <c r="O39" s="335">
        <v>55.2</v>
      </c>
      <c r="P39" s="336"/>
      <c r="Q39" s="336"/>
      <c r="R39" s="337">
        <f t="shared" si="3"/>
        <v>55.2</v>
      </c>
      <c r="S39" s="292">
        <v>1</v>
      </c>
      <c r="T39" s="838"/>
      <c r="U39" s="836">
        <v>27372</v>
      </c>
      <c r="V39" s="299" t="s">
        <v>497</v>
      </c>
      <c r="W39" s="292" t="s">
        <v>74</v>
      </c>
      <c r="X39" s="292" t="s">
        <v>11</v>
      </c>
      <c r="Y39" s="300">
        <v>55.2</v>
      </c>
      <c r="AD39" s="299"/>
      <c r="AG39" s="300"/>
      <c r="AL39" s="299"/>
      <c r="AO39" s="300"/>
      <c r="AP39" s="299"/>
      <c r="AS39" s="300"/>
      <c r="AT39" s="390"/>
      <c r="AW39" s="300"/>
      <c r="BA39" s="301"/>
    </row>
    <row r="40" spans="1:53" s="292" customFormat="1">
      <c r="A40" s="338">
        <v>1975</v>
      </c>
      <c r="B40" s="836"/>
      <c r="C40" s="916" t="s">
        <v>693</v>
      </c>
      <c r="D40" s="916"/>
      <c r="E40" s="292">
        <v>0</v>
      </c>
      <c r="G40" s="366">
        <v>15</v>
      </c>
      <c r="J40" s="377">
        <v>15</v>
      </c>
      <c r="K40" s="336">
        <f t="shared" si="1"/>
        <v>100</v>
      </c>
      <c r="L40" s="336">
        <f t="shared" si="1"/>
        <v>0</v>
      </c>
      <c r="M40" s="336">
        <f t="shared" si="1"/>
        <v>0</v>
      </c>
      <c r="N40" s="368">
        <f t="shared" si="2"/>
        <v>100</v>
      </c>
      <c r="O40" s="335">
        <v>55.2</v>
      </c>
      <c r="P40" s="336"/>
      <c r="Q40" s="336"/>
      <c r="R40" s="337">
        <f t="shared" si="3"/>
        <v>55.2</v>
      </c>
      <c r="S40" s="292">
        <v>1</v>
      </c>
      <c r="T40" s="838"/>
      <c r="U40" s="836"/>
      <c r="V40" s="299" t="s">
        <v>497</v>
      </c>
      <c r="W40" s="292" t="s">
        <v>74</v>
      </c>
      <c r="X40" s="292" t="s">
        <v>11</v>
      </c>
      <c r="Y40" s="300">
        <v>55.2</v>
      </c>
      <c r="AD40" s="299"/>
      <c r="AG40" s="300"/>
      <c r="AL40" s="299"/>
      <c r="AO40" s="300"/>
      <c r="AP40" s="299"/>
      <c r="AS40" s="300"/>
      <c r="AT40" s="390"/>
      <c r="AW40" s="300"/>
      <c r="BA40" s="301"/>
    </row>
    <row r="41" spans="1:53" s="292" customFormat="1">
      <c r="A41" s="338">
        <v>1975</v>
      </c>
      <c r="B41" s="836"/>
      <c r="C41" s="916" t="s">
        <v>693</v>
      </c>
      <c r="D41" s="916"/>
      <c r="E41" s="292">
        <v>365</v>
      </c>
      <c r="G41" s="366">
        <v>15</v>
      </c>
      <c r="J41" s="377">
        <v>15</v>
      </c>
      <c r="K41" s="336">
        <f t="shared" si="1"/>
        <v>100</v>
      </c>
      <c r="L41" s="336">
        <f t="shared" si="1"/>
        <v>0</v>
      </c>
      <c r="M41" s="336">
        <f t="shared" si="1"/>
        <v>0</v>
      </c>
      <c r="N41" s="368">
        <f t="shared" si="2"/>
        <v>100</v>
      </c>
      <c r="O41" s="335">
        <v>55.2</v>
      </c>
      <c r="P41" s="336"/>
      <c r="Q41" s="336"/>
      <c r="R41" s="337">
        <f t="shared" si="3"/>
        <v>55.2</v>
      </c>
      <c r="S41" s="292">
        <v>1</v>
      </c>
      <c r="T41" s="838"/>
      <c r="U41" s="836"/>
      <c r="V41" s="299" t="s">
        <v>497</v>
      </c>
      <c r="W41" s="292" t="s">
        <v>74</v>
      </c>
      <c r="X41" s="292" t="s">
        <v>11</v>
      </c>
      <c r="Y41" s="300">
        <v>55.2</v>
      </c>
      <c r="AD41" s="299"/>
      <c r="AG41" s="300"/>
      <c r="AL41" s="299"/>
      <c r="AO41" s="300"/>
      <c r="AP41" s="299"/>
      <c r="AS41" s="300"/>
      <c r="AT41" s="390"/>
      <c r="AW41" s="300"/>
      <c r="BA41" s="301"/>
    </row>
    <row r="42" spans="1:53" s="292" customFormat="1">
      <c r="A42" s="338">
        <v>1976</v>
      </c>
      <c r="B42" s="836"/>
      <c r="C42" s="916" t="s">
        <v>693</v>
      </c>
      <c r="D42" s="916"/>
      <c r="E42" s="292">
        <v>358</v>
      </c>
      <c r="G42" s="366">
        <v>15</v>
      </c>
      <c r="J42" s="377">
        <v>15</v>
      </c>
      <c r="K42" s="336">
        <f t="shared" si="1"/>
        <v>100</v>
      </c>
      <c r="L42" s="336">
        <f t="shared" si="1"/>
        <v>0</v>
      </c>
      <c r="M42" s="336">
        <f t="shared" si="1"/>
        <v>0</v>
      </c>
      <c r="N42" s="368">
        <f t="shared" si="2"/>
        <v>100</v>
      </c>
      <c r="O42" s="335">
        <v>55.2</v>
      </c>
      <c r="P42" s="336"/>
      <c r="Q42" s="336"/>
      <c r="R42" s="337">
        <f t="shared" si="3"/>
        <v>55.2</v>
      </c>
      <c r="S42" s="292">
        <v>1</v>
      </c>
      <c r="T42" s="838"/>
      <c r="U42" s="836"/>
      <c r="V42" s="299" t="s">
        <v>497</v>
      </c>
      <c r="W42" s="292" t="s">
        <v>74</v>
      </c>
      <c r="X42" s="292" t="s">
        <v>11</v>
      </c>
      <c r="Y42" s="300">
        <v>55.2</v>
      </c>
      <c r="AD42" s="299"/>
      <c r="AG42" s="300"/>
      <c r="AL42" s="299"/>
      <c r="AO42" s="300"/>
      <c r="AP42" s="299"/>
      <c r="AS42" s="300"/>
      <c r="AT42" s="390"/>
      <c r="AW42" s="300"/>
      <c r="BA42" s="301"/>
    </row>
    <row r="43" spans="1:53" s="73" customFormat="1">
      <c r="A43" s="101">
        <v>1976</v>
      </c>
      <c r="B43" s="852">
        <v>28118</v>
      </c>
      <c r="C43" s="917" t="s">
        <v>1460</v>
      </c>
      <c r="D43" s="917"/>
      <c r="E43" s="73">
        <f>366-E42</f>
        <v>8</v>
      </c>
      <c r="F43" s="73">
        <v>2</v>
      </c>
      <c r="G43" s="119">
        <v>15</v>
      </c>
      <c r="J43" s="126">
        <v>15</v>
      </c>
      <c r="K43" s="92">
        <f t="shared" si="1"/>
        <v>100</v>
      </c>
      <c r="L43" s="92">
        <f t="shared" si="1"/>
        <v>0</v>
      </c>
      <c r="M43" s="92">
        <f t="shared" si="1"/>
        <v>0</v>
      </c>
      <c r="N43" s="121">
        <f t="shared" si="2"/>
        <v>100</v>
      </c>
      <c r="O43" s="91">
        <v>48.7</v>
      </c>
      <c r="P43" s="92"/>
      <c r="Q43" s="92"/>
      <c r="R43" s="93">
        <f t="shared" si="3"/>
        <v>48.7</v>
      </c>
      <c r="S43" s="73">
        <v>4</v>
      </c>
      <c r="T43" s="839">
        <v>28099</v>
      </c>
      <c r="U43" s="852">
        <v>28118</v>
      </c>
      <c r="V43" s="82" t="s">
        <v>497</v>
      </c>
      <c r="W43" s="73" t="s">
        <v>74</v>
      </c>
      <c r="X43" s="73" t="s">
        <v>11</v>
      </c>
      <c r="Y43" s="83">
        <v>48.7</v>
      </c>
      <c r="AD43" s="82"/>
      <c r="AG43" s="83"/>
      <c r="AL43" s="82"/>
      <c r="AO43" s="83"/>
      <c r="AP43" s="82"/>
      <c r="AS43" s="83"/>
      <c r="AT43" s="150"/>
      <c r="AW43" s="83"/>
      <c r="BA43" s="84"/>
    </row>
    <row r="44" spans="1:53" s="73" customFormat="1">
      <c r="A44" s="101">
        <v>1977</v>
      </c>
      <c r="B44" s="852"/>
      <c r="C44" s="917" t="s">
        <v>1460</v>
      </c>
      <c r="D44" s="917"/>
      <c r="E44" s="73">
        <v>0</v>
      </c>
      <c r="G44" s="119">
        <v>15</v>
      </c>
      <c r="J44" s="126">
        <v>15</v>
      </c>
      <c r="K44" s="92">
        <f t="shared" si="1"/>
        <v>100</v>
      </c>
      <c r="L44" s="92">
        <f t="shared" si="1"/>
        <v>0</v>
      </c>
      <c r="M44" s="92">
        <f t="shared" si="1"/>
        <v>0</v>
      </c>
      <c r="N44" s="121">
        <f t="shared" si="2"/>
        <v>100</v>
      </c>
      <c r="O44" s="91">
        <v>48.7</v>
      </c>
      <c r="P44" s="92"/>
      <c r="Q44" s="92"/>
      <c r="R44" s="93">
        <f t="shared" si="3"/>
        <v>48.7</v>
      </c>
      <c r="S44" s="73">
        <v>4</v>
      </c>
      <c r="T44" s="839"/>
      <c r="U44" s="852"/>
      <c r="V44" s="82" t="s">
        <v>497</v>
      </c>
      <c r="W44" s="73" t="s">
        <v>74</v>
      </c>
      <c r="X44" s="73" t="s">
        <v>11</v>
      </c>
      <c r="Y44" s="83">
        <v>48.7</v>
      </c>
      <c r="AD44" s="82"/>
      <c r="AG44" s="83"/>
      <c r="AL44" s="82"/>
      <c r="AO44" s="83"/>
      <c r="AP44" s="82"/>
      <c r="AS44" s="83"/>
      <c r="AT44" s="150"/>
      <c r="AW44" s="83"/>
      <c r="BA44" s="84"/>
    </row>
    <row r="45" spans="1:53" s="73" customFormat="1">
      <c r="A45" s="101">
        <v>1977</v>
      </c>
      <c r="B45" s="852"/>
      <c r="C45" s="917" t="s">
        <v>1460</v>
      </c>
      <c r="D45" s="917"/>
      <c r="E45" s="73">
        <v>365</v>
      </c>
      <c r="G45" s="119">
        <v>15</v>
      </c>
      <c r="J45" s="126">
        <v>15</v>
      </c>
      <c r="K45" s="92">
        <f t="shared" si="1"/>
        <v>100</v>
      </c>
      <c r="L45" s="92">
        <f t="shared" si="1"/>
        <v>0</v>
      </c>
      <c r="M45" s="92">
        <f t="shared" si="1"/>
        <v>0</v>
      </c>
      <c r="N45" s="121">
        <f t="shared" si="2"/>
        <v>100</v>
      </c>
      <c r="O45" s="91">
        <v>48.7</v>
      </c>
      <c r="P45" s="92"/>
      <c r="Q45" s="92"/>
      <c r="R45" s="93">
        <f t="shared" si="3"/>
        <v>48.7</v>
      </c>
      <c r="S45" s="73">
        <v>4</v>
      </c>
      <c r="T45" s="839"/>
      <c r="U45" s="852"/>
      <c r="V45" s="82" t="s">
        <v>497</v>
      </c>
      <c r="W45" s="73" t="s">
        <v>74</v>
      </c>
      <c r="X45" s="73" t="s">
        <v>11</v>
      </c>
      <c r="Y45" s="83">
        <v>48.7</v>
      </c>
      <c r="AD45" s="82"/>
      <c r="AG45" s="83"/>
      <c r="AL45" s="82"/>
      <c r="AO45" s="83"/>
      <c r="AP45" s="82"/>
      <c r="AS45" s="83"/>
      <c r="AT45" s="150"/>
      <c r="AW45" s="83"/>
      <c r="BA45" s="84"/>
    </row>
    <row r="46" spans="1:53" s="73" customFormat="1">
      <c r="A46" s="101">
        <v>1978</v>
      </c>
      <c r="B46" s="852"/>
      <c r="C46" s="917" t="s">
        <v>1460</v>
      </c>
      <c r="D46" s="917"/>
      <c r="E46" s="73">
        <v>341</v>
      </c>
      <c r="G46" s="119">
        <v>15</v>
      </c>
      <c r="J46" s="126">
        <v>15</v>
      </c>
      <c r="K46" s="92">
        <f t="shared" si="1"/>
        <v>100</v>
      </c>
      <c r="L46" s="92">
        <f t="shared" si="1"/>
        <v>0</v>
      </c>
      <c r="M46" s="92">
        <f t="shared" si="1"/>
        <v>0</v>
      </c>
      <c r="N46" s="121">
        <f t="shared" si="2"/>
        <v>100</v>
      </c>
      <c r="O46" s="91">
        <v>48.7</v>
      </c>
      <c r="P46" s="92"/>
      <c r="Q46" s="92"/>
      <c r="R46" s="93">
        <f t="shared" si="3"/>
        <v>48.7</v>
      </c>
      <c r="S46" s="73">
        <v>4</v>
      </c>
      <c r="T46" s="839"/>
      <c r="U46" s="852"/>
      <c r="V46" s="82" t="s">
        <v>497</v>
      </c>
      <c r="W46" s="73" t="s">
        <v>74</v>
      </c>
      <c r="X46" s="73" t="s">
        <v>11</v>
      </c>
      <c r="Y46" s="83">
        <v>48.7</v>
      </c>
      <c r="AD46" s="82"/>
      <c r="AG46" s="83"/>
      <c r="AL46" s="82"/>
      <c r="AO46" s="83"/>
      <c r="AP46" s="82"/>
      <c r="AS46" s="83"/>
      <c r="AT46" s="150"/>
      <c r="AW46" s="83"/>
      <c r="BA46" s="84"/>
    </row>
    <row r="47" spans="1:53" s="292" customFormat="1">
      <c r="A47" s="338">
        <v>1978</v>
      </c>
      <c r="B47" s="836">
        <v>28832</v>
      </c>
      <c r="C47" s="916" t="s">
        <v>1180</v>
      </c>
      <c r="D47" s="916"/>
      <c r="E47" s="292">
        <f>365-E46</f>
        <v>24</v>
      </c>
      <c r="F47" s="292">
        <v>2</v>
      </c>
      <c r="G47" s="366">
        <v>15</v>
      </c>
      <c r="J47" s="377">
        <v>15</v>
      </c>
      <c r="K47" s="336">
        <f t="shared" si="1"/>
        <v>100</v>
      </c>
      <c r="L47" s="336">
        <f t="shared" si="1"/>
        <v>0</v>
      </c>
      <c r="M47" s="336">
        <f t="shared" si="1"/>
        <v>0</v>
      </c>
      <c r="N47" s="368">
        <f t="shared" si="2"/>
        <v>100</v>
      </c>
      <c r="O47" s="335">
        <v>48.7</v>
      </c>
      <c r="P47" s="336"/>
      <c r="Q47" s="336"/>
      <c r="R47" s="337">
        <f t="shared" si="3"/>
        <v>48.7</v>
      </c>
      <c r="S47" s="292">
        <v>4</v>
      </c>
      <c r="T47" s="838"/>
      <c r="U47" s="836">
        <v>28832</v>
      </c>
      <c r="V47" s="299" t="s">
        <v>497</v>
      </c>
      <c r="W47" s="292" t="s">
        <v>74</v>
      </c>
      <c r="X47" s="292" t="s">
        <v>11</v>
      </c>
      <c r="Y47" s="300">
        <v>48.7</v>
      </c>
      <c r="AD47" s="299"/>
      <c r="AG47" s="300"/>
      <c r="AL47" s="299"/>
      <c r="AO47" s="300"/>
      <c r="AP47" s="299"/>
      <c r="AS47" s="300"/>
      <c r="AT47" s="390"/>
      <c r="AW47" s="300"/>
      <c r="BA47" s="301"/>
    </row>
    <row r="48" spans="1:53" s="292" customFormat="1">
      <c r="A48" s="338">
        <v>1979</v>
      </c>
      <c r="B48" s="836"/>
      <c r="C48" s="916" t="s">
        <v>1180</v>
      </c>
      <c r="D48" s="916"/>
      <c r="E48" s="292">
        <v>311</v>
      </c>
      <c r="G48" s="366">
        <v>15</v>
      </c>
      <c r="J48" s="377">
        <v>15</v>
      </c>
      <c r="K48" s="336">
        <f t="shared" si="1"/>
        <v>100</v>
      </c>
      <c r="L48" s="336">
        <f t="shared" si="1"/>
        <v>0</v>
      </c>
      <c r="M48" s="336">
        <f t="shared" si="1"/>
        <v>0</v>
      </c>
      <c r="N48" s="368">
        <f t="shared" si="2"/>
        <v>100</v>
      </c>
      <c r="O48" s="335">
        <v>48.7</v>
      </c>
      <c r="P48" s="336"/>
      <c r="Q48" s="336"/>
      <c r="R48" s="337">
        <f t="shared" si="3"/>
        <v>48.7</v>
      </c>
      <c r="S48" s="292">
        <v>4</v>
      </c>
      <c r="T48" s="838"/>
      <c r="U48" s="836"/>
      <c r="V48" s="299" t="s">
        <v>497</v>
      </c>
      <c r="W48" s="292" t="s">
        <v>74</v>
      </c>
      <c r="X48" s="292" t="s">
        <v>11</v>
      </c>
      <c r="Y48" s="300">
        <v>48.7</v>
      </c>
      <c r="AD48" s="299"/>
      <c r="AG48" s="300"/>
      <c r="AL48" s="299"/>
      <c r="AO48" s="300"/>
      <c r="AP48" s="299"/>
      <c r="AS48" s="300"/>
      <c r="AT48" s="390"/>
      <c r="AW48" s="300"/>
      <c r="BA48" s="301"/>
    </row>
    <row r="49" spans="1:53" s="73" customFormat="1">
      <c r="A49" s="101">
        <v>1979</v>
      </c>
      <c r="B49" s="852">
        <v>29167</v>
      </c>
      <c r="C49" s="917" t="s">
        <v>1181</v>
      </c>
      <c r="D49" s="917"/>
      <c r="E49" s="73">
        <f>365-E48</f>
        <v>54</v>
      </c>
      <c r="F49" s="73">
        <v>1</v>
      </c>
      <c r="G49" s="119">
        <v>14</v>
      </c>
      <c r="J49" s="126">
        <v>14</v>
      </c>
      <c r="K49" s="92">
        <f t="shared" si="1"/>
        <v>100</v>
      </c>
      <c r="L49" s="92">
        <f t="shared" si="1"/>
        <v>0</v>
      </c>
      <c r="M49" s="92">
        <f t="shared" si="1"/>
        <v>0</v>
      </c>
      <c r="N49" s="121">
        <f t="shared" si="2"/>
        <v>100</v>
      </c>
      <c r="O49" s="91">
        <v>48.5</v>
      </c>
      <c r="P49" s="92"/>
      <c r="Q49" s="92"/>
      <c r="R49" s="93">
        <f t="shared" si="3"/>
        <v>48.5</v>
      </c>
      <c r="S49" s="73">
        <v>4</v>
      </c>
      <c r="T49" s="839">
        <v>29135</v>
      </c>
      <c r="U49" s="852">
        <v>29167</v>
      </c>
      <c r="V49" s="82" t="s">
        <v>497</v>
      </c>
      <c r="W49" s="73" t="s">
        <v>74</v>
      </c>
      <c r="X49" s="73" t="s">
        <v>11</v>
      </c>
      <c r="Y49" s="83">
        <v>48.5</v>
      </c>
      <c r="AD49" s="82"/>
      <c r="AG49" s="83"/>
      <c r="AL49" s="82"/>
      <c r="AO49" s="83"/>
      <c r="AP49" s="82"/>
      <c r="AS49" s="83"/>
      <c r="AT49" s="150"/>
      <c r="AW49" s="83"/>
      <c r="BA49" s="84"/>
    </row>
    <row r="50" spans="1:53" s="73" customFormat="1">
      <c r="A50" s="101">
        <v>1980</v>
      </c>
      <c r="B50" s="852"/>
      <c r="C50" s="917" t="s">
        <v>1181</v>
      </c>
      <c r="D50" s="917"/>
      <c r="E50" s="73">
        <v>198</v>
      </c>
      <c r="G50" s="119">
        <v>14</v>
      </c>
      <c r="J50" s="126">
        <v>14</v>
      </c>
      <c r="K50" s="92">
        <f t="shared" si="1"/>
        <v>100</v>
      </c>
      <c r="L50" s="92">
        <f t="shared" si="1"/>
        <v>0</v>
      </c>
      <c r="M50" s="92">
        <f t="shared" si="1"/>
        <v>0</v>
      </c>
      <c r="N50" s="121">
        <f t="shared" si="2"/>
        <v>100</v>
      </c>
      <c r="O50" s="91">
        <v>48.5</v>
      </c>
      <c r="P50" s="92"/>
      <c r="Q50" s="92"/>
      <c r="R50" s="93">
        <f t="shared" si="3"/>
        <v>48.5</v>
      </c>
      <c r="S50" s="73">
        <v>4</v>
      </c>
      <c r="T50" s="839"/>
      <c r="U50" s="852"/>
      <c r="V50" s="82" t="s">
        <v>497</v>
      </c>
      <c r="W50" s="73" t="s">
        <v>74</v>
      </c>
      <c r="X50" s="73" t="s">
        <v>11</v>
      </c>
      <c r="Y50" s="83">
        <v>48.5</v>
      </c>
      <c r="AD50" s="82"/>
      <c r="AG50" s="83"/>
      <c r="AL50" s="82"/>
      <c r="AO50" s="83"/>
      <c r="AP50" s="82"/>
      <c r="AS50" s="83"/>
      <c r="AT50" s="150"/>
      <c r="AW50" s="83"/>
      <c r="BA50" s="84"/>
    </row>
    <row r="51" spans="1:53" s="292" customFormat="1">
      <c r="A51" s="338">
        <v>1980</v>
      </c>
      <c r="B51" s="836">
        <v>29419</v>
      </c>
      <c r="C51" s="916" t="s">
        <v>694</v>
      </c>
      <c r="D51" s="916"/>
      <c r="E51" s="292">
        <f>366-E50</f>
        <v>168</v>
      </c>
      <c r="F51" s="292">
        <v>5</v>
      </c>
      <c r="G51" s="366">
        <v>15</v>
      </c>
      <c r="J51" s="377">
        <v>15</v>
      </c>
      <c r="K51" s="336">
        <f>G51/$J51*100</f>
        <v>100</v>
      </c>
      <c r="L51" s="336">
        <f t="shared" ref="L51:M93" si="4">H51/$J51*100</f>
        <v>0</v>
      </c>
      <c r="M51" s="336">
        <f t="shared" si="4"/>
        <v>0</v>
      </c>
      <c r="N51" s="368">
        <f>K51+L51+M51</f>
        <v>100</v>
      </c>
      <c r="O51" s="335">
        <v>55.6</v>
      </c>
      <c r="P51" s="336"/>
      <c r="Q51" s="336"/>
      <c r="R51" s="337">
        <f t="shared" si="3"/>
        <v>55.6</v>
      </c>
      <c r="S51" s="292">
        <v>1</v>
      </c>
      <c r="T51" s="838">
        <v>29394</v>
      </c>
      <c r="U51" s="836">
        <v>29419</v>
      </c>
      <c r="V51" s="299" t="s">
        <v>497</v>
      </c>
      <c r="W51" s="292" t="s">
        <v>74</v>
      </c>
      <c r="X51" s="292" t="s">
        <v>11</v>
      </c>
      <c r="Y51" s="300">
        <v>55.6</v>
      </c>
      <c r="AD51" s="299"/>
      <c r="AG51" s="300"/>
      <c r="AL51" s="299"/>
      <c r="AO51" s="300"/>
      <c r="AP51" s="299"/>
      <c r="AS51" s="300"/>
      <c r="AT51" s="390"/>
      <c r="AW51" s="300"/>
      <c r="BA51" s="301"/>
    </row>
    <row r="52" spans="1:53" s="292" customFormat="1">
      <c r="A52" s="338">
        <v>1981</v>
      </c>
      <c r="B52" s="836"/>
      <c r="C52" s="916" t="s">
        <v>694</v>
      </c>
      <c r="D52" s="916"/>
      <c r="E52" s="292">
        <v>0</v>
      </c>
      <c r="G52" s="366">
        <v>15</v>
      </c>
      <c r="J52" s="377">
        <v>15</v>
      </c>
      <c r="K52" s="336">
        <f t="shared" ref="K52:K79" si="5">G52/$J52*100</f>
        <v>100</v>
      </c>
      <c r="L52" s="336">
        <f t="shared" si="4"/>
        <v>0</v>
      </c>
      <c r="M52" s="336">
        <f t="shared" si="4"/>
        <v>0</v>
      </c>
      <c r="N52" s="368">
        <f t="shared" ref="N52:N79" si="6">K52+L52+M52</f>
        <v>100</v>
      </c>
      <c r="O52" s="335">
        <v>55.6</v>
      </c>
      <c r="P52" s="336"/>
      <c r="Q52" s="336"/>
      <c r="R52" s="337">
        <f t="shared" si="3"/>
        <v>55.6</v>
      </c>
      <c r="S52" s="292">
        <v>1</v>
      </c>
      <c r="T52" s="838"/>
      <c r="U52" s="836"/>
      <c r="V52" s="299" t="s">
        <v>497</v>
      </c>
      <c r="W52" s="292" t="s">
        <v>74</v>
      </c>
      <c r="X52" s="292" t="s">
        <v>11</v>
      </c>
      <c r="Y52" s="300">
        <v>55.6</v>
      </c>
      <c r="AD52" s="299"/>
      <c r="AG52" s="300"/>
      <c r="AL52" s="299"/>
      <c r="AO52" s="300"/>
      <c r="AP52" s="299"/>
      <c r="AS52" s="300"/>
      <c r="AT52" s="390"/>
      <c r="AW52" s="300"/>
      <c r="BA52" s="301"/>
    </row>
    <row r="53" spans="1:53" s="292" customFormat="1">
      <c r="A53" s="338">
        <v>1981</v>
      </c>
      <c r="B53" s="836"/>
      <c r="C53" s="916" t="s">
        <v>694</v>
      </c>
      <c r="D53" s="916"/>
      <c r="E53" s="292">
        <v>365</v>
      </c>
      <c r="G53" s="366">
        <v>15</v>
      </c>
      <c r="J53" s="377">
        <v>15</v>
      </c>
      <c r="K53" s="336">
        <f t="shared" si="5"/>
        <v>100</v>
      </c>
      <c r="L53" s="336">
        <f t="shared" si="4"/>
        <v>0</v>
      </c>
      <c r="M53" s="336">
        <f t="shared" si="4"/>
        <v>0</v>
      </c>
      <c r="N53" s="368">
        <f t="shared" si="6"/>
        <v>100</v>
      </c>
      <c r="O53" s="335">
        <v>55.6</v>
      </c>
      <c r="P53" s="336"/>
      <c r="Q53" s="336"/>
      <c r="R53" s="337">
        <f t="shared" si="3"/>
        <v>55.6</v>
      </c>
      <c r="S53" s="292">
        <v>1</v>
      </c>
      <c r="T53" s="838"/>
      <c r="U53" s="836"/>
      <c r="V53" s="299" t="s">
        <v>497</v>
      </c>
      <c r="W53" s="292" t="s">
        <v>74</v>
      </c>
      <c r="X53" s="292" t="s">
        <v>11</v>
      </c>
      <c r="Y53" s="300">
        <v>55.6</v>
      </c>
      <c r="AD53" s="299"/>
      <c r="AG53" s="300"/>
      <c r="AL53" s="299"/>
      <c r="AO53" s="300"/>
      <c r="AP53" s="299"/>
      <c r="AS53" s="300"/>
      <c r="AT53" s="390"/>
      <c r="AW53" s="300"/>
      <c r="BA53" s="301"/>
    </row>
    <row r="54" spans="1:53" s="292" customFormat="1">
      <c r="A54" s="338">
        <v>1982</v>
      </c>
      <c r="B54" s="836"/>
      <c r="C54" s="916" t="s">
        <v>694</v>
      </c>
      <c r="D54" s="916"/>
      <c r="E54" s="292">
        <v>329</v>
      </c>
      <c r="G54" s="366">
        <v>15</v>
      </c>
      <c r="J54" s="377">
        <v>15</v>
      </c>
      <c r="K54" s="336">
        <f t="shared" si="5"/>
        <v>100</v>
      </c>
      <c r="L54" s="336">
        <f t="shared" si="4"/>
        <v>0</v>
      </c>
      <c r="M54" s="336">
        <f t="shared" si="4"/>
        <v>0</v>
      </c>
      <c r="N54" s="368">
        <f t="shared" si="6"/>
        <v>100</v>
      </c>
      <c r="O54" s="335">
        <v>55.6</v>
      </c>
      <c r="P54" s="336"/>
      <c r="Q54" s="336"/>
      <c r="R54" s="337">
        <f t="shared" si="3"/>
        <v>55.6</v>
      </c>
      <c r="S54" s="292">
        <v>1</v>
      </c>
      <c r="T54" s="838"/>
      <c r="U54" s="836"/>
      <c r="V54" s="299" t="s">
        <v>497</v>
      </c>
      <c r="W54" s="292" t="s">
        <v>74</v>
      </c>
      <c r="X54" s="292" t="s">
        <v>11</v>
      </c>
      <c r="Y54" s="300">
        <v>55.6</v>
      </c>
      <c r="AD54" s="299"/>
      <c r="AG54" s="300"/>
      <c r="AL54" s="299"/>
      <c r="AO54" s="300"/>
      <c r="AP54" s="299"/>
      <c r="AS54" s="300"/>
      <c r="AT54" s="390"/>
      <c r="AW54" s="300"/>
      <c r="BA54" s="301"/>
    </row>
    <row r="55" spans="1:53" s="73" customFormat="1">
      <c r="A55" s="101">
        <v>1982</v>
      </c>
      <c r="B55" s="852">
        <v>30281</v>
      </c>
      <c r="C55" s="917" t="s">
        <v>695</v>
      </c>
      <c r="D55" s="917"/>
      <c r="E55" s="73">
        <f>365-E54</f>
        <v>36</v>
      </c>
      <c r="F55" s="73">
        <v>2</v>
      </c>
      <c r="G55" s="119">
        <v>15</v>
      </c>
      <c r="J55" s="126">
        <v>15</v>
      </c>
      <c r="K55" s="92">
        <f t="shared" si="5"/>
        <v>100</v>
      </c>
      <c r="L55" s="92">
        <f t="shared" si="4"/>
        <v>0</v>
      </c>
      <c r="M55" s="92">
        <f t="shared" si="4"/>
        <v>0</v>
      </c>
      <c r="N55" s="121">
        <f t="shared" si="6"/>
        <v>100</v>
      </c>
      <c r="O55" s="91">
        <v>55.6</v>
      </c>
      <c r="P55" s="92"/>
      <c r="Q55" s="92"/>
      <c r="R55" s="93">
        <f t="shared" si="3"/>
        <v>55.6</v>
      </c>
      <c r="S55" s="73">
        <v>1</v>
      </c>
      <c r="T55" s="839"/>
      <c r="U55" s="852">
        <v>30281</v>
      </c>
      <c r="V55" s="82" t="s">
        <v>497</v>
      </c>
      <c r="W55" s="73" t="s">
        <v>74</v>
      </c>
      <c r="X55" s="73" t="s">
        <v>11</v>
      </c>
      <c r="Y55" s="83">
        <v>55.6</v>
      </c>
      <c r="AD55" s="82"/>
      <c r="AG55" s="83"/>
      <c r="AL55" s="82"/>
      <c r="AO55" s="83"/>
      <c r="AP55" s="82"/>
      <c r="AS55" s="83"/>
      <c r="AT55" s="150"/>
      <c r="AW55" s="83"/>
      <c r="BA55" s="84"/>
    </row>
    <row r="56" spans="1:53" s="73" customFormat="1">
      <c r="A56" s="101">
        <v>1983</v>
      </c>
      <c r="B56" s="852"/>
      <c r="C56" s="917" t="s">
        <v>695</v>
      </c>
      <c r="D56" s="917"/>
      <c r="E56" s="73">
        <v>359</v>
      </c>
      <c r="G56" s="119">
        <v>15</v>
      </c>
      <c r="J56" s="126">
        <v>15</v>
      </c>
      <c r="K56" s="92">
        <f t="shared" si="5"/>
        <v>100</v>
      </c>
      <c r="L56" s="92">
        <f t="shared" si="4"/>
        <v>0</v>
      </c>
      <c r="M56" s="92">
        <f t="shared" si="4"/>
        <v>0</v>
      </c>
      <c r="N56" s="121">
        <f t="shared" si="6"/>
        <v>100</v>
      </c>
      <c r="O56" s="91">
        <v>55.6</v>
      </c>
      <c r="P56" s="92"/>
      <c r="Q56" s="92"/>
      <c r="R56" s="93">
        <f t="shared" si="3"/>
        <v>55.6</v>
      </c>
      <c r="S56" s="73">
        <v>1</v>
      </c>
      <c r="T56" s="839"/>
      <c r="U56" s="852"/>
      <c r="V56" s="82" t="s">
        <v>497</v>
      </c>
      <c r="W56" s="73" t="s">
        <v>74</v>
      </c>
      <c r="X56" s="73" t="s">
        <v>11</v>
      </c>
      <c r="Y56" s="83">
        <v>55.6</v>
      </c>
      <c r="AD56" s="82"/>
      <c r="AG56" s="83"/>
      <c r="AL56" s="82"/>
      <c r="AO56" s="83"/>
      <c r="AP56" s="82"/>
      <c r="AS56" s="83"/>
      <c r="AT56" s="150"/>
      <c r="AW56" s="83"/>
      <c r="BA56" s="84"/>
    </row>
    <row r="57" spans="1:53" s="292" customFormat="1">
      <c r="A57" s="338">
        <v>1983</v>
      </c>
      <c r="B57" s="836">
        <v>30676</v>
      </c>
      <c r="C57" s="916" t="s">
        <v>696</v>
      </c>
      <c r="D57" s="916"/>
      <c r="E57" s="292">
        <f>365-E56</f>
        <v>6</v>
      </c>
      <c r="F57" s="292">
        <v>1</v>
      </c>
      <c r="G57" s="366">
        <v>15</v>
      </c>
      <c r="J57" s="377">
        <v>15</v>
      </c>
      <c r="K57" s="336">
        <f t="shared" si="5"/>
        <v>100</v>
      </c>
      <c r="L57" s="336">
        <f t="shared" si="4"/>
        <v>0</v>
      </c>
      <c r="M57" s="336">
        <f t="shared" si="4"/>
        <v>0</v>
      </c>
      <c r="N57" s="368">
        <f t="shared" si="6"/>
        <v>100</v>
      </c>
      <c r="O57" s="335">
        <f t="shared" ref="O57:O62" si="7">Y57+AC57</f>
        <v>50.5</v>
      </c>
      <c r="P57" s="336"/>
      <c r="Q57" s="336"/>
      <c r="R57" s="337">
        <f t="shared" si="3"/>
        <v>50.5</v>
      </c>
      <c r="S57" s="292">
        <v>2</v>
      </c>
      <c r="T57" s="838">
        <v>30668</v>
      </c>
      <c r="U57" s="836">
        <v>30676</v>
      </c>
      <c r="V57" s="299" t="s">
        <v>497</v>
      </c>
      <c r="W57" s="292" t="s">
        <v>74</v>
      </c>
      <c r="X57" s="292" t="s">
        <v>11</v>
      </c>
      <c r="Y57" s="300">
        <v>48.9</v>
      </c>
      <c r="Z57" s="292" t="s">
        <v>498</v>
      </c>
      <c r="AA57" s="292" t="s">
        <v>22</v>
      </c>
      <c r="AB57" s="292" t="s">
        <v>11</v>
      </c>
      <c r="AC57" s="292">
        <v>1.6</v>
      </c>
      <c r="AD57" s="299"/>
      <c r="AG57" s="300"/>
      <c r="AL57" s="299"/>
      <c r="AO57" s="300"/>
      <c r="AP57" s="299"/>
      <c r="AS57" s="300"/>
      <c r="AT57" s="390"/>
      <c r="AW57" s="300"/>
      <c r="BA57" s="301"/>
    </row>
    <row r="58" spans="1:53" s="292" customFormat="1">
      <c r="A58" s="338">
        <v>1984</v>
      </c>
      <c r="B58" s="836"/>
      <c r="C58" s="916" t="s">
        <v>696</v>
      </c>
      <c r="D58" s="916"/>
      <c r="E58" s="292">
        <v>305</v>
      </c>
      <c r="G58" s="366">
        <v>15</v>
      </c>
      <c r="J58" s="377">
        <v>15</v>
      </c>
      <c r="K58" s="336">
        <f t="shared" si="5"/>
        <v>100</v>
      </c>
      <c r="L58" s="336">
        <f t="shared" si="4"/>
        <v>0</v>
      </c>
      <c r="M58" s="336">
        <f t="shared" si="4"/>
        <v>0</v>
      </c>
      <c r="N58" s="368">
        <f t="shared" si="6"/>
        <v>100</v>
      </c>
      <c r="O58" s="335">
        <f t="shared" si="7"/>
        <v>50.5</v>
      </c>
      <c r="P58" s="336"/>
      <c r="Q58" s="336"/>
      <c r="R58" s="337">
        <f t="shared" si="3"/>
        <v>50.5</v>
      </c>
      <c r="S58" s="292">
        <v>2</v>
      </c>
      <c r="T58" s="838"/>
      <c r="U58" s="836"/>
      <c r="V58" s="299" t="s">
        <v>497</v>
      </c>
      <c r="W58" s="292" t="s">
        <v>74</v>
      </c>
      <c r="X58" s="292" t="s">
        <v>11</v>
      </c>
      <c r="Y58" s="300">
        <v>48.9</v>
      </c>
      <c r="Z58" s="292" t="s">
        <v>498</v>
      </c>
      <c r="AA58" s="292" t="s">
        <v>22</v>
      </c>
      <c r="AB58" s="292" t="s">
        <v>11</v>
      </c>
      <c r="AC58" s="292">
        <v>1.6</v>
      </c>
      <c r="AD58" s="299"/>
      <c r="AG58" s="300"/>
      <c r="AL58" s="299"/>
      <c r="AO58" s="300"/>
      <c r="AP58" s="299"/>
      <c r="AS58" s="300"/>
      <c r="AT58" s="390"/>
      <c r="AW58" s="300"/>
      <c r="BA58" s="301"/>
    </row>
    <row r="59" spans="1:53" s="73" customFormat="1">
      <c r="A59" s="101">
        <v>1984</v>
      </c>
      <c r="B59" s="852">
        <v>30987</v>
      </c>
      <c r="C59" s="917" t="s">
        <v>697</v>
      </c>
      <c r="D59" s="917"/>
      <c r="E59" s="73">
        <f>366-E58</f>
        <v>61</v>
      </c>
      <c r="F59" s="73" t="s">
        <v>312</v>
      </c>
      <c r="G59" s="119">
        <v>15</v>
      </c>
      <c r="J59" s="126">
        <v>15</v>
      </c>
      <c r="K59" s="92">
        <f t="shared" si="5"/>
        <v>100</v>
      </c>
      <c r="L59" s="92">
        <f t="shared" si="4"/>
        <v>0</v>
      </c>
      <c r="M59" s="92">
        <f t="shared" si="4"/>
        <v>0</v>
      </c>
      <c r="N59" s="121">
        <f t="shared" si="6"/>
        <v>100</v>
      </c>
      <c r="O59" s="91">
        <f t="shared" si="7"/>
        <v>50.5</v>
      </c>
      <c r="P59" s="92"/>
      <c r="Q59" s="92"/>
      <c r="R59" s="93">
        <f t="shared" si="3"/>
        <v>50.5</v>
      </c>
      <c r="S59" s="73">
        <v>2</v>
      </c>
      <c r="T59" s="839"/>
      <c r="U59" s="852">
        <v>30987</v>
      </c>
      <c r="V59" s="82" t="s">
        <v>497</v>
      </c>
      <c r="W59" s="73" t="s">
        <v>74</v>
      </c>
      <c r="X59" s="73" t="s">
        <v>11</v>
      </c>
      <c r="Y59" s="83">
        <v>48.9</v>
      </c>
      <c r="Z59" s="73" t="s">
        <v>498</v>
      </c>
      <c r="AA59" s="73" t="s">
        <v>22</v>
      </c>
      <c r="AB59" s="73" t="s">
        <v>11</v>
      </c>
      <c r="AC59" s="73">
        <v>1.6</v>
      </c>
      <c r="AD59" s="82"/>
      <c r="AG59" s="83"/>
      <c r="AL59" s="82"/>
      <c r="AO59" s="83"/>
      <c r="AP59" s="82"/>
      <c r="AS59" s="83"/>
      <c r="AT59" s="150"/>
      <c r="AW59" s="83"/>
      <c r="BA59" s="84"/>
    </row>
    <row r="60" spans="1:53" s="73" customFormat="1">
      <c r="A60" s="101">
        <v>1985</v>
      </c>
      <c r="B60" s="852"/>
      <c r="C60" s="917" t="s">
        <v>697</v>
      </c>
      <c r="D60" s="917"/>
      <c r="E60" s="73">
        <v>0</v>
      </c>
      <c r="G60" s="119">
        <v>15</v>
      </c>
      <c r="J60" s="126">
        <v>15</v>
      </c>
      <c r="K60" s="92">
        <f t="shared" si="5"/>
        <v>100</v>
      </c>
      <c r="L60" s="92">
        <f t="shared" si="4"/>
        <v>0</v>
      </c>
      <c r="M60" s="92">
        <f t="shared" si="4"/>
        <v>0</v>
      </c>
      <c r="N60" s="121">
        <f t="shared" si="6"/>
        <v>100</v>
      </c>
      <c r="O60" s="91">
        <f t="shared" si="7"/>
        <v>50.5</v>
      </c>
      <c r="P60" s="92"/>
      <c r="Q60" s="92"/>
      <c r="R60" s="93">
        <f t="shared" si="3"/>
        <v>50.5</v>
      </c>
      <c r="S60" s="73">
        <v>2</v>
      </c>
      <c r="T60" s="839"/>
      <c r="U60" s="852"/>
      <c r="V60" s="82" t="s">
        <v>497</v>
      </c>
      <c r="W60" s="73" t="s">
        <v>74</v>
      </c>
      <c r="X60" s="73" t="s">
        <v>11</v>
      </c>
      <c r="Y60" s="83">
        <v>48.9</v>
      </c>
      <c r="Z60" s="73" t="s">
        <v>498</v>
      </c>
      <c r="AA60" s="73" t="s">
        <v>22</v>
      </c>
      <c r="AB60" s="73" t="s">
        <v>11</v>
      </c>
      <c r="AC60" s="73">
        <v>1.6</v>
      </c>
      <c r="AD60" s="82"/>
      <c r="AG60" s="83"/>
      <c r="AL60" s="82"/>
      <c r="AO60" s="83"/>
      <c r="AP60" s="82"/>
      <c r="AS60" s="83"/>
      <c r="AT60" s="150"/>
      <c r="AW60" s="83"/>
      <c r="BA60" s="84"/>
    </row>
    <row r="61" spans="1:53" s="73" customFormat="1">
      <c r="A61" s="101">
        <v>1985</v>
      </c>
      <c r="B61" s="852"/>
      <c r="C61" s="917" t="s">
        <v>697</v>
      </c>
      <c r="D61" s="917"/>
      <c r="E61" s="73">
        <v>365</v>
      </c>
      <c r="G61" s="119">
        <v>15</v>
      </c>
      <c r="J61" s="126">
        <v>15</v>
      </c>
      <c r="K61" s="92">
        <f t="shared" si="5"/>
        <v>100</v>
      </c>
      <c r="L61" s="92">
        <f t="shared" si="4"/>
        <v>0</v>
      </c>
      <c r="M61" s="92">
        <f t="shared" si="4"/>
        <v>0</v>
      </c>
      <c r="N61" s="121">
        <f t="shared" si="6"/>
        <v>100</v>
      </c>
      <c r="O61" s="91">
        <f t="shared" si="7"/>
        <v>50.5</v>
      </c>
      <c r="P61" s="92"/>
      <c r="Q61" s="92"/>
      <c r="R61" s="93">
        <f t="shared" si="3"/>
        <v>50.5</v>
      </c>
      <c r="S61" s="73">
        <v>2</v>
      </c>
      <c r="T61" s="839"/>
      <c r="U61" s="852"/>
      <c r="V61" s="82" t="s">
        <v>497</v>
      </c>
      <c r="W61" s="73" t="s">
        <v>74</v>
      </c>
      <c r="X61" s="73" t="s">
        <v>11</v>
      </c>
      <c r="Y61" s="83">
        <v>48.9</v>
      </c>
      <c r="Z61" s="73" t="s">
        <v>498</v>
      </c>
      <c r="AA61" s="73" t="s">
        <v>22</v>
      </c>
      <c r="AB61" s="73" t="s">
        <v>11</v>
      </c>
      <c r="AC61" s="73">
        <v>1.6</v>
      </c>
      <c r="AD61" s="82"/>
      <c r="AG61" s="83"/>
      <c r="AL61" s="82"/>
      <c r="AO61" s="83"/>
      <c r="AP61" s="82"/>
      <c r="AS61" s="83"/>
      <c r="AT61" s="150"/>
      <c r="AW61" s="83"/>
      <c r="BA61" s="84"/>
    </row>
    <row r="62" spans="1:53" s="73" customFormat="1">
      <c r="A62" s="101">
        <v>1986</v>
      </c>
      <c r="B62" s="852"/>
      <c r="C62" s="917" t="s">
        <v>697</v>
      </c>
      <c r="D62" s="917"/>
      <c r="E62" s="73">
        <v>202</v>
      </c>
      <c r="G62" s="119">
        <v>15</v>
      </c>
      <c r="J62" s="126">
        <v>15</v>
      </c>
      <c r="K62" s="92">
        <f t="shared" si="5"/>
        <v>100</v>
      </c>
      <c r="L62" s="92">
        <f t="shared" si="4"/>
        <v>0</v>
      </c>
      <c r="M62" s="92">
        <f t="shared" si="4"/>
        <v>0</v>
      </c>
      <c r="N62" s="121">
        <f t="shared" si="6"/>
        <v>100</v>
      </c>
      <c r="O62" s="91">
        <f t="shared" si="7"/>
        <v>50.5</v>
      </c>
      <c r="P62" s="92"/>
      <c r="Q62" s="92"/>
      <c r="R62" s="93">
        <f t="shared" si="3"/>
        <v>50.5</v>
      </c>
      <c r="S62" s="73">
        <v>2</v>
      </c>
      <c r="T62" s="839"/>
      <c r="U62" s="852"/>
      <c r="V62" s="82" t="s">
        <v>497</v>
      </c>
      <c r="W62" s="73" t="s">
        <v>74</v>
      </c>
      <c r="X62" s="73" t="s">
        <v>11</v>
      </c>
      <c r="Y62" s="83">
        <v>48.9</v>
      </c>
      <c r="Z62" s="73" t="s">
        <v>498</v>
      </c>
      <c r="AA62" s="73" t="s">
        <v>22</v>
      </c>
      <c r="AB62" s="73" t="s">
        <v>11</v>
      </c>
      <c r="AC62" s="73">
        <v>1.6</v>
      </c>
      <c r="AD62" s="82"/>
      <c r="AG62" s="83"/>
      <c r="AL62" s="82"/>
      <c r="AO62" s="83"/>
      <c r="AP62" s="82"/>
      <c r="AS62" s="83"/>
      <c r="AT62" s="150"/>
      <c r="AW62" s="83"/>
      <c r="BA62" s="84"/>
    </row>
    <row r="63" spans="1:53" s="292" customFormat="1">
      <c r="A63" s="338">
        <v>1986</v>
      </c>
      <c r="B63" s="836">
        <v>31615</v>
      </c>
      <c r="C63" s="916" t="s">
        <v>698</v>
      </c>
      <c r="D63" s="916"/>
      <c r="E63" s="292">
        <f>365-E62</f>
        <v>163</v>
      </c>
      <c r="F63" s="292">
        <v>1</v>
      </c>
      <c r="G63" s="366">
        <v>16</v>
      </c>
      <c r="J63" s="377">
        <v>16</v>
      </c>
      <c r="K63" s="336">
        <f t="shared" si="5"/>
        <v>100</v>
      </c>
      <c r="L63" s="336">
        <f t="shared" si="4"/>
        <v>0</v>
      </c>
      <c r="M63" s="336">
        <f t="shared" si="4"/>
        <v>0</v>
      </c>
      <c r="N63" s="368">
        <f t="shared" si="6"/>
        <v>100</v>
      </c>
      <c r="O63" s="335">
        <v>58.6</v>
      </c>
      <c r="P63" s="336"/>
      <c r="Q63" s="336"/>
      <c r="R63" s="337">
        <f t="shared" si="3"/>
        <v>58.6</v>
      </c>
      <c r="S63" s="292">
        <v>1</v>
      </c>
      <c r="T63" s="838">
        <v>31599</v>
      </c>
      <c r="U63" s="836">
        <v>31615</v>
      </c>
      <c r="V63" s="299" t="s">
        <v>497</v>
      </c>
      <c r="W63" s="292" t="s">
        <v>74</v>
      </c>
      <c r="X63" s="292" t="s">
        <v>11</v>
      </c>
      <c r="Y63" s="300">
        <v>58.6</v>
      </c>
      <c r="AD63" s="299"/>
      <c r="AG63" s="300"/>
      <c r="AL63" s="299"/>
      <c r="AO63" s="300"/>
      <c r="AP63" s="299"/>
      <c r="AS63" s="300"/>
      <c r="AT63" s="390"/>
      <c r="AW63" s="300"/>
      <c r="BA63" s="301"/>
    </row>
    <row r="64" spans="1:53" s="292" customFormat="1">
      <c r="A64" s="338">
        <v>1987</v>
      </c>
      <c r="B64" s="836"/>
      <c r="C64" s="916" t="s">
        <v>698</v>
      </c>
      <c r="D64" s="916"/>
      <c r="E64" s="292">
        <v>309</v>
      </c>
      <c r="G64" s="366">
        <v>16</v>
      </c>
      <c r="J64" s="377">
        <v>16</v>
      </c>
      <c r="K64" s="336">
        <f t="shared" si="5"/>
        <v>100</v>
      </c>
      <c r="L64" s="336">
        <f t="shared" si="4"/>
        <v>0</v>
      </c>
      <c r="M64" s="336">
        <f t="shared" si="4"/>
        <v>0</v>
      </c>
      <c r="N64" s="368">
        <f t="shared" si="6"/>
        <v>100</v>
      </c>
      <c r="O64" s="335">
        <v>58.6</v>
      </c>
      <c r="P64" s="336"/>
      <c r="Q64" s="336"/>
      <c r="R64" s="337">
        <f t="shared" si="3"/>
        <v>58.6</v>
      </c>
      <c r="S64" s="292">
        <v>1</v>
      </c>
      <c r="T64" s="838"/>
      <c r="U64" s="836"/>
      <c r="V64" s="299" t="s">
        <v>497</v>
      </c>
      <c r="W64" s="292" t="s">
        <v>74</v>
      </c>
      <c r="X64" s="292" t="s">
        <v>11</v>
      </c>
      <c r="Y64" s="300">
        <v>58.6</v>
      </c>
      <c r="AD64" s="299"/>
      <c r="AG64" s="300"/>
      <c r="AL64" s="299"/>
      <c r="AO64" s="300"/>
      <c r="AP64" s="299"/>
      <c r="AS64" s="300"/>
      <c r="AT64" s="390"/>
      <c r="AW64" s="300"/>
      <c r="BA64" s="301"/>
    </row>
    <row r="65" spans="1:53" s="73" customFormat="1">
      <c r="A65" s="101">
        <v>1987</v>
      </c>
      <c r="B65" s="852">
        <v>32087</v>
      </c>
      <c r="C65" s="917" t="s">
        <v>699</v>
      </c>
      <c r="D65" s="917"/>
      <c r="E65" s="73">
        <f>365-E64</f>
        <v>56</v>
      </c>
      <c r="F65" s="73">
        <v>2</v>
      </c>
      <c r="G65" s="119">
        <v>15</v>
      </c>
      <c r="J65" s="126">
        <v>15</v>
      </c>
      <c r="K65" s="92">
        <f t="shared" si="5"/>
        <v>100</v>
      </c>
      <c r="L65" s="92">
        <f t="shared" si="4"/>
        <v>0</v>
      </c>
      <c r="M65" s="92">
        <f t="shared" si="4"/>
        <v>0</v>
      </c>
      <c r="N65" s="121">
        <f t="shared" si="6"/>
        <v>100</v>
      </c>
      <c r="O65" s="91">
        <v>58.6</v>
      </c>
      <c r="P65" s="92"/>
      <c r="Q65" s="92"/>
      <c r="R65" s="93">
        <f t="shared" si="3"/>
        <v>58.6</v>
      </c>
      <c r="S65" s="73">
        <v>1</v>
      </c>
      <c r="T65" s="839"/>
      <c r="U65" s="852">
        <v>32087</v>
      </c>
      <c r="V65" s="82" t="s">
        <v>497</v>
      </c>
      <c r="W65" s="73" t="s">
        <v>74</v>
      </c>
      <c r="X65" s="73" t="s">
        <v>11</v>
      </c>
      <c r="Y65" s="83">
        <v>58.6</v>
      </c>
      <c r="AD65" s="82"/>
      <c r="AG65" s="83"/>
      <c r="AL65" s="82"/>
      <c r="AO65" s="83"/>
      <c r="AP65" s="82"/>
      <c r="AS65" s="83"/>
      <c r="AT65" s="150"/>
      <c r="AW65" s="83"/>
      <c r="BA65" s="84"/>
    </row>
    <row r="66" spans="1:53" s="73" customFormat="1">
      <c r="A66" s="101">
        <v>1988</v>
      </c>
      <c r="B66" s="852"/>
      <c r="C66" s="917" t="s">
        <v>699</v>
      </c>
      <c r="D66" s="917"/>
      <c r="E66" s="73">
        <v>0</v>
      </c>
      <c r="G66" s="119">
        <v>15</v>
      </c>
      <c r="J66" s="126">
        <v>15</v>
      </c>
      <c r="K66" s="92">
        <f t="shared" si="5"/>
        <v>100</v>
      </c>
      <c r="L66" s="92">
        <f t="shared" si="4"/>
        <v>0</v>
      </c>
      <c r="M66" s="92">
        <f t="shared" si="4"/>
        <v>0</v>
      </c>
      <c r="N66" s="121">
        <f t="shared" si="6"/>
        <v>100</v>
      </c>
      <c r="O66" s="91">
        <v>58.6</v>
      </c>
      <c r="P66" s="92"/>
      <c r="Q66" s="92"/>
      <c r="R66" s="93">
        <f t="shared" si="3"/>
        <v>58.6</v>
      </c>
      <c r="S66" s="73">
        <v>1</v>
      </c>
      <c r="T66" s="839"/>
      <c r="U66" s="852"/>
      <c r="V66" s="82" t="s">
        <v>497</v>
      </c>
      <c r="W66" s="73" t="s">
        <v>74</v>
      </c>
      <c r="X66" s="73" t="s">
        <v>11</v>
      </c>
      <c r="Y66" s="83">
        <v>58.6</v>
      </c>
      <c r="AD66" s="82"/>
      <c r="AG66" s="83"/>
      <c r="AL66" s="82"/>
      <c r="AO66" s="83"/>
      <c r="AP66" s="82"/>
      <c r="AS66" s="83"/>
      <c r="AT66" s="150"/>
      <c r="AW66" s="83"/>
      <c r="BA66" s="84"/>
    </row>
    <row r="67" spans="1:53" s="73" customFormat="1">
      <c r="A67" s="101">
        <v>1988</v>
      </c>
      <c r="B67" s="852"/>
      <c r="C67" s="917" t="s">
        <v>699</v>
      </c>
      <c r="D67" s="917"/>
      <c r="E67" s="73">
        <v>366</v>
      </c>
      <c r="G67" s="119">
        <v>15</v>
      </c>
      <c r="J67" s="126">
        <v>15</v>
      </c>
      <c r="K67" s="92">
        <f t="shared" si="5"/>
        <v>100</v>
      </c>
      <c r="L67" s="92">
        <f t="shared" si="4"/>
        <v>0</v>
      </c>
      <c r="M67" s="92">
        <f t="shared" si="4"/>
        <v>0</v>
      </c>
      <c r="N67" s="121">
        <f t="shared" si="6"/>
        <v>100</v>
      </c>
      <c r="O67" s="91">
        <v>58.6</v>
      </c>
      <c r="P67" s="92"/>
      <c r="Q67" s="92"/>
      <c r="R67" s="93">
        <f t="shared" si="3"/>
        <v>58.6</v>
      </c>
      <c r="S67" s="73">
        <v>1</v>
      </c>
      <c r="T67" s="839"/>
      <c r="U67" s="852"/>
      <c r="V67" s="82" t="s">
        <v>497</v>
      </c>
      <c r="W67" s="73" t="s">
        <v>74</v>
      </c>
      <c r="X67" s="73" t="s">
        <v>11</v>
      </c>
      <c r="Y67" s="83">
        <v>58.6</v>
      </c>
      <c r="AD67" s="82"/>
      <c r="AG67" s="83"/>
      <c r="AL67" s="82"/>
      <c r="AO67" s="83"/>
      <c r="AP67" s="82"/>
      <c r="AS67" s="83"/>
      <c r="AT67" s="150"/>
      <c r="AW67" s="83"/>
      <c r="BA67" s="84"/>
    </row>
    <row r="68" spans="1:53" s="73" customFormat="1">
      <c r="A68" s="101">
        <v>1989</v>
      </c>
      <c r="B68" s="852"/>
      <c r="C68" s="917" t="s">
        <v>699</v>
      </c>
      <c r="D68" s="917"/>
      <c r="E68" s="73">
        <v>153</v>
      </c>
      <c r="G68" s="119">
        <v>15</v>
      </c>
      <c r="J68" s="126">
        <v>15</v>
      </c>
      <c r="K68" s="92">
        <f t="shared" si="5"/>
        <v>100</v>
      </c>
      <c r="L68" s="92">
        <f t="shared" si="4"/>
        <v>0</v>
      </c>
      <c r="M68" s="92">
        <f t="shared" si="4"/>
        <v>0</v>
      </c>
      <c r="N68" s="121">
        <f t="shared" si="6"/>
        <v>100</v>
      </c>
      <c r="O68" s="91">
        <v>58.6</v>
      </c>
      <c r="P68" s="92"/>
      <c r="Q68" s="92"/>
      <c r="R68" s="93">
        <f t="shared" si="3"/>
        <v>58.6</v>
      </c>
      <c r="S68" s="73">
        <v>1</v>
      </c>
      <c r="T68" s="839"/>
      <c r="U68" s="852"/>
      <c r="V68" s="82" t="s">
        <v>497</v>
      </c>
      <c r="W68" s="73" t="s">
        <v>74</v>
      </c>
      <c r="X68" s="73" t="s">
        <v>11</v>
      </c>
      <c r="Y68" s="83">
        <v>58.6</v>
      </c>
      <c r="AD68" s="82"/>
      <c r="AG68" s="83"/>
      <c r="AL68" s="82"/>
      <c r="AO68" s="83"/>
      <c r="AP68" s="82"/>
      <c r="AS68" s="83"/>
      <c r="AT68" s="150"/>
      <c r="AW68" s="83"/>
      <c r="BA68" s="84"/>
    </row>
    <row r="69" spans="1:53" s="292" customFormat="1">
      <c r="A69" s="338">
        <v>1989</v>
      </c>
      <c r="B69" s="836">
        <v>32662</v>
      </c>
      <c r="C69" s="916" t="s">
        <v>700</v>
      </c>
      <c r="D69" s="916"/>
      <c r="E69" s="292">
        <v>67</v>
      </c>
      <c r="F69" s="292">
        <v>2</v>
      </c>
      <c r="G69" s="366">
        <v>15</v>
      </c>
      <c r="J69" s="377">
        <v>15</v>
      </c>
      <c r="K69" s="336">
        <f t="shared" si="5"/>
        <v>100</v>
      </c>
      <c r="L69" s="336">
        <f t="shared" si="4"/>
        <v>0</v>
      </c>
      <c r="M69" s="336">
        <f t="shared" si="4"/>
        <v>0</v>
      </c>
      <c r="N69" s="368">
        <f t="shared" si="6"/>
        <v>100</v>
      </c>
      <c r="O69" s="335">
        <v>58.6</v>
      </c>
      <c r="P69" s="336"/>
      <c r="Q69" s="336"/>
      <c r="R69" s="337">
        <f t="shared" si="3"/>
        <v>58.6</v>
      </c>
      <c r="S69" s="292">
        <v>1</v>
      </c>
      <c r="T69" s="838"/>
      <c r="U69" s="836">
        <v>32662</v>
      </c>
      <c r="V69" s="299" t="s">
        <v>497</v>
      </c>
      <c r="W69" s="292" t="s">
        <v>74</v>
      </c>
      <c r="X69" s="292" t="s">
        <v>11</v>
      </c>
      <c r="Y69" s="300">
        <v>58.6</v>
      </c>
      <c r="AD69" s="299"/>
      <c r="AG69" s="300"/>
      <c r="AL69" s="299"/>
      <c r="AO69" s="300"/>
      <c r="AP69" s="299"/>
      <c r="AS69" s="300"/>
      <c r="AT69" s="390"/>
      <c r="AW69" s="300"/>
      <c r="BA69" s="301"/>
    </row>
    <row r="70" spans="1:53" s="128" customFormat="1">
      <c r="A70" s="148">
        <v>1989</v>
      </c>
      <c r="B70" s="859">
        <v>32729</v>
      </c>
      <c r="C70" s="957" t="s">
        <v>701</v>
      </c>
      <c r="D70" s="957"/>
      <c r="E70" s="128">
        <f>365-E68-E69</f>
        <v>145</v>
      </c>
      <c r="F70" s="128">
        <v>2</v>
      </c>
      <c r="G70" s="119">
        <v>15</v>
      </c>
      <c r="H70" s="73"/>
      <c r="I70" s="73"/>
      <c r="J70" s="126">
        <v>15</v>
      </c>
      <c r="K70" s="92">
        <f t="shared" si="5"/>
        <v>100</v>
      </c>
      <c r="L70" s="92">
        <f t="shared" si="4"/>
        <v>0</v>
      </c>
      <c r="M70" s="92">
        <f t="shared" si="4"/>
        <v>0</v>
      </c>
      <c r="N70" s="121">
        <f t="shared" si="6"/>
        <v>100</v>
      </c>
      <c r="O70" s="91">
        <v>58.6</v>
      </c>
      <c r="P70" s="92"/>
      <c r="Q70" s="92"/>
      <c r="R70" s="93">
        <f t="shared" si="3"/>
        <v>58.6</v>
      </c>
      <c r="S70" s="73">
        <v>1</v>
      </c>
      <c r="T70" s="839"/>
      <c r="U70" s="852">
        <v>32729</v>
      </c>
      <c r="V70" s="82" t="s">
        <v>497</v>
      </c>
      <c r="W70" s="73" t="s">
        <v>74</v>
      </c>
      <c r="X70" s="73" t="s">
        <v>11</v>
      </c>
      <c r="Y70" s="83">
        <v>58.6</v>
      </c>
      <c r="AD70" s="136"/>
      <c r="AG70" s="137"/>
      <c r="AL70" s="136"/>
      <c r="AO70" s="137"/>
      <c r="AP70" s="136"/>
      <c r="AS70" s="137"/>
      <c r="AT70" s="171"/>
      <c r="AW70" s="137"/>
      <c r="BA70" s="138"/>
    </row>
    <row r="71" spans="1:53" s="73" customFormat="1">
      <c r="A71" s="73">
        <v>1990</v>
      </c>
      <c r="B71" s="852"/>
      <c r="C71" s="960" t="s">
        <v>701</v>
      </c>
      <c r="D71" s="960"/>
      <c r="E71" s="73">
        <v>58</v>
      </c>
      <c r="G71" s="151">
        <v>15</v>
      </c>
      <c r="H71" s="140"/>
      <c r="I71" s="140"/>
      <c r="J71" s="152">
        <v>15</v>
      </c>
      <c r="K71" s="153">
        <f t="shared" si="5"/>
        <v>100</v>
      </c>
      <c r="L71" s="153">
        <f t="shared" si="4"/>
        <v>0</v>
      </c>
      <c r="M71" s="153">
        <f t="shared" si="4"/>
        <v>0</v>
      </c>
      <c r="N71" s="154">
        <f t="shared" si="6"/>
        <v>100</v>
      </c>
      <c r="O71" s="155">
        <v>58.6</v>
      </c>
      <c r="P71" s="153"/>
      <c r="Q71" s="153"/>
      <c r="R71" s="156">
        <f t="shared" si="3"/>
        <v>58.6</v>
      </c>
      <c r="S71" s="140">
        <v>1</v>
      </c>
      <c r="T71" s="875"/>
      <c r="U71" s="874"/>
      <c r="V71" s="157" t="s">
        <v>497</v>
      </c>
      <c r="W71" s="140" t="s">
        <v>74</v>
      </c>
      <c r="X71" s="140" t="s">
        <v>11</v>
      </c>
      <c r="Y71" s="158">
        <v>58.6</v>
      </c>
      <c r="AD71" s="82"/>
      <c r="AG71" s="83"/>
      <c r="AL71" s="82"/>
      <c r="AO71" s="83"/>
      <c r="AP71" s="82"/>
      <c r="AS71" s="83"/>
      <c r="AT71" s="150"/>
      <c r="AW71" s="83"/>
      <c r="BA71" s="84"/>
    </row>
    <row r="72" spans="1:53" s="292" customFormat="1">
      <c r="A72" s="292">
        <v>1990</v>
      </c>
      <c r="B72" s="836">
        <v>32932</v>
      </c>
      <c r="C72" s="916" t="s">
        <v>313</v>
      </c>
      <c r="D72" s="916"/>
      <c r="E72" s="292">
        <f>365-E71</f>
        <v>307</v>
      </c>
      <c r="F72" s="292">
        <v>1</v>
      </c>
      <c r="G72" s="366">
        <v>22</v>
      </c>
      <c r="J72" s="377">
        <v>22</v>
      </c>
      <c r="K72" s="336">
        <f t="shared" si="5"/>
        <v>100</v>
      </c>
      <c r="L72" s="336">
        <f t="shared" si="4"/>
        <v>0</v>
      </c>
      <c r="M72" s="336">
        <f t="shared" si="4"/>
        <v>0</v>
      </c>
      <c r="N72" s="368">
        <f t="shared" si="6"/>
        <v>100</v>
      </c>
      <c r="O72" s="335">
        <v>53.7</v>
      </c>
      <c r="P72" s="336"/>
      <c r="Q72" s="336"/>
      <c r="R72" s="337">
        <f t="shared" si="3"/>
        <v>53.7</v>
      </c>
      <c r="S72" s="292">
        <v>1</v>
      </c>
      <c r="T72" s="838">
        <v>32922</v>
      </c>
      <c r="U72" s="836">
        <v>32932</v>
      </c>
      <c r="V72" s="299" t="s">
        <v>497</v>
      </c>
      <c r="W72" s="292" t="s">
        <v>74</v>
      </c>
      <c r="X72" s="292" t="s">
        <v>11</v>
      </c>
      <c r="Y72" s="300">
        <v>53.7</v>
      </c>
      <c r="AD72" s="299"/>
      <c r="AG72" s="300"/>
      <c r="AL72" s="299"/>
      <c r="AO72" s="300"/>
      <c r="AP72" s="299"/>
      <c r="AS72" s="300"/>
      <c r="AT72" s="390"/>
      <c r="AW72" s="300"/>
      <c r="BA72" s="301"/>
    </row>
    <row r="73" spans="1:53" s="292" customFormat="1">
      <c r="A73" s="292">
        <v>1991</v>
      </c>
      <c r="B73" s="836"/>
      <c r="C73" s="916" t="s">
        <v>313</v>
      </c>
      <c r="D73" s="916"/>
      <c r="E73" s="292">
        <v>308</v>
      </c>
      <c r="G73" s="366">
        <v>22</v>
      </c>
      <c r="J73" s="377">
        <v>22</v>
      </c>
      <c r="K73" s="336">
        <f t="shared" si="5"/>
        <v>100</v>
      </c>
      <c r="L73" s="336">
        <f t="shared" si="4"/>
        <v>0</v>
      </c>
      <c r="M73" s="336">
        <f t="shared" si="4"/>
        <v>0</v>
      </c>
      <c r="N73" s="368">
        <f t="shared" si="6"/>
        <v>100</v>
      </c>
      <c r="O73" s="335">
        <v>53.7</v>
      </c>
      <c r="P73" s="336"/>
      <c r="Q73" s="336"/>
      <c r="R73" s="337">
        <f t="shared" ref="R73:R131" si="8">O73+P73+Q73</f>
        <v>53.7</v>
      </c>
      <c r="S73" s="292">
        <v>1</v>
      </c>
      <c r="T73" s="838"/>
      <c r="U73" s="836"/>
      <c r="V73" s="299" t="s">
        <v>497</v>
      </c>
      <c r="W73" s="292" t="s">
        <v>74</v>
      </c>
      <c r="X73" s="292" t="s">
        <v>11</v>
      </c>
      <c r="Y73" s="300">
        <v>53.7</v>
      </c>
      <c r="AD73" s="299"/>
      <c r="AG73" s="300"/>
      <c r="AL73" s="299"/>
      <c r="AO73" s="300"/>
      <c r="AP73" s="299"/>
      <c r="AS73" s="300"/>
      <c r="AT73" s="390"/>
      <c r="AW73" s="300"/>
      <c r="BA73" s="301"/>
    </row>
    <row r="74" spans="1:53" s="73" customFormat="1">
      <c r="A74" s="73">
        <v>1991</v>
      </c>
      <c r="B74" s="852">
        <v>33547</v>
      </c>
      <c r="C74" s="917" t="s">
        <v>314</v>
      </c>
      <c r="D74" s="917"/>
      <c r="E74" s="73">
        <f>365-E73</f>
        <v>57</v>
      </c>
      <c r="F74" s="73">
        <v>3</v>
      </c>
      <c r="G74" s="119">
        <v>21</v>
      </c>
      <c r="J74" s="126">
        <v>21</v>
      </c>
      <c r="K74" s="92">
        <f t="shared" si="5"/>
        <v>100</v>
      </c>
      <c r="L74" s="92">
        <f t="shared" si="4"/>
        <v>0</v>
      </c>
      <c r="M74" s="92">
        <f t="shared" si="4"/>
        <v>0</v>
      </c>
      <c r="N74" s="121">
        <f t="shared" si="6"/>
        <v>100</v>
      </c>
      <c r="O74" s="91">
        <v>53.7</v>
      </c>
      <c r="P74" s="92"/>
      <c r="Q74" s="92"/>
      <c r="R74" s="93">
        <f t="shared" si="8"/>
        <v>53.7</v>
      </c>
      <c r="S74" s="73">
        <v>1</v>
      </c>
      <c r="T74" s="839"/>
      <c r="U74" s="852">
        <v>33547</v>
      </c>
      <c r="V74" s="82" t="s">
        <v>497</v>
      </c>
      <c r="W74" s="73" t="s">
        <v>74</v>
      </c>
      <c r="X74" s="73" t="s">
        <v>11</v>
      </c>
      <c r="Y74" s="83">
        <v>53.7</v>
      </c>
      <c r="AD74" s="82"/>
      <c r="AG74" s="83"/>
      <c r="AL74" s="82"/>
      <c r="AO74" s="83"/>
      <c r="AP74" s="82"/>
      <c r="AS74" s="83"/>
      <c r="AT74" s="150"/>
      <c r="AW74" s="83"/>
      <c r="BA74" s="84"/>
    </row>
    <row r="75" spans="1:53" s="73" customFormat="1">
      <c r="A75" s="73">
        <v>1992</v>
      </c>
      <c r="B75" s="852"/>
      <c r="C75" s="917" t="s">
        <v>314</v>
      </c>
      <c r="D75" s="917"/>
      <c r="E75" s="73">
        <v>346</v>
      </c>
      <c r="G75" s="119">
        <v>21</v>
      </c>
      <c r="J75" s="126">
        <v>21</v>
      </c>
      <c r="K75" s="92">
        <f t="shared" si="5"/>
        <v>100</v>
      </c>
      <c r="L75" s="92">
        <f t="shared" si="4"/>
        <v>0</v>
      </c>
      <c r="M75" s="92">
        <f t="shared" si="4"/>
        <v>0</v>
      </c>
      <c r="N75" s="121">
        <f t="shared" si="6"/>
        <v>100</v>
      </c>
      <c r="O75" s="91">
        <v>53.7</v>
      </c>
      <c r="P75" s="92"/>
      <c r="Q75" s="92"/>
      <c r="R75" s="93">
        <f t="shared" si="8"/>
        <v>53.7</v>
      </c>
      <c r="S75" s="73">
        <v>1</v>
      </c>
      <c r="T75" s="839"/>
      <c r="U75" s="852"/>
      <c r="V75" s="82" t="s">
        <v>497</v>
      </c>
      <c r="W75" s="73" t="s">
        <v>74</v>
      </c>
      <c r="X75" s="73" t="s">
        <v>11</v>
      </c>
      <c r="Y75" s="83">
        <v>53.7</v>
      </c>
      <c r="AD75" s="82"/>
      <c r="AG75" s="83"/>
      <c r="AL75" s="82"/>
      <c r="AO75" s="83"/>
      <c r="AP75" s="82"/>
      <c r="AS75" s="83"/>
      <c r="AT75" s="150"/>
      <c r="AW75" s="83"/>
      <c r="BA75" s="84"/>
    </row>
    <row r="76" spans="1:53" s="73" customFormat="1">
      <c r="A76" s="73">
        <v>1992</v>
      </c>
      <c r="B76" s="860">
        <v>33950</v>
      </c>
      <c r="C76" s="917" t="s">
        <v>315</v>
      </c>
      <c r="D76" s="917"/>
      <c r="E76" s="73">
        <f>366-E75</f>
        <v>20</v>
      </c>
      <c r="F76" s="139">
        <v>0</v>
      </c>
      <c r="G76" s="119">
        <v>21</v>
      </c>
      <c r="J76" s="126">
        <v>21</v>
      </c>
      <c r="K76" s="92">
        <f t="shared" si="5"/>
        <v>100</v>
      </c>
      <c r="L76" s="92">
        <f t="shared" si="4"/>
        <v>0</v>
      </c>
      <c r="M76" s="92">
        <f t="shared" si="4"/>
        <v>0</v>
      </c>
      <c r="N76" s="121">
        <f t="shared" si="6"/>
        <v>100</v>
      </c>
      <c r="O76" s="91">
        <v>53.7</v>
      </c>
      <c r="P76" s="92"/>
      <c r="Q76" s="92"/>
      <c r="R76" s="93">
        <f t="shared" si="8"/>
        <v>53.7</v>
      </c>
      <c r="S76" s="73">
        <v>1</v>
      </c>
      <c r="T76" s="839"/>
      <c r="U76" s="852"/>
      <c r="V76" s="82" t="s">
        <v>497</v>
      </c>
      <c r="W76" s="73" t="s">
        <v>74</v>
      </c>
      <c r="X76" s="73" t="s">
        <v>11</v>
      </c>
      <c r="Y76" s="83">
        <v>53.7</v>
      </c>
      <c r="AD76" s="82"/>
      <c r="AG76" s="83"/>
      <c r="AL76" s="82"/>
      <c r="AO76" s="83"/>
      <c r="AP76" s="82"/>
      <c r="AS76" s="83"/>
      <c r="AT76" s="150"/>
      <c r="AW76" s="83"/>
      <c r="BA76" s="84"/>
    </row>
    <row r="77" spans="1:53" s="73" customFormat="1">
      <c r="A77" s="73">
        <v>1993</v>
      </c>
      <c r="B77" s="852"/>
      <c r="C77" s="917" t="s">
        <v>315</v>
      </c>
      <c r="D77" s="917"/>
      <c r="E77" s="73">
        <v>220</v>
      </c>
      <c r="G77" s="119">
        <v>21</v>
      </c>
      <c r="J77" s="126">
        <v>21</v>
      </c>
      <c r="K77" s="92">
        <f t="shared" si="5"/>
        <v>100</v>
      </c>
      <c r="L77" s="92">
        <f t="shared" si="4"/>
        <v>0</v>
      </c>
      <c r="M77" s="92">
        <f t="shared" si="4"/>
        <v>0</v>
      </c>
      <c r="N77" s="121">
        <f t="shared" si="6"/>
        <v>100</v>
      </c>
      <c r="O77" s="91">
        <v>53.7</v>
      </c>
      <c r="P77" s="92"/>
      <c r="Q77" s="92"/>
      <c r="R77" s="93">
        <f t="shared" si="8"/>
        <v>53.7</v>
      </c>
      <c r="S77" s="73">
        <v>1</v>
      </c>
      <c r="T77" s="839"/>
      <c r="U77" s="852"/>
      <c r="V77" s="82" t="s">
        <v>497</v>
      </c>
      <c r="W77" s="73" t="s">
        <v>74</v>
      </c>
      <c r="X77" s="73" t="s">
        <v>11</v>
      </c>
      <c r="Y77" s="83">
        <v>53.7</v>
      </c>
      <c r="AD77" s="82"/>
      <c r="AG77" s="83"/>
      <c r="AL77" s="82"/>
      <c r="AO77" s="83"/>
      <c r="AP77" s="82"/>
      <c r="AS77" s="83"/>
      <c r="AT77" s="150"/>
      <c r="AW77" s="83"/>
      <c r="BA77" s="84"/>
    </row>
    <row r="78" spans="1:53" s="292" customFormat="1">
      <c r="A78" s="292">
        <v>1993</v>
      </c>
      <c r="B78" s="836">
        <v>34190</v>
      </c>
      <c r="C78" s="916" t="s">
        <v>316</v>
      </c>
      <c r="D78" s="916"/>
      <c r="E78" s="292">
        <f>365-E77</f>
        <v>145</v>
      </c>
      <c r="F78" s="292">
        <v>5</v>
      </c>
      <c r="G78" s="366">
        <v>7</v>
      </c>
      <c r="H78" s="292">
        <v>4</v>
      </c>
      <c r="I78" s="292">
        <v>8</v>
      </c>
      <c r="J78" s="377">
        <v>21</v>
      </c>
      <c r="K78" s="336">
        <f t="shared" si="5"/>
        <v>33.333333333333329</v>
      </c>
      <c r="L78" s="336">
        <f t="shared" si="4"/>
        <v>19.047619047619047</v>
      </c>
      <c r="M78" s="336">
        <f t="shared" si="4"/>
        <v>38.095238095238095</v>
      </c>
      <c r="N78" s="368">
        <f t="shared" si="6"/>
        <v>90.476190476190482</v>
      </c>
      <c r="O78" s="335">
        <v>20.100000000000001</v>
      </c>
      <c r="P78" s="336">
        <v>10</v>
      </c>
      <c r="Q78" s="336">
        <f>16.6+0.8</f>
        <v>17.400000000000002</v>
      </c>
      <c r="R78" s="337">
        <f t="shared" si="8"/>
        <v>47.5</v>
      </c>
      <c r="S78" s="292">
        <v>5</v>
      </c>
      <c r="T78" s="838">
        <v>34168</v>
      </c>
      <c r="U78" s="836">
        <v>34190</v>
      </c>
      <c r="V78" s="299" t="s">
        <v>112</v>
      </c>
      <c r="W78" s="292" t="s">
        <v>20</v>
      </c>
      <c r="X78" s="292" t="s">
        <v>12</v>
      </c>
      <c r="Y78" s="300">
        <v>13.7</v>
      </c>
      <c r="Z78" s="292" t="s">
        <v>499</v>
      </c>
      <c r="AA78" s="292" t="s">
        <v>76</v>
      </c>
      <c r="AB78" s="292" t="s">
        <v>11</v>
      </c>
      <c r="AC78" s="292">
        <v>10.8</v>
      </c>
      <c r="AD78" s="299" t="s">
        <v>500</v>
      </c>
      <c r="AE78" s="292" t="s">
        <v>17</v>
      </c>
      <c r="AF78" s="292" t="s">
        <v>18</v>
      </c>
      <c r="AG78" s="300">
        <v>10</v>
      </c>
      <c r="AH78" s="292" t="s">
        <v>501</v>
      </c>
      <c r="AI78" s="292" t="s">
        <v>77</v>
      </c>
      <c r="AJ78" s="292" t="s">
        <v>11</v>
      </c>
      <c r="AK78" s="292">
        <v>6.8</v>
      </c>
      <c r="AL78" s="299" t="s">
        <v>502</v>
      </c>
      <c r="AM78" s="292" t="s">
        <v>98</v>
      </c>
      <c r="AN78" s="292" t="s">
        <v>12</v>
      </c>
      <c r="AO78" s="300">
        <v>2.9</v>
      </c>
      <c r="AP78" s="299" t="s">
        <v>569</v>
      </c>
      <c r="AQ78" s="292" t="s">
        <v>80</v>
      </c>
      <c r="AR78" s="292" t="s">
        <v>11</v>
      </c>
      <c r="AS78" s="300">
        <v>2.5</v>
      </c>
      <c r="AT78" s="390" t="s">
        <v>503</v>
      </c>
      <c r="AU78" s="292" t="s">
        <v>330</v>
      </c>
      <c r="AV78" s="292" t="s">
        <v>12</v>
      </c>
      <c r="AW78" s="300">
        <v>0.8</v>
      </c>
      <c r="BA78" s="301"/>
    </row>
    <row r="79" spans="1:53" s="292" customFormat="1">
      <c r="A79" s="292">
        <v>1994</v>
      </c>
      <c r="B79" s="836"/>
      <c r="C79" s="916" t="s">
        <v>316</v>
      </c>
      <c r="D79" s="916"/>
      <c r="E79" s="292">
        <v>117</v>
      </c>
      <c r="G79" s="366">
        <v>7</v>
      </c>
      <c r="H79" s="292">
        <v>4</v>
      </c>
      <c r="I79" s="292">
        <v>8</v>
      </c>
      <c r="J79" s="377">
        <v>21</v>
      </c>
      <c r="K79" s="336">
        <f t="shared" si="5"/>
        <v>33.333333333333329</v>
      </c>
      <c r="L79" s="336">
        <f t="shared" si="4"/>
        <v>19.047619047619047</v>
      </c>
      <c r="M79" s="336">
        <f t="shared" si="4"/>
        <v>38.095238095238095</v>
      </c>
      <c r="N79" s="368">
        <f t="shared" si="6"/>
        <v>90.476190476190482</v>
      </c>
      <c r="O79" s="335">
        <v>20.100000000000001</v>
      </c>
      <c r="P79" s="336">
        <v>10</v>
      </c>
      <c r="Q79" s="336">
        <f>16.6+0.8</f>
        <v>17.400000000000002</v>
      </c>
      <c r="R79" s="337">
        <f t="shared" si="8"/>
        <v>47.5</v>
      </c>
      <c r="S79" s="292">
        <v>5</v>
      </c>
      <c r="T79" s="838"/>
      <c r="U79" s="836"/>
      <c r="V79" s="299" t="s">
        <v>112</v>
      </c>
      <c r="W79" s="292" t="s">
        <v>20</v>
      </c>
      <c r="X79" s="292" t="s">
        <v>12</v>
      </c>
      <c r="Y79" s="300">
        <v>13.7</v>
      </c>
      <c r="Z79" s="292" t="s">
        <v>499</v>
      </c>
      <c r="AA79" s="292" t="s">
        <v>76</v>
      </c>
      <c r="AB79" s="292" t="s">
        <v>11</v>
      </c>
      <c r="AC79" s="292">
        <v>10.8</v>
      </c>
      <c r="AD79" s="299" t="s">
        <v>500</v>
      </c>
      <c r="AE79" s="292" t="s">
        <v>17</v>
      </c>
      <c r="AF79" s="292" t="s">
        <v>18</v>
      </c>
      <c r="AG79" s="300">
        <v>10</v>
      </c>
      <c r="AH79" s="292" t="s">
        <v>501</v>
      </c>
      <c r="AI79" s="292" t="s">
        <v>77</v>
      </c>
      <c r="AJ79" s="292" t="s">
        <v>11</v>
      </c>
      <c r="AK79" s="292">
        <v>6.8</v>
      </c>
      <c r="AL79" s="299" t="s">
        <v>502</v>
      </c>
      <c r="AM79" s="292" t="s">
        <v>98</v>
      </c>
      <c r="AN79" s="292" t="s">
        <v>12</v>
      </c>
      <c r="AO79" s="300">
        <v>2.9</v>
      </c>
      <c r="AP79" s="299" t="s">
        <v>569</v>
      </c>
      <c r="AQ79" s="292" t="s">
        <v>80</v>
      </c>
      <c r="AR79" s="292" t="s">
        <v>11</v>
      </c>
      <c r="AS79" s="300">
        <v>2.5</v>
      </c>
      <c r="AT79" s="390" t="s">
        <v>503</v>
      </c>
      <c r="AU79" s="292" t="s">
        <v>330</v>
      </c>
      <c r="AV79" s="292" t="s">
        <v>12</v>
      </c>
      <c r="AW79" s="300">
        <v>0.8</v>
      </c>
      <c r="BA79" s="301"/>
    </row>
    <row r="80" spans="1:53" s="73" customFormat="1">
      <c r="A80" s="73">
        <v>1994</v>
      </c>
      <c r="B80" s="852">
        <v>34452</v>
      </c>
      <c r="C80" s="917" t="s">
        <v>317</v>
      </c>
      <c r="D80" s="917"/>
      <c r="E80" s="73">
        <v>63</v>
      </c>
      <c r="F80" s="73">
        <v>2</v>
      </c>
      <c r="G80" s="119">
        <v>10</v>
      </c>
      <c r="H80" s="73">
        <v>6</v>
      </c>
      <c r="I80" s="73">
        <v>2</v>
      </c>
      <c r="J80" s="126">
        <v>21</v>
      </c>
      <c r="K80" s="92">
        <f>G80/$J80*100</f>
        <v>47.619047619047613</v>
      </c>
      <c r="L80" s="92">
        <f t="shared" si="4"/>
        <v>28.571428571428569</v>
      </c>
      <c r="M80" s="92">
        <f t="shared" si="4"/>
        <v>9.5238095238095237</v>
      </c>
      <c r="N80" s="121">
        <f>K80+L80+M80</f>
        <v>85.714285714285694</v>
      </c>
      <c r="O80" s="91">
        <v>17.600000000000001</v>
      </c>
      <c r="P80" s="92">
        <v>10</v>
      </c>
      <c r="Q80" s="92">
        <v>2.9</v>
      </c>
      <c r="R80" s="93">
        <f t="shared" si="8"/>
        <v>30.5</v>
      </c>
      <c r="S80" s="73">
        <v>5</v>
      </c>
      <c r="T80" s="839"/>
      <c r="U80" s="852">
        <v>34452</v>
      </c>
      <c r="V80" s="73" t="s">
        <v>499</v>
      </c>
      <c r="W80" s="73" t="s">
        <v>76</v>
      </c>
      <c r="X80" s="73" t="s">
        <v>11</v>
      </c>
      <c r="Y80" s="83">
        <v>10.8</v>
      </c>
      <c r="Z80" s="73" t="s">
        <v>500</v>
      </c>
      <c r="AA80" s="73" t="s">
        <v>17</v>
      </c>
      <c r="AB80" s="73" t="s">
        <v>18</v>
      </c>
      <c r="AC80" s="73">
        <v>10</v>
      </c>
      <c r="AD80" s="82" t="s">
        <v>501</v>
      </c>
      <c r="AE80" s="73" t="s">
        <v>77</v>
      </c>
      <c r="AF80" s="73" t="s">
        <v>11</v>
      </c>
      <c r="AG80" s="83">
        <v>6.8</v>
      </c>
      <c r="AH80" s="82" t="s">
        <v>502</v>
      </c>
      <c r="AI80" s="73" t="s">
        <v>98</v>
      </c>
      <c r="AJ80" s="73" t="s">
        <v>12</v>
      </c>
      <c r="AK80" s="73">
        <v>2.9</v>
      </c>
      <c r="AL80" s="82"/>
      <c r="AO80" s="83"/>
      <c r="AP80" s="82"/>
      <c r="AS80" s="83"/>
      <c r="AT80" s="150"/>
      <c r="AW80" s="83"/>
      <c r="BA80" s="84"/>
    </row>
    <row r="81" spans="1:53" s="292" customFormat="1">
      <c r="A81" s="292">
        <v>1994</v>
      </c>
      <c r="B81" s="836">
        <v>34515</v>
      </c>
      <c r="C81" s="916" t="s">
        <v>318</v>
      </c>
      <c r="D81" s="916"/>
      <c r="E81" s="292">
        <f>365-E80-E79</f>
        <v>185</v>
      </c>
      <c r="F81" s="292">
        <v>2</v>
      </c>
      <c r="G81" s="366">
        <v>15</v>
      </c>
      <c r="I81" s="292">
        <v>6</v>
      </c>
      <c r="J81" s="377">
        <v>21</v>
      </c>
      <c r="K81" s="336">
        <f t="shared" ref="K81:M110" si="9">G81/$J81*100</f>
        <v>71.428571428571431</v>
      </c>
      <c r="L81" s="336">
        <f t="shared" si="4"/>
        <v>0</v>
      </c>
      <c r="M81" s="336">
        <f t="shared" si="4"/>
        <v>28.571428571428569</v>
      </c>
      <c r="N81" s="368">
        <f t="shared" ref="N81:N110" si="10">K81+L81+M81</f>
        <v>100</v>
      </c>
      <c r="O81" s="335">
        <v>43.6</v>
      </c>
      <c r="P81" s="336">
        <v>2.5</v>
      </c>
      <c r="Q81" s="336">
        <v>13.7</v>
      </c>
      <c r="R81" s="337">
        <f t="shared" si="8"/>
        <v>59.8</v>
      </c>
      <c r="S81" s="292">
        <v>3</v>
      </c>
      <c r="T81" s="838"/>
      <c r="U81" s="836">
        <v>34515</v>
      </c>
      <c r="V81" s="299" t="s">
        <v>497</v>
      </c>
      <c r="W81" s="292" t="s">
        <v>74</v>
      </c>
      <c r="X81" s="292" t="s">
        <v>11</v>
      </c>
      <c r="Y81" s="300">
        <v>43.6</v>
      </c>
      <c r="Z81" s="292" t="s">
        <v>112</v>
      </c>
      <c r="AA81" s="292" t="s">
        <v>20</v>
      </c>
      <c r="AB81" s="292" t="s">
        <v>12</v>
      </c>
      <c r="AC81" s="292">
        <v>13.7</v>
      </c>
      <c r="AD81" s="299" t="s">
        <v>570</v>
      </c>
      <c r="AE81" s="292" t="s">
        <v>80</v>
      </c>
      <c r="AF81" s="292" t="s">
        <v>18</v>
      </c>
      <c r="AG81" s="300">
        <v>2.5</v>
      </c>
      <c r="AL81" s="299"/>
      <c r="AO81" s="300"/>
      <c r="AP81" s="299"/>
      <c r="AS81" s="300"/>
      <c r="AT81" s="390"/>
      <c r="AW81" s="300"/>
      <c r="BA81" s="301"/>
    </row>
    <row r="82" spans="1:53" s="292" customFormat="1">
      <c r="A82" s="292">
        <v>1995</v>
      </c>
      <c r="B82" s="836"/>
      <c r="C82" s="916" t="s">
        <v>318</v>
      </c>
      <c r="D82" s="916"/>
      <c r="E82" s="292">
        <v>219</v>
      </c>
      <c r="G82" s="366">
        <v>15</v>
      </c>
      <c r="I82" s="292">
        <v>6</v>
      </c>
      <c r="J82" s="377">
        <v>21</v>
      </c>
      <c r="K82" s="336">
        <f t="shared" si="9"/>
        <v>71.428571428571431</v>
      </c>
      <c r="L82" s="336">
        <f t="shared" si="4"/>
        <v>0</v>
      </c>
      <c r="M82" s="336">
        <f t="shared" si="4"/>
        <v>28.571428571428569</v>
      </c>
      <c r="N82" s="368">
        <f t="shared" si="10"/>
        <v>100</v>
      </c>
      <c r="O82" s="335">
        <v>43.6</v>
      </c>
      <c r="P82" s="336">
        <v>2.5</v>
      </c>
      <c r="Q82" s="336">
        <v>13.7</v>
      </c>
      <c r="R82" s="337">
        <f t="shared" si="8"/>
        <v>59.8</v>
      </c>
      <c r="S82" s="292">
        <v>3</v>
      </c>
      <c r="T82" s="838"/>
      <c r="U82" s="836"/>
      <c r="V82" s="299" t="s">
        <v>497</v>
      </c>
      <c r="W82" s="292" t="s">
        <v>74</v>
      </c>
      <c r="X82" s="292" t="s">
        <v>11</v>
      </c>
      <c r="Y82" s="300">
        <v>43.6</v>
      </c>
      <c r="Z82" s="292" t="s">
        <v>112</v>
      </c>
      <c r="AA82" s="292" t="s">
        <v>20</v>
      </c>
      <c r="AB82" s="292" t="s">
        <v>12</v>
      </c>
      <c r="AC82" s="292">
        <v>13.7</v>
      </c>
      <c r="AD82" s="299" t="s">
        <v>570</v>
      </c>
      <c r="AE82" s="292" t="s">
        <v>80</v>
      </c>
      <c r="AF82" s="292" t="s">
        <v>18</v>
      </c>
      <c r="AG82" s="300">
        <v>2.5</v>
      </c>
      <c r="AL82" s="299"/>
      <c r="AO82" s="300"/>
      <c r="AP82" s="299"/>
      <c r="AS82" s="300"/>
      <c r="AT82" s="390"/>
      <c r="AW82" s="300"/>
      <c r="BA82" s="301"/>
    </row>
    <row r="83" spans="1:53" s="292" customFormat="1">
      <c r="A83" s="292">
        <v>1995</v>
      </c>
      <c r="B83" s="865">
        <v>34919</v>
      </c>
      <c r="C83" s="916" t="s">
        <v>319</v>
      </c>
      <c r="D83" s="916"/>
      <c r="E83" s="292">
        <f>365-E82</f>
        <v>146</v>
      </c>
      <c r="F83" s="381">
        <v>0</v>
      </c>
      <c r="G83" s="366">
        <v>14</v>
      </c>
      <c r="I83" s="292">
        <v>6</v>
      </c>
      <c r="J83" s="377">
        <v>21</v>
      </c>
      <c r="K83" s="336">
        <f t="shared" si="9"/>
        <v>66.666666666666657</v>
      </c>
      <c r="L83" s="336">
        <f t="shared" si="4"/>
        <v>0</v>
      </c>
      <c r="M83" s="336">
        <f t="shared" si="4"/>
        <v>28.571428571428569</v>
      </c>
      <c r="N83" s="368">
        <f t="shared" si="10"/>
        <v>95.238095238095227</v>
      </c>
      <c r="O83" s="335">
        <v>43.6</v>
      </c>
      <c r="P83" s="336">
        <v>2.5</v>
      </c>
      <c r="Q83" s="336">
        <v>13.7</v>
      </c>
      <c r="R83" s="337">
        <f t="shared" si="8"/>
        <v>59.8</v>
      </c>
      <c r="S83" s="292">
        <v>3</v>
      </c>
      <c r="T83" s="838"/>
      <c r="U83" s="836">
        <v>34919</v>
      </c>
      <c r="V83" s="299" t="s">
        <v>497</v>
      </c>
      <c r="W83" s="292" t="s">
        <v>74</v>
      </c>
      <c r="X83" s="292" t="s">
        <v>11</v>
      </c>
      <c r="Y83" s="300">
        <v>43.6</v>
      </c>
      <c r="Z83" s="292" t="s">
        <v>112</v>
      </c>
      <c r="AA83" s="292" t="s">
        <v>20</v>
      </c>
      <c r="AB83" s="292" t="s">
        <v>12</v>
      </c>
      <c r="AC83" s="292">
        <v>13.7</v>
      </c>
      <c r="AD83" s="299" t="s">
        <v>570</v>
      </c>
      <c r="AE83" s="292" t="s">
        <v>80</v>
      </c>
      <c r="AF83" s="292" t="s">
        <v>18</v>
      </c>
      <c r="AG83" s="300">
        <v>2.5</v>
      </c>
      <c r="AL83" s="299"/>
      <c r="AO83" s="300"/>
      <c r="AP83" s="299"/>
      <c r="AS83" s="300"/>
      <c r="AT83" s="390"/>
      <c r="AW83" s="300"/>
      <c r="BA83" s="301"/>
    </row>
    <row r="84" spans="1:53" s="292" customFormat="1">
      <c r="A84" s="292">
        <v>1996</v>
      </c>
      <c r="B84" s="836"/>
      <c r="C84" s="916" t="s">
        <v>319</v>
      </c>
      <c r="D84" s="916"/>
      <c r="E84" s="292">
        <v>10</v>
      </c>
      <c r="G84" s="366">
        <v>14</v>
      </c>
      <c r="I84" s="292">
        <v>6</v>
      </c>
      <c r="J84" s="377">
        <v>21</v>
      </c>
      <c r="K84" s="336">
        <f t="shared" si="9"/>
        <v>66.666666666666657</v>
      </c>
      <c r="L84" s="336">
        <f t="shared" si="4"/>
        <v>0</v>
      </c>
      <c r="M84" s="336">
        <f t="shared" si="4"/>
        <v>28.571428571428569</v>
      </c>
      <c r="N84" s="368">
        <f t="shared" si="10"/>
        <v>95.238095238095227</v>
      </c>
      <c r="O84" s="335">
        <v>43.6</v>
      </c>
      <c r="P84" s="336">
        <v>2.5</v>
      </c>
      <c r="Q84" s="336">
        <v>13.7</v>
      </c>
      <c r="R84" s="337">
        <f t="shared" si="8"/>
        <v>59.8</v>
      </c>
      <c r="S84" s="292">
        <v>3</v>
      </c>
      <c r="T84" s="838"/>
      <c r="U84" s="836"/>
      <c r="V84" s="299" t="s">
        <v>497</v>
      </c>
      <c r="W84" s="292" t="s">
        <v>74</v>
      </c>
      <c r="X84" s="292" t="s">
        <v>11</v>
      </c>
      <c r="Y84" s="300">
        <v>43.6</v>
      </c>
      <c r="Z84" s="292" t="s">
        <v>112</v>
      </c>
      <c r="AA84" s="292" t="s">
        <v>20</v>
      </c>
      <c r="AB84" s="292" t="s">
        <v>12</v>
      </c>
      <c r="AC84" s="292">
        <v>13.7</v>
      </c>
      <c r="AD84" s="299" t="s">
        <v>570</v>
      </c>
      <c r="AE84" s="292" t="s">
        <v>80</v>
      </c>
      <c r="AF84" s="292" t="s">
        <v>18</v>
      </c>
      <c r="AG84" s="300">
        <v>2.5</v>
      </c>
      <c r="AL84" s="299"/>
      <c r="AO84" s="300"/>
      <c r="AP84" s="299"/>
      <c r="AS84" s="300"/>
      <c r="AT84" s="390"/>
      <c r="AW84" s="300"/>
      <c r="BA84" s="301"/>
    </row>
    <row r="85" spans="1:53" s="73" customFormat="1">
      <c r="A85" s="73">
        <v>1996</v>
      </c>
      <c r="B85" s="852">
        <v>35075</v>
      </c>
      <c r="C85" s="917" t="s">
        <v>320</v>
      </c>
      <c r="D85" s="917"/>
      <c r="E85" s="73">
        <v>301</v>
      </c>
      <c r="F85" s="73">
        <v>2</v>
      </c>
      <c r="G85" s="119">
        <v>13</v>
      </c>
      <c r="I85" s="73">
        <v>7</v>
      </c>
      <c r="J85" s="126">
        <v>21</v>
      </c>
      <c r="K85" s="92">
        <f t="shared" si="9"/>
        <v>61.904761904761905</v>
      </c>
      <c r="L85" s="92">
        <f t="shared" si="4"/>
        <v>0</v>
      </c>
      <c r="M85" s="92">
        <f t="shared" si="4"/>
        <v>33.333333333333329</v>
      </c>
      <c r="N85" s="121">
        <f t="shared" si="10"/>
        <v>95.238095238095241</v>
      </c>
      <c r="O85" s="91">
        <v>43.6</v>
      </c>
      <c r="P85" s="92">
        <v>2.5</v>
      </c>
      <c r="Q85" s="92">
        <v>13.7</v>
      </c>
      <c r="R85" s="93">
        <f t="shared" si="8"/>
        <v>59.8</v>
      </c>
      <c r="S85" s="73">
        <v>3</v>
      </c>
      <c r="T85" s="839"/>
      <c r="U85" s="852">
        <v>35075</v>
      </c>
      <c r="V85" s="82" t="s">
        <v>497</v>
      </c>
      <c r="W85" s="73" t="s">
        <v>74</v>
      </c>
      <c r="X85" s="73" t="s">
        <v>11</v>
      </c>
      <c r="Y85" s="83">
        <v>43.6</v>
      </c>
      <c r="Z85" s="73" t="s">
        <v>112</v>
      </c>
      <c r="AA85" s="73" t="s">
        <v>20</v>
      </c>
      <c r="AB85" s="73" t="s">
        <v>12</v>
      </c>
      <c r="AC85" s="73">
        <v>13.7</v>
      </c>
      <c r="AD85" s="82" t="s">
        <v>570</v>
      </c>
      <c r="AE85" s="73" t="s">
        <v>80</v>
      </c>
      <c r="AF85" s="73" t="s">
        <v>18</v>
      </c>
      <c r="AG85" s="83">
        <v>2.5</v>
      </c>
      <c r="AL85" s="82"/>
      <c r="AO85" s="83"/>
      <c r="AP85" s="82"/>
      <c r="AS85" s="83"/>
      <c r="AT85" s="150"/>
      <c r="AW85" s="83"/>
      <c r="BA85" s="84"/>
    </row>
    <row r="86" spans="1:53" s="292" customFormat="1">
      <c r="A86" s="292">
        <v>1996</v>
      </c>
      <c r="B86" s="836">
        <v>35376</v>
      </c>
      <c r="C86" s="916" t="s">
        <v>321</v>
      </c>
      <c r="D86" s="916"/>
      <c r="E86" s="292">
        <f>366-E85-E84</f>
        <v>55</v>
      </c>
      <c r="F86" s="292">
        <v>1</v>
      </c>
      <c r="G86" s="366">
        <v>21</v>
      </c>
      <c r="J86" s="377">
        <v>21</v>
      </c>
      <c r="K86" s="336">
        <f t="shared" si="9"/>
        <v>100</v>
      </c>
      <c r="L86" s="336">
        <f t="shared" si="4"/>
        <v>0</v>
      </c>
      <c r="M86" s="336">
        <f t="shared" si="4"/>
        <v>0</v>
      </c>
      <c r="N86" s="368">
        <f t="shared" si="10"/>
        <v>100</v>
      </c>
      <c r="O86" s="335">
        <v>47.8</v>
      </c>
      <c r="P86" s="336"/>
      <c r="Q86" s="336"/>
      <c r="R86" s="337">
        <f t="shared" si="8"/>
        <v>47.8</v>
      </c>
      <c r="S86" s="292">
        <v>4</v>
      </c>
      <c r="T86" s="838">
        <v>35358</v>
      </c>
      <c r="U86" s="836">
        <v>35376</v>
      </c>
      <c r="V86" s="299" t="s">
        <v>497</v>
      </c>
      <c r="W86" s="292" t="s">
        <v>74</v>
      </c>
      <c r="X86" s="292" t="s">
        <v>11</v>
      </c>
      <c r="Y86" s="300">
        <v>47.8</v>
      </c>
      <c r="Z86" s="381" t="s">
        <v>112</v>
      </c>
      <c r="AA86" s="381" t="s">
        <v>20</v>
      </c>
      <c r="AB86" s="381" t="s">
        <v>12</v>
      </c>
      <c r="AC86" s="381">
        <v>3</v>
      </c>
      <c r="AD86" s="394" t="s">
        <v>570</v>
      </c>
      <c r="AE86" s="381" t="s">
        <v>80</v>
      </c>
      <c r="AF86" s="381" t="s">
        <v>18</v>
      </c>
      <c r="AG86" s="393">
        <v>0.4</v>
      </c>
      <c r="AL86" s="299"/>
      <c r="AO86" s="300"/>
      <c r="AP86" s="299"/>
      <c r="AS86" s="300"/>
      <c r="AT86" s="390"/>
      <c r="AW86" s="300"/>
      <c r="BA86" s="301"/>
    </row>
    <row r="87" spans="1:53" s="292" customFormat="1">
      <c r="A87" s="292">
        <v>1997</v>
      </c>
      <c r="B87" s="836"/>
      <c r="C87" s="916" t="s">
        <v>321</v>
      </c>
      <c r="D87" s="916"/>
      <c r="E87" s="292">
        <v>253</v>
      </c>
      <c r="G87" s="366">
        <v>21</v>
      </c>
      <c r="J87" s="377">
        <v>21</v>
      </c>
      <c r="K87" s="336">
        <f t="shared" si="9"/>
        <v>100</v>
      </c>
      <c r="L87" s="336">
        <f t="shared" si="4"/>
        <v>0</v>
      </c>
      <c r="M87" s="336">
        <f t="shared" si="4"/>
        <v>0</v>
      </c>
      <c r="N87" s="368">
        <f t="shared" si="10"/>
        <v>100</v>
      </c>
      <c r="O87" s="335">
        <v>47.8</v>
      </c>
      <c r="P87" s="336"/>
      <c r="Q87" s="336"/>
      <c r="R87" s="337">
        <f t="shared" si="8"/>
        <v>47.8</v>
      </c>
      <c r="S87" s="292">
        <v>4</v>
      </c>
      <c r="T87" s="838"/>
      <c r="U87" s="836"/>
      <c r="V87" s="299" t="s">
        <v>497</v>
      </c>
      <c r="W87" s="292" t="s">
        <v>74</v>
      </c>
      <c r="X87" s="292" t="s">
        <v>11</v>
      </c>
      <c r="Y87" s="300">
        <v>47.8</v>
      </c>
      <c r="Z87" s="381" t="s">
        <v>112</v>
      </c>
      <c r="AA87" s="381" t="s">
        <v>20</v>
      </c>
      <c r="AB87" s="381" t="s">
        <v>12</v>
      </c>
      <c r="AC87" s="381">
        <v>3</v>
      </c>
      <c r="AD87" s="394" t="s">
        <v>570</v>
      </c>
      <c r="AE87" s="381" t="s">
        <v>80</v>
      </c>
      <c r="AF87" s="381" t="s">
        <v>18</v>
      </c>
      <c r="AG87" s="393">
        <v>0.4</v>
      </c>
      <c r="AL87" s="299"/>
      <c r="AO87" s="300"/>
      <c r="AP87" s="299"/>
      <c r="AS87" s="300"/>
      <c r="AT87" s="390"/>
      <c r="AW87" s="300"/>
      <c r="BA87" s="301"/>
    </row>
    <row r="88" spans="1:53" s="292" customFormat="1">
      <c r="A88" s="292">
        <v>1997</v>
      </c>
      <c r="B88" s="865">
        <v>35684</v>
      </c>
      <c r="C88" s="916" t="s">
        <v>321</v>
      </c>
      <c r="D88" s="916"/>
      <c r="E88" s="292">
        <f>365-E87</f>
        <v>112</v>
      </c>
      <c r="F88" s="381">
        <v>0</v>
      </c>
      <c r="G88" s="366">
        <v>21</v>
      </c>
      <c r="J88" s="377">
        <v>21</v>
      </c>
      <c r="K88" s="336">
        <f t="shared" si="9"/>
        <v>100</v>
      </c>
      <c r="L88" s="336">
        <f t="shared" si="4"/>
        <v>0</v>
      </c>
      <c r="M88" s="336">
        <f t="shared" si="4"/>
        <v>0</v>
      </c>
      <c r="N88" s="368">
        <f t="shared" si="10"/>
        <v>100</v>
      </c>
      <c r="O88" s="335">
        <v>47.8</v>
      </c>
      <c r="P88" s="336"/>
      <c r="Q88" s="336"/>
      <c r="R88" s="337">
        <f t="shared" si="8"/>
        <v>47.8</v>
      </c>
      <c r="S88" s="292">
        <v>4</v>
      </c>
      <c r="T88" s="838"/>
      <c r="U88" s="836"/>
      <c r="V88" s="299" t="s">
        <v>497</v>
      </c>
      <c r="W88" s="292" t="s">
        <v>74</v>
      </c>
      <c r="X88" s="292" t="s">
        <v>11</v>
      </c>
      <c r="Y88" s="300">
        <v>47.8</v>
      </c>
      <c r="Z88" s="381" t="s">
        <v>112</v>
      </c>
      <c r="AA88" s="381" t="s">
        <v>20</v>
      </c>
      <c r="AB88" s="381" t="s">
        <v>12</v>
      </c>
      <c r="AC88" s="381">
        <v>3</v>
      </c>
      <c r="AD88" s="394" t="s">
        <v>570</v>
      </c>
      <c r="AE88" s="381" t="s">
        <v>80</v>
      </c>
      <c r="AF88" s="381" t="s">
        <v>18</v>
      </c>
      <c r="AG88" s="393">
        <v>0.4</v>
      </c>
      <c r="AL88" s="299"/>
      <c r="AO88" s="300"/>
      <c r="AP88" s="299"/>
      <c r="AS88" s="300"/>
      <c r="AT88" s="390"/>
      <c r="AW88" s="300"/>
      <c r="BA88" s="301"/>
    </row>
    <row r="89" spans="1:53" s="292" customFormat="1">
      <c r="A89" s="292">
        <v>1998</v>
      </c>
      <c r="B89" s="836"/>
      <c r="C89" s="916" t="s">
        <v>321</v>
      </c>
      <c r="D89" s="916"/>
      <c r="E89" s="292">
        <v>210</v>
      </c>
      <c r="G89" s="366">
        <v>21</v>
      </c>
      <c r="J89" s="377">
        <v>21</v>
      </c>
      <c r="K89" s="336">
        <f t="shared" si="9"/>
        <v>100</v>
      </c>
      <c r="L89" s="336">
        <f t="shared" si="4"/>
        <v>0</v>
      </c>
      <c r="M89" s="336">
        <f t="shared" si="4"/>
        <v>0</v>
      </c>
      <c r="N89" s="368">
        <f t="shared" si="10"/>
        <v>100</v>
      </c>
      <c r="O89" s="335">
        <v>47.8</v>
      </c>
      <c r="P89" s="336"/>
      <c r="Q89" s="336"/>
      <c r="R89" s="337">
        <f t="shared" si="8"/>
        <v>47.8</v>
      </c>
      <c r="S89" s="292">
        <v>4</v>
      </c>
      <c r="T89" s="838"/>
      <c r="U89" s="836"/>
      <c r="V89" s="299" t="s">
        <v>497</v>
      </c>
      <c r="W89" s="292" t="s">
        <v>74</v>
      </c>
      <c r="X89" s="292" t="s">
        <v>11</v>
      </c>
      <c r="Y89" s="300">
        <v>47.8</v>
      </c>
      <c r="Z89" s="381" t="s">
        <v>112</v>
      </c>
      <c r="AA89" s="381" t="s">
        <v>20</v>
      </c>
      <c r="AB89" s="381" t="s">
        <v>12</v>
      </c>
      <c r="AC89" s="381">
        <v>3</v>
      </c>
      <c r="AD89" s="394" t="s">
        <v>570</v>
      </c>
      <c r="AE89" s="381" t="s">
        <v>80</v>
      </c>
      <c r="AF89" s="381" t="s">
        <v>18</v>
      </c>
      <c r="AG89" s="393">
        <v>0.4</v>
      </c>
      <c r="AL89" s="299"/>
      <c r="AO89" s="300"/>
      <c r="AP89" s="299"/>
      <c r="AS89" s="300"/>
      <c r="AT89" s="390"/>
      <c r="AW89" s="300"/>
      <c r="BA89" s="301"/>
    </row>
    <row r="90" spans="1:53" s="73" customFormat="1">
      <c r="A90" s="73">
        <v>1998</v>
      </c>
      <c r="B90" s="852">
        <v>36006</v>
      </c>
      <c r="C90" s="917" t="s">
        <v>322</v>
      </c>
      <c r="D90" s="917"/>
      <c r="E90" s="73">
        <f>365-E89</f>
        <v>155</v>
      </c>
      <c r="F90" s="73">
        <v>2</v>
      </c>
      <c r="G90" s="119">
        <v>20</v>
      </c>
      <c r="J90" s="126">
        <v>21</v>
      </c>
      <c r="K90" s="92">
        <f t="shared" si="9"/>
        <v>95.238095238095227</v>
      </c>
      <c r="L90" s="92">
        <f t="shared" si="4"/>
        <v>0</v>
      </c>
      <c r="M90" s="92">
        <f t="shared" si="4"/>
        <v>0</v>
      </c>
      <c r="N90" s="121">
        <f t="shared" si="10"/>
        <v>95.238095238095227</v>
      </c>
      <c r="O90" s="91">
        <v>47.8</v>
      </c>
      <c r="P90" s="92"/>
      <c r="Q90" s="92"/>
      <c r="R90" s="93">
        <f t="shared" si="8"/>
        <v>47.8</v>
      </c>
      <c r="S90" s="73">
        <v>4</v>
      </c>
      <c r="T90" s="839"/>
      <c r="U90" s="852">
        <v>36006</v>
      </c>
      <c r="V90" s="82" t="s">
        <v>497</v>
      </c>
      <c r="W90" s="73" t="s">
        <v>74</v>
      </c>
      <c r="X90" s="73" t="s">
        <v>11</v>
      </c>
      <c r="Y90" s="83">
        <v>47.8</v>
      </c>
      <c r="AD90" s="82"/>
      <c r="AG90" s="83"/>
      <c r="AL90" s="82"/>
      <c r="AO90" s="83"/>
      <c r="AP90" s="82"/>
      <c r="AS90" s="83"/>
      <c r="AT90" s="150"/>
      <c r="AW90" s="83"/>
      <c r="BA90" s="84"/>
    </row>
    <row r="91" spans="1:53" s="73" customFormat="1">
      <c r="A91" s="73">
        <v>1999</v>
      </c>
      <c r="B91" s="852"/>
      <c r="C91" s="917" t="s">
        <v>322</v>
      </c>
      <c r="D91" s="917"/>
      <c r="E91" s="73">
        <v>13</v>
      </c>
      <c r="G91" s="119">
        <v>20</v>
      </c>
      <c r="J91" s="126">
        <v>21</v>
      </c>
      <c r="K91" s="92">
        <f t="shared" si="9"/>
        <v>95.238095238095227</v>
      </c>
      <c r="L91" s="92">
        <f t="shared" si="4"/>
        <v>0</v>
      </c>
      <c r="M91" s="92">
        <f t="shared" si="4"/>
        <v>0</v>
      </c>
      <c r="N91" s="121">
        <f t="shared" si="10"/>
        <v>95.238095238095227</v>
      </c>
      <c r="O91" s="91">
        <v>47.8</v>
      </c>
      <c r="P91" s="92"/>
      <c r="Q91" s="92"/>
      <c r="R91" s="93">
        <f t="shared" si="8"/>
        <v>47.8</v>
      </c>
      <c r="S91" s="73">
        <v>4</v>
      </c>
      <c r="T91" s="839"/>
      <c r="U91" s="852"/>
      <c r="V91" s="82" t="s">
        <v>497</v>
      </c>
      <c r="W91" s="73" t="s">
        <v>74</v>
      </c>
      <c r="X91" s="73" t="s">
        <v>11</v>
      </c>
      <c r="Y91" s="83">
        <v>47.8</v>
      </c>
      <c r="AD91" s="82"/>
      <c r="AG91" s="83"/>
      <c r="AL91" s="82"/>
      <c r="AO91" s="83"/>
      <c r="AP91" s="82"/>
      <c r="AS91" s="83"/>
      <c r="AT91" s="150"/>
      <c r="AW91" s="83"/>
      <c r="BA91" s="84"/>
    </row>
    <row r="92" spans="1:53" s="292" customFormat="1">
      <c r="A92" s="292">
        <v>1999</v>
      </c>
      <c r="B92" s="836">
        <v>36174</v>
      </c>
      <c r="C92" s="916" t="s">
        <v>323</v>
      </c>
      <c r="D92" s="916"/>
      <c r="E92" s="292">
        <v>264</v>
      </c>
      <c r="F92" s="292">
        <v>7</v>
      </c>
      <c r="G92" s="366">
        <v>21</v>
      </c>
      <c r="J92" s="377">
        <v>22</v>
      </c>
      <c r="K92" s="336">
        <f t="shared" si="9"/>
        <v>95.454545454545453</v>
      </c>
      <c r="L92" s="336">
        <f t="shared" si="4"/>
        <v>0</v>
      </c>
      <c r="M92" s="336">
        <f t="shared" si="4"/>
        <v>0</v>
      </c>
      <c r="N92" s="368">
        <f t="shared" si="10"/>
        <v>95.454545454545453</v>
      </c>
      <c r="O92" s="335">
        <v>55.4</v>
      </c>
      <c r="P92" s="336"/>
      <c r="Q92" s="336"/>
      <c r="R92" s="337">
        <v>55.4</v>
      </c>
      <c r="S92" s="292">
        <v>2</v>
      </c>
      <c r="T92" s="838"/>
      <c r="U92" s="836">
        <v>36174</v>
      </c>
      <c r="V92" s="299" t="s">
        <v>497</v>
      </c>
      <c r="W92" s="292" t="s">
        <v>74</v>
      </c>
      <c r="X92" s="292" t="s">
        <v>11</v>
      </c>
      <c r="Y92" s="300">
        <v>47.8</v>
      </c>
      <c r="Z92" s="292" t="s">
        <v>83</v>
      </c>
      <c r="AA92" s="292" t="s">
        <v>79</v>
      </c>
      <c r="AB92" s="292" t="s">
        <v>11</v>
      </c>
      <c r="AC92" s="292">
        <v>7.6</v>
      </c>
      <c r="AD92" s="299"/>
      <c r="AG92" s="300"/>
      <c r="AL92" s="299"/>
      <c r="AO92" s="300"/>
      <c r="AP92" s="299"/>
      <c r="AS92" s="300"/>
      <c r="AT92" s="390"/>
      <c r="AW92" s="300"/>
      <c r="BA92" s="301"/>
    </row>
    <row r="93" spans="1:53" s="73" customFormat="1">
      <c r="A93" s="73">
        <v>1999</v>
      </c>
      <c r="B93" s="852">
        <v>36438</v>
      </c>
      <c r="C93" s="917" t="s">
        <v>324</v>
      </c>
      <c r="D93" s="917"/>
      <c r="E93" s="73">
        <f>365-E92-E91</f>
        <v>88</v>
      </c>
      <c r="F93" s="73">
        <v>7</v>
      </c>
      <c r="G93" s="119">
        <v>21</v>
      </c>
      <c r="H93" s="73">
        <v>1</v>
      </c>
      <c r="J93" s="126">
        <v>23</v>
      </c>
      <c r="K93" s="92">
        <f t="shared" si="9"/>
        <v>91.304347826086953</v>
      </c>
      <c r="L93" s="92">
        <f t="shared" si="4"/>
        <v>4.3478260869565215</v>
      </c>
      <c r="M93" s="92">
        <f t="shared" si="4"/>
        <v>0</v>
      </c>
      <c r="N93" s="121">
        <f t="shared" si="10"/>
        <v>95.65217391304347</v>
      </c>
      <c r="O93" s="91">
        <v>55.6</v>
      </c>
      <c r="P93" s="92">
        <v>10.4</v>
      </c>
      <c r="Q93" s="92"/>
      <c r="R93" s="93">
        <v>66</v>
      </c>
      <c r="S93" s="73">
        <v>3</v>
      </c>
      <c r="T93" s="839"/>
      <c r="U93" s="852">
        <v>36438</v>
      </c>
      <c r="V93" s="82" t="s">
        <v>497</v>
      </c>
      <c r="W93" s="73" t="s">
        <v>74</v>
      </c>
      <c r="X93" s="73" t="s">
        <v>11</v>
      </c>
      <c r="Y93" s="83">
        <v>47.8</v>
      </c>
      <c r="Z93" s="73" t="s">
        <v>83</v>
      </c>
      <c r="AA93" s="73" t="s">
        <v>79</v>
      </c>
      <c r="AB93" s="73" t="s">
        <v>11</v>
      </c>
      <c r="AC93" s="73">
        <v>7.8</v>
      </c>
      <c r="AD93" s="82" t="s">
        <v>500</v>
      </c>
      <c r="AE93" s="73" t="s">
        <v>17</v>
      </c>
      <c r="AF93" s="73" t="s">
        <v>18</v>
      </c>
      <c r="AG93" s="83">
        <v>10.4</v>
      </c>
      <c r="AL93" s="82"/>
      <c r="AO93" s="83"/>
      <c r="AP93" s="82"/>
      <c r="AS93" s="83"/>
      <c r="AT93" s="150"/>
      <c r="AW93" s="83"/>
      <c r="BA93" s="84"/>
    </row>
    <row r="94" spans="1:53" s="73" customFormat="1">
      <c r="A94" s="73">
        <v>2000</v>
      </c>
      <c r="B94" s="852"/>
      <c r="C94" s="917" t="s">
        <v>324</v>
      </c>
      <c r="D94" s="917"/>
      <c r="E94" s="73">
        <v>95</v>
      </c>
      <c r="G94" s="119">
        <v>21</v>
      </c>
      <c r="H94" s="73">
        <v>1</v>
      </c>
      <c r="J94" s="126">
        <v>23</v>
      </c>
      <c r="K94" s="92">
        <f t="shared" si="9"/>
        <v>91.304347826086953</v>
      </c>
      <c r="L94" s="92">
        <f t="shared" si="9"/>
        <v>4.3478260869565215</v>
      </c>
      <c r="M94" s="92">
        <f t="shared" si="9"/>
        <v>0</v>
      </c>
      <c r="N94" s="121">
        <f t="shared" si="10"/>
        <v>95.65217391304347</v>
      </c>
      <c r="O94" s="91">
        <v>55.6</v>
      </c>
      <c r="P94" s="92">
        <v>10.4</v>
      </c>
      <c r="Q94" s="92"/>
      <c r="R94" s="93">
        <v>66</v>
      </c>
      <c r="S94" s="73">
        <v>3</v>
      </c>
      <c r="T94" s="839"/>
      <c r="U94" s="852"/>
      <c r="V94" s="82" t="s">
        <v>497</v>
      </c>
      <c r="W94" s="73" t="s">
        <v>74</v>
      </c>
      <c r="X94" s="73" t="s">
        <v>11</v>
      </c>
      <c r="Y94" s="83">
        <v>47.8</v>
      </c>
      <c r="Z94" s="73" t="s">
        <v>83</v>
      </c>
      <c r="AA94" s="73" t="s">
        <v>79</v>
      </c>
      <c r="AB94" s="73" t="s">
        <v>11</v>
      </c>
      <c r="AC94" s="73">
        <v>7.8</v>
      </c>
      <c r="AD94" s="82" t="s">
        <v>500</v>
      </c>
      <c r="AE94" s="73" t="s">
        <v>17</v>
      </c>
      <c r="AF94" s="73" t="s">
        <v>18</v>
      </c>
      <c r="AG94" s="83">
        <v>10.4</v>
      </c>
      <c r="AL94" s="82"/>
      <c r="AO94" s="83"/>
      <c r="AP94" s="82"/>
      <c r="AS94" s="83"/>
      <c r="AT94" s="150"/>
      <c r="AW94" s="83"/>
      <c r="BA94" s="84"/>
    </row>
    <row r="95" spans="1:53" s="292" customFormat="1">
      <c r="A95" s="292">
        <v>2000</v>
      </c>
      <c r="B95" s="836">
        <v>36621</v>
      </c>
      <c r="C95" s="916" t="s">
        <v>808</v>
      </c>
      <c r="D95" s="916"/>
      <c r="E95" s="292">
        <v>90</v>
      </c>
      <c r="F95" s="292">
        <v>2</v>
      </c>
      <c r="G95" s="366">
        <v>21</v>
      </c>
      <c r="H95" s="292">
        <v>1</v>
      </c>
      <c r="J95" s="377">
        <v>23</v>
      </c>
      <c r="K95" s="336">
        <f>G95/$J95*100</f>
        <v>91.304347826086953</v>
      </c>
      <c r="L95" s="336">
        <f>H95/$J95*100</f>
        <v>4.3478260869565215</v>
      </c>
      <c r="M95" s="336">
        <f>I95/$J95*100</f>
        <v>0</v>
      </c>
      <c r="N95" s="368">
        <f>K95+L95+M95</f>
        <v>95.65217391304347</v>
      </c>
      <c r="O95" s="335">
        <v>55.6</v>
      </c>
      <c r="P95" s="336">
        <v>10.4</v>
      </c>
      <c r="Q95" s="336"/>
      <c r="R95" s="337">
        <v>66</v>
      </c>
      <c r="S95" s="292">
        <v>3</v>
      </c>
      <c r="T95" s="838"/>
      <c r="U95" s="836">
        <v>36621</v>
      </c>
      <c r="V95" s="299" t="s">
        <v>497</v>
      </c>
      <c r="W95" s="292" t="s">
        <v>74</v>
      </c>
      <c r="X95" s="292" t="s">
        <v>11</v>
      </c>
      <c r="Y95" s="300">
        <v>47.8</v>
      </c>
      <c r="Z95" s="292" t="s">
        <v>83</v>
      </c>
      <c r="AA95" s="292" t="s">
        <v>79</v>
      </c>
      <c r="AB95" s="292" t="s">
        <v>11</v>
      </c>
      <c r="AC95" s="292">
        <v>7.8</v>
      </c>
      <c r="AD95" s="299" t="s">
        <v>500</v>
      </c>
      <c r="AE95" s="292" t="s">
        <v>17</v>
      </c>
      <c r="AF95" s="292" t="s">
        <v>18</v>
      </c>
      <c r="AG95" s="300">
        <v>10.4</v>
      </c>
      <c r="AL95" s="299"/>
      <c r="AO95" s="300"/>
      <c r="AP95" s="299"/>
      <c r="AS95" s="300"/>
      <c r="AT95" s="390"/>
      <c r="AW95" s="300"/>
      <c r="BA95" s="301"/>
    </row>
    <row r="96" spans="1:53" s="73" customFormat="1">
      <c r="A96" s="73">
        <v>2000</v>
      </c>
      <c r="B96" s="852">
        <v>36711</v>
      </c>
      <c r="C96" s="917" t="s">
        <v>857</v>
      </c>
      <c r="D96" s="917"/>
      <c r="E96" s="73">
        <v>181</v>
      </c>
      <c r="F96" s="73">
        <v>1</v>
      </c>
      <c r="G96" s="119">
        <v>20</v>
      </c>
      <c r="H96" s="73">
        <v>1</v>
      </c>
      <c r="J96" s="126">
        <v>23</v>
      </c>
      <c r="K96" s="92">
        <f t="shared" si="9"/>
        <v>86.956521739130437</v>
      </c>
      <c r="L96" s="92">
        <f t="shared" si="9"/>
        <v>4.3478260869565215</v>
      </c>
      <c r="M96" s="92">
        <f t="shared" si="9"/>
        <v>0</v>
      </c>
      <c r="N96" s="121">
        <f t="shared" si="10"/>
        <v>91.304347826086953</v>
      </c>
      <c r="O96" s="91">
        <v>50</v>
      </c>
      <c r="P96" s="92">
        <v>6.5</v>
      </c>
      <c r="Q96" s="92"/>
      <c r="R96" s="93">
        <f t="shared" si="8"/>
        <v>56.5</v>
      </c>
      <c r="S96" s="73">
        <v>3</v>
      </c>
      <c r="T96" s="839">
        <v>36702</v>
      </c>
      <c r="U96" s="852">
        <v>36711</v>
      </c>
      <c r="V96" s="82" t="s">
        <v>497</v>
      </c>
      <c r="W96" s="73" t="s">
        <v>74</v>
      </c>
      <c r="X96" s="73" t="s">
        <v>11</v>
      </c>
      <c r="Y96" s="83">
        <v>48.5</v>
      </c>
      <c r="Z96" s="73" t="s">
        <v>500</v>
      </c>
      <c r="AA96" s="73" t="s">
        <v>17</v>
      </c>
      <c r="AB96" s="73" t="s">
        <v>18</v>
      </c>
      <c r="AC96" s="73">
        <v>6.5</v>
      </c>
      <c r="AD96" s="82" t="s">
        <v>504</v>
      </c>
      <c r="AE96" s="73" t="s">
        <v>330</v>
      </c>
      <c r="AF96" s="73" t="s">
        <v>11</v>
      </c>
      <c r="AG96" s="83">
        <v>1.5</v>
      </c>
      <c r="AL96" s="82"/>
      <c r="AO96" s="83"/>
      <c r="AP96" s="82"/>
      <c r="AS96" s="83"/>
      <c r="AT96" s="150"/>
      <c r="AW96" s="83"/>
      <c r="BA96" s="84"/>
    </row>
    <row r="97" spans="1:53" s="73" customFormat="1">
      <c r="A97" s="73">
        <v>2001</v>
      </c>
      <c r="B97" s="852"/>
      <c r="C97" s="917" t="s">
        <v>857</v>
      </c>
      <c r="D97" s="917"/>
      <c r="E97" s="73">
        <v>115</v>
      </c>
      <c r="G97" s="119">
        <v>20</v>
      </c>
      <c r="H97" s="73">
        <v>1</v>
      </c>
      <c r="J97" s="126">
        <v>23</v>
      </c>
      <c r="K97" s="92">
        <f t="shared" si="9"/>
        <v>86.956521739130437</v>
      </c>
      <c r="L97" s="92">
        <f t="shared" si="9"/>
        <v>4.3478260869565215</v>
      </c>
      <c r="M97" s="92">
        <f t="shared" si="9"/>
        <v>0</v>
      </c>
      <c r="N97" s="121">
        <f t="shared" si="10"/>
        <v>91.304347826086953</v>
      </c>
      <c r="O97" s="91">
        <v>50</v>
      </c>
      <c r="P97" s="92">
        <v>6.5</v>
      </c>
      <c r="Q97" s="92"/>
      <c r="R97" s="93">
        <f t="shared" si="8"/>
        <v>56.5</v>
      </c>
      <c r="S97" s="73">
        <v>3</v>
      </c>
      <c r="T97" s="839"/>
      <c r="U97" s="852"/>
      <c r="V97" s="82" t="s">
        <v>497</v>
      </c>
      <c r="W97" s="73" t="s">
        <v>74</v>
      </c>
      <c r="X97" s="73" t="s">
        <v>11</v>
      </c>
      <c r="Y97" s="83">
        <v>48.5</v>
      </c>
      <c r="Z97" s="73" t="s">
        <v>500</v>
      </c>
      <c r="AA97" s="73" t="s">
        <v>17</v>
      </c>
      <c r="AB97" s="73" t="s">
        <v>18</v>
      </c>
      <c r="AC97" s="73">
        <v>6.5</v>
      </c>
      <c r="AD97" s="82" t="s">
        <v>504</v>
      </c>
      <c r="AE97" s="73" t="s">
        <v>330</v>
      </c>
      <c r="AF97" s="73" t="s">
        <v>11</v>
      </c>
      <c r="AG97" s="83">
        <v>1.5</v>
      </c>
      <c r="AL97" s="82"/>
      <c r="AO97" s="83"/>
      <c r="AP97" s="82"/>
      <c r="AS97" s="83"/>
      <c r="AT97" s="150"/>
      <c r="AW97" s="83"/>
      <c r="BA97" s="84"/>
    </row>
    <row r="98" spans="1:53" s="292" customFormat="1">
      <c r="A98" s="292">
        <v>2001</v>
      </c>
      <c r="B98" s="836">
        <v>37007</v>
      </c>
      <c r="C98" s="916" t="s">
        <v>702</v>
      </c>
      <c r="D98" s="916"/>
      <c r="E98" s="292">
        <f>365-E97</f>
        <v>250</v>
      </c>
      <c r="F98" s="292">
        <v>2</v>
      </c>
      <c r="G98" s="366">
        <v>14</v>
      </c>
      <c r="H98" s="292">
        <v>1</v>
      </c>
      <c r="J98" s="377">
        <v>18</v>
      </c>
      <c r="K98" s="336">
        <f t="shared" si="9"/>
        <v>77.777777777777786</v>
      </c>
      <c r="L98" s="336">
        <f t="shared" si="9"/>
        <v>5.5555555555555554</v>
      </c>
      <c r="M98" s="336">
        <f t="shared" si="9"/>
        <v>0</v>
      </c>
      <c r="N98" s="368">
        <f t="shared" si="10"/>
        <v>83.333333333333343</v>
      </c>
      <c r="O98" s="335">
        <v>50</v>
      </c>
      <c r="P98" s="336">
        <v>6.5</v>
      </c>
      <c r="Q98" s="336"/>
      <c r="R98" s="337">
        <f t="shared" si="8"/>
        <v>56.5</v>
      </c>
      <c r="S98" s="292">
        <v>3</v>
      </c>
      <c r="T98" s="838"/>
      <c r="U98" s="836">
        <v>37007</v>
      </c>
      <c r="V98" s="299" t="s">
        <v>497</v>
      </c>
      <c r="W98" s="292" t="s">
        <v>74</v>
      </c>
      <c r="X98" s="292" t="s">
        <v>11</v>
      </c>
      <c r="Y98" s="300">
        <v>48.5</v>
      </c>
      <c r="Z98" s="292" t="s">
        <v>500</v>
      </c>
      <c r="AA98" s="292" t="s">
        <v>17</v>
      </c>
      <c r="AB98" s="292" t="s">
        <v>18</v>
      </c>
      <c r="AC98" s="292">
        <v>6.5</v>
      </c>
      <c r="AD98" s="299" t="s">
        <v>504</v>
      </c>
      <c r="AE98" s="292" t="s">
        <v>330</v>
      </c>
      <c r="AF98" s="292" t="s">
        <v>11</v>
      </c>
      <c r="AG98" s="300">
        <v>1.5</v>
      </c>
      <c r="AL98" s="299"/>
      <c r="AO98" s="300"/>
      <c r="AP98" s="299"/>
      <c r="AS98" s="300"/>
      <c r="AT98" s="390"/>
      <c r="AW98" s="300"/>
      <c r="BA98" s="301"/>
    </row>
    <row r="99" spans="1:53" s="292" customFormat="1">
      <c r="A99" s="292">
        <v>2002</v>
      </c>
      <c r="B99" s="836"/>
      <c r="C99" s="916" t="s">
        <v>702</v>
      </c>
      <c r="D99" s="916"/>
      <c r="E99" s="292">
        <v>0</v>
      </c>
      <c r="G99" s="366">
        <v>14</v>
      </c>
      <c r="H99" s="292">
        <v>1</v>
      </c>
      <c r="J99" s="377">
        <v>18</v>
      </c>
      <c r="K99" s="336">
        <f t="shared" si="9"/>
        <v>77.777777777777786</v>
      </c>
      <c r="L99" s="336">
        <f t="shared" si="9"/>
        <v>5.5555555555555554</v>
      </c>
      <c r="M99" s="336">
        <f t="shared" si="9"/>
        <v>0</v>
      </c>
      <c r="N99" s="368">
        <f t="shared" si="10"/>
        <v>83.333333333333343</v>
      </c>
      <c r="O99" s="335">
        <v>50</v>
      </c>
      <c r="P99" s="336">
        <v>6.5</v>
      </c>
      <c r="Q99" s="336"/>
      <c r="R99" s="337">
        <f t="shared" si="8"/>
        <v>56.5</v>
      </c>
      <c r="S99" s="292">
        <v>3</v>
      </c>
      <c r="T99" s="838"/>
      <c r="U99" s="836"/>
      <c r="V99" s="299" t="s">
        <v>497</v>
      </c>
      <c r="W99" s="292" t="s">
        <v>74</v>
      </c>
      <c r="X99" s="292" t="s">
        <v>11</v>
      </c>
      <c r="Y99" s="300">
        <v>48.5</v>
      </c>
      <c r="Z99" s="292" t="s">
        <v>500</v>
      </c>
      <c r="AA99" s="292" t="s">
        <v>17</v>
      </c>
      <c r="AB99" s="292" t="s">
        <v>18</v>
      </c>
      <c r="AC99" s="292">
        <v>6.5</v>
      </c>
      <c r="AD99" s="299" t="s">
        <v>504</v>
      </c>
      <c r="AE99" s="292" t="s">
        <v>330</v>
      </c>
      <c r="AF99" s="292" t="s">
        <v>11</v>
      </c>
      <c r="AG99" s="300">
        <v>1.5</v>
      </c>
      <c r="AL99" s="299"/>
      <c r="AO99" s="300"/>
      <c r="AP99" s="299"/>
      <c r="AS99" s="300"/>
      <c r="AT99" s="390"/>
      <c r="AW99" s="300"/>
      <c r="BA99" s="301"/>
    </row>
    <row r="100" spans="1:53" s="292" customFormat="1">
      <c r="A100" s="292">
        <v>2002</v>
      </c>
      <c r="B100" s="836"/>
      <c r="C100" s="916" t="s">
        <v>702</v>
      </c>
      <c r="D100" s="916"/>
      <c r="E100" s="292">
        <f>365-E99</f>
        <v>365</v>
      </c>
      <c r="G100" s="366">
        <v>14</v>
      </c>
      <c r="H100" s="292">
        <v>1</v>
      </c>
      <c r="J100" s="377">
        <v>18</v>
      </c>
      <c r="K100" s="336">
        <f t="shared" si="9"/>
        <v>77.777777777777786</v>
      </c>
      <c r="L100" s="336">
        <f t="shared" si="9"/>
        <v>5.5555555555555554</v>
      </c>
      <c r="M100" s="336">
        <f t="shared" si="9"/>
        <v>0</v>
      </c>
      <c r="N100" s="368">
        <f t="shared" si="10"/>
        <v>83.333333333333343</v>
      </c>
      <c r="O100" s="335">
        <v>50</v>
      </c>
      <c r="P100" s="336">
        <v>6.5</v>
      </c>
      <c r="Q100" s="336"/>
      <c r="R100" s="337">
        <f t="shared" si="8"/>
        <v>56.5</v>
      </c>
      <c r="S100" s="292">
        <v>3</v>
      </c>
      <c r="T100" s="838"/>
      <c r="U100" s="836"/>
      <c r="V100" s="299" t="s">
        <v>497</v>
      </c>
      <c r="W100" s="292" t="s">
        <v>74</v>
      </c>
      <c r="X100" s="292" t="s">
        <v>11</v>
      </c>
      <c r="Y100" s="300">
        <v>48.5</v>
      </c>
      <c r="Z100" s="292" t="s">
        <v>500</v>
      </c>
      <c r="AA100" s="292" t="s">
        <v>17</v>
      </c>
      <c r="AB100" s="292" t="s">
        <v>18</v>
      </c>
      <c r="AC100" s="292">
        <v>6.5</v>
      </c>
      <c r="AD100" s="299" t="s">
        <v>504</v>
      </c>
      <c r="AE100" s="292" t="s">
        <v>330</v>
      </c>
      <c r="AF100" s="292" t="s">
        <v>11</v>
      </c>
      <c r="AG100" s="300">
        <v>1.5</v>
      </c>
      <c r="AL100" s="299"/>
      <c r="AO100" s="300"/>
      <c r="AP100" s="299"/>
      <c r="AS100" s="300"/>
      <c r="AT100" s="390"/>
      <c r="AW100" s="300"/>
      <c r="BA100" s="301"/>
    </row>
    <row r="101" spans="1:53" s="292" customFormat="1">
      <c r="A101" s="292">
        <v>2003</v>
      </c>
      <c r="B101" s="836"/>
      <c r="C101" s="916" t="s">
        <v>702</v>
      </c>
      <c r="D101" s="916"/>
      <c r="E101" s="292">
        <v>264</v>
      </c>
      <c r="G101" s="366">
        <v>14</v>
      </c>
      <c r="H101" s="292">
        <v>1</v>
      </c>
      <c r="J101" s="377">
        <v>18</v>
      </c>
      <c r="K101" s="336">
        <f t="shared" si="9"/>
        <v>77.777777777777786</v>
      </c>
      <c r="L101" s="336">
        <f t="shared" si="9"/>
        <v>5.5555555555555554</v>
      </c>
      <c r="M101" s="336">
        <f t="shared" si="9"/>
        <v>0</v>
      </c>
      <c r="N101" s="368">
        <f t="shared" si="10"/>
        <v>83.333333333333343</v>
      </c>
      <c r="O101" s="335">
        <v>50</v>
      </c>
      <c r="P101" s="336">
        <v>6.5</v>
      </c>
      <c r="Q101" s="336"/>
      <c r="R101" s="337">
        <f t="shared" si="8"/>
        <v>56.5</v>
      </c>
      <c r="S101" s="292">
        <v>3</v>
      </c>
      <c r="T101" s="838"/>
      <c r="U101" s="836"/>
      <c r="V101" s="299" t="s">
        <v>497</v>
      </c>
      <c r="W101" s="292" t="s">
        <v>74</v>
      </c>
      <c r="X101" s="292" t="s">
        <v>11</v>
      </c>
      <c r="Y101" s="300">
        <v>48.5</v>
      </c>
      <c r="Z101" s="292" t="s">
        <v>500</v>
      </c>
      <c r="AA101" s="292" t="s">
        <v>17</v>
      </c>
      <c r="AB101" s="292" t="s">
        <v>18</v>
      </c>
      <c r="AC101" s="292">
        <v>6.5</v>
      </c>
      <c r="AD101" s="299" t="s">
        <v>504</v>
      </c>
      <c r="AE101" s="292" t="s">
        <v>330</v>
      </c>
      <c r="AF101" s="292" t="s">
        <v>11</v>
      </c>
      <c r="AG101" s="300">
        <v>1.5</v>
      </c>
      <c r="AL101" s="299"/>
      <c r="AO101" s="300"/>
      <c r="AP101" s="299"/>
      <c r="AS101" s="300"/>
      <c r="AT101" s="390"/>
      <c r="AW101" s="300"/>
      <c r="BA101" s="301"/>
    </row>
    <row r="102" spans="1:53" s="292" customFormat="1">
      <c r="A102" s="292">
        <v>2003</v>
      </c>
      <c r="B102" s="865">
        <v>37886</v>
      </c>
      <c r="C102" s="916" t="s">
        <v>702</v>
      </c>
      <c r="D102" s="916"/>
      <c r="E102" s="292">
        <f>365-E101</f>
        <v>101</v>
      </c>
      <c r="F102" s="381">
        <v>0</v>
      </c>
      <c r="G102" s="366">
        <v>14</v>
      </c>
      <c r="H102" s="292">
        <v>1</v>
      </c>
      <c r="J102" s="377">
        <v>18</v>
      </c>
      <c r="K102" s="336">
        <f t="shared" si="9"/>
        <v>77.777777777777786</v>
      </c>
      <c r="L102" s="336">
        <f t="shared" si="9"/>
        <v>5.5555555555555554</v>
      </c>
      <c r="M102" s="336">
        <f t="shared" si="9"/>
        <v>0</v>
      </c>
      <c r="N102" s="368">
        <f t="shared" si="10"/>
        <v>83.333333333333343</v>
      </c>
      <c r="O102" s="335">
        <f>Y102+AG102</f>
        <v>50</v>
      </c>
      <c r="P102" s="336">
        <v>7.1</v>
      </c>
      <c r="Q102" s="336"/>
      <c r="R102" s="337">
        <f t="shared" si="8"/>
        <v>57.1</v>
      </c>
      <c r="S102" s="292">
        <v>3</v>
      </c>
      <c r="T102" s="838"/>
      <c r="U102" s="836">
        <v>37886</v>
      </c>
      <c r="V102" s="299" t="s">
        <v>497</v>
      </c>
      <c r="W102" s="292" t="s">
        <v>74</v>
      </c>
      <c r="X102" s="292" t="s">
        <v>11</v>
      </c>
      <c r="Y102" s="300">
        <v>48.5</v>
      </c>
      <c r="Z102" s="292" t="s">
        <v>500</v>
      </c>
      <c r="AA102" s="292" t="s">
        <v>17</v>
      </c>
      <c r="AB102" s="292" t="s">
        <v>18</v>
      </c>
      <c r="AC102" s="292">
        <v>6.5</v>
      </c>
      <c r="AD102" s="299" t="s">
        <v>571</v>
      </c>
      <c r="AE102" s="292" t="s">
        <v>330</v>
      </c>
      <c r="AF102" s="292" t="s">
        <v>11</v>
      </c>
      <c r="AG102" s="300">
        <v>1.5</v>
      </c>
      <c r="AL102" s="299"/>
      <c r="AO102" s="300"/>
      <c r="AP102" s="299"/>
      <c r="AS102" s="300"/>
      <c r="AT102" s="390"/>
      <c r="AW102" s="300"/>
      <c r="BA102" s="301"/>
    </row>
    <row r="103" spans="1:53" s="292" customFormat="1">
      <c r="A103" s="292">
        <v>2004</v>
      </c>
      <c r="B103" s="836"/>
      <c r="C103" s="916" t="s">
        <v>702</v>
      </c>
      <c r="D103" s="916"/>
      <c r="E103" s="292">
        <v>270</v>
      </c>
      <c r="G103" s="366">
        <v>14</v>
      </c>
      <c r="H103" s="292">
        <v>1</v>
      </c>
      <c r="J103" s="377">
        <v>18</v>
      </c>
      <c r="K103" s="336">
        <f t="shared" si="9"/>
        <v>77.777777777777786</v>
      </c>
      <c r="L103" s="336">
        <f t="shared" si="9"/>
        <v>5.5555555555555554</v>
      </c>
      <c r="M103" s="336">
        <f t="shared" si="9"/>
        <v>0</v>
      </c>
      <c r="N103" s="368">
        <f t="shared" si="10"/>
        <v>83.333333333333343</v>
      </c>
      <c r="O103" s="335">
        <v>50.2</v>
      </c>
      <c r="P103" s="336">
        <v>7.1</v>
      </c>
      <c r="Q103" s="336"/>
      <c r="R103" s="337">
        <f t="shared" si="8"/>
        <v>57.300000000000004</v>
      </c>
      <c r="S103" s="292">
        <v>3</v>
      </c>
      <c r="T103" s="838">
        <v>37934</v>
      </c>
      <c r="U103" s="836"/>
      <c r="V103" s="299" t="s">
        <v>497</v>
      </c>
      <c r="W103" s="292" t="s">
        <v>74</v>
      </c>
      <c r="X103" s="292" t="s">
        <v>11</v>
      </c>
      <c r="Y103" s="300">
        <v>48.5</v>
      </c>
      <c r="Z103" s="292" t="s">
        <v>500</v>
      </c>
      <c r="AA103" s="292" t="s">
        <v>17</v>
      </c>
      <c r="AB103" s="292" t="s">
        <v>18</v>
      </c>
      <c r="AC103" s="292">
        <v>6.5</v>
      </c>
      <c r="AD103" s="299" t="s">
        <v>571</v>
      </c>
      <c r="AE103" s="292" t="s">
        <v>330</v>
      </c>
      <c r="AF103" s="292" t="s">
        <v>11</v>
      </c>
      <c r="AG103" s="300">
        <v>1.5</v>
      </c>
      <c r="AL103" s="299"/>
      <c r="AO103" s="300"/>
      <c r="AP103" s="299"/>
      <c r="AS103" s="300"/>
      <c r="AT103" s="390"/>
      <c r="AW103" s="300"/>
      <c r="BA103" s="301"/>
    </row>
    <row r="104" spans="1:53" s="73" customFormat="1">
      <c r="A104" s="73">
        <v>2004</v>
      </c>
      <c r="B104" s="852">
        <v>38257</v>
      </c>
      <c r="C104" s="917" t="s">
        <v>703</v>
      </c>
      <c r="D104" s="917"/>
      <c r="E104" s="73">
        <f>366-E103</f>
        <v>96</v>
      </c>
      <c r="F104" s="73">
        <v>4</v>
      </c>
      <c r="G104" s="119">
        <v>17</v>
      </c>
      <c r="H104" s="73">
        <v>1</v>
      </c>
      <c r="J104" s="126">
        <v>18</v>
      </c>
      <c r="K104" s="92">
        <f t="shared" si="9"/>
        <v>94.444444444444443</v>
      </c>
      <c r="L104" s="92">
        <f t="shared" si="9"/>
        <v>5.5555555555555554</v>
      </c>
      <c r="M104" s="92">
        <f t="shared" si="9"/>
        <v>0</v>
      </c>
      <c r="N104" s="121">
        <f t="shared" si="10"/>
        <v>100</v>
      </c>
      <c r="O104" s="91">
        <v>49.4</v>
      </c>
      <c r="P104" s="92">
        <v>7.1</v>
      </c>
      <c r="Q104" s="92"/>
      <c r="R104" s="93">
        <f t="shared" si="8"/>
        <v>56.5</v>
      </c>
      <c r="S104" s="73">
        <v>2</v>
      </c>
      <c r="T104" s="839"/>
      <c r="U104" s="852">
        <v>38257</v>
      </c>
      <c r="V104" s="82" t="s">
        <v>497</v>
      </c>
      <c r="W104" s="73" t="s">
        <v>74</v>
      </c>
      <c r="X104" s="73" t="s">
        <v>11</v>
      </c>
      <c r="Y104" s="83">
        <v>49.4</v>
      </c>
      <c r="Z104" s="73" t="s">
        <v>500</v>
      </c>
      <c r="AA104" s="73" t="s">
        <v>17</v>
      </c>
      <c r="AB104" s="73" t="s">
        <v>18</v>
      </c>
      <c r="AC104" s="73">
        <v>7.1</v>
      </c>
      <c r="AD104" s="82"/>
      <c r="AG104" s="83"/>
      <c r="AL104" s="82"/>
      <c r="AO104" s="83"/>
      <c r="AP104" s="82"/>
      <c r="AS104" s="83"/>
      <c r="AT104" s="150"/>
      <c r="AW104" s="83"/>
      <c r="BA104" s="84"/>
    </row>
    <row r="105" spans="1:53" s="73" customFormat="1">
      <c r="A105" s="73">
        <v>2005</v>
      </c>
      <c r="B105" s="852"/>
      <c r="C105" s="917" t="s">
        <v>703</v>
      </c>
      <c r="D105" s="917"/>
      <c r="E105" s="73">
        <v>303</v>
      </c>
      <c r="G105" s="119">
        <v>17</v>
      </c>
      <c r="H105" s="73">
        <v>1</v>
      </c>
      <c r="J105" s="126">
        <v>18</v>
      </c>
      <c r="K105" s="92">
        <f t="shared" si="9"/>
        <v>94.444444444444443</v>
      </c>
      <c r="L105" s="92">
        <f t="shared" si="9"/>
        <v>5.5555555555555554</v>
      </c>
      <c r="M105" s="92">
        <f t="shared" si="9"/>
        <v>0</v>
      </c>
      <c r="N105" s="121">
        <f t="shared" si="10"/>
        <v>100</v>
      </c>
      <c r="O105" s="91">
        <v>49.4</v>
      </c>
      <c r="P105" s="92">
        <v>7.1</v>
      </c>
      <c r="Q105" s="92"/>
      <c r="R105" s="93">
        <f t="shared" si="8"/>
        <v>56.5</v>
      </c>
      <c r="S105" s="73">
        <v>2</v>
      </c>
      <c r="T105" s="839"/>
      <c r="U105" s="852"/>
      <c r="V105" s="82" t="s">
        <v>497</v>
      </c>
      <c r="W105" s="73" t="s">
        <v>74</v>
      </c>
      <c r="X105" s="73" t="s">
        <v>11</v>
      </c>
      <c r="Y105" s="83">
        <v>49.4</v>
      </c>
      <c r="Z105" s="73" t="s">
        <v>500</v>
      </c>
      <c r="AA105" s="73" t="s">
        <v>17</v>
      </c>
      <c r="AB105" s="73" t="s">
        <v>18</v>
      </c>
      <c r="AC105" s="73">
        <v>7.1</v>
      </c>
      <c r="AD105" s="82"/>
      <c r="AG105" s="83"/>
      <c r="AL105" s="82"/>
      <c r="AO105" s="83"/>
      <c r="AP105" s="82"/>
      <c r="AS105" s="83"/>
      <c r="AT105" s="150"/>
      <c r="AW105" s="83"/>
      <c r="BA105" s="84"/>
    </row>
    <row r="106" spans="1:53" s="292" customFormat="1">
      <c r="A106" s="292">
        <v>2005</v>
      </c>
      <c r="B106" s="836">
        <v>38656</v>
      </c>
      <c r="C106" s="916" t="s">
        <v>858</v>
      </c>
      <c r="D106" s="916"/>
      <c r="E106" s="292">
        <f>365-E105</f>
        <v>62</v>
      </c>
      <c r="F106" s="292">
        <v>1</v>
      </c>
      <c r="G106" s="366">
        <v>17</v>
      </c>
      <c r="H106" s="292">
        <v>1</v>
      </c>
      <c r="J106" s="377">
        <v>18</v>
      </c>
      <c r="K106" s="336">
        <f t="shared" si="9"/>
        <v>94.444444444444443</v>
      </c>
      <c r="L106" s="336">
        <f t="shared" si="9"/>
        <v>5.5555555555555554</v>
      </c>
      <c r="M106" s="336">
        <f t="shared" si="9"/>
        <v>0</v>
      </c>
      <c r="N106" s="368">
        <f t="shared" si="10"/>
        <v>100</v>
      </c>
      <c r="O106" s="335">
        <v>61.7</v>
      </c>
      <c r="P106" s="336">
        <v>6.5</v>
      </c>
      <c r="Q106" s="336"/>
      <c r="R106" s="337">
        <f t="shared" si="8"/>
        <v>68.2</v>
      </c>
      <c r="S106" s="292">
        <v>3</v>
      </c>
      <c r="T106" s="838">
        <v>38606</v>
      </c>
      <c r="U106" s="836">
        <v>38656</v>
      </c>
      <c r="V106" s="299" t="s">
        <v>497</v>
      </c>
      <c r="W106" s="292" t="s">
        <v>74</v>
      </c>
      <c r="X106" s="292" t="s">
        <v>11</v>
      </c>
      <c r="Y106" s="300">
        <v>61.7</v>
      </c>
      <c r="Z106" s="292" t="s">
        <v>500</v>
      </c>
      <c r="AA106" s="292" t="s">
        <v>17</v>
      </c>
      <c r="AB106" s="292" t="s">
        <v>18</v>
      </c>
      <c r="AC106" s="292">
        <v>6.5</v>
      </c>
      <c r="AD106" s="299"/>
      <c r="AG106" s="300"/>
      <c r="AL106" s="299"/>
      <c r="AO106" s="300"/>
      <c r="AP106" s="299"/>
      <c r="AS106" s="300"/>
      <c r="AT106" s="390"/>
      <c r="AW106" s="300"/>
      <c r="BA106" s="301"/>
    </row>
    <row r="107" spans="1:53" s="292" customFormat="1">
      <c r="A107" s="292">
        <v>2006</v>
      </c>
      <c r="B107" s="836"/>
      <c r="C107" s="916" t="s">
        <v>858</v>
      </c>
      <c r="D107" s="916"/>
      <c r="E107" s="292">
        <v>268</v>
      </c>
      <c r="G107" s="366">
        <v>17</v>
      </c>
      <c r="H107" s="292">
        <v>1</v>
      </c>
      <c r="J107" s="377">
        <v>18</v>
      </c>
      <c r="K107" s="336">
        <f t="shared" si="9"/>
        <v>94.444444444444443</v>
      </c>
      <c r="L107" s="336">
        <f t="shared" si="9"/>
        <v>5.5555555555555554</v>
      </c>
      <c r="M107" s="336">
        <f t="shared" si="9"/>
        <v>0</v>
      </c>
      <c r="N107" s="368">
        <f t="shared" si="10"/>
        <v>100</v>
      </c>
      <c r="O107" s="335">
        <v>61.7</v>
      </c>
      <c r="P107" s="336">
        <v>6.5</v>
      </c>
      <c r="Q107" s="336"/>
      <c r="R107" s="337">
        <f t="shared" si="8"/>
        <v>68.2</v>
      </c>
      <c r="S107" s="292">
        <v>3</v>
      </c>
      <c r="T107" s="838"/>
      <c r="U107" s="836"/>
      <c r="V107" s="299" t="s">
        <v>497</v>
      </c>
      <c r="W107" s="292" t="s">
        <v>74</v>
      </c>
      <c r="X107" s="292" t="s">
        <v>11</v>
      </c>
      <c r="Y107" s="300">
        <v>61.7</v>
      </c>
      <c r="Z107" s="292" t="s">
        <v>500</v>
      </c>
      <c r="AA107" s="292" t="s">
        <v>17</v>
      </c>
      <c r="AB107" s="292" t="s">
        <v>18</v>
      </c>
      <c r="AC107" s="292">
        <v>6.5</v>
      </c>
      <c r="AD107" s="299"/>
      <c r="AG107" s="300"/>
      <c r="AL107" s="299"/>
      <c r="AO107" s="300"/>
      <c r="AP107" s="299"/>
      <c r="AS107" s="300"/>
      <c r="AT107" s="390"/>
      <c r="AW107" s="300"/>
      <c r="BA107" s="301"/>
    </row>
    <row r="108" spans="1:53" s="73" customFormat="1">
      <c r="A108" s="73">
        <v>2006</v>
      </c>
      <c r="B108" s="852">
        <v>38986</v>
      </c>
      <c r="C108" s="917" t="s">
        <v>704</v>
      </c>
      <c r="D108" s="917"/>
      <c r="E108" s="73">
        <f>365-E107</f>
        <v>97</v>
      </c>
      <c r="G108" s="119">
        <v>16</v>
      </c>
      <c r="H108" s="73">
        <v>1</v>
      </c>
      <c r="J108" s="126">
        <v>18</v>
      </c>
      <c r="K108" s="92">
        <f t="shared" si="9"/>
        <v>88.888888888888886</v>
      </c>
      <c r="L108" s="92">
        <f t="shared" si="9"/>
        <v>5.5555555555555554</v>
      </c>
      <c r="M108" s="92">
        <f t="shared" si="9"/>
        <v>0</v>
      </c>
      <c r="N108" s="121">
        <f t="shared" si="10"/>
        <v>94.444444444444443</v>
      </c>
      <c r="O108" s="91">
        <v>61.7</v>
      </c>
      <c r="P108" s="92">
        <v>6.5</v>
      </c>
      <c r="Q108" s="92"/>
      <c r="R108" s="93">
        <f t="shared" si="8"/>
        <v>68.2</v>
      </c>
      <c r="S108" s="73">
        <v>3</v>
      </c>
      <c r="T108" s="839"/>
      <c r="U108" s="852">
        <v>38986</v>
      </c>
      <c r="V108" s="82" t="s">
        <v>497</v>
      </c>
      <c r="W108" s="73" t="s">
        <v>74</v>
      </c>
      <c r="X108" s="73" t="s">
        <v>11</v>
      </c>
      <c r="Y108" s="83">
        <v>61.7</v>
      </c>
      <c r="Z108" s="73" t="s">
        <v>500</v>
      </c>
      <c r="AA108" s="73" t="s">
        <v>17</v>
      </c>
      <c r="AB108" s="73" t="s">
        <v>18</v>
      </c>
      <c r="AC108" s="73">
        <v>6.5</v>
      </c>
      <c r="AD108" s="82"/>
      <c r="AG108" s="83"/>
      <c r="AL108" s="82"/>
      <c r="AO108" s="83"/>
      <c r="AP108" s="82"/>
      <c r="AS108" s="83"/>
      <c r="AT108" s="150"/>
      <c r="AW108" s="83"/>
      <c r="BA108" s="84"/>
    </row>
    <row r="109" spans="1:53" s="73" customFormat="1">
      <c r="A109" s="73">
        <v>2007</v>
      </c>
      <c r="B109" s="852"/>
      <c r="C109" s="917" t="s">
        <v>704</v>
      </c>
      <c r="D109" s="917"/>
      <c r="E109" s="73">
        <v>238</v>
      </c>
      <c r="G109" s="119">
        <v>16</v>
      </c>
      <c r="H109" s="73">
        <v>1</v>
      </c>
      <c r="J109" s="126">
        <v>18</v>
      </c>
      <c r="K109" s="92">
        <f t="shared" si="9"/>
        <v>88.888888888888886</v>
      </c>
      <c r="L109" s="92">
        <f t="shared" si="9"/>
        <v>5.5555555555555554</v>
      </c>
      <c r="M109" s="92">
        <f t="shared" si="9"/>
        <v>0</v>
      </c>
      <c r="N109" s="121">
        <f t="shared" si="10"/>
        <v>94.444444444444443</v>
      </c>
      <c r="O109" s="91">
        <v>61.7</v>
      </c>
      <c r="P109" s="92">
        <v>6.5</v>
      </c>
      <c r="Q109" s="92"/>
      <c r="R109" s="93">
        <f t="shared" si="8"/>
        <v>68.2</v>
      </c>
      <c r="S109" s="73">
        <v>3</v>
      </c>
      <c r="T109" s="839"/>
      <c r="U109" s="852"/>
      <c r="V109" s="82" t="s">
        <v>497</v>
      </c>
      <c r="W109" s="73" t="s">
        <v>74</v>
      </c>
      <c r="X109" s="73" t="s">
        <v>11</v>
      </c>
      <c r="Y109" s="83">
        <v>61.7</v>
      </c>
      <c r="Z109" s="73" t="s">
        <v>500</v>
      </c>
      <c r="AA109" s="73" t="s">
        <v>17</v>
      </c>
      <c r="AB109" s="73" t="s">
        <v>18</v>
      </c>
      <c r="AC109" s="73">
        <v>6.5</v>
      </c>
      <c r="AD109" s="82"/>
      <c r="AG109" s="83"/>
      <c r="AL109" s="82"/>
      <c r="AO109" s="83"/>
      <c r="AP109" s="82"/>
      <c r="AS109" s="83"/>
      <c r="AT109" s="150"/>
      <c r="AW109" s="83"/>
      <c r="BA109" s="84"/>
    </row>
    <row r="110" spans="1:53" s="73" customFormat="1">
      <c r="A110" s="73">
        <v>2007</v>
      </c>
      <c r="B110" s="860">
        <v>39321</v>
      </c>
      <c r="C110" s="917" t="s">
        <v>704</v>
      </c>
      <c r="D110" s="917"/>
      <c r="E110" s="73">
        <v>30</v>
      </c>
      <c r="F110" s="139">
        <v>0</v>
      </c>
      <c r="G110" s="119">
        <v>15</v>
      </c>
      <c r="H110" s="73">
        <v>1</v>
      </c>
      <c r="J110" s="126">
        <v>18</v>
      </c>
      <c r="K110" s="92">
        <f t="shared" si="9"/>
        <v>83.333333333333343</v>
      </c>
      <c r="L110" s="92">
        <f t="shared" si="9"/>
        <v>5.5555555555555554</v>
      </c>
      <c r="M110" s="92">
        <f t="shared" si="9"/>
        <v>0</v>
      </c>
      <c r="N110" s="121">
        <f t="shared" si="10"/>
        <v>88.8888888888889</v>
      </c>
      <c r="O110" s="91">
        <v>61.7</v>
      </c>
      <c r="P110" s="92">
        <v>6.5</v>
      </c>
      <c r="Q110" s="92"/>
      <c r="R110" s="93">
        <f t="shared" si="8"/>
        <v>68.2</v>
      </c>
      <c r="S110" s="73">
        <v>3</v>
      </c>
      <c r="T110" s="839"/>
      <c r="U110" s="852">
        <v>39321</v>
      </c>
      <c r="V110" s="82" t="s">
        <v>497</v>
      </c>
      <c r="W110" s="73" t="s">
        <v>74</v>
      </c>
      <c r="X110" s="73" t="s">
        <v>11</v>
      </c>
      <c r="Y110" s="83">
        <v>61.7</v>
      </c>
      <c r="Z110" s="73" t="s">
        <v>500</v>
      </c>
      <c r="AA110" s="73" t="s">
        <v>17</v>
      </c>
      <c r="AB110" s="73" t="s">
        <v>18</v>
      </c>
      <c r="AC110" s="73">
        <v>6.5</v>
      </c>
      <c r="AD110" s="82"/>
      <c r="AG110" s="83"/>
      <c r="AL110" s="82"/>
      <c r="AO110" s="83"/>
      <c r="AP110" s="82"/>
      <c r="AS110" s="83"/>
      <c r="AT110" s="150"/>
      <c r="AW110" s="83"/>
      <c r="BA110" s="84"/>
    </row>
    <row r="111" spans="1:53" s="292" customFormat="1">
      <c r="A111" s="292">
        <v>2007</v>
      </c>
      <c r="B111" s="836">
        <v>39351</v>
      </c>
      <c r="C111" s="916" t="s">
        <v>1459</v>
      </c>
      <c r="D111" s="916"/>
      <c r="E111" s="292">
        <f>365-E110-E109</f>
        <v>97</v>
      </c>
      <c r="F111" s="292">
        <v>3</v>
      </c>
      <c r="G111" s="366">
        <v>15</v>
      </c>
      <c r="H111" s="292">
        <v>1</v>
      </c>
      <c r="J111" s="377">
        <v>18</v>
      </c>
      <c r="K111" s="336">
        <f>G111/$J111*100</f>
        <v>83.333333333333343</v>
      </c>
      <c r="L111" s="336">
        <f>H111/$J111*100</f>
        <v>5.5555555555555554</v>
      </c>
      <c r="M111" s="336">
        <f>I111/$J111*100</f>
        <v>0</v>
      </c>
      <c r="N111" s="368">
        <f>K111+L111+M111</f>
        <v>88.8888888888889</v>
      </c>
      <c r="O111" s="335">
        <v>61.7</v>
      </c>
      <c r="P111" s="336">
        <v>6.5</v>
      </c>
      <c r="Q111" s="336"/>
      <c r="R111" s="337">
        <f t="shared" si="8"/>
        <v>68.2</v>
      </c>
      <c r="S111" s="292">
        <v>3</v>
      </c>
      <c r="T111" s="838"/>
      <c r="U111" s="836">
        <v>39351</v>
      </c>
      <c r="V111" s="299" t="s">
        <v>497</v>
      </c>
      <c r="W111" s="292" t="s">
        <v>74</v>
      </c>
      <c r="X111" s="292" t="s">
        <v>11</v>
      </c>
      <c r="Y111" s="300">
        <v>61.7</v>
      </c>
      <c r="Z111" s="292" t="s">
        <v>500</v>
      </c>
      <c r="AA111" s="292" t="s">
        <v>17</v>
      </c>
      <c r="AB111" s="292" t="s">
        <v>18</v>
      </c>
      <c r="AC111" s="292">
        <v>6.5</v>
      </c>
      <c r="AD111" s="299"/>
      <c r="AG111" s="300"/>
      <c r="AL111" s="299"/>
      <c r="AO111" s="300"/>
      <c r="AP111" s="299"/>
      <c r="AS111" s="300"/>
      <c r="AT111" s="390"/>
      <c r="AW111" s="300"/>
      <c r="BA111" s="301"/>
    </row>
    <row r="112" spans="1:53" s="292" customFormat="1">
      <c r="A112" s="292">
        <v>2008</v>
      </c>
      <c r="B112" s="836"/>
      <c r="C112" s="916" t="s">
        <v>1459</v>
      </c>
      <c r="D112" s="916"/>
      <c r="E112" s="292">
        <v>214</v>
      </c>
      <c r="G112" s="366">
        <v>15</v>
      </c>
      <c r="H112" s="292">
        <v>1</v>
      </c>
      <c r="J112" s="377">
        <v>18</v>
      </c>
      <c r="K112" s="336">
        <f t="shared" ref="K112:K125" si="11">G112/$J112*100</f>
        <v>83.333333333333343</v>
      </c>
      <c r="L112" s="336">
        <f t="shared" ref="L112:L131" si="12">H112/$J112*100</f>
        <v>5.5555555555555554</v>
      </c>
      <c r="M112" s="336">
        <f t="shared" ref="M112:M131" si="13">I112/$J112*100</f>
        <v>0</v>
      </c>
      <c r="N112" s="368">
        <f t="shared" ref="N112:N125" si="14">K112+L112+M112</f>
        <v>88.8888888888889</v>
      </c>
      <c r="O112" s="335">
        <v>61.7</v>
      </c>
      <c r="P112" s="336">
        <v>6.5</v>
      </c>
      <c r="Q112" s="336"/>
      <c r="R112" s="337">
        <f t="shared" si="8"/>
        <v>68.2</v>
      </c>
      <c r="S112" s="292">
        <v>3</v>
      </c>
      <c r="T112" s="838"/>
      <c r="U112" s="836"/>
      <c r="V112" s="299" t="s">
        <v>497</v>
      </c>
      <c r="W112" s="292" t="s">
        <v>74</v>
      </c>
      <c r="X112" s="292" t="s">
        <v>11</v>
      </c>
      <c r="Y112" s="300">
        <v>61.7</v>
      </c>
      <c r="Z112" s="292" t="s">
        <v>500</v>
      </c>
      <c r="AA112" s="292" t="s">
        <v>17</v>
      </c>
      <c r="AB112" s="292" t="s">
        <v>18</v>
      </c>
      <c r="AC112" s="292">
        <v>6.5</v>
      </c>
      <c r="AD112" s="299"/>
      <c r="AG112" s="300"/>
      <c r="AL112" s="299"/>
      <c r="AO112" s="300"/>
      <c r="AP112" s="299"/>
      <c r="AS112" s="300"/>
      <c r="AT112" s="390"/>
      <c r="AW112" s="300"/>
      <c r="BA112" s="301"/>
    </row>
    <row r="113" spans="1:53" s="292" customFormat="1">
      <c r="A113" s="292">
        <v>2008</v>
      </c>
      <c r="B113" s="865">
        <v>39662</v>
      </c>
      <c r="C113" s="916" t="s">
        <v>1459</v>
      </c>
      <c r="D113" s="916"/>
      <c r="E113" s="292">
        <v>53</v>
      </c>
      <c r="F113" s="381">
        <v>0</v>
      </c>
      <c r="G113" s="366">
        <v>16</v>
      </c>
      <c r="H113" s="292">
        <v>1</v>
      </c>
      <c r="J113" s="377">
        <v>18</v>
      </c>
      <c r="K113" s="336">
        <f t="shared" si="11"/>
        <v>88.888888888888886</v>
      </c>
      <c r="L113" s="336">
        <f t="shared" si="12"/>
        <v>5.5555555555555554</v>
      </c>
      <c r="M113" s="336">
        <f t="shared" si="13"/>
        <v>0</v>
      </c>
      <c r="N113" s="368">
        <f t="shared" si="14"/>
        <v>94.444444444444443</v>
      </c>
      <c r="O113" s="335">
        <v>61.7</v>
      </c>
      <c r="P113" s="336">
        <v>6.5</v>
      </c>
      <c r="Q113" s="336"/>
      <c r="R113" s="337">
        <f t="shared" si="8"/>
        <v>68.2</v>
      </c>
      <c r="S113" s="292">
        <v>3</v>
      </c>
      <c r="T113" s="838"/>
      <c r="U113" s="836">
        <v>39662</v>
      </c>
      <c r="V113" s="299" t="s">
        <v>497</v>
      </c>
      <c r="W113" s="292" t="s">
        <v>74</v>
      </c>
      <c r="X113" s="292" t="s">
        <v>11</v>
      </c>
      <c r="Y113" s="300">
        <v>61.7</v>
      </c>
      <c r="Z113" s="292" t="s">
        <v>500</v>
      </c>
      <c r="AA113" s="292" t="s">
        <v>17</v>
      </c>
      <c r="AB113" s="292" t="s">
        <v>18</v>
      </c>
      <c r="AC113" s="292">
        <v>6.5</v>
      </c>
      <c r="AD113" s="299"/>
      <c r="AG113" s="300"/>
      <c r="AL113" s="299"/>
      <c r="AO113" s="300"/>
      <c r="AP113" s="299"/>
      <c r="AS113" s="300"/>
      <c r="AT113" s="390"/>
      <c r="AW113" s="300"/>
      <c r="BA113" s="301"/>
    </row>
    <row r="114" spans="1:53" s="73" customFormat="1">
      <c r="A114" s="73">
        <v>2008</v>
      </c>
      <c r="B114" s="852">
        <v>39715</v>
      </c>
      <c r="C114" s="917" t="s">
        <v>1182</v>
      </c>
      <c r="D114" s="917"/>
      <c r="E114" s="73">
        <f>366-E112-E113</f>
        <v>99</v>
      </c>
      <c r="G114" s="119">
        <v>17</v>
      </c>
      <c r="H114" s="73">
        <v>1</v>
      </c>
      <c r="J114" s="126">
        <v>18</v>
      </c>
      <c r="K114" s="92">
        <f t="shared" si="11"/>
        <v>94.444444444444443</v>
      </c>
      <c r="L114" s="92">
        <f t="shared" si="12"/>
        <v>5.5555555555555554</v>
      </c>
      <c r="M114" s="92">
        <f t="shared" si="13"/>
        <v>0</v>
      </c>
      <c r="N114" s="121">
        <f t="shared" si="14"/>
        <v>100</v>
      </c>
      <c r="O114" s="91">
        <v>61.7</v>
      </c>
      <c r="P114" s="92">
        <v>6.5</v>
      </c>
      <c r="Q114" s="92"/>
      <c r="R114" s="93">
        <f t="shared" si="8"/>
        <v>68.2</v>
      </c>
      <c r="S114" s="73">
        <v>3</v>
      </c>
      <c r="T114" s="839"/>
      <c r="U114" s="852">
        <v>39715</v>
      </c>
      <c r="V114" s="82" t="s">
        <v>497</v>
      </c>
      <c r="W114" s="73" t="s">
        <v>74</v>
      </c>
      <c r="X114" s="73" t="s">
        <v>11</v>
      </c>
      <c r="Y114" s="83">
        <v>61.7</v>
      </c>
      <c r="Z114" s="73" t="s">
        <v>500</v>
      </c>
      <c r="AA114" s="73" t="s">
        <v>17</v>
      </c>
      <c r="AB114" s="73" t="s">
        <v>18</v>
      </c>
      <c r="AC114" s="73">
        <v>6.5</v>
      </c>
      <c r="AD114" s="82"/>
      <c r="AG114" s="83"/>
      <c r="AL114" s="82"/>
      <c r="AO114" s="83"/>
      <c r="AP114" s="82"/>
      <c r="AS114" s="83"/>
      <c r="AT114" s="150"/>
      <c r="AW114" s="83"/>
      <c r="BA114" s="84"/>
    </row>
    <row r="115" spans="1:53" s="73" customFormat="1">
      <c r="A115" s="73">
        <v>2009</v>
      </c>
      <c r="B115" s="852"/>
      <c r="C115" s="917" t="s">
        <v>1182</v>
      </c>
      <c r="D115" s="917"/>
      <c r="E115" s="73">
        <v>258</v>
      </c>
      <c r="G115" s="119">
        <v>17</v>
      </c>
      <c r="H115" s="73">
        <v>1</v>
      </c>
      <c r="J115" s="126">
        <v>18</v>
      </c>
      <c r="K115" s="92">
        <f t="shared" si="11"/>
        <v>94.444444444444443</v>
      </c>
      <c r="L115" s="92">
        <f t="shared" si="12"/>
        <v>5.5555555555555554</v>
      </c>
      <c r="M115" s="92">
        <f t="shared" si="13"/>
        <v>0</v>
      </c>
      <c r="N115" s="121">
        <f t="shared" si="14"/>
        <v>100</v>
      </c>
      <c r="O115" s="91">
        <v>61.7</v>
      </c>
      <c r="P115" s="92">
        <v>6.5</v>
      </c>
      <c r="Q115" s="92"/>
      <c r="R115" s="93">
        <f t="shared" si="8"/>
        <v>68.2</v>
      </c>
      <c r="S115" s="73">
        <v>3</v>
      </c>
      <c r="T115" s="839"/>
      <c r="U115" s="852"/>
      <c r="V115" s="82" t="s">
        <v>497</v>
      </c>
      <c r="W115" s="73" t="s">
        <v>74</v>
      </c>
      <c r="X115" s="73" t="s">
        <v>11</v>
      </c>
      <c r="Y115" s="83">
        <v>61.7</v>
      </c>
      <c r="Z115" s="73" t="s">
        <v>500</v>
      </c>
      <c r="AA115" s="73" t="s">
        <v>17</v>
      </c>
      <c r="AB115" s="73" t="s">
        <v>18</v>
      </c>
      <c r="AC115" s="73">
        <v>6.5</v>
      </c>
      <c r="AD115" s="82"/>
      <c r="AG115" s="83"/>
      <c r="AL115" s="82"/>
      <c r="AO115" s="83"/>
      <c r="AP115" s="82"/>
      <c r="AS115" s="83"/>
      <c r="AT115" s="150"/>
      <c r="AW115" s="83"/>
      <c r="BA115" s="84"/>
    </row>
    <row r="116" spans="1:53" s="292" customFormat="1">
      <c r="A116" s="292">
        <v>2009</v>
      </c>
      <c r="B116" s="836">
        <v>40072</v>
      </c>
      <c r="C116" s="916" t="s">
        <v>705</v>
      </c>
      <c r="D116" s="916"/>
      <c r="E116" s="292">
        <v>107</v>
      </c>
      <c r="F116" s="292">
        <v>1</v>
      </c>
      <c r="G116" s="366">
        <v>1</v>
      </c>
      <c r="H116" s="292">
        <v>16</v>
      </c>
      <c r="I116" s="292">
        <v>1</v>
      </c>
      <c r="J116" s="377">
        <v>18</v>
      </c>
      <c r="K116" s="336">
        <f t="shared" si="11"/>
        <v>5.5555555555555554</v>
      </c>
      <c r="L116" s="336">
        <f t="shared" si="12"/>
        <v>88.888888888888886</v>
      </c>
      <c r="M116" s="336">
        <f t="shared" si="13"/>
        <v>5.5555555555555554</v>
      </c>
      <c r="N116" s="368">
        <f t="shared" si="14"/>
        <v>100</v>
      </c>
      <c r="O116" s="335">
        <v>0.6</v>
      </c>
      <c r="P116" s="336">
        <v>64.2</v>
      </c>
      <c r="Q116" s="336">
        <v>1.5</v>
      </c>
      <c r="R116" s="337">
        <f t="shared" si="8"/>
        <v>66.3</v>
      </c>
      <c r="S116" s="292">
        <v>3</v>
      </c>
      <c r="T116" s="838">
        <v>40055</v>
      </c>
      <c r="U116" s="836">
        <v>40072</v>
      </c>
      <c r="V116" s="299" t="s">
        <v>572</v>
      </c>
      <c r="W116" s="292" t="s">
        <v>97</v>
      </c>
      <c r="X116" s="292" t="s">
        <v>18</v>
      </c>
      <c r="Y116" s="300">
        <v>64.2</v>
      </c>
      <c r="Z116" s="292" t="s">
        <v>112</v>
      </c>
      <c r="AA116" s="292" t="s">
        <v>20</v>
      </c>
      <c r="AB116" s="292" t="s">
        <v>12</v>
      </c>
      <c r="AC116" s="292">
        <v>1.5</v>
      </c>
      <c r="AD116" s="299" t="s">
        <v>505</v>
      </c>
      <c r="AE116" s="292" t="s">
        <v>330</v>
      </c>
      <c r="AF116" s="292" t="s">
        <v>11</v>
      </c>
      <c r="AG116" s="300">
        <v>0.6</v>
      </c>
      <c r="AL116" s="299"/>
      <c r="AO116" s="300"/>
      <c r="AP116" s="299"/>
      <c r="AS116" s="300"/>
      <c r="AT116" s="390"/>
      <c r="AW116" s="300"/>
      <c r="BA116" s="301"/>
    </row>
    <row r="117" spans="1:53" s="292" customFormat="1">
      <c r="A117" s="292">
        <v>2010</v>
      </c>
      <c r="B117" s="836"/>
      <c r="C117" s="916" t="s">
        <v>705</v>
      </c>
      <c r="D117" s="916"/>
      <c r="E117" s="292">
        <v>147</v>
      </c>
      <c r="G117" s="366">
        <v>1</v>
      </c>
      <c r="H117" s="292">
        <v>16</v>
      </c>
      <c r="I117" s="292">
        <v>1</v>
      </c>
      <c r="J117" s="377">
        <v>18</v>
      </c>
      <c r="K117" s="336">
        <f t="shared" si="11"/>
        <v>5.5555555555555554</v>
      </c>
      <c r="L117" s="336">
        <f t="shared" si="12"/>
        <v>88.888888888888886</v>
      </c>
      <c r="M117" s="336">
        <f t="shared" si="13"/>
        <v>5.5555555555555554</v>
      </c>
      <c r="N117" s="368">
        <f t="shared" si="14"/>
        <v>100</v>
      </c>
      <c r="O117" s="335">
        <v>0.6</v>
      </c>
      <c r="P117" s="336">
        <v>64.2</v>
      </c>
      <c r="Q117" s="336">
        <v>1.5</v>
      </c>
      <c r="R117" s="337">
        <f t="shared" si="8"/>
        <v>66.3</v>
      </c>
      <c r="S117" s="292">
        <v>3</v>
      </c>
      <c r="T117" s="838"/>
      <c r="U117" s="836"/>
      <c r="V117" s="299" t="s">
        <v>572</v>
      </c>
      <c r="W117" s="292" t="s">
        <v>97</v>
      </c>
      <c r="X117" s="292" t="s">
        <v>18</v>
      </c>
      <c r="Y117" s="300">
        <v>64.2</v>
      </c>
      <c r="Z117" s="292" t="s">
        <v>112</v>
      </c>
      <c r="AA117" s="292" t="s">
        <v>20</v>
      </c>
      <c r="AB117" s="292" t="s">
        <v>12</v>
      </c>
      <c r="AC117" s="292">
        <v>1.5</v>
      </c>
      <c r="AD117" s="299" t="s">
        <v>505</v>
      </c>
      <c r="AE117" s="292" t="s">
        <v>330</v>
      </c>
      <c r="AF117" s="292" t="s">
        <v>11</v>
      </c>
      <c r="AG117" s="300">
        <v>0.6</v>
      </c>
      <c r="AL117" s="299"/>
      <c r="AO117" s="300"/>
      <c r="AP117" s="299"/>
      <c r="AS117" s="300"/>
      <c r="AT117" s="390"/>
      <c r="AW117" s="300"/>
      <c r="BA117" s="301"/>
    </row>
    <row r="118" spans="1:53" s="73" customFormat="1">
      <c r="A118" s="73">
        <v>2010</v>
      </c>
      <c r="B118" s="852">
        <v>40326</v>
      </c>
      <c r="C118" s="917" t="s">
        <v>706</v>
      </c>
      <c r="D118" s="917"/>
      <c r="E118" s="73">
        <v>11</v>
      </c>
      <c r="F118" s="73">
        <v>4</v>
      </c>
      <c r="G118" s="119">
        <v>1</v>
      </c>
      <c r="H118" s="73">
        <v>16</v>
      </c>
      <c r="J118" s="126">
        <v>17</v>
      </c>
      <c r="K118" s="92">
        <f t="shared" si="11"/>
        <v>5.8823529411764701</v>
      </c>
      <c r="L118" s="92">
        <f t="shared" si="12"/>
        <v>94.117647058823522</v>
      </c>
      <c r="M118" s="92">
        <f t="shared" si="13"/>
        <v>0</v>
      </c>
      <c r="N118" s="121">
        <f t="shared" si="14"/>
        <v>99.999999999999986</v>
      </c>
      <c r="O118" s="91">
        <v>0.6</v>
      </c>
      <c r="P118" s="92">
        <v>64.2</v>
      </c>
      <c r="Q118" s="92"/>
      <c r="R118" s="93">
        <f t="shared" si="8"/>
        <v>64.8</v>
      </c>
      <c r="S118" s="73">
        <v>3</v>
      </c>
      <c r="T118" s="839"/>
      <c r="U118" s="852">
        <v>40326</v>
      </c>
      <c r="V118" s="82" t="s">
        <v>572</v>
      </c>
      <c r="W118" s="73" t="s">
        <v>97</v>
      </c>
      <c r="X118" s="73" t="s">
        <v>18</v>
      </c>
      <c r="Y118" s="83">
        <v>64.2</v>
      </c>
      <c r="Z118" s="82" t="s">
        <v>505</v>
      </c>
      <c r="AA118" s="73" t="s">
        <v>330</v>
      </c>
      <c r="AB118" s="73" t="s">
        <v>11</v>
      </c>
      <c r="AC118" s="73">
        <v>0.6</v>
      </c>
      <c r="AD118" s="82"/>
      <c r="AG118" s="83"/>
      <c r="AL118" s="82"/>
      <c r="AO118" s="83"/>
      <c r="AP118" s="82"/>
      <c r="AS118" s="83"/>
      <c r="AT118" s="150"/>
      <c r="AW118" s="83"/>
      <c r="BA118" s="84"/>
    </row>
    <row r="119" spans="1:53" s="292" customFormat="1">
      <c r="A119" s="292">
        <v>2010</v>
      </c>
      <c r="B119" s="836">
        <v>40337</v>
      </c>
      <c r="C119" s="916" t="s">
        <v>807</v>
      </c>
      <c r="D119" s="916"/>
      <c r="E119" s="292">
        <v>101</v>
      </c>
      <c r="F119" s="292">
        <v>1</v>
      </c>
      <c r="G119" s="366">
        <v>1</v>
      </c>
      <c r="H119" s="292">
        <v>17</v>
      </c>
      <c r="J119" s="377">
        <v>18</v>
      </c>
      <c r="K119" s="336">
        <f t="shared" si="11"/>
        <v>5.5555555555555554</v>
      </c>
      <c r="L119" s="336">
        <f t="shared" si="12"/>
        <v>94.444444444444443</v>
      </c>
      <c r="M119" s="336">
        <f t="shared" si="13"/>
        <v>0</v>
      </c>
      <c r="N119" s="368">
        <f t="shared" si="14"/>
        <v>100</v>
      </c>
      <c r="O119" s="335">
        <v>0.6</v>
      </c>
      <c r="P119" s="336">
        <v>64.2</v>
      </c>
      <c r="Q119" s="336"/>
      <c r="R119" s="337">
        <f t="shared" si="8"/>
        <v>64.8</v>
      </c>
      <c r="S119" s="292">
        <v>3</v>
      </c>
      <c r="T119" s="838"/>
      <c r="U119" s="836">
        <v>40337</v>
      </c>
      <c r="V119" s="299" t="s">
        <v>572</v>
      </c>
      <c r="W119" s="292" t="s">
        <v>97</v>
      </c>
      <c r="X119" s="292" t="s">
        <v>18</v>
      </c>
      <c r="Y119" s="300">
        <v>64.2</v>
      </c>
      <c r="Z119" s="299" t="s">
        <v>505</v>
      </c>
      <c r="AA119" s="292" t="s">
        <v>330</v>
      </c>
      <c r="AB119" s="292" t="s">
        <v>11</v>
      </c>
      <c r="AC119" s="292">
        <v>0.6</v>
      </c>
      <c r="AD119" s="299"/>
      <c r="AG119" s="300"/>
      <c r="AL119" s="299"/>
      <c r="AO119" s="300"/>
      <c r="AP119" s="299"/>
      <c r="AS119" s="300"/>
      <c r="AT119" s="390"/>
      <c r="AW119" s="300"/>
      <c r="BA119" s="301"/>
    </row>
    <row r="120" spans="1:53" s="292" customFormat="1">
      <c r="A120" s="292">
        <v>2010</v>
      </c>
      <c r="B120" s="865">
        <v>40438</v>
      </c>
      <c r="C120" s="916" t="s">
        <v>807</v>
      </c>
      <c r="D120" s="916"/>
      <c r="E120" s="292">
        <f>365-E117-E118-E119</f>
        <v>106</v>
      </c>
      <c r="F120" s="381">
        <v>0</v>
      </c>
      <c r="G120" s="366">
        <v>1</v>
      </c>
      <c r="H120" s="292">
        <v>16</v>
      </c>
      <c r="J120" s="377">
        <v>18</v>
      </c>
      <c r="K120" s="336">
        <f t="shared" si="11"/>
        <v>5.5555555555555554</v>
      </c>
      <c r="L120" s="336">
        <f t="shared" si="12"/>
        <v>88.888888888888886</v>
      </c>
      <c r="M120" s="336">
        <f t="shared" si="13"/>
        <v>0</v>
      </c>
      <c r="N120" s="368">
        <f t="shared" si="14"/>
        <v>94.444444444444443</v>
      </c>
      <c r="O120" s="335">
        <v>0.6</v>
      </c>
      <c r="P120" s="336">
        <v>64.2</v>
      </c>
      <c r="Q120" s="336"/>
      <c r="R120" s="337">
        <f t="shared" si="8"/>
        <v>64.8</v>
      </c>
      <c r="S120" s="292">
        <v>3</v>
      </c>
      <c r="T120" s="838"/>
      <c r="U120" s="836"/>
      <c r="V120" s="299" t="s">
        <v>572</v>
      </c>
      <c r="W120" s="292" t="s">
        <v>97</v>
      </c>
      <c r="X120" s="292" t="s">
        <v>18</v>
      </c>
      <c r="Y120" s="300">
        <v>64.2</v>
      </c>
      <c r="Z120" s="299" t="s">
        <v>505</v>
      </c>
      <c r="AA120" s="292" t="s">
        <v>330</v>
      </c>
      <c r="AB120" s="292" t="s">
        <v>11</v>
      </c>
      <c r="AC120" s="292">
        <v>0.6</v>
      </c>
      <c r="AD120" s="299"/>
      <c r="AG120" s="300"/>
      <c r="AL120" s="299"/>
      <c r="AO120" s="300"/>
      <c r="AP120" s="299"/>
      <c r="AS120" s="300"/>
      <c r="AT120" s="390"/>
      <c r="AW120" s="300"/>
      <c r="BA120" s="301"/>
    </row>
    <row r="121" spans="1:53" s="292" customFormat="1">
      <c r="A121" s="292">
        <v>2011</v>
      </c>
      <c r="B121" s="836"/>
      <c r="C121" s="916" t="s">
        <v>807</v>
      </c>
      <c r="D121" s="916"/>
      <c r="E121" s="292">
        <v>13</v>
      </c>
      <c r="G121" s="366">
        <v>1</v>
      </c>
      <c r="H121" s="292">
        <v>16</v>
      </c>
      <c r="J121" s="377">
        <v>18</v>
      </c>
      <c r="K121" s="336">
        <f t="shared" si="11"/>
        <v>5.5555555555555554</v>
      </c>
      <c r="L121" s="336">
        <f t="shared" si="12"/>
        <v>88.888888888888886</v>
      </c>
      <c r="M121" s="336">
        <f t="shared" si="13"/>
        <v>0</v>
      </c>
      <c r="N121" s="368">
        <f t="shared" si="14"/>
        <v>94.444444444444443</v>
      </c>
      <c r="O121" s="335">
        <v>0.6</v>
      </c>
      <c r="P121" s="336">
        <v>64.2</v>
      </c>
      <c r="Q121" s="336"/>
      <c r="R121" s="337">
        <f t="shared" si="8"/>
        <v>64.8</v>
      </c>
      <c r="S121" s="292">
        <v>3</v>
      </c>
      <c r="T121" s="838"/>
      <c r="U121" s="836"/>
      <c r="V121" s="299" t="s">
        <v>572</v>
      </c>
      <c r="W121" s="292" t="s">
        <v>97</v>
      </c>
      <c r="X121" s="292" t="s">
        <v>18</v>
      </c>
      <c r="Y121" s="300">
        <v>64.2</v>
      </c>
      <c r="Z121" s="299" t="s">
        <v>505</v>
      </c>
      <c r="AA121" s="292" t="s">
        <v>330</v>
      </c>
      <c r="AB121" s="292" t="s">
        <v>11</v>
      </c>
      <c r="AC121" s="292">
        <v>0.6</v>
      </c>
      <c r="AD121" s="299"/>
      <c r="AG121" s="300"/>
      <c r="AL121" s="299"/>
      <c r="AO121" s="300"/>
      <c r="AP121" s="299"/>
      <c r="AS121" s="300"/>
      <c r="AT121" s="390"/>
      <c r="AW121" s="300"/>
      <c r="BA121" s="301"/>
    </row>
    <row r="122" spans="1:53" s="292" customFormat="1">
      <c r="A122" s="292">
        <v>2011</v>
      </c>
      <c r="B122" s="865">
        <v>40557</v>
      </c>
      <c r="C122" s="916" t="s">
        <v>807</v>
      </c>
      <c r="D122" s="916"/>
      <c r="E122" s="292">
        <f>365-E121-E123</f>
        <v>231</v>
      </c>
      <c r="F122" s="381">
        <v>0</v>
      </c>
      <c r="G122" s="366">
        <v>1</v>
      </c>
      <c r="H122" s="292">
        <v>15</v>
      </c>
      <c r="J122" s="377">
        <v>18</v>
      </c>
      <c r="K122" s="336">
        <f t="shared" si="11"/>
        <v>5.5555555555555554</v>
      </c>
      <c r="L122" s="336">
        <f t="shared" si="12"/>
        <v>83.333333333333343</v>
      </c>
      <c r="M122" s="336">
        <f t="shared" si="13"/>
        <v>0</v>
      </c>
      <c r="N122" s="368">
        <f t="shared" si="14"/>
        <v>88.8888888888889</v>
      </c>
      <c r="O122" s="335">
        <v>0.6</v>
      </c>
      <c r="P122" s="336">
        <v>64.2</v>
      </c>
      <c r="Q122" s="336"/>
      <c r="R122" s="337">
        <f t="shared" si="8"/>
        <v>64.8</v>
      </c>
      <c r="S122" s="292">
        <v>3</v>
      </c>
      <c r="T122" s="838"/>
      <c r="U122" s="836"/>
      <c r="V122" s="299" t="s">
        <v>572</v>
      </c>
      <c r="W122" s="292" t="s">
        <v>97</v>
      </c>
      <c r="X122" s="292" t="s">
        <v>18</v>
      </c>
      <c r="Y122" s="300">
        <v>64.2</v>
      </c>
      <c r="Z122" s="299" t="s">
        <v>505</v>
      </c>
      <c r="AA122" s="292" t="s">
        <v>330</v>
      </c>
      <c r="AB122" s="292" t="s">
        <v>11</v>
      </c>
      <c r="AC122" s="292">
        <v>0.6</v>
      </c>
      <c r="AD122" s="299"/>
      <c r="AG122" s="300"/>
      <c r="AL122" s="299"/>
      <c r="AO122" s="300"/>
      <c r="AP122" s="299"/>
      <c r="AS122" s="300"/>
      <c r="AT122" s="390"/>
      <c r="AW122" s="300"/>
      <c r="BA122" s="301"/>
    </row>
    <row r="123" spans="1:53" s="73" customFormat="1">
      <c r="A123" s="73">
        <v>2011</v>
      </c>
      <c r="B123" s="852">
        <v>40788</v>
      </c>
      <c r="C123" s="950" t="s">
        <v>325</v>
      </c>
      <c r="D123" s="950"/>
      <c r="E123" s="73">
        <v>121</v>
      </c>
      <c r="F123" s="73">
        <v>1</v>
      </c>
      <c r="G123" s="119">
        <v>1</v>
      </c>
      <c r="H123" s="73">
        <v>17</v>
      </c>
      <c r="J123" s="126">
        <v>18</v>
      </c>
      <c r="K123" s="92">
        <f t="shared" si="11"/>
        <v>5.5555555555555554</v>
      </c>
      <c r="L123" s="92">
        <f t="shared" si="12"/>
        <v>94.444444444444443</v>
      </c>
      <c r="M123" s="92">
        <f t="shared" si="13"/>
        <v>0</v>
      </c>
      <c r="N123" s="121">
        <f t="shared" si="14"/>
        <v>100</v>
      </c>
      <c r="O123" s="91">
        <v>0.6</v>
      </c>
      <c r="P123" s="92">
        <v>64.2</v>
      </c>
      <c r="Q123" s="92"/>
      <c r="R123" s="93">
        <f t="shared" si="8"/>
        <v>64.8</v>
      </c>
      <c r="S123" s="73">
        <v>3</v>
      </c>
      <c r="T123" s="839"/>
      <c r="U123" s="852">
        <v>40788</v>
      </c>
      <c r="V123" s="82" t="s">
        <v>572</v>
      </c>
      <c r="W123" s="73" t="s">
        <v>97</v>
      </c>
      <c r="X123" s="73" t="s">
        <v>18</v>
      </c>
      <c r="Y123" s="83">
        <v>64.2</v>
      </c>
      <c r="Z123" s="82" t="s">
        <v>505</v>
      </c>
      <c r="AA123" s="73" t="s">
        <v>330</v>
      </c>
      <c r="AB123" s="73" t="s">
        <v>11</v>
      </c>
      <c r="AC123" s="73">
        <v>0.6</v>
      </c>
      <c r="AD123" s="82"/>
      <c r="AG123" s="83"/>
      <c r="AL123" s="82"/>
      <c r="AO123" s="83"/>
      <c r="AP123" s="82"/>
      <c r="AS123" s="83"/>
      <c r="AT123" s="150"/>
      <c r="AW123" s="83"/>
      <c r="BA123" s="84"/>
    </row>
    <row r="124" spans="1:53" s="73" customFormat="1">
      <c r="A124" s="73">
        <v>2012</v>
      </c>
      <c r="B124" s="852"/>
      <c r="C124" s="950" t="s">
        <v>325</v>
      </c>
      <c r="D124" s="950"/>
      <c r="E124" s="73">
        <v>12</v>
      </c>
      <c r="G124" s="119">
        <v>1</v>
      </c>
      <c r="H124" s="73">
        <v>17</v>
      </c>
      <c r="J124" s="126">
        <v>18</v>
      </c>
      <c r="K124" s="92">
        <f t="shared" si="11"/>
        <v>5.5555555555555554</v>
      </c>
      <c r="L124" s="92">
        <f t="shared" si="12"/>
        <v>94.444444444444443</v>
      </c>
      <c r="M124" s="92">
        <f t="shared" si="13"/>
        <v>0</v>
      </c>
      <c r="N124" s="121">
        <f t="shared" si="14"/>
        <v>100</v>
      </c>
      <c r="O124" s="91">
        <v>0.6</v>
      </c>
      <c r="P124" s="92">
        <v>64.2</v>
      </c>
      <c r="Q124" s="92"/>
      <c r="R124" s="93">
        <f t="shared" si="8"/>
        <v>64.8</v>
      </c>
      <c r="S124" s="73">
        <v>3</v>
      </c>
      <c r="T124" s="839"/>
      <c r="U124" s="852"/>
      <c r="V124" s="82" t="s">
        <v>572</v>
      </c>
      <c r="W124" s="73" t="s">
        <v>97</v>
      </c>
      <c r="X124" s="73" t="s">
        <v>18</v>
      </c>
      <c r="Y124" s="83">
        <v>64.2</v>
      </c>
      <c r="Z124" s="82" t="s">
        <v>505</v>
      </c>
      <c r="AA124" s="73" t="s">
        <v>330</v>
      </c>
      <c r="AB124" s="73" t="s">
        <v>11</v>
      </c>
      <c r="AC124" s="73">
        <v>0.6</v>
      </c>
      <c r="AD124" s="82"/>
      <c r="AG124" s="83"/>
      <c r="AL124" s="82"/>
      <c r="AO124" s="83"/>
      <c r="AP124" s="82"/>
      <c r="AS124" s="83"/>
      <c r="AT124" s="150"/>
      <c r="AW124" s="83"/>
      <c r="BA124" s="84"/>
    </row>
    <row r="125" spans="1:53" s="73" customFormat="1">
      <c r="A125" s="73">
        <v>2012</v>
      </c>
      <c r="B125" s="860">
        <v>40921</v>
      </c>
      <c r="C125" s="950" t="s">
        <v>325</v>
      </c>
      <c r="D125" s="950"/>
      <c r="E125" s="73">
        <v>143</v>
      </c>
      <c r="F125" s="139">
        <v>0</v>
      </c>
      <c r="G125" s="119">
        <v>1</v>
      </c>
      <c r="H125" s="73">
        <v>18</v>
      </c>
      <c r="J125" s="126">
        <v>19</v>
      </c>
      <c r="K125" s="92">
        <f t="shared" si="11"/>
        <v>5.2631578947368416</v>
      </c>
      <c r="L125" s="92">
        <f t="shared" si="12"/>
        <v>94.73684210526315</v>
      </c>
      <c r="M125" s="92">
        <f t="shared" si="13"/>
        <v>0</v>
      </c>
      <c r="N125" s="121">
        <f t="shared" si="14"/>
        <v>99.999999999999986</v>
      </c>
      <c r="O125" s="91">
        <v>0.6</v>
      </c>
      <c r="P125" s="92">
        <v>64.2</v>
      </c>
      <c r="Q125" s="92"/>
      <c r="R125" s="93">
        <f t="shared" si="8"/>
        <v>64.8</v>
      </c>
      <c r="S125" s="73">
        <v>3</v>
      </c>
      <c r="T125" s="839"/>
      <c r="U125" s="852"/>
      <c r="V125" s="82" t="s">
        <v>572</v>
      </c>
      <c r="W125" s="73" t="s">
        <v>97</v>
      </c>
      <c r="X125" s="73" t="s">
        <v>18</v>
      </c>
      <c r="Y125" s="83">
        <v>64.2</v>
      </c>
      <c r="Z125" s="82" t="s">
        <v>505</v>
      </c>
      <c r="AA125" s="73" t="s">
        <v>330</v>
      </c>
      <c r="AB125" s="73" t="s">
        <v>11</v>
      </c>
      <c r="AC125" s="73">
        <v>0.6</v>
      </c>
      <c r="AD125" s="82"/>
      <c r="AG125" s="83"/>
      <c r="AL125" s="82"/>
      <c r="AO125" s="83"/>
      <c r="AP125" s="82"/>
      <c r="AS125" s="83"/>
      <c r="AT125" s="150"/>
      <c r="AW125" s="83"/>
      <c r="BA125" s="84"/>
    </row>
    <row r="126" spans="1:53" s="73" customFormat="1">
      <c r="A126" s="73">
        <v>2012</v>
      </c>
      <c r="B126" s="860">
        <v>41064</v>
      </c>
      <c r="C126" s="950" t="s">
        <v>325</v>
      </c>
      <c r="D126" s="950"/>
      <c r="E126" s="73">
        <v>98</v>
      </c>
      <c r="F126" s="139">
        <v>0</v>
      </c>
      <c r="G126" s="119">
        <v>1</v>
      </c>
      <c r="H126" s="73">
        <v>17</v>
      </c>
      <c r="J126" s="126">
        <v>19</v>
      </c>
      <c r="K126" s="92">
        <f t="shared" ref="K126:K131" si="15">G126/$J126*100</f>
        <v>5.2631578947368416</v>
      </c>
      <c r="L126" s="92">
        <f t="shared" si="12"/>
        <v>89.473684210526315</v>
      </c>
      <c r="M126" s="92">
        <f t="shared" si="13"/>
        <v>0</v>
      </c>
      <c r="N126" s="121">
        <f t="shared" ref="N126:N131" si="16">K126+L126+M126</f>
        <v>94.73684210526315</v>
      </c>
      <c r="O126" s="91">
        <v>0.6</v>
      </c>
      <c r="P126" s="92">
        <v>64.2</v>
      </c>
      <c r="Q126" s="92"/>
      <c r="R126" s="93">
        <f t="shared" si="8"/>
        <v>64.8</v>
      </c>
      <c r="S126" s="73">
        <v>3</v>
      </c>
      <c r="T126" s="839"/>
      <c r="U126" s="852"/>
      <c r="V126" s="82" t="s">
        <v>572</v>
      </c>
      <c r="W126" s="73" t="s">
        <v>97</v>
      </c>
      <c r="X126" s="73" t="s">
        <v>18</v>
      </c>
      <c r="Y126" s="83">
        <v>64.2</v>
      </c>
      <c r="Z126" s="82" t="s">
        <v>505</v>
      </c>
      <c r="AA126" s="73" t="s">
        <v>330</v>
      </c>
      <c r="AB126" s="73" t="s">
        <v>11</v>
      </c>
      <c r="AC126" s="73">
        <v>0.6</v>
      </c>
      <c r="AD126" s="82"/>
      <c r="AG126" s="83"/>
      <c r="AL126" s="82"/>
      <c r="AO126" s="83"/>
      <c r="AP126" s="82"/>
      <c r="AS126" s="83"/>
      <c r="AT126" s="150"/>
      <c r="AW126" s="83"/>
      <c r="BA126" s="84"/>
    </row>
    <row r="127" spans="1:53" s="73" customFormat="1">
      <c r="A127" s="73">
        <v>2012</v>
      </c>
      <c r="B127" s="860">
        <v>41162</v>
      </c>
      <c r="C127" s="950" t="s">
        <v>325</v>
      </c>
      <c r="D127" s="950"/>
      <c r="E127" s="73">
        <v>21</v>
      </c>
      <c r="F127" s="139">
        <v>0</v>
      </c>
      <c r="G127" s="119"/>
      <c r="H127" s="73">
        <v>17</v>
      </c>
      <c r="J127" s="126">
        <v>18</v>
      </c>
      <c r="K127" s="92">
        <f t="shared" si="15"/>
        <v>0</v>
      </c>
      <c r="L127" s="92">
        <f t="shared" si="12"/>
        <v>94.444444444444443</v>
      </c>
      <c r="M127" s="92">
        <f t="shared" si="13"/>
        <v>0</v>
      </c>
      <c r="N127" s="121">
        <f t="shared" si="16"/>
        <v>94.444444444444443</v>
      </c>
      <c r="O127" s="91">
        <v>0.6</v>
      </c>
      <c r="P127" s="92">
        <v>64.2</v>
      </c>
      <c r="Q127" s="92"/>
      <c r="R127" s="93">
        <f t="shared" si="8"/>
        <v>64.8</v>
      </c>
      <c r="S127" s="73">
        <v>3</v>
      </c>
      <c r="T127" s="839"/>
      <c r="U127" s="852"/>
      <c r="V127" s="82" t="s">
        <v>572</v>
      </c>
      <c r="W127" s="73" t="s">
        <v>97</v>
      </c>
      <c r="X127" s="73" t="s">
        <v>18</v>
      </c>
      <c r="Y127" s="83">
        <v>64.2</v>
      </c>
      <c r="Z127" s="82" t="s">
        <v>505</v>
      </c>
      <c r="AA127" s="73" t="s">
        <v>330</v>
      </c>
      <c r="AB127" s="73" t="s">
        <v>11</v>
      </c>
      <c r="AC127" s="73">
        <v>0.6</v>
      </c>
      <c r="AD127" s="82"/>
      <c r="AG127" s="83"/>
      <c r="AL127" s="82"/>
      <c r="AO127" s="83"/>
      <c r="AP127" s="82"/>
      <c r="AS127" s="83"/>
      <c r="AT127" s="150"/>
      <c r="AW127" s="83"/>
      <c r="BA127" s="84"/>
    </row>
    <row r="128" spans="1:53" s="73" customFormat="1">
      <c r="A128" s="73">
        <v>2012</v>
      </c>
      <c r="B128" s="860">
        <v>41183</v>
      </c>
      <c r="C128" s="950" t="s">
        <v>325</v>
      </c>
      <c r="D128" s="950"/>
      <c r="E128" s="73">
        <v>86</v>
      </c>
      <c r="F128" s="139">
        <v>0</v>
      </c>
      <c r="G128" s="119">
        <v>1</v>
      </c>
      <c r="H128" s="73">
        <v>17</v>
      </c>
      <c r="J128" s="126">
        <v>19</v>
      </c>
      <c r="K128" s="92">
        <f t="shared" si="15"/>
        <v>5.2631578947368416</v>
      </c>
      <c r="L128" s="92">
        <f t="shared" si="12"/>
        <v>89.473684210526315</v>
      </c>
      <c r="M128" s="92">
        <f t="shared" si="13"/>
        <v>0</v>
      </c>
      <c r="N128" s="121">
        <f t="shared" si="16"/>
        <v>94.73684210526315</v>
      </c>
      <c r="O128" s="91">
        <v>0.6</v>
      </c>
      <c r="P128" s="92">
        <v>64.2</v>
      </c>
      <c r="Q128" s="92"/>
      <c r="R128" s="93">
        <f t="shared" si="8"/>
        <v>64.8</v>
      </c>
      <c r="S128" s="73">
        <v>3</v>
      </c>
      <c r="T128" s="839"/>
      <c r="U128" s="852"/>
      <c r="V128" s="82" t="s">
        <v>572</v>
      </c>
      <c r="W128" s="73" t="s">
        <v>97</v>
      </c>
      <c r="X128" s="73" t="s">
        <v>18</v>
      </c>
      <c r="Y128" s="83">
        <v>64.2</v>
      </c>
      <c r="Z128" s="82" t="s">
        <v>505</v>
      </c>
      <c r="AA128" s="73" t="s">
        <v>330</v>
      </c>
      <c r="AB128" s="73" t="s">
        <v>11</v>
      </c>
      <c r="AC128" s="73">
        <v>0.6</v>
      </c>
      <c r="AD128" s="82"/>
      <c r="AG128" s="83"/>
      <c r="AL128" s="82"/>
      <c r="AO128" s="83"/>
      <c r="AP128" s="82"/>
      <c r="AS128" s="83"/>
      <c r="AT128" s="150"/>
      <c r="AW128" s="83"/>
      <c r="BA128" s="84"/>
    </row>
    <row r="129" spans="1:53" s="292" customFormat="1">
      <c r="A129" s="292">
        <v>2012</v>
      </c>
      <c r="B129" s="836">
        <v>41269</v>
      </c>
      <c r="C129" s="958" t="s">
        <v>809</v>
      </c>
      <c r="D129" s="958"/>
      <c r="E129" s="292">
        <v>6</v>
      </c>
      <c r="F129" s="292">
        <v>1</v>
      </c>
      <c r="G129" s="366">
        <v>18</v>
      </c>
      <c r="H129" s="292">
        <v>1</v>
      </c>
      <c r="J129" s="377">
        <v>19</v>
      </c>
      <c r="K129" s="336">
        <f t="shared" si="15"/>
        <v>94.73684210526315</v>
      </c>
      <c r="L129" s="336">
        <f t="shared" si="12"/>
        <v>5.2631578947368416</v>
      </c>
      <c r="M129" s="336">
        <f t="shared" si="13"/>
        <v>0</v>
      </c>
      <c r="N129" s="368">
        <f t="shared" si="16"/>
        <v>99.999999999999986</v>
      </c>
      <c r="O129" s="335">
        <v>61.3</v>
      </c>
      <c r="P129" s="336">
        <v>6.5</v>
      </c>
      <c r="Q129" s="336"/>
      <c r="R129" s="337">
        <f t="shared" si="8"/>
        <v>67.8</v>
      </c>
      <c r="S129" s="292">
        <v>3</v>
      </c>
      <c r="T129" s="838">
        <v>41259</v>
      </c>
      <c r="U129" s="836">
        <v>41269</v>
      </c>
      <c r="V129" s="299" t="s">
        <v>497</v>
      </c>
      <c r="W129" s="292" t="s">
        <v>74</v>
      </c>
      <c r="X129" s="292" t="s">
        <v>11</v>
      </c>
      <c r="Y129" s="300">
        <v>61.3</v>
      </c>
      <c r="Z129" s="292" t="s">
        <v>500</v>
      </c>
      <c r="AA129" s="292" t="s">
        <v>17</v>
      </c>
      <c r="AB129" s="292" t="s">
        <v>18</v>
      </c>
      <c r="AC129" s="292">
        <v>6.5</v>
      </c>
      <c r="AD129" s="299"/>
      <c r="AG129" s="300"/>
      <c r="AL129" s="299"/>
      <c r="AO129" s="300"/>
      <c r="AP129" s="299"/>
      <c r="AS129" s="300"/>
      <c r="AT129" s="390"/>
      <c r="AW129" s="300"/>
      <c r="BA129" s="301"/>
    </row>
    <row r="130" spans="1:53" s="292" customFormat="1">
      <c r="A130" s="292">
        <v>2013</v>
      </c>
      <c r="B130" s="836"/>
      <c r="C130" s="958" t="s">
        <v>809</v>
      </c>
      <c r="D130" s="958"/>
      <c r="E130" s="292">
        <v>0</v>
      </c>
      <c r="G130" s="366">
        <v>18</v>
      </c>
      <c r="H130" s="292">
        <v>1</v>
      </c>
      <c r="J130" s="377">
        <v>19</v>
      </c>
      <c r="K130" s="336">
        <f t="shared" si="15"/>
        <v>94.73684210526315</v>
      </c>
      <c r="L130" s="336">
        <f t="shared" si="12"/>
        <v>5.2631578947368416</v>
      </c>
      <c r="M130" s="336">
        <f t="shared" si="13"/>
        <v>0</v>
      </c>
      <c r="N130" s="368">
        <f t="shared" si="16"/>
        <v>99.999999999999986</v>
      </c>
      <c r="O130" s="335">
        <v>61.3</v>
      </c>
      <c r="P130" s="336">
        <v>6.5</v>
      </c>
      <c r="Q130" s="336"/>
      <c r="R130" s="337">
        <f t="shared" si="8"/>
        <v>67.8</v>
      </c>
      <c r="S130" s="292">
        <v>3</v>
      </c>
      <c r="T130" s="838"/>
      <c r="U130" s="836"/>
      <c r="V130" s="299" t="s">
        <v>497</v>
      </c>
      <c r="W130" s="292" t="s">
        <v>74</v>
      </c>
      <c r="X130" s="292" t="s">
        <v>11</v>
      </c>
      <c r="Y130" s="300">
        <v>61.3</v>
      </c>
      <c r="Z130" s="292" t="s">
        <v>500</v>
      </c>
      <c r="AA130" s="292" t="s">
        <v>17</v>
      </c>
      <c r="AB130" s="292" t="s">
        <v>18</v>
      </c>
      <c r="AC130" s="292">
        <v>6.5</v>
      </c>
      <c r="AD130" s="299"/>
      <c r="AG130" s="300"/>
      <c r="AL130" s="299"/>
      <c r="AO130" s="300"/>
      <c r="AP130" s="299"/>
      <c r="AS130" s="300"/>
      <c r="AT130" s="390"/>
      <c r="AW130" s="300"/>
      <c r="BA130" s="301"/>
    </row>
    <row r="131" spans="1:53" s="292" customFormat="1">
      <c r="A131" s="292">
        <v>2013</v>
      </c>
      <c r="B131" s="836"/>
      <c r="C131" s="958" t="s">
        <v>809</v>
      </c>
      <c r="D131" s="958"/>
      <c r="E131" s="292">
        <v>365</v>
      </c>
      <c r="G131" s="366">
        <v>18</v>
      </c>
      <c r="H131" s="292">
        <v>1</v>
      </c>
      <c r="J131" s="377">
        <v>19</v>
      </c>
      <c r="K131" s="336">
        <f t="shared" si="15"/>
        <v>94.73684210526315</v>
      </c>
      <c r="L131" s="336">
        <f t="shared" si="12"/>
        <v>5.2631578947368416</v>
      </c>
      <c r="M131" s="336">
        <f t="shared" si="13"/>
        <v>0</v>
      </c>
      <c r="N131" s="368">
        <f t="shared" si="16"/>
        <v>99.999999999999986</v>
      </c>
      <c r="O131" s="335">
        <v>61.3</v>
      </c>
      <c r="P131" s="336">
        <v>6.5</v>
      </c>
      <c r="Q131" s="336"/>
      <c r="R131" s="337">
        <f t="shared" si="8"/>
        <v>67.8</v>
      </c>
      <c r="S131" s="292">
        <v>3</v>
      </c>
      <c r="T131" s="838"/>
      <c r="U131" s="836"/>
      <c r="V131" s="299" t="s">
        <v>497</v>
      </c>
      <c r="W131" s="292" t="s">
        <v>74</v>
      </c>
      <c r="X131" s="292" t="s">
        <v>11</v>
      </c>
      <c r="Y131" s="300">
        <v>61.3</v>
      </c>
      <c r="Z131" s="292" t="s">
        <v>500</v>
      </c>
      <c r="AA131" s="292" t="s">
        <v>17</v>
      </c>
      <c r="AB131" s="292" t="s">
        <v>18</v>
      </c>
      <c r="AC131" s="292">
        <v>6.5</v>
      </c>
      <c r="AD131" s="299"/>
      <c r="AG131" s="300"/>
      <c r="AL131" s="299"/>
      <c r="AO131" s="300"/>
      <c r="AP131" s="299"/>
      <c r="AS131" s="300"/>
      <c r="AT131" s="390"/>
      <c r="AW131" s="300"/>
      <c r="BA131" s="301"/>
    </row>
    <row r="132" spans="1:53" s="466" customFormat="1">
      <c r="A132" s="466">
        <v>2014</v>
      </c>
      <c r="B132" s="836"/>
      <c r="C132" s="958" t="s">
        <v>809</v>
      </c>
      <c r="D132" s="958"/>
      <c r="E132" s="466">
        <v>357</v>
      </c>
      <c r="G132" s="425">
        <v>18</v>
      </c>
      <c r="H132" s="466">
        <v>1</v>
      </c>
      <c r="J132" s="427">
        <v>19</v>
      </c>
      <c r="K132" s="423">
        <f t="shared" ref="K132:M133" si="17">G132/$J132*100</f>
        <v>94.73684210526315</v>
      </c>
      <c r="L132" s="423">
        <f t="shared" si="17"/>
        <v>5.2631578947368416</v>
      </c>
      <c r="M132" s="423">
        <f t="shared" si="17"/>
        <v>0</v>
      </c>
      <c r="N132" s="426">
        <f>K132+L132+M132</f>
        <v>99.999999999999986</v>
      </c>
      <c r="O132" s="422">
        <v>61.3</v>
      </c>
      <c r="P132" s="423">
        <v>6.5</v>
      </c>
      <c r="Q132" s="423"/>
      <c r="R132" s="424">
        <f>O132+P132+Q132</f>
        <v>67.8</v>
      </c>
      <c r="S132" s="466">
        <v>3</v>
      </c>
      <c r="T132" s="838"/>
      <c r="U132" s="836"/>
      <c r="V132" s="417" t="s">
        <v>497</v>
      </c>
      <c r="W132" s="466" t="s">
        <v>74</v>
      </c>
      <c r="X132" s="466" t="s">
        <v>11</v>
      </c>
      <c r="Y132" s="418">
        <v>61.3</v>
      </c>
      <c r="Z132" s="466" t="s">
        <v>500</v>
      </c>
      <c r="AA132" s="466" t="s">
        <v>17</v>
      </c>
      <c r="AB132" s="466" t="s">
        <v>18</v>
      </c>
      <c r="AC132" s="466">
        <v>6.5</v>
      </c>
      <c r="AD132" s="417"/>
      <c r="AG132" s="418"/>
      <c r="AL132" s="417"/>
      <c r="AO132" s="418"/>
      <c r="AP132" s="417"/>
      <c r="AS132" s="418"/>
      <c r="AT132" s="390"/>
      <c r="AW132" s="418"/>
      <c r="BA132" s="419"/>
    </row>
    <row r="133" spans="1:53" s="465" customFormat="1">
      <c r="A133" s="465">
        <v>2014</v>
      </c>
      <c r="B133" s="852">
        <v>41997</v>
      </c>
      <c r="C133" s="950" t="s">
        <v>1295</v>
      </c>
      <c r="D133" s="950"/>
      <c r="E133" s="465">
        <v>8</v>
      </c>
      <c r="F133" s="465">
        <v>1</v>
      </c>
      <c r="G133" s="411">
        <v>18</v>
      </c>
      <c r="H133" s="465">
        <v>1</v>
      </c>
      <c r="J133" s="413">
        <v>19</v>
      </c>
      <c r="K133" s="409">
        <f t="shared" si="17"/>
        <v>94.73684210526315</v>
      </c>
      <c r="L133" s="409">
        <f t="shared" si="17"/>
        <v>5.2631578947368416</v>
      </c>
      <c r="M133" s="409">
        <f t="shared" si="17"/>
        <v>0</v>
      </c>
      <c r="N133" s="412">
        <f>K133+L133+M133</f>
        <v>99.999999999999986</v>
      </c>
      <c r="O133" s="408">
        <v>61.1</v>
      </c>
      <c r="P133" s="409">
        <v>7.4</v>
      </c>
      <c r="Q133" s="409"/>
      <c r="R133" s="410">
        <f>O133+P133+Q133</f>
        <v>68.5</v>
      </c>
      <c r="S133" s="465">
        <v>3</v>
      </c>
      <c r="T133" s="839">
        <v>41987</v>
      </c>
      <c r="U133" s="852">
        <v>41997</v>
      </c>
      <c r="V133" s="405" t="s">
        <v>497</v>
      </c>
      <c r="W133" s="465" t="s">
        <v>74</v>
      </c>
      <c r="X133" s="465" t="s">
        <v>11</v>
      </c>
      <c r="Y133" s="406">
        <v>61.1</v>
      </c>
      <c r="Z133" s="405" t="s">
        <v>500</v>
      </c>
      <c r="AA133" s="465" t="s">
        <v>17</v>
      </c>
      <c r="AB133" s="465" t="s">
        <v>18</v>
      </c>
      <c r="AC133" s="465">
        <v>7.4</v>
      </c>
      <c r="AD133" s="405"/>
      <c r="AG133" s="406"/>
      <c r="AL133" s="405"/>
      <c r="AO133" s="406"/>
      <c r="AP133" s="405"/>
      <c r="AS133" s="406"/>
      <c r="AT133" s="150"/>
      <c r="AW133" s="406"/>
      <c r="BA133" s="407"/>
    </row>
    <row r="134" spans="1:53" s="607" customFormat="1">
      <c r="A134" s="607">
        <v>2015</v>
      </c>
      <c r="B134" s="852"/>
      <c r="C134" s="950" t="s">
        <v>1295</v>
      </c>
      <c r="D134" s="950"/>
      <c r="E134" s="607">
        <v>279</v>
      </c>
      <c r="G134" s="498">
        <v>18</v>
      </c>
      <c r="H134" s="607">
        <v>1</v>
      </c>
      <c r="J134" s="500">
        <v>19</v>
      </c>
      <c r="K134" s="496">
        <f t="shared" ref="K134:K135" si="18">G134/$J134*100</f>
        <v>94.73684210526315</v>
      </c>
      <c r="L134" s="496">
        <f t="shared" ref="L134:L135" si="19">H134/$J134*100</f>
        <v>5.2631578947368416</v>
      </c>
      <c r="M134" s="496">
        <f t="shared" ref="M134:M135" si="20">I134/$J134*100</f>
        <v>0</v>
      </c>
      <c r="N134" s="499">
        <f t="shared" ref="N134:N135" si="21">K134+L134+M134</f>
        <v>99.999999999999986</v>
      </c>
      <c r="O134" s="495">
        <v>61.1</v>
      </c>
      <c r="P134" s="496">
        <v>7.4</v>
      </c>
      <c r="Q134" s="496"/>
      <c r="R134" s="497">
        <f t="shared" ref="R134:R135" si="22">O134+P134+Q134</f>
        <v>68.5</v>
      </c>
      <c r="S134" s="607">
        <v>3</v>
      </c>
      <c r="T134" s="839"/>
      <c r="U134" s="852"/>
      <c r="V134" s="492" t="s">
        <v>497</v>
      </c>
      <c r="W134" s="607" t="s">
        <v>74</v>
      </c>
      <c r="X134" s="607" t="s">
        <v>11</v>
      </c>
      <c r="Y134" s="493">
        <v>61.1</v>
      </c>
      <c r="Z134" s="492" t="s">
        <v>500</v>
      </c>
      <c r="AA134" s="607" t="s">
        <v>17</v>
      </c>
      <c r="AB134" s="607" t="s">
        <v>18</v>
      </c>
      <c r="AC134" s="607">
        <v>7.4</v>
      </c>
      <c r="AD134" s="492"/>
      <c r="AG134" s="493"/>
      <c r="AL134" s="492"/>
      <c r="AO134" s="493"/>
      <c r="AP134" s="492"/>
      <c r="AS134" s="493"/>
      <c r="AT134" s="150"/>
      <c r="AW134" s="493"/>
      <c r="BA134" s="494"/>
    </row>
    <row r="135" spans="1:53" s="607" customFormat="1">
      <c r="A135" s="607">
        <v>2015</v>
      </c>
      <c r="B135" s="860">
        <v>42284</v>
      </c>
      <c r="C135" s="950" t="s">
        <v>1295</v>
      </c>
      <c r="D135" s="950"/>
      <c r="E135" s="607">
        <v>86</v>
      </c>
      <c r="F135" s="502">
        <v>0</v>
      </c>
      <c r="G135" s="498">
        <v>19</v>
      </c>
      <c r="H135" s="607">
        <v>1</v>
      </c>
      <c r="J135" s="500">
        <v>20</v>
      </c>
      <c r="K135" s="496">
        <f t="shared" si="18"/>
        <v>95</v>
      </c>
      <c r="L135" s="496">
        <f t="shared" si="19"/>
        <v>5</v>
      </c>
      <c r="M135" s="496">
        <f t="shared" si="20"/>
        <v>0</v>
      </c>
      <c r="N135" s="499">
        <f t="shared" si="21"/>
        <v>100</v>
      </c>
      <c r="O135" s="495">
        <v>61.1</v>
      </c>
      <c r="P135" s="496">
        <v>7.4</v>
      </c>
      <c r="Q135" s="496"/>
      <c r="R135" s="497">
        <f t="shared" si="22"/>
        <v>68.5</v>
      </c>
      <c r="S135" s="607">
        <v>3</v>
      </c>
      <c r="T135" s="839"/>
      <c r="U135" s="852"/>
      <c r="V135" s="492" t="s">
        <v>497</v>
      </c>
      <c r="W135" s="607" t="s">
        <v>74</v>
      </c>
      <c r="X135" s="607" t="s">
        <v>11</v>
      </c>
      <c r="Y135" s="493">
        <v>61.1</v>
      </c>
      <c r="Z135" s="492" t="s">
        <v>500</v>
      </c>
      <c r="AA135" s="607" t="s">
        <v>17</v>
      </c>
      <c r="AB135" s="607" t="s">
        <v>18</v>
      </c>
      <c r="AC135" s="607">
        <v>7.4</v>
      </c>
      <c r="AD135" s="492"/>
      <c r="AG135" s="493"/>
      <c r="AL135" s="492"/>
      <c r="AO135" s="493"/>
      <c r="AP135" s="492"/>
      <c r="AS135" s="493"/>
      <c r="AT135" s="150"/>
      <c r="AW135" s="493"/>
      <c r="BA135" s="494"/>
    </row>
    <row r="136" spans="1:53" s="678" customFormat="1">
      <c r="A136" s="678">
        <v>2016</v>
      </c>
      <c r="B136" s="860"/>
      <c r="C136" s="950" t="s">
        <v>1295</v>
      </c>
      <c r="D136" s="950"/>
      <c r="E136" s="678">
        <v>0</v>
      </c>
      <c r="F136" s="502"/>
      <c r="G136" s="498">
        <v>19</v>
      </c>
      <c r="H136" s="678">
        <v>1</v>
      </c>
      <c r="J136" s="500">
        <v>20</v>
      </c>
      <c r="K136" s="496">
        <f t="shared" ref="K136" si="23">G136/$J136*100</f>
        <v>95</v>
      </c>
      <c r="L136" s="496">
        <f t="shared" ref="L136" si="24">H136/$J136*100</f>
        <v>5</v>
      </c>
      <c r="M136" s="496">
        <f t="shared" ref="M136" si="25">I136/$J136*100</f>
        <v>0</v>
      </c>
      <c r="N136" s="499">
        <f t="shared" ref="N136" si="26">K136+L136+M136</f>
        <v>100</v>
      </c>
      <c r="O136" s="495">
        <v>61.1</v>
      </c>
      <c r="P136" s="496">
        <v>7.4</v>
      </c>
      <c r="Q136" s="496"/>
      <c r="R136" s="497">
        <f t="shared" ref="R136" si="27">O136+P136+Q136</f>
        <v>68.5</v>
      </c>
      <c r="S136" s="678">
        <v>3</v>
      </c>
      <c r="T136" s="839"/>
      <c r="U136" s="852"/>
      <c r="V136" s="492" t="s">
        <v>497</v>
      </c>
      <c r="W136" s="678" t="s">
        <v>74</v>
      </c>
      <c r="X136" s="678" t="s">
        <v>11</v>
      </c>
      <c r="Y136" s="493">
        <v>61.1</v>
      </c>
      <c r="Z136" s="492" t="s">
        <v>500</v>
      </c>
      <c r="AA136" s="678" t="s">
        <v>17</v>
      </c>
      <c r="AB136" s="678" t="s">
        <v>18</v>
      </c>
      <c r="AC136" s="727">
        <v>7.4</v>
      </c>
      <c r="AD136" s="492"/>
      <c r="AT136" s="150"/>
    </row>
    <row r="137" spans="1:53" s="678" customFormat="1">
      <c r="A137" s="678">
        <v>2016</v>
      </c>
      <c r="B137" s="860"/>
      <c r="C137" s="950" t="s">
        <v>1295</v>
      </c>
      <c r="D137" s="950"/>
      <c r="E137" s="678">
        <v>366</v>
      </c>
      <c r="F137" s="502"/>
      <c r="G137" s="498">
        <v>19</v>
      </c>
      <c r="H137" s="678">
        <v>1</v>
      </c>
      <c r="J137" s="500">
        <v>20</v>
      </c>
      <c r="K137" s="496">
        <f t="shared" ref="K137:K141" si="28">G137/$J137*100</f>
        <v>95</v>
      </c>
      <c r="L137" s="496">
        <f t="shared" ref="L137:L141" si="29">H137/$J137*100</f>
        <v>5</v>
      </c>
      <c r="M137" s="496">
        <f t="shared" ref="M137:M141" si="30">I137/$J137*100</f>
        <v>0</v>
      </c>
      <c r="N137" s="499">
        <f t="shared" ref="N137:N141" si="31">K137+L137+M137</f>
        <v>100</v>
      </c>
      <c r="O137" s="495">
        <v>61.1</v>
      </c>
      <c r="P137" s="496">
        <v>7.4</v>
      </c>
      <c r="Q137" s="496"/>
      <c r="R137" s="497">
        <f t="shared" ref="R137" si="32">O137+P137+Q137</f>
        <v>68.5</v>
      </c>
      <c r="S137" s="678">
        <v>3</v>
      </c>
      <c r="T137" s="839"/>
      <c r="U137" s="852"/>
      <c r="V137" s="492" t="s">
        <v>497</v>
      </c>
      <c r="W137" s="678" t="s">
        <v>74</v>
      </c>
      <c r="X137" s="678" t="s">
        <v>11</v>
      </c>
      <c r="Y137" s="493">
        <v>61.1</v>
      </c>
      <c r="Z137" s="492" t="s">
        <v>500</v>
      </c>
      <c r="AA137" s="678" t="s">
        <v>17</v>
      </c>
      <c r="AB137" s="678" t="s">
        <v>18</v>
      </c>
      <c r="AC137" s="727">
        <v>7.4</v>
      </c>
      <c r="AD137" s="492"/>
      <c r="AT137" s="150"/>
    </row>
    <row r="138" spans="1:53" s="727" customFormat="1">
      <c r="A138" s="727">
        <v>2017</v>
      </c>
      <c r="B138" s="860"/>
      <c r="C138" s="950" t="s">
        <v>1295</v>
      </c>
      <c r="D138" s="950"/>
      <c r="E138" s="727">
        <v>304</v>
      </c>
      <c r="F138" s="502"/>
      <c r="G138" s="498">
        <v>19</v>
      </c>
      <c r="H138" s="727">
        <v>1</v>
      </c>
      <c r="J138" s="500">
        <v>20</v>
      </c>
      <c r="K138" s="496">
        <f t="shared" si="28"/>
        <v>95</v>
      </c>
      <c r="L138" s="496">
        <f t="shared" si="29"/>
        <v>5</v>
      </c>
      <c r="M138" s="496">
        <f t="shared" si="30"/>
        <v>0</v>
      </c>
      <c r="N138" s="499">
        <f t="shared" si="31"/>
        <v>100</v>
      </c>
      <c r="O138" s="495">
        <v>61.1</v>
      </c>
      <c r="P138" s="496">
        <v>7.4</v>
      </c>
      <c r="Q138" s="496"/>
      <c r="R138" s="497">
        <f t="shared" ref="R138:R139" si="33">O138+P138+Q138</f>
        <v>68.5</v>
      </c>
      <c r="S138" s="727">
        <v>3</v>
      </c>
      <c r="T138" s="839"/>
      <c r="U138" s="852"/>
      <c r="V138" s="492" t="s">
        <v>497</v>
      </c>
      <c r="W138" s="727" t="s">
        <v>74</v>
      </c>
      <c r="X138" s="727" t="s">
        <v>11</v>
      </c>
      <c r="Y138" s="493">
        <v>61.1</v>
      </c>
      <c r="Z138" s="492" t="s">
        <v>500</v>
      </c>
      <c r="AA138" s="727" t="s">
        <v>17</v>
      </c>
      <c r="AB138" s="727" t="s">
        <v>18</v>
      </c>
      <c r="AC138" s="727">
        <v>7.4</v>
      </c>
      <c r="AD138" s="492"/>
      <c r="AT138" s="150"/>
    </row>
    <row r="139" spans="1:53" s="726" customFormat="1">
      <c r="A139" s="726">
        <v>2017</v>
      </c>
      <c r="B139" s="836">
        <v>43040</v>
      </c>
      <c r="C139" s="958" t="s">
        <v>1381</v>
      </c>
      <c r="D139" s="958"/>
      <c r="E139" s="726">
        <v>61</v>
      </c>
      <c r="F139" s="726">
        <v>1</v>
      </c>
      <c r="G139" s="539">
        <v>19</v>
      </c>
      <c r="H139" s="726">
        <v>1</v>
      </c>
      <c r="J139" s="541">
        <v>20</v>
      </c>
      <c r="K139" s="537">
        <f t="shared" si="28"/>
        <v>95</v>
      </c>
      <c r="L139" s="537">
        <f t="shared" si="29"/>
        <v>5</v>
      </c>
      <c r="M139" s="537">
        <f t="shared" si="30"/>
        <v>0</v>
      </c>
      <c r="N139" s="540">
        <f t="shared" si="31"/>
        <v>100</v>
      </c>
      <c r="O139" s="536">
        <v>60.9</v>
      </c>
      <c r="P139" s="537">
        <v>6.2</v>
      </c>
      <c r="Q139" s="537"/>
      <c r="R139" s="538">
        <f t="shared" si="33"/>
        <v>67.099999999999994</v>
      </c>
      <c r="S139" s="726">
        <v>3</v>
      </c>
      <c r="T139" s="838">
        <v>43030</v>
      </c>
      <c r="U139" s="836">
        <v>43040</v>
      </c>
      <c r="V139" s="532" t="s">
        <v>497</v>
      </c>
      <c r="W139" s="726" t="s">
        <v>74</v>
      </c>
      <c r="X139" s="726" t="s">
        <v>11</v>
      </c>
      <c r="Y139" s="533">
        <v>60.9</v>
      </c>
      <c r="Z139" s="532" t="s">
        <v>500</v>
      </c>
      <c r="AA139" s="726" t="s">
        <v>17</v>
      </c>
      <c r="AB139" s="726" t="s">
        <v>18</v>
      </c>
      <c r="AC139" s="726">
        <v>6.2</v>
      </c>
      <c r="AD139" s="532"/>
      <c r="AT139" s="390"/>
    </row>
    <row r="140" spans="1:53" s="770" customFormat="1">
      <c r="A140" s="770">
        <v>2018</v>
      </c>
      <c r="B140" s="836"/>
      <c r="C140" s="958" t="s">
        <v>1381</v>
      </c>
      <c r="D140" s="958"/>
      <c r="E140" s="770">
        <v>0</v>
      </c>
      <c r="G140" s="539">
        <v>19</v>
      </c>
      <c r="H140" s="770">
        <v>1</v>
      </c>
      <c r="J140" s="541">
        <v>20</v>
      </c>
      <c r="K140" s="537">
        <f t="shared" si="28"/>
        <v>95</v>
      </c>
      <c r="L140" s="537">
        <f t="shared" si="29"/>
        <v>5</v>
      </c>
      <c r="M140" s="537">
        <f t="shared" si="30"/>
        <v>0</v>
      </c>
      <c r="N140" s="540">
        <f t="shared" si="31"/>
        <v>100</v>
      </c>
      <c r="O140" s="536">
        <v>60.9</v>
      </c>
      <c r="P140" s="537">
        <v>6.2</v>
      </c>
      <c r="Q140" s="537"/>
      <c r="R140" s="538">
        <f t="shared" ref="R140:R141" si="34">O140+P140+Q140</f>
        <v>67.099999999999994</v>
      </c>
      <c r="S140" s="770">
        <v>3</v>
      </c>
      <c r="T140" s="838"/>
      <c r="U140" s="836"/>
      <c r="V140" s="532" t="s">
        <v>497</v>
      </c>
      <c r="W140" s="770" t="s">
        <v>74</v>
      </c>
      <c r="X140" s="770" t="s">
        <v>11</v>
      </c>
      <c r="Y140" s="533">
        <v>60.9</v>
      </c>
      <c r="Z140" s="532" t="s">
        <v>500</v>
      </c>
      <c r="AA140" s="770" t="s">
        <v>17</v>
      </c>
      <c r="AB140" s="770" t="s">
        <v>18</v>
      </c>
      <c r="AC140" s="770">
        <v>6.2</v>
      </c>
      <c r="AD140" s="532"/>
      <c r="AT140" s="390"/>
    </row>
    <row r="141" spans="1:53" s="770" customFormat="1">
      <c r="A141" s="770">
        <v>2018</v>
      </c>
      <c r="B141" s="836"/>
      <c r="C141" s="958" t="s">
        <v>1381</v>
      </c>
      <c r="D141" s="958"/>
      <c r="E141" s="770">
        <v>365</v>
      </c>
      <c r="G141" s="539">
        <v>19</v>
      </c>
      <c r="H141" s="770">
        <v>1</v>
      </c>
      <c r="J141" s="541">
        <v>20</v>
      </c>
      <c r="K141" s="537">
        <f t="shared" si="28"/>
        <v>95</v>
      </c>
      <c r="L141" s="537">
        <f t="shared" si="29"/>
        <v>5</v>
      </c>
      <c r="M141" s="537">
        <f t="shared" si="30"/>
        <v>0</v>
      </c>
      <c r="N141" s="540">
        <f t="shared" si="31"/>
        <v>100</v>
      </c>
      <c r="O141" s="536">
        <v>60.9</v>
      </c>
      <c r="P141" s="537">
        <v>6.2</v>
      </c>
      <c r="Q141" s="537"/>
      <c r="R141" s="538">
        <f t="shared" si="34"/>
        <v>67.099999999999994</v>
      </c>
      <c r="S141" s="770">
        <v>3</v>
      </c>
      <c r="T141" s="838"/>
      <c r="U141" s="836"/>
      <c r="V141" s="532" t="s">
        <v>497</v>
      </c>
      <c r="W141" s="770" t="s">
        <v>74</v>
      </c>
      <c r="X141" s="770" t="s">
        <v>11</v>
      </c>
      <c r="Y141" s="533">
        <v>60.9</v>
      </c>
      <c r="Z141" s="532" t="s">
        <v>500</v>
      </c>
      <c r="AA141" s="770" t="s">
        <v>17</v>
      </c>
      <c r="AB141" s="770" t="s">
        <v>18</v>
      </c>
      <c r="AC141" s="770">
        <v>6.2</v>
      </c>
      <c r="AD141" s="532"/>
      <c r="AT141" s="390"/>
    </row>
    <row r="142" spans="1:53" s="800" customFormat="1">
      <c r="A142" s="800">
        <v>2019</v>
      </c>
      <c r="B142" s="836"/>
      <c r="C142" s="958" t="s">
        <v>1381</v>
      </c>
      <c r="D142" s="958"/>
      <c r="E142" s="800">
        <v>0</v>
      </c>
      <c r="G142" s="539">
        <v>19</v>
      </c>
      <c r="H142" s="800">
        <v>1</v>
      </c>
      <c r="J142" s="541">
        <v>20</v>
      </c>
      <c r="K142" s="537">
        <f t="shared" ref="K142:K143" si="35">G142/$J142*100</f>
        <v>95</v>
      </c>
      <c r="L142" s="537">
        <f t="shared" ref="L142:L143" si="36">H142/$J142*100</f>
        <v>5</v>
      </c>
      <c r="M142" s="537">
        <f t="shared" ref="M142:M143" si="37">I142/$J142*100</f>
        <v>0</v>
      </c>
      <c r="N142" s="540">
        <f t="shared" ref="N142:N143" si="38">K142+L142+M142</f>
        <v>100</v>
      </c>
      <c r="O142" s="536">
        <v>60.9</v>
      </c>
      <c r="P142" s="537">
        <v>6.2</v>
      </c>
      <c r="Q142" s="537"/>
      <c r="R142" s="538">
        <f t="shared" ref="R142:R143" si="39">O142+P142+Q142</f>
        <v>67.099999999999994</v>
      </c>
      <c r="S142" s="800">
        <v>3</v>
      </c>
      <c r="T142" s="838"/>
      <c r="U142" s="836"/>
      <c r="V142" s="532" t="s">
        <v>497</v>
      </c>
      <c r="W142" s="800" t="s">
        <v>74</v>
      </c>
      <c r="X142" s="800" t="s">
        <v>11</v>
      </c>
      <c r="Y142" s="533">
        <v>60.9</v>
      </c>
      <c r="Z142" s="532" t="s">
        <v>500</v>
      </c>
      <c r="AA142" s="800" t="s">
        <v>17</v>
      </c>
      <c r="AB142" s="800" t="s">
        <v>18</v>
      </c>
      <c r="AC142" s="800">
        <v>6.2</v>
      </c>
      <c r="AD142" s="532"/>
      <c r="AT142" s="390"/>
    </row>
    <row r="143" spans="1:53" s="800" customFormat="1">
      <c r="A143" s="800">
        <v>2019</v>
      </c>
      <c r="B143" s="836"/>
      <c r="C143" s="958" t="s">
        <v>1381</v>
      </c>
      <c r="D143" s="958"/>
      <c r="E143" s="800">
        <v>365</v>
      </c>
      <c r="G143" s="539">
        <v>19</v>
      </c>
      <c r="H143" s="800">
        <v>1</v>
      </c>
      <c r="J143" s="541">
        <v>20</v>
      </c>
      <c r="K143" s="537">
        <f t="shared" si="35"/>
        <v>95</v>
      </c>
      <c r="L143" s="537">
        <f t="shared" si="36"/>
        <v>5</v>
      </c>
      <c r="M143" s="537">
        <f t="shared" si="37"/>
        <v>0</v>
      </c>
      <c r="N143" s="540">
        <f t="shared" si="38"/>
        <v>100</v>
      </c>
      <c r="O143" s="536">
        <v>60.9</v>
      </c>
      <c r="P143" s="537">
        <v>6.2</v>
      </c>
      <c r="Q143" s="537"/>
      <c r="R143" s="538">
        <f t="shared" si="39"/>
        <v>67.099999999999994</v>
      </c>
      <c r="S143" s="800">
        <v>3</v>
      </c>
      <c r="T143" s="838"/>
      <c r="U143" s="836"/>
      <c r="V143" s="532" t="s">
        <v>497</v>
      </c>
      <c r="W143" s="800" t="s">
        <v>74</v>
      </c>
      <c r="X143" s="800" t="s">
        <v>11</v>
      </c>
      <c r="Y143" s="533">
        <v>60.9</v>
      </c>
      <c r="Z143" s="532" t="s">
        <v>500</v>
      </c>
      <c r="AA143" s="800" t="s">
        <v>17</v>
      </c>
      <c r="AB143" s="800" t="s">
        <v>18</v>
      </c>
      <c r="AC143" s="800">
        <v>6.2</v>
      </c>
      <c r="AD143" s="532"/>
      <c r="AT143" s="390"/>
    </row>
    <row r="144" spans="1:53" s="727" customFormat="1">
      <c r="B144" s="501"/>
      <c r="C144" s="950"/>
      <c r="D144" s="950"/>
      <c r="F144" s="502"/>
      <c r="G144" s="498"/>
      <c r="J144" s="500"/>
      <c r="K144" s="496"/>
      <c r="L144" s="496"/>
      <c r="M144" s="496"/>
      <c r="N144" s="499"/>
      <c r="O144" s="495"/>
      <c r="P144" s="496"/>
      <c r="Q144" s="496"/>
      <c r="R144" s="497"/>
      <c r="T144" s="839"/>
      <c r="U144" s="852"/>
      <c r="V144" s="492"/>
      <c r="Y144" s="493"/>
      <c r="Z144" s="492"/>
      <c r="AT144" s="150"/>
    </row>
    <row r="145" spans="1:46" s="2" customFormat="1">
      <c r="I145" s="16"/>
      <c r="AT145" s="36"/>
    </row>
    <row r="146" spans="1:46" s="2" customFormat="1" ht="18" customHeight="1">
      <c r="B146" s="22" t="s">
        <v>1269</v>
      </c>
      <c r="H146" s="6"/>
    </row>
    <row r="147" spans="1:46" s="2" customFormat="1" ht="9" customHeight="1">
      <c r="H147" s="6"/>
    </row>
    <row r="148" spans="1:46" s="317" customFormat="1" ht="9" customHeight="1">
      <c r="A148" s="315"/>
      <c r="B148" s="316" t="s">
        <v>1220</v>
      </c>
      <c r="C148" s="316"/>
      <c r="D148" s="316"/>
      <c r="E148" s="316"/>
      <c r="F148" s="316"/>
      <c r="G148" s="316" t="s">
        <v>1221</v>
      </c>
      <c r="H148" s="316"/>
      <c r="I148" s="316"/>
      <c r="J148" s="316"/>
      <c r="K148" s="316"/>
      <c r="L148" s="316"/>
      <c r="M148" s="316"/>
      <c r="N148" s="316"/>
      <c r="R148" s="895" t="s">
        <v>1222</v>
      </c>
      <c r="S148" s="895"/>
      <c r="T148" s="895"/>
      <c r="U148" s="895"/>
      <c r="V148" s="895"/>
      <c r="W148" s="895"/>
      <c r="X148" s="318"/>
      <c r="Y148" s="318"/>
      <c r="AA148" s="318"/>
      <c r="AB148" s="318"/>
      <c r="AC148" s="318"/>
      <c r="AD148" s="318"/>
    </row>
    <row r="149" spans="1:46" s="322" customFormat="1" ht="9" customHeight="1">
      <c r="A149" s="319"/>
      <c r="B149" s="320" t="s">
        <v>1224</v>
      </c>
      <c r="C149" s="321"/>
      <c r="D149" s="321"/>
      <c r="E149" s="321"/>
      <c r="F149" s="321"/>
      <c r="G149" s="320" t="s">
        <v>1223</v>
      </c>
      <c r="H149" s="321"/>
      <c r="I149" s="321"/>
      <c r="J149" s="321"/>
      <c r="K149" s="321"/>
      <c r="L149" s="321"/>
      <c r="M149" s="321"/>
      <c r="N149" s="321"/>
      <c r="R149" s="323" t="s">
        <v>1225</v>
      </c>
      <c r="S149" s="324"/>
      <c r="T149" s="325"/>
      <c r="U149" s="325"/>
      <c r="V149" s="325"/>
      <c r="W149" s="323" t="s">
        <v>1226</v>
      </c>
      <c r="X149" s="325"/>
      <c r="Y149" s="325"/>
      <c r="AA149" s="325"/>
      <c r="AB149" s="325"/>
      <c r="AC149" s="325"/>
      <c r="AD149" s="325"/>
    </row>
    <row r="150" spans="1:46" s="307" customFormat="1" ht="12" customHeight="1">
      <c r="A150" s="326" t="s">
        <v>3</v>
      </c>
      <c r="B150" s="327" t="s">
        <v>8</v>
      </c>
      <c r="C150" s="327" t="s">
        <v>9</v>
      </c>
      <c r="D150" s="327" t="s">
        <v>10</v>
      </c>
      <c r="E150" s="328" t="s">
        <v>1200</v>
      </c>
      <c r="F150" s="327"/>
      <c r="G150" s="307" t="s">
        <v>3</v>
      </c>
      <c r="H150" s="896" t="s">
        <v>0</v>
      </c>
      <c r="I150" s="896"/>
      <c r="J150" s="896" t="s">
        <v>1</v>
      </c>
      <c r="K150" s="896"/>
      <c r="L150" s="896" t="s">
        <v>2</v>
      </c>
      <c r="M150" s="896"/>
      <c r="N150" s="897" t="s">
        <v>1200</v>
      </c>
      <c r="O150" s="897"/>
      <c r="P150" s="329"/>
      <c r="Q150" s="329"/>
      <c r="R150" s="330" t="s">
        <v>3</v>
      </c>
      <c r="S150" s="331" t="s">
        <v>136</v>
      </c>
      <c r="T150" s="329" t="s">
        <v>134</v>
      </c>
      <c r="U150" s="327" t="s">
        <v>135</v>
      </c>
      <c r="V150" s="329"/>
      <c r="W150" s="332" t="s">
        <v>26</v>
      </c>
    </row>
    <row r="151" spans="1:46" s="243" customFormat="1">
      <c r="A151" s="243">
        <v>1959</v>
      </c>
      <c r="B151" s="230">
        <f>(K6*($E6/365)) + (K7*($E7/365))</f>
        <v>100</v>
      </c>
      <c r="C151" s="230">
        <f>(L6*($E6/365)) + (L7*($E7/365))</f>
        <v>0</v>
      </c>
      <c r="D151" s="230">
        <f>(M6*($E6/365)) + (M7*($E7/365))</f>
        <v>0</v>
      </c>
      <c r="E151" s="231">
        <f>B151+C151+D151</f>
        <v>100</v>
      </c>
      <c r="G151" s="243">
        <v>1959</v>
      </c>
      <c r="H151" s="927">
        <f>(O6/$R6*100*($E6/365))+(O7/$R7*100*($E7/365))</f>
        <v>100</v>
      </c>
      <c r="I151" s="927"/>
      <c r="J151" s="927">
        <f>(P6/$R6*100*($E6/365))+(P7/$R7*100*($E7/365))</f>
        <v>0</v>
      </c>
      <c r="K151" s="927"/>
      <c r="L151" s="927">
        <f>(Q6/$R6*100*($E6/365))+(Q7/$R7*100*($E7/365))</f>
        <v>0</v>
      </c>
      <c r="M151" s="927"/>
      <c r="N151" s="926">
        <f>H151+J151+L151</f>
        <v>100</v>
      </c>
      <c r="O151" s="926"/>
      <c r="R151" s="243">
        <v>1959</v>
      </c>
      <c r="S151" s="230">
        <f>(O6*($E6/365)) + (O7*($E7/365))</f>
        <v>61.5</v>
      </c>
      <c r="T151" s="230">
        <f>(P6*($E6/365)) + (P7*($E7/365))</f>
        <v>0</v>
      </c>
      <c r="U151" s="230">
        <f>(Q6*($E6/365)) + (Q7*($E7/365))</f>
        <v>0</v>
      </c>
      <c r="V151" s="245"/>
      <c r="W151" s="244">
        <f>S151+T151+U151</f>
        <v>61.5</v>
      </c>
      <c r="AT151" s="250"/>
    </row>
    <row r="152" spans="1:46">
      <c r="A152" s="1">
        <v>1960</v>
      </c>
      <c r="B152" s="8">
        <f>(K8*($E8/366))+(K9*($E9/366))+(K10*($E10/366))</f>
        <v>100</v>
      </c>
      <c r="C152" s="8">
        <f>(L8*($E8/366))+(L9*($E9/366))+(L10*($E10/366))</f>
        <v>0</v>
      </c>
      <c r="D152" s="8">
        <f>(M8*($E8/366))+(M9*($E9/366))+(M10*($E10/366))</f>
        <v>0</v>
      </c>
      <c r="E152" s="48">
        <f>B152+C152+D152</f>
        <v>100</v>
      </c>
      <c r="G152" s="1">
        <v>1960</v>
      </c>
      <c r="H152" s="918">
        <f>(O8/$R8*100*($E8/366))+(O9/$R9*100*($E9/366))+(O10/$R10*100*($E10/366))</f>
        <v>100</v>
      </c>
      <c r="I152" s="918"/>
      <c r="J152" s="918">
        <f>(P8/$R8*100*($E8/366))+(P9/$R9*100*($E9/366))+(P10/$R10*100*($E10/366))</f>
        <v>0</v>
      </c>
      <c r="K152" s="918"/>
      <c r="L152" s="918">
        <f>(Q8/$R8*100*($E8/366))+(Q9/$R9*100*($E9/366))+(Q10/$R10*100*($E10/366))</f>
        <v>0</v>
      </c>
      <c r="M152" s="918"/>
      <c r="N152" s="919">
        <f>H152+J152+L152</f>
        <v>100</v>
      </c>
      <c r="O152" s="919"/>
      <c r="R152" s="1">
        <v>1960</v>
      </c>
      <c r="S152" s="8">
        <f>(O8*($E8/366))+(O9*($E9/366))+(O10*($E10/366))</f>
        <v>61.624590163934428</v>
      </c>
      <c r="T152" s="8">
        <f>(P8*($E8/366))+(P9*($E9/366))+(P10*($E10/366))</f>
        <v>0</v>
      </c>
      <c r="U152" s="8">
        <f>(Q8*($E8/366))+(Q9*($E9/366))+(Q10*($E10/366))</f>
        <v>0</v>
      </c>
      <c r="V152" s="12"/>
      <c r="W152" s="7">
        <f>S152+T152+U152</f>
        <v>61.624590163934428</v>
      </c>
    </row>
    <row r="153" spans="1:46">
      <c r="A153" s="1">
        <v>1961</v>
      </c>
      <c r="B153" s="8">
        <f>(K11*($E11/365))+(K12*($E12/365))</f>
        <v>100</v>
      </c>
      <c r="C153" s="8">
        <f>(L11*($E11/365))+(L12*($E12/365))</f>
        <v>0</v>
      </c>
      <c r="D153" s="8">
        <f>(M11*($E11/365))+(M12*($E12/365))</f>
        <v>0</v>
      </c>
      <c r="E153" s="48">
        <f t="shared" ref="E153:E205" si="40">B153+C153+D153</f>
        <v>100</v>
      </c>
      <c r="G153" s="1">
        <v>1961</v>
      </c>
      <c r="H153" s="918">
        <f>(O11/$R11*100*($E11/365))+(O12/$R12*100*($E12/365))</f>
        <v>100</v>
      </c>
      <c r="I153" s="918"/>
      <c r="J153" s="918">
        <f>(P11/$R11*100*($E11/365))+(P12/$R12*100*($E12/365))</f>
        <v>0</v>
      </c>
      <c r="K153" s="918"/>
      <c r="L153" s="918">
        <f>(Q11/$R11*100*($E11/365))+(Q12/$R12*100*($E12/365))</f>
        <v>0</v>
      </c>
      <c r="M153" s="918"/>
      <c r="N153" s="887">
        <f t="shared" ref="N153:N204" si="41">H153+J153+L153</f>
        <v>100</v>
      </c>
      <c r="O153" s="887"/>
      <c r="R153" s="1">
        <v>1961</v>
      </c>
      <c r="S153" s="8">
        <f>(O11*($E11/365))+(O12*($E12/365))</f>
        <v>63.4</v>
      </c>
      <c r="T153" s="8">
        <f>(P11*($E11/365))+(P12*($E12/365))</f>
        <v>0</v>
      </c>
      <c r="U153" s="8">
        <f>(Q11*($E11/365))+(Q12*($E12/365))</f>
        <v>0</v>
      </c>
      <c r="V153" s="12"/>
      <c r="W153" s="7">
        <f t="shared" ref="W153:W205" si="42">S153+T153+U153</f>
        <v>63.4</v>
      </c>
    </row>
    <row r="154" spans="1:46">
      <c r="A154" s="1">
        <v>1962</v>
      </c>
      <c r="B154" s="8">
        <f>(K13*($E13/365))+(K14*($E14/365))</f>
        <v>100</v>
      </c>
      <c r="C154" s="8">
        <f>(L13*($E13/365))+(L14*($E14/365))</f>
        <v>0</v>
      </c>
      <c r="D154" s="8">
        <f>(M13*($E13/365))+(M14*($E14/365))</f>
        <v>0</v>
      </c>
      <c r="E154" s="48">
        <f t="shared" si="40"/>
        <v>100</v>
      </c>
      <c r="G154" s="1">
        <v>1962</v>
      </c>
      <c r="H154" s="918">
        <f>(O13/$R13*100*($E13/365))+(O14/$R14*100*($E14/365))</f>
        <v>100</v>
      </c>
      <c r="I154" s="918"/>
      <c r="J154" s="918">
        <f>(P13/$R13*100*($E13/365))+(P14/$R14*100*($E14/365))</f>
        <v>0</v>
      </c>
      <c r="K154" s="918"/>
      <c r="L154" s="918">
        <f>(Q13/$R13*100*($E13/365))+(Q14/$R14*100*($E14/365))</f>
        <v>0</v>
      </c>
      <c r="M154" s="918"/>
      <c r="N154" s="887">
        <f t="shared" si="41"/>
        <v>100</v>
      </c>
      <c r="O154" s="887"/>
      <c r="R154" s="1">
        <v>1962</v>
      </c>
      <c r="S154" s="8">
        <f>(O13*($E13/365))+(O14*($E14/365))</f>
        <v>63.4</v>
      </c>
      <c r="T154" s="8">
        <f>(P13*($E13/365))+(P14*($E14/365))</f>
        <v>0</v>
      </c>
      <c r="U154" s="8">
        <f>(Q13*($E13/365))+(Q14*($E14/365))</f>
        <v>0</v>
      </c>
      <c r="V154" s="12"/>
      <c r="W154" s="7">
        <f t="shared" si="42"/>
        <v>63.4</v>
      </c>
    </row>
    <row r="155" spans="1:46">
      <c r="A155" s="1">
        <v>1963</v>
      </c>
      <c r="B155" s="8">
        <f>(K15*($E15/365))+(K16*($E16/365))</f>
        <v>100.00000000000001</v>
      </c>
      <c r="C155" s="8">
        <f>(L15*($E15/365))+(L16*($E16/365))</f>
        <v>0</v>
      </c>
      <c r="D155" s="8">
        <f>(M15*($E15/365))+(M16*($E16/365))</f>
        <v>0</v>
      </c>
      <c r="E155" s="48">
        <f t="shared" si="40"/>
        <v>100.00000000000001</v>
      </c>
      <c r="G155" s="1">
        <v>1963</v>
      </c>
      <c r="H155" s="918">
        <f>(O15/$R15*100*($E15/365))+(O16/$R16*100*($E16/365))</f>
        <v>100.00000000000001</v>
      </c>
      <c r="I155" s="918"/>
      <c r="J155" s="918">
        <f>(P15/$R15*100*($E15/365))+(P16/$R16*100*($E16/365))</f>
        <v>0</v>
      </c>
      <c r="K155" s="918"/>
      <c r="L155" s="918">
        <f>(Q15/$R15*100*($E15/365))+(Q16/$R16*100*($E16/365))</f>
        <v>0</v>
      </c>
      <c r="M155" s="918"/>
      <c r="N155" s="887">
        <f t="shared" si="41"/>
        <v>100.00000000000001</v>
      </c>
      <c r="O155" s="887"/>
      <c r="R155" s="1">
        <v>1963</v>
      </c>
      <c r="S155" s="8">
        <f>(O15*($E15/365))+(O16*($E16/365))</f>
        <v>63.223561643835616</v>
      </c>
      <c r="T155" s="8">
        <f>(P15*($E15/365))+(P16*($E16/365))</f>
        <v>0</v>
      </c>
      <c r="U155" s="8">
        <f>(Q15*($E15/365))+(Q16*($E16/365))</f>
        <v>0</v>
      </c>
      <c r="V155" s="12"/>
      <c r="W155" s="7">
        <f t="shared" si="42"/>
        <v>63.223561643835616</v>
      </c>
    </row>
    <row r="156" spans="1:46">
      <c r="A156" s="1">
        <v>1964</v>
      </c>
      <c r="B156" s="8">
        <f>(K17*($E17/366))+(K18*($E18/366))</f>
        <v>100</v>
      </c>
      <c r="C156" s="8">
        <f>(L17*($E17/366))+(L18*($E18/366))</f>
        <v>0</v>
      </c>
      <c r="D156" s="8">
        <f>(M17*($E17/366))+(M18*($E18/366))</f>
        <v>0</v>
      </c>
      <c r="E156" s="48">
        <f t="shared" si="40"/>
        <v>100</v>
      </c>
      <c r="G156" s="1">
        <v>1964</v>
      </c>
      <c r="H156" s="918">
        <f>(O17/$R17*100*($E17/366))+(O18/$R18*100*($E18/366))</f>
        <v>100</v>
      </c>
      <c r="I156" s="918"/>
      <c r="J156" s="918">
        <f>(P17/$R17*100*($E17/366))+(P18/$R18*100*($E18/366))</f>
        <v>0</v>
      </c>
      <c r="K156" s="918"/>
      <c r="L156" s="918">
        <f>(Q17/$R17*100*($E17/366))+(Q18/$R18*100*($E18/366))</f>
        <v>0</v>
      </c>
      <c r="M156" s="918"/>
      <c r="N156" s="887">
        <f t="shared" si="41"/>
        <v>100</v>
      </c>
      <c r="O156" s="887"/>
      <c r="R156" s="1">
        <v>1964</v>
      </c>
      <c r="S156" s="8">
        <f>(O17*($E17/366))+(O18*($E18/366))</f>
        <v>60.599999999999994</v>
      </c>
      <c r="T156" s="8">
        <f>(P17*($E17/366))+(P18*($E18/366))</f>
        <v>0</v>
      </c>
      <c r="U156" s="8">
        <f>(Q17*($E17/366))+(Q18*($E18/366))</f>
        <v>0</v>
      </c>
      <c r="V156" s="12"/>
      <c r="W156" s="7">
        <f t="shared" si="42"/>
        <v>60.599999999999994</v>
      </c>
    </row>
    <row r="157" spans="1:46">
      <c r="A157" s="1">
        <v>1965</v>
      </c>
      <c r="B157" s="8">
        <f>(K19*($E19/365))+(K20*($E20/365))</f>
        <v>100</v>
      </c>
      <c r="C157" s="8">
        <f>(L19*($E19/365))+(L20*($E20/365))</f>
        <v>0</v>
      </c>
      <c r="D157" s="8">
        <f>(M19*($E19/365))+(M20*($E20/365))</f>
        <v>0</v>
      </c>
      <c r="E157" s="48">
        <f t="shared" si="40"/>
        <v>100</v>
      </c>
      <c r="G157" s="1">
        <v>1965</v>
      </c>
      <c r="H157" s="918">
        <f>(O19/$R19*100*($E19/365))+(O20/$R20*100*($E20/365))</f>
        <v>100</v>
      </c>
      <c r="I157" s="918"/>
      <c r="J157" s="918">
        <f>(P19/$R19*100*($E19/365))+(P20/$R20*100*($E20/365))</f>
        <v>0</v>
      </c>
      <c r="K157" s="918"/>
      <c r="L157" s="918">
        <f>(Q19/$R19*100*($E19/365))+(Q20/$R20*100*($E20/365))</f>
        <v>0</v>
      </c>
      <c r="M157" s="918"/>
      <c r="N157" s="887">
        <f t="shared" si="41"/>
        <v>100</v>
      </c>
      <c r="O157" s="887"/>
      <c r="R157" s="1">
        <v>1965</v>
      </c>
      <c r="S157" s="8">
        <f>(O19*($E19/365))+(O20*($E20/365))</f>
        <v>60.6</v>
      </c>
      <c r="T157" s="8">
        <f>(P19*($E19/365))+(P20*($E20/365))</f>
        <v>0</v>
      </c>
      <c r="U157" s="8">
        <f>(Q19*($E19/365))+(Q20*($E20/365))</f>
        <v>0</v>
      </c>
      <c r="V157" s="12"/>
      <c r="W157" s="7">
        <f t="shared" si="42"/>
        <v>60.6</v>
      </c>
    </row>
    <row r="158" spans="1:46">
      <c r="A158" s="1">
        <v>1966</v>
      </c>
      <c r="B158" s="8">
        <f>(K21*($E21/365))+(K22*($E22/365))</f>
        <v>100</v>
      </c>
      <c r="C158" s="8">
        <f>(L21*($E21/365))+(L22*($E22/365))</f>
        <v>0</v>
      </c>
      <c r="D158" s="8">
        <f>(M21*($E21/365))+(M22*($E22/365))</f>
        <v>0</v>
      </c>
      <c r="E158" s="48">
        <f t="shared" si="40"/>
        <v>100</v>
      </c>
      <c r="G158" s="1">
        <v>1966</v>
      </c>
      <c r="H158" s="918">
        <f>(O21/$R21*100*($E21/365))+(O22/$R22*100*($E22/365))</f>
        <v>100</v>
      </c>
      <c r="I158" s="918"/>
      <c r="J158" s="918">
        <f>(P21/$R21*100*($E21/365))+(P22/$R22*100*($E22/365))</f>
        <v>0</v>
      </c>
      <c r="K158" s="918"/>
      <c r="L158" s="918">
        <f>(Q21/$R21*100*($E21/365))+(Q22/$R22*100*($E22/365))</f>
        <v>0</v>
      </c>
      <c r="M158" s="918"/>
      <c r="N158" s="887">
        <f t="shared" si="41"/>
        <v>100</v>
      </c>
      <c r="O158" s="887"/>
      <c r="R158" s="1">
        <v>1966</v>
      </c>
      <c r="S158" s="8">
        <f>(O21*($E21/365))+(O22*($E22/365))</f>
        <v>60.6</v>
      </c>
      <c r="T158" s="8">
        <f>(P21*($E21/365))+(P22*($E22/365))</f>
        <v>0</v>
      </c>
      <c r="U158" s="8">
        <f>(Q21*($E21/365))+(Q22*($E22/365))</f>
        <v>0</v>
      </c>
      <c r="V158" s="12"/>
      <c r="W158" s="7">
        <f t="shared" si="42"/>
        <v>60.6</v>
      </c>
    </row>
    <row r="159" spans="1:46">
      <c r="A159" s="1">
        <v>1967</v>
      </c>
      <c r="B159" s="8">
        <f>(K23*($E23/365))+(K24*($E24/365))</f>
        <v>100</v>
      </c>
      <c r="C159" s="8">
        <f>(L23*($E23/365))+(L24*($E24/365))</f>
        <v>0</v>
      </c>
      <c r="D159" s="8">
        <f>(M23*($E23/365))+(M24*($E24/365))</f>
        <v>0</v>
      </c>
      <c r="E159" s="48">
        <f t="shared" si="40"/>
        <v>100</v>
      </c>
      <c r="G159" s="1">
        <v>1967</v>
      </c>
      <c r="H159" s="918">
        <f>(O23/$R23*100*($E23/365))+(O24/$R24*100*($E24/365))</f>
        <v>100</v>
      </c>
      <c r="I159" s="918"/>
      <c r="J159" s="918">
        <f>(P23/$R23*100*($E23/365))+(P24/$R24*100*($E24/365))</f>
        <v>0</v>
      </c>
      <c r="K159" s="918"/>
      <c r="L159" s="918">
        <f>(Q23/$R23*100*($E23/365))+(Q24/$R24*100*($E24/365))</f>
        <v>0</v>
      </c>
      <c r="M159" s="918"/>
      <c r="N159" s="887">
        <f t="shared" si="41"/>
        <v>100</v>
      </c>
      <c r="O159" s="887"/>
      <c r="R159" s="1">
        <v>1967</v>
      </c>
      <c r="S159" s="8">
        <f>(O23*($E23/365))+(O24*($E24/365))</f>
        <v>57.463561643835618</v>
      </c>
      <c r="T159" s="8">
        <f>(P23*($E23/365))+(P24*($E24/365))</f>
        <v>0</v>
      </c>
      <c r="U159" s="8">
        <f>(Q23*($E23/365))+(Q24*($E24/365))</f>
        <v>0</v>
      </c>
      <c r="V159" s="12"/>
      <c r="W159" s="7">
        <f t="shared" si="42"/>
        <v>57.463561643835618</v>
      </c>
    </row>
    <row r="160" spans="1:46">
      <c r="A160" s="1">
        <v>1968</v>
      </c>
      <c r="B160" s="8">
        <f>(K25*($E25/366))+(K26*($E26/366))</f>
        <v>100</v>
      </c>
      <c r="C160" s="8">
        <f>(L25*($E25/366))+(L26*($E26/366))</f>
        <v>0</v>
      </c>
      <c r="D160" s="8">
        <f>(M25*($E25/366))+(M26*($E26/366))</f>
        <v>0</v>
      </c>
      <c r="E160" s="48">
        <f t="shared" si="40"/>
        <v>100</v>
      </c>
      <c r="G160" s="1">
        <v>1968</v>
      </c>
      <c r="H160" s="918">
        <f>(O25/$R25*100*($E25/366))+(O26/$R26*100*($E26/366))</f>
        <v>100</v>
      </c>
      <c r="I160" s="918"/>
      <c r="J160" s="918">
        <f>(P25/$R25*100*($E25/366))+(P26/$R26*100*($E26/366))</f>
        <v>0</v>
      </c>
      <c r="K160" s="918"/>
      <c r="L160" s="918">
        <f>(Q25/$R25*100*($E25/366))+(Q26/$R26*100*($E26/366))</f>
        <v>0</v>
      </c>
      <c r="M160" s="918"/>
      <c r="N160" s="887">
        <f t="shared" si="41"/>
        <v>100</v>
      </c>
      <c r="O160" s="887"/>
      <c r="R160" s="1">
        <v>1968</v>
      </c>
      <c r="S160" s="8">
        <f>(O25*($E25/366))+(O26*($E26/366))</f>
        <v>57</v>
      </c>
      <c r="T160" s="8">
        <f>(P25*($E25/366))+(P26*($E26/366))</f>
        <v>0</v>
      </c>
      <c r="U160" s="8">
        <f>(Q25*($E25/366))+(Q26*($E26/366))</f>
        <v>0</v>
      </c>
      <c r="V160" s="12"/>
      <c r="W160" s="7">
        <f t="shared" si="42"/>
        <v>57</v>
      </c>
    </row>
    <row r="161" spans="1:23">
      <c r="A161" s="1">
        <v>1969</v>
      </c>
      <c r="B161" s="8">
        <f>(K27*($E27/365))+(K28*($E28/365))</f>
        <v>100</v>
      </c>
      <c r="C161" s="8">
        <f>(L27*($E27/365))+(L28*($E28/365))</f>
        <v>0</v>
      </c>
      <c r="D161" s="8">
        <f>(M27*($E27/365))+(M28*($E28/365))</f>
        <v>0</v>
      </c>
      <c r="E161" s="48">
        <f t="shared" si="40"/>
        <v>100</v>
      </c>
      <c r="G161" s="1">
        <v>1969</v>
      </c>
      <c r="H161" s="918">
        <f>(O27/$R27*100*($E27/365))+(O28/$R28*100*($E28/365))</f>
        <v>100</v>
      </c>
      <c r="I161" s="918"/>
      <c r="J161" s="918">
        <f>(P27/$R27*100*($E27/365))+(P28/$R28*100*($E28/365))</f>
        <v>0</v>
      </c>
      <c r="K161" s="918"/>
      <c r="L161" s="918">
        <f>(Q27/$R27*100*($E27/365))+(Q28/$R28*100*($E28/365))</f>
        <v>0</v>
      </c>
      <c r="M161" s="918"/>
      <c r="N161" s="887">
        <f t="shared" si="41"/>
        <v>100</v>
      </c>
      <c r="O161" s="887"/>
      <c r="R161" s="1">
        <v>1969</v>
      </c>
      <c r="S161" s="8">
        <f>(O27*($E27/365))+(O28*($E28/365))</f>
        <v>57</v>
      </c>
      <c r="T161" s="8">
        <f>(P27*($E27/365))+(P28*($E28/365))</f>
        <v>0</v>
      </c>
      <c r="U161" s="8">
        <f>(Q27*($E27/365))+(Q28*($E28/365))</f>
        <v>0</v>
      </c>
      <c r="V161" s="12"/>
      <c r="W161" s="7">
        <f t="shared" si="42"/>
        <v>57</v>
      </c>
    </row>
    <row r="162" spans="1:23">
      <c r="A162" s="1">
        <v>1970</v>
      </c>
      <c r="B162" s="8">
        <f>(K29*($E29/365))+(K30*($E30/365))</f>
        <v>100</v>
      </c>
      <c r="C162" s="8">
        <f>(L29*($E29/365))+(L30*($E30/365))</f>
        <v>0</v>
      </c>
      <c r="D162" s="8">
        <f>(M29*($E29/365))+(M30*($E30/365))</f>
        <v>0</v>
      </c>
      <c r="E162" s="48">
        <f t="shared" si="40"/>
        <v>100</v>
      </c>
      <c r="G162" s="1">
        <v>1970</v>
      </c>
      <c r="H162" s="918">
        <f>(O29/$R29*100*($E29/365))+(O30/$R30*100*($E30/365))</f>
        <v>100</v>
      </c>
      <c r="I162" s="918"/>
      <c r="J162" s="918">
        <f>(P29/$R29*100*($E29/365))+(P30/$R30*100*($E30/365))</f>
        <v>0</v>
      </c>
      <c r="K162" s="918"/>
      <c r="L162" s="918">
        <f>(Q29/$R29*100*($E29/365))+(Q30/$R30*100*($E30/365))</f>
        <v>0</v>
      </c>
      <c r="M162" s="918"/>
      <c r="N162" s="887">
        <f t="shared" si="41"/>
        <v>100</v>
      </c>
      <c r="O162" s="887"/>
      <c r="R162" s="1">
        <v>1970</v>
      </c>
      <c r="S162" s="8">
        <f>(O29*($E29/365))+(O30*($E30/365))</f>
        <v>59.218082191780823</v>
      </c>
      <c r="T162" s="8">
        <f>(P29*($E29/365))+(P30*($E30/365))</f>
        <v>0</v>
      </c>
      <c r="U162" s="8">
        <f>(Q29*($E29/365))+(Q30*($E30/365))</f>
        <v>0</v>
      </c>
      <c r="V162" s="12"/>
      <c r="W162" s="7">
        <f t="shared" si="42"/>
        <v>59.218082191780823</v>
      </c>
    </row>
    <row r="163" spans="1:23">
      <c r="A163" s="1">
        <v>1971</v>
      </c>
      <c r="B163" s="8">
        <f>(K31*($E31/365))+(K32*($E32/365))</f>
        <v>100</v>
      </c>
      <c r="C163" s="8">
        <f>(L31*($E31/365))+(L32*($E32/365))</f>
        <v>0</v>
      </c>
      <c r="D163" s="8">
        <f>(M31*($E31/365))+(M32*($E32/365))</f>
        <v>0</v>
      </c>
      <c r="E163" s="48">
        <f t="shared" si="40"/>
        <v>100</v>
      </c>
      <c r="G163" s="1">
        <v>1971</v>
      </c>
      <c r="H163" s="918">
        <f>(O31/$R31*100*($E31/365))+(O32/$R32*100*($E32/365))</f>
        <v>100</v>
      </c>
      <c r="I163" s="918"/>
      <c r="J163" s="918">
        <f>(P31/$R31*100*($E31/365))+(P32/$R32*100*($E32/365))</f>
        <v>0</v>
      </c>
      <c r="K163" s="918"/>
      <c r="L163" s="918">
        <f>(Q31/$R31*100*($E31/365))+(Q32/$R32*100*($E32/365))</f>
        <v>0</v>
      </c>
      <c r="M163" s="918"/>
      <c r="N163" s="887">
        <f t="shared" si="41"/>
        <v>100</v>
      </c>
      <c r="O163" s="887"/>
      <c r="R163" s="1">
        <v>1971</v>
      </c>
      <c r="S163" s="8">
        <f>(O31*($E31/365))+(O32*($E32/365))</f>
        <v>59.3</v>
      </c>
      <c r="T163" s="8">
        <f>(P31*($E31/365))+(P32*($E32/365))</f>
        <v>0</v>
      </c>
      <c r="U163" s="8">
        <f>(Q31*($E31/365))+(Q32*($E32/365))</f>
        <v>0</v>
      </c>
      <c r="V163" s="12"/>
      <c r="W163" s="7">
        <f t="shared" si="42"/>
        <v>59.3</v>
      </c>
    </row>
    <row r="164" spans="1:23">
      <c r="A164" s="1">
        <v>1972</v>
      </c>
      <c r="B164" s="8">
        <f>(K33*($E33/366))+(K34*($E34/366))+(K35*($E35/366))</f>
        <v>99.999999999999986</v>
      </c>
      <c r="C164" s="8">
        <f>(L33*($E33/366))+(L34*($E34/366))+(L35*($E35/366))</f>
        <v>0</v>
      </c>
      <c r="D164" s="8">
        <f>(M33*($E33/366))+(M34*($E34/366))+(M35*($E35/366))</f>
        <v>0</v>
      </c>
      <c r="E164" s="48">
        <f t="shared" si="40"/>
        <v>99.999999999999986</v>
      </c>
      <c r="G164" s="1">
        <v>1972</v>
      </c>
      <c r="H164" s="918">
        <f>(O33/$R33*100*($E33/366))+(O34/$R34*100*($E34/366))+(O35/$R35*100*($E35/366))</f>
        <v>99.999999999999986</v>
      </c>
      <c r="I164" s="918"/>
      <c r="J164" s="918">
        <f>(P33/$R33*100*($E33/366))+(P34/$R34*100*($E34/366))+(P35/$R35*100*($E35/366))</f>
        <v>0</v>
      </c>
      <c r="K164" s="918"/>
      <c r="L164" s="918">
        <f>(Q33/$R33*100*($E33/366))+(Q34/$R34*100*($E34/366))+(Q35/$R35*100*($E35/366))</f>
        <v>0</v>
      </c>
      <c r="M164" s="918"/>
      <c r="N164" s="887">
        <f t="shared" si="41"/>
        <v>99.999999999999986</v>
      </c>
      <c r="O164" s="887"/>
      <c r="R164" s="1">
        <v>1972</v>
      </c>
      <c r="S164" s="8">
        <f>(O33*($E33/366))+(O34*($E34/366))+(O35*($E35/366))</f>
        <v>59.187978142076503</v>
      </c>
      <c r="T164" s="8">
        <f>(P33*($E33/366))+(P34*($E34/366))+(P35*($E35/366))</f>
        <v>0</v>
      </c>
      <c r="U164" s="8">
        <f>(Q33*($E33/366))+(Q34*($E34/366))+(Q35*($E35/366))</f>
        <v>0</v>
      </c>
      <c r="V164" s="12"/>
      <c r="W164" s="7">
        <f t="shared" si="42"/>
        <v>59.187978142076503</v>
      </c>
    </row>
    <row r="165" spans="1:23">
      <c r="A165" s="1">
        <v>1973</v>
      </c>
      <c r="B165" s="8">
        <f>(K36*($E36/365))+(K37*($E37/365))</f>
        <v>100</v>
      </c>
      <c r="C165" s="8">
        <f>(L36*($E36/365))+(L37*($E37/365))</f>
        <v>0</v>
      </c>
      <c r="D165" s="8">
        <f>(M36*($E36/365))+(M37*($E37/365))</f>
        <v>0</v>
      </c>
      <c r="E165" s="48">
        <f t="shared" si="40"/>
        <v>100</v>
      </c>
      <c r="G165" s="1">
        <v>1973</v>
      </c>
      <c r="H165" s="918">
        <f>(O36/$R36*100*($E36/365))+(O37/$R37*100*($E37/365))</f>
        <v>100</v>
      </c>
      <c r="I165" s="918"/>
      <c r="J165" s="918">
        <f>(P36/$R36*100*($E36/365))+(P37/$R37*100*($E37/365))</f>
        <v>0</v>
      </c>
      <c r="K165" s="918"/>
      <c r="L165" s="918">
        <f>(Q36/$R36*100*($E36/365))+(Q37/$R37*100*($E37/365))</f>
        <v>0</v>
      </c>
      <c r="M165" s="918"/>
      <c r="N165" s="887">
        <f t="shared" si="41"/>
        <v>100</v>
      </c>
      <c r="O165" s="887"/>
      <c r="P165" s="2"/>
      <c r="R165" s="1">
        <v>1973</v>
      </c>
      <c r="S165" s="8">
        <f>(O36*($E36/365))+(O37*($E37/365))</f>
        <v>55.2</v>
      </c>
      <c r="T165" s="8">
        <f>(P36*($E36/365))+(P37*($E37/365))</f>
        <v>0</v>
      </c>
      <c r="U165" s="8">
        <f>(Q36*($E36/365))+(Q37*($E37/365))</f>
        <v>0</v>
      </c>
      <c r="V165" s="12"/>
      <c r="W165" s="7">
        <f t="shared" si="42"/>
        <v>55.2</v>
      </c>
    </row>
    <row r="166" spans="1:23">
      <c r="A166" s="1">
        <v>1974</v>
      </c>
      <c r="B166" s="8">
        <f>(K38*($E38/365))+(K39*($E39/365))</f>
        <v>100.00000000000001</v>
      </c>
      <c r="C166" s="8">
        <f>(L38*($E38/365))+(L39*($E39/365))</f>
        <v>0</v>
      </c>
      <c r="D166" s="8">
        <f>(M38*($E38/365))+(M39*($E39/365))</f>
        <v>0</v>
      </c>
      <c r="E166" s="48">
        <f t="shared" si="40"/>
        <v>100.00000000000001</v>
      </c>
      <c r="G166" s="1">
        <v>1974</v>
      </c>
      <c r="H166" s="918">
        <f>(O38/$R38*100*($E38/365))+(O39/$R39*100*($E39/365))</f>
        <v>100.00000000000001</v>
      </c>
      <c r="I166" s="918"/>
      <c r="J166" s="918">
        <f>(P38/$R38*100*($E38/365))+(P39/$R39*100*($E39/365))</f>
        <v>0</v>
      </c>
      <c r="K166" s="918"/>
      <c r="L166" s="918">
        <f>(Q38/$R38*100*($E38/365))+(Q39/$R39*100*($E39/365))</f>
        <v>0</v>
      </c>
      <c r="M166" s="918"/>
      <c r="N166" s="887">
        <f t="shared" si="41"/>
        <v>100.00000000000001</v>
      </c>
      <c r="O166" s="887"/>
      <c r="P166" s="2"/>
      <c r="R166" s="1">
        <v>1974</v>
      </c>
      <c r="S166" s="8">
        <f>(O38*($E38/365))+(O39*($E39/365))</f>
        <v>55.2</v>
      </c>
      <c r="T166" s="8">
        <f>(P38*($E38/365))+(P39*($E39/365))</f>
        <v>0</v>
      </c>
      <c r="U166" s="8">
        <f>(Q38*($E38/365))+(Q39*($E39/365))</f>
        <v>0</v>
      </c>
      <c r="V166" s="12"/>
      <c r="W166" s="7">
        <f t="shared" si="42"/>
        <v>55.2</v>
      </c>
    </row>
    <row r="167" spans="1:23">
      <c r="A167" s="1">
        <v>1975</v>
      </c>
      <c r="B167" s="8">
        <f>(K40*($E40/365))+(K41*($E41/365))</f>
        <v>100</v>
      </c>
      <c r="C167" s="8">
        <f>(L40*($E40/365))+(L41*($E41/365))</f>
        <v>0</v>
      </c>
      <c r="D167" s="8">
        <f>(M40*($E40/365))+(M41*($E41/365))</f>
        <v>0</v>
      </c>
      <c r="E167" s="48">
        <f t="shared" si="40"/>
        <v>100</v>
      </c>
      <c r="G167" s="1">
        <v>1975</v>
      </c>
      <c r="H167" s="918">
        <f>(O40/$R40*100*($E40/365))+(O41/$R41*100*($E41/365))</f>
        <v>100</v>
      </c>
      <c r="I167" s="918"/>
      <c r="J167" s="918">
        <f>(P40/$R40*100*($E40/365))+(P41/$R41*100*($E41/365))</f>
        <v>0</v>
      </c>
      <c r="K167" s="918"/>
      <c r="L167" s="918">
        <f>(Q40/$R40*100*($E40/365))+(Q41/$R41*100*($E41/365))</f>
        <v>0</v>
      </c>
      <c r="M167" s="918"/>
      <c r="N167" s="887">
        <f t="shared" si="41"/>
        <v>100</v>
      </c>
      <c r="O167" s="887"/>
      <c r="P167" s="2"/>
      <c r="R167" s="1">
        <v>1975</v>
      </c>
      <c r="S167" s="8">
        <f>(O40*($E40/365))+(O41*($E41/365))</f>
        <v>55.2</v>
      </c>
      <c r="T167" s="8">
        <f>(P40*($E40/365))+(P41*($E41/365))</f>
        <v>0</v>
      </c>
      <c r="U167" s="8">
        <f>(Q40*($E40/365))+(Q41*($E41/365))</f>
        <v>0</v>
      </c>
      <c r="V167" s="12"/>
      <c r="W167" s="7">
        <f t="shared" si="42"/>
        <v>55.2</v>
      </c>
    </row>
    <row r="168" spans="1:23">
      <c r="A168" s="1">
        <v>1976</v>
      </c>
      <c r="B168" s="8">
        <f>(K42*($E42/366))+(K43*($E43/366))</f>
        <v>100</v>
      </c>
      <c r="C168" s="8">
        <f>(L42*($E42/366))+(L43*($E43/366))</f>
        <v>0</v>
      </c>
      <c r="D168" s="8">
        <f>(M42*($E42/366))+(M43*($E43/366))</f>
        <v>0</v>
      </c>
      <c r="E168" s="48">
        <f t="shared" si="40"/>
        <v>100</v>
      </c>
      <c r="G168" s="1">
        <v>1976</v>
      </c>
      <c r="H168" s="918">
        <f>(O42/$R42*100*($E42/366))+(O43/$R43*100*($E43/366))</f>
        <v>100</v>
      </c>
      <c r="I168" s="918"/>
      <c r="J168" s="918">
        <f>(P42/$R42*100*($E42/366))+(P43/$R43*100*($E43/366))</f>
        <v>0</v>
      </c>
      <c r="K168" s="918"/>
      <c r="L168" s="918">
        <f>(Q42/$R42*100*($E42/366))+(Q43/$R43*100*($E43/366))</f>
        <v>0</v>
      </c>
      <c r="M168" s="918"/>
      <c r="N168" s="887">
        <f t="shared" si="41"/>
        <v>100</v>
      </c>
      <c r="O168" s="887"/>
      <c r="P168" s="2"/>
      <c r="R168" s="1">
        <v>1976</v>
      </c>
      <c r="S168" s="8">
        <f>(O42*($E42/366))+(O43*($E43/366))</f>
        <v>55.057923497267765</v>
      </c>
      <c r="T168" s="8">
        <f>(P42*($E42/366))+(P43*($E43/366))</f>
        <v>0</v>
      </c>
      <c r="U168" s="8">
        <f>(Q42*($E42/366))+(Q43*($E43/366))</f>
        <v>0</v>
      </c>
      <c r="V168" s="12"/>
      <c r="W168" s="7">
        <f t="shared" si="42"/>
        <v>55.057923497267765</v>
      </c>
    </row>
    <row r="169" spans="1:23">
      <c r="A169" s="1">
        <v>1977</v>
      </c>
      <c r="B169" s="8">
        <f>(K44*($E44/365))+(K45*($E45/365))</f>
        <v>100</v>
      </c>
      <c r="C169" s="8">
        <f>(L44*($E44/365))+(L45*($E45/365))</f>
        <v>0</v>
      </c>
      <c r="D169" s="8">
        <f>(M44*($E44/365))+(M45*($E45/365))</f>
        <v>0</v>
      </c>
      <c r="E169" s="48">
        <f t="shared" si="40"/>
        <v>100</v>
      </c>
      <c r="G169" s="1">
        <v>1977</v>
      </c>
      <c r="H169" s="918">
        <f>(O44/$R44*100*($E44/365))+(O45/$R45*100*($E45/365))</f>
        <v>100</v>
      </c>
      <c r="I169" s="918"/>
      <c r="J169" s="918">
        <f>(P44/$R44*100*($E44/365))+(P45/$R45*100*($E45/365))</f>
        <v>0</v>
      </c>
      <c r="K169" s="918"/>
      <c r="L169" s="918">
        <f>(Q44/$R44*100*($E44/365))+(Q45/$R45*100*($E45/365))</f>
        <v>0</v>
      </c>
      <c r="M169" s="918"/>
      <c r="N169" s="887">
        <f t="shared" si="41"/>
        <v>100</v>
      </c>
      <c r="O169" s="887"/>
      <c r="P169" s="2"/>
      <c r="R169" s="1">
        <v>1977</v>
      </c>
      <c r="S169" s="8">
        <f>(O44*($E44/365))+(O45*($E45/365))</f>
        <v>48.7</v>
      </c>
      <c r="T169" s="8">
        <f>(P44*($E44/365))+(P45*($E45/365))</f>
        <v>0</v>
      </c>
      <c r="U169" s="8">
        <f>(Q44*($E44/365))+(Q45*($E45/365))</f>
        <v>0</v>
      </c>
      <c r="V169" s="12"/>
      <c r="W169" s="7">
        <f t="shared" si="42"/>
        <v>48.7</v>
      </c>
    </row>
    <row r="170" spans="1:23">
      <c r="A170" s="1">
        <v>1978</v>
      </c>
      <c r="B170" s="8">
        <f>(K46*($E46/365))+(K47*($E47/365))</f>
        <v>100</v>
      </c>
      <c r="C170" s="8">
        <f>(L46*($E46/365))+(L47*($E47/365))</f>
        <v>0</v>
      </c>
      <c r="D170" s="8">
        <f>(M46*($E46/365))+(M47*($E47/365))</f>
        <v>0</v>
      </c>
      <c r="E170" s="48">
        <f t="shared" si="40"/>
        <v>100</v>
      </c>
      <c r="G170" s="1">
        <v>1978</v>
      </c>
      <c r="H170" s="918">
        <f>(O46/$R46*100*($E46/365))+(O47/$R47*100*($E47/365))</f>
        <v>100</v>
      </c>
      <c r="I170" s="918"/>
      <c r="J170" s="918">
        <f>(P46/$R46*100*($E46/365))+(P47/$R47*100*($E47/365))</f>
        <v>0</v>
      </c>
      <c r="K170" s="918"/>
      <c r="L170" s="918">
        <f>(Q46/$R46*100*($E46/365))+(Q47/$R47*100*($E47/365))</f>
        <v>0</v>
      </c>
      <c r="M170" s="918"/>
      <c r="N170" s="887">
        <f t="shared" si="41"/>
        <v>100</v>
      </c>
      <c r="O170" s="887"/>
      <c r="P170" s="2"/>
      <c r="R170" s="1">
        <v>1978</v>
      </c>
      <c r="S170" s="8">
        <f>(O46*($E46/365))+(O47*($E47/365))</f>
        <v>48.70000000000001</v>
      </c>
      <c r="T170" s="8">
        <f>(P46*($E46/365))+(P47*($E47/365))</f>
        <v>0</v>
      </c>
      <c r="U170" s="8">
        <f>(Q46*($E46/365))+(Q47*($E47/365))</f>
        <v>0</v>
      </c>
      <c r="V170" s="12"/>
      <c r="W170" s="7">
        <f t="shared" si="42"/>
        <v>48.70000000000001</v>
      </c>
    </row>
    <row r="171" spans="1:23">
      <c r="A171" s="1">
        <v>1979</v>
      </c>
      <c r="B171" s="8">
        <f>(K48*($E48/365))+(K49*($E49/365))</f>
        <v>100.00000000000001</v>
      </c>
      <c r="C171" s="8">
        <f>(L48*($E48/365))+(L49*($E49/365))</f>
        <v>0</v>
      </c>
      <c r="D171" s="8">
        <f>(M48*($E48/365))+(M49*($E49/365))</f>
        <v>0</v>
      </c>
      <c r="E171" s="48">
        <f t="shared" si="40"/>
        <v>100.00000000000001</v>
      </c>
      <c r="G171" s="1">
        <v>1979</v>
      </c>
      <c r="H171" s="918">
        <f>(O48/$R48*100*($E48/365))+(O49/$R49*100*($E49/365))</f>
        <v>100.00000000000001</v>
      </c>
      <c r="I171" s="918"/>
      <c r="J171" s="918">
        <f>(P48/$R48*100*($E48/365))+(P49/$R49*100*($E49/365))</f>
        <v>0</v>
      </c>
      <c r="K171" s="918"/>
      <c r="L171" s="918">
        <f>(Q48/$R48*100*($E48/365))+(Q49/$R49*100*($E49/365))</f>
        <v>0</v>
      </c>
      <c r="M171" s="918"/>
      <c r="N171" s="887">
        <f t="shared" si="41"/>
        <v>100.00000000000001</v>
      </c>
      <c r="O171" s="887"/>
      <c r="R171" s="1">
        <v>1979</v>
      </c>
      <c r="S171" s="8">
        <f>(O48*($E48/365))+(O49*($E49/365))</f>
        <v>48.670410958904114</v>
      </c>
      <c r="T171" s="8">
        <f>(P48*($E48/365))+(P49*($E49/365))</f>
        <v>0</v>
      </c>
      <c r="U171" s="8">
        <f>(Q48*($E48/365))+(Q49*($E49/365))</f>
        <v>0</v>
      </c>
      <c r="V171" s="12"/>
      <c r="W171" s="7">
        <f t="shared" si="42"/>
        <v>48.670410958904114</v>
      </c>
    </row>
    <row r="172" spans="1:23">
      <c r="A172" s="1">
        <v>1980</v>
      </c>
      <c r="B172" s="8">
        <f>(K50*($E50/366))+(K51*($E51/366))</f>
        <v>100</v>
      </c>
      <c r="C172" s="8">
        <f>(L50*($E50/366))+(L51*($E51/366))</f>
        <v>0</v>
      </c>
      <c r="D172" s="8">
        <f>(M50*($E50/366))+(M51*($E51/366))</f>
        <v>0</v>
      </c>
      <c r="E172" s="48">
        <f t="shared" si="40"/>
        <v>100</v>
      </c>
      <c r="G172" s="1">
        <v>1980</v>
      </c>
      <c r="H172" s="918">
        <f>(O50/$R50*100*($E50/366))+(O51/$R51*100*($E51/366))</f>
        <v>100</v>
      </c>
      <c r="I172" s="918"/>
      <c r="J172" s="918">
        <f>(P50/$R50*100*($E50/366))+(P51/$R51*100*($E51/366))</f>
        <v>0</v>
      </c>
      <c r="K172" s="918"/>
      <c r="L172" s="918">
        <f>(Q50/$R50*100*($E50/366))+(Q51/$R51*100*($E51/366))</f>
        <v>0</v>
      </c>
      <c r="M172" s="918"/>
      <c r="N172" s="887">
        <f t="shared" si="41"/>
        <v>100</v>
      </c>
      <c r="O172" s="887"/>
      <c r="R172" s="1">
        <v>1980</v>
      </c>
      <c r="S172" s="8">
        <f>(O50*($E50/366))+(O51*($E51/366))</f>
        <v>51.759016393442629</v>
      </c>
      <c r="T172" s="8">
        <f>(P50*($E50/366))+(P51*($E51/366))</f>
        <v>0</v>
      </c>
      <c r="U172" s="8">
        <f>(Q50*($E50/366))+(Q51*($E51/366))</f>
        <v>0</v>
      </c>
      <c r="V172" s="12"/>
      <c r="W172" s="7">
        <f t="shared" si="42"/>
        <v>51.759016393442629</v>
      </c>
    </row>
    <row r="173" spans="1:23">
      <c r="A173" s="1">
        <v>1981</v>
      </c>
      <c r="B173" s="8">
        <f>(K52*($E52/365))+(K53*($E53/365))</f>
        <v>100</v>
      </c>
      <c r="C173" s="8">
        <f>(L52*($E52/365))+(L53*($E53/365))</f>
        <v>0</v>
      </c>
      <c r="D173" s="8">
        <f>(M52*($E52/365))+(M53*($E53/365))</f>
        <v>0</v>
      </c>
      <c r="E173" s="48">
        <f t="shared" si="40"/>
        <v>100</v>
      </c>
      <c r="G173" s="1">
        <v>1981</v>
      </c>
      <c r="H173" s="918">
        <f>(O52/$R52*100*($E52/365))+(O53/$R53*100*($E53/365))</f>
        <v>100</v>
      </c>
      <c r="I173" s="918"/>
      <c r="J173" s="918">
        <f>(P52/$R52*100*($E52/365))+(P53/$R53*100*($E53/365))</f>
        <v>0</v>
      </c>
      <c r="K173" s="918"/>
      <c r="L173" s="918">
        <f>(Q52/$R52*100*($E52/365))+(Q53/$R53*100*($E53/365))</f>
        <v>0</v>
      </c>
      <c r="M173" s="918"/>
      <c r="N173" s="887">
        <f t="shared" si="41"/>
        <v>100</v>
      </c>
      <c r="O173" s="887"/>
      <c r="R173" s="1">
        <v>1981</v>
      </c>
      <c r="S173" s="8">
        <f>(O52*($E52/365))+(O53*($E53/365))</f>
        <v>55.6</v>
      </c>
      <c r="T173" s="8">
        <f>(P52*($E52/365))+(P53*($E53/365))</f>
        <v>0</v>
      </c>
      <c r="U173" s="8">
        <f>(Q52*($E52/365))+(Q53*($E53/365))</f>
        <v>0</v>
      </c>
      <c r="V173" s="12"/>
      <c r="W173" s="7">
        <f t="shared" si="42"/>
        <v>55.6</v>
      </c>
    </row>
    <row r="174" spans="1:23">
      <c r="A174" s="1">
        <v>1982</v>
      </c>
      <c r="B174" s="8">
        <f>(K54*($E54/365))+(K55*($E55/365))</f>
        <v>100</v>
      </c>
      <c r="C174" s="8">
        <f>(L54*($E54/365))+(L55*($E55/365))</f>
        <v>0</v>
      </c>
      <c r="D174" s="8">
        <f>(M54*($E54/365))+(M55*($E55/365))</f>
        <v>0</v>
      </c>
      <c r="E174" s="48">
        <f t="shared" si="40"/>
        <v>100</v>
      </c>
      <c r="G174" s="1">
        <v>1982</v>
      </c>
      <c r="H174" s="918">
        <f>(O54/$R54*100*($E54/365))+(O55/$R55*100*($E55/365))</f>
        <v>100</v>
      </c>
      <c r="I174" s="918"/>
      <c r="J174" s="918">
        <f>(P54/$R54*100*($E54/365))+(P55/$R55*100*($E55/365))</f>
        <v>0</v>
      </c>
      <c r="K174" s="918"/>
      <c r="L174" s="918">
        <f>(Q54/$R54*100*($E54/365))+(Q55/$R55*100*($E55/365))</f>
        <v>0</v>
      </c>
      <c r="M174" s="918"/>
      <c r="N174" s="887">
        <f t="shared" si="41"/>
        <v>100</v>
      </c>
      <c r="O174" s="887"/>
      <c r="R174" s="1">
        <v>1982</v>
      </c>
      <c r="S174" s="8">
        <f>(O54*($E54/365))+(O55*($E55/365))</f>
        <v>55.6</v>
      </c>
      <c r="T174" s="8">
        <f>(P54*($E54/365))+(P55*($E55/365))</f>
        <v>0</v>
      </c>
      <c r="U174" s="8">
        <f>(Q54*($E54/365))+(Q55*($E55/365))</f>
        <v>0</v>
      </c>
      <c r="V174" s="12"/>
      <c r="W174" s="7">
        <f t="shared" si="42"/>
        <v>55.6</v>
      </c>
    </row>
    <row r="175" spans="1:23">
      <c r="A175" s="1">
        <v>1983</v>
      </c>
      <c r="B175" s="8">
        <f>(K56*($E56/365))+(K57*($E57/365))</f>
        <v>99.999999999999986</v>
      </c>
      <c r="C175" s="8">
        <f>(L56*($E56/365))+(L57*($E57/365))</f>
        <v>0</v>
      </c>
      <c r="D175" s="8">
        <f>(M56*($E56/365))+(M57*($E57/365))</f>
        <v>0</v>
      </c>
      <c r="E175" s="48">
        <f t="shared" si="40"/>
        <v>99.999999999999986</v>
      </c>
      <c r="G175" s="1">
        <v>1983</v>
      </c>
      <c r="H175" s="918">
        <f>(O56/$R56*100*($E56/365))+(O57/$R57*100*($E57/365))</f>
        <v>99.999999999999986</v>
      </c>
      <c r="I175" s="918"/>
      <c r="J175" s="918">
        <f>(P56/$R56*100*($E56/365))+(P57/$R57*100*($E57/365))</f>
        <v>0</v>
      </c>
      <c r="K175" s="918"/>
      <c r="L175" s="918">
        <f>(Q56/$R56*100*($E56/365))+(Q57/$R57*100*($E57/365))</f>
        <v>0</v>
      </c>
      <c r="M175" s="918"/>
      <c r="N175" s="887">
        <f t="shared" si="41"/>
        <v>99.999999999999986</v>
      </c>
      <c r="O175" s="887"/>
      <c r="R175" s="1">
        <v>1983</v>
      </c>
      <c r="S175" s="8">
        <f>(O56*($E56/365))+(O57*($E57/365))</f>
        <v>55.516164383561645</v>
      </c>
      <c r="T175" s="8">
        <f>(P56*($E56/365))+(P57*($E57/365))</f>
        <v>0</v>
      </c>
      <c r="U175" s="8">
        <f>(Q56*($E56/365))+(Q57*($E57/365))</f>
        <v>0</v>
      </c>
      <c r="V175" s="12"/>
      <c r="W175" s="7">
        <f t="shared" si="42"/>
        <v>55.516164383561645</v>
      </c>
    </row>
    <row r="176" spans="1:23">
      <c r="A176" s="1">
        <v>1984</v>
      </c>
      <c r="B176" s="8">
        <f>(K58*($E58/366))+(K59*($E59/366))</f>
        <v>100</v>
      </c>
      <c r="C176" s="8">
        <f>(L58*($E58/366))+(L59*($E59/366))</f>
        <v>0</v>
      </c>
      <c r="D176" s="8">
        <f>(M58*($E58/366))+(M59*($E59/366))</f>
        <v>0</v>
      </c>
      <c r="E176" s="48">
        <f t="shared" si="40"/>
        <v>100</v>
      </c>
      <c r="G176" s="1">
        <v>1984</v>
      </c>
      <c r="H176" s="918">
        <f>(O58/$R58*100*($E58/366))+(O59/$R59*100*($E59/366))</f>
        <v>100</v>
      </c>
      <c r="I176" s="918"/>
      <c r="J176" s="918">
        <f>(P58/$R58*100*($E58/366))+(P59/$R59*100*($E59/366))</f>
        <v>0</v>
      </c>
      <c r="K176" s="918"/>
      <c r="L176" s="918">
        <f>(Q58/$R58*100*($E58/366))+(Q59/$R59*100*($E59/366))</f>
        <v>0</v>
      </c>
      <c r="M176" s="918"/>
      <c r="N176" s="887">
        <f t="shared" si="41"/>
        <v>100</v>
      </c>
      <c r="O176" s="887"/>
      <c r="R176" s="1">
        <v>1984</v>
      </c>
      <c r="S176" s="8">
        <f>(O58*($E58/366))+(O59*($E59/366))</f>
        <v>50.5</v>
      </c>
      <c r="T176" s="8">
        <f>(P58*($E58/366))+(P59*($E59/366))</f>
        <v>0</v>
      </c>
      <c r="U176" s="8">
        <f>(Q58*($E58/366))+(Q59*($E59/366))</f>
        <v>0</v>
      </c>
      <c r="V176" s="12"/>
      <c r="W176" s="7">
        <f t="shared" si="42"/>
        <v>50.5</v>
      </c>
    </row>
    <row r="177" spans="1:23">
      <c r="A177" s="1">
        <v>1985</v>
      </c>
      <c r="B177" s="8">
        <f>(K60*($E60/365))+(K61*($E61/365))</f>
        <v>100</v>
      </c>
      <c r="C177" s="8">
        <f>(L60*($E60/365))+(L61*($E61/365))</f>
        <v>0</v>
      </c>
      <c r="D177" s="8">
        <f>(M60*($E60/365))+(M61*($E61/365))</f>
        <v>0</v>
      </c>
      <c r="E177" s="48">
        <f t="shared" si="40"/>
        <v>100</v>
      </c>
      <c r="G177" s="1">
        <v>1985</v>
      </c>
      <c r="H177" s="918">
        <f>(O60/$R60*100*($E60/365))+(O61/$R61*100*($E61/365))</f>
        <v>100</v>
      </c>
      <c r="I177" s="918"/>
      <c r="J177" s="918">
        <f>(P60/$R60*100*($E60/365))+(P61/$R61*100*($E61/365))</f>
        <v>0</v>
      </c>
      <c r="K177" s="918"/>
      <c r="L177" s="918">
        <f>(Q60/$R60*100*($E60/365))+(Q61/$R61*100*($E61/365))</f>
        <v>0</v>
      </c>
      <c r="M177" s="918"/>
      <c r="N177" s="887">
        <f t="shared" si="41"/>
        <v>100</v>
      </c>
      <c r="O177" s="887"/>
      <c r="R177" s="1">
        <v>1985</v>
      </c>
      <c r="S177" s="8">
        <f>(O60*($E60/365))+(O61*($E61/365))</f>
        <v>50.5</v>
      </c>
      <c r="T177" s="8">
        <f>(P60*($E60/365))+(P61*($E61/365))</f>
        <v>0</v>
      </c>
      <c r="U177" s="8">
        <f>(Q60*($E60/365))+(Q61*($E61/365))</f>
        <v>0</v>
      </c>
      <c r="V177" s="12"/>
      <c r="W177" s="7">
        <f t="shared" si="42"/>
        <v>50.5</v>
      </c>
    </row>
    <row r="178" spans="1:23">
      <c r="A178" s="1">
        <v>1986</v>
      </c>
      <c r="B178" s="8">
        <f>(K62*($E62/365))+(K63*($E63/365))</f>
        <v>100</v>
      </c>
      <c r="C178" s="8">
        <f>(L62*($E62/365))+(L63*($E63/365))</f>
        <v>0</v>
      </c>
      <c r="D178" s="8">
        <f>(M62*($E62/365))+(M63*($E63/365))</f>
        <v>0</v>
      </c>
      <c r="E178" s="48">
        <f t="shared" si="40"/>
        <v>100</v>
      </c>
      <c r="G178" s="1">
        <v>1986</v>
      </c>
      <c r="H178" s="918">
        <f>(O62/$R62*100*($E62/365))+(O63/$R63*100*($E63/365))</f>
        <v>100</v>
      </c>
      <c r="I178" s="918"/>
      <c r="J178" s="918">
        <f>(P62/$R62*100*($E62/365))+(P63/$R63*100*($E63/365))</f>
        <v>0</v>
      </c>
      <c r="K178" s="918"/>
      <c r="L178" s="918">
        <f>(Q62/$R62*100*($E62/365))+(Q63/$R63*100*($E63/365))</f>
        <v>0</v>
      </c>
      <c r="M178" s="918"/>
      <c r="N178" s="887">
        <f t="shared" si="41"/>
        <v>100</v>
      </c>
      <c r="O178" s="887"/>
      <c r="R178" s="1">
        <v>1986</v>
      </c>
      <c r="S178" s="8">
        <f>(O62*($E62/365))+(O63*($E63/365))</f>
        <v>54.117260273972605</v>
      </c>
      <c r="T178" s="8">
        <f>(P62*($E62/365))+(P63*($E63/365))</f>
        <v>0</v>
      </c>
      <c r="U178" s="8">
        <f>(Q62*($E62/365))+(Q63*($E63/365))</f>
        <v>0</v>
      </c>
      <c r="V178" s="12"/>
      <c r="W178" s="7">
        <f t="shared" si="42"/>
        <v>54.117260273972605</v>
      </c>
    </row>
    <row r="179" spans="1:23">
      <c r="A179" s="1">
        <v>1987</v>
      </c>
      <c r="B179" s="8">
        <f>(K64*($E64/365))+(K65*($E65/365))</f>
        <v>100</v>
      </c>
      <c r="C179" s="8">
        <f>(L64*($E64/365))+(L65*($E65/365))</f>
        <v>0</v>
      </c>
      <c r="D179" s="8">
        <f>(M64*($E64/365))+(M65*($E65/365))</f>
        <v>0</v>
      </c>
      <c r="E179" s="48">
        <f t="shared" si="40"/>
        <v>100</v>
      </c>
      <c r="G179" s="1">
        <v>1987</v>
      </c>
      <c r="H179" s="918">
        <f>(O64/$R64*100*($E64/365))+(O65/$R65*100*($E65/365))</f>
        <v>100</v>
      </c>
      <c r="I179" s="918"/>
      <c r="J179" s="918">
        <f>(P64/$R64*100*($E64/365))+(P65/$R65*100*($E65/365))</f>
        <v>0</v>
      </c>
      <c r="K179" s="918"/>
      <c r="L179" s="918">
        <f>(Q64/$R64*100*($E64/365))+(Q65/$R65*100*($E65/365))</f>
        <v>0</v>
      </c>
      <c r="M179" s="918"/>
      <c r="N179" s="887">
        <f t="shared" si="41"/>
        <v>100</v>
      </c>
      <c r="O179" s="887"/>
      <c r="R179" s="1">
        <v>1987</v>
      </c>
      <c r="S179" s="8">
        <f>(O64*($E64/365))+(O65*($E65/365))</f>
        <v>58.6</v>
      </c>
      <c r="T179" s="8">
        <f>(P64*($E64/365))+(P65*($E65/365))</f>
        <v>0</v>
      </c>
      <c r="U179" s="8">
        <f>(Q64*($E64/365))+(Q65*($E65/365))</f>
        <v>0</v>
      </c>
      <c r="V179" s="12"/>
      <c r="W179" s="7">
        <f t="shared" si="42"/>
        <v>58.6</v>
      </c>
    </row>
    <row r="180" spans="1:23">
      <c r="A180" s="1">
        <v>1988</v>
      </c>
      <c r="B180" s="8">
        <f>(K66*($E66/366))+(K67*($E67/366))</f>
        <v>100</v>
      </c>
      <c r="C180" s="8">
        <f>(L66*($E66/366))+(L67*($E67/366))</f>
        <v>0</v>
      </c>
      <c r="D180" s="8">
        <f>(M66*($E66/366))+(M67*($E67/366))</f>
        <v>0</v>
      </c>
      <c r="E180" s="48">
        <f t="shared" si="40"/>
        <v>100</v>
      </c>
      <c r="G180" s="1">
        <v>1988</v>
      </c>
      <c r="H180" s="918">
        <f>(O66/$R66*100*($E66/366))+(O67/$R67*100*($E67/366))</f>
        <v>100</v>
      </c>
      <c r="I180" s="918"/>
      <c r="J180" s="918">
        <f>(P66/$R66*100*($E66/366))+(P67/$R67*100*($E67/366))</f>
        <v>0</v>
      </c>
      <c r="K180" s="918"/>
      <c r="L180" s="918">
        <f>(Q66/$R66*100*($E66/366))+(Q67/$R67*100*($E67/366))</f>
        <v>0</v>
      </c>
      <c r="M180" s="918"/>
      <c r="N180" s="887">
        <f t="shared" si="41"/>
        <v>100</v>
      </c>
      <c r="O180" s="887"/>
      <c r="R180" s="1">
        <v>1988</v>
      </c>
      <c r="S180" s="8">
        <f>(O66*($E66/366))+(O67*($E67/366))</f>
        <v>58.6</v>
      </c>
      <c r="T180" s="8">
        <f>(P66*($E66/366))+(P67*($E67/366))</f>
        <v>0</v>
      </c>
      <c r="U180" s="8">
        <f>(Q66*($E66/366))+(Q67*($E67/366))</f>
        <v>0</v>
      </c>
      <c r="V180" s="12"/>
      <c r="W180" s="7">
        <f t="shared" si="42"/>
        <v>58.6</v>
      </c>
    </row>
    <row r="181" spans="1:23">
      <c r="A181" s="1">
        <v>1989</v>
      </c>
      <c r="B181" s="8">
        <f>(K68*($E68/365))+(K69*($E69/365))+(K70*($E70/365))</f>
        <v>100</v>
      </c>
      <c r="C181" s="8">
        <f>(L68*($E68/365))+(L69*($E69/365))+(L70*($E70/365))</f>
        <v>0</v>
      </c>
      <c r="D181" s="8">
        <f>(M68*($E68/365))+(M69*($E69/365))+(M70*($E70/365))</f>
        <v>0</v>
      </c>
      <c r="E181" s="48">
        <f t="shared" si="40"/>
        <v>100</v>
      </c>
      <c r="G181" s="1">
        <v>1989</v>
      </c>
      <c r="H181" s="918">
        <f>(O68/$R68*100*($E68/365))+(O69/$R69*100*($E69/365))+(O70/$R70*100*($E70/365))</f>
        <v>100</v>
      </c>
      <c r="I181" s="918"/>
      <c r="J181" s="918">
        <f>(P68/$R68*100*($E68/365))+(P69/$R69*100*($E69/365))+(P70/$R70*100*($E70/365))</f>
        <v>0</v>
      </c>
      <c r="K181" s="918"/>
      <c r="L181" s="918">
        <f>(Q68/$R68*100*($E68/365))+(Q69/$R69*100*($E69/365))+(Q70/$R70*100*($E70/365))</f>
        <v>0</v>
      </c>
      <c r="M181" s="918"/>
      <c r="N181" s="887">
        <f t="shared" si="41"/>
        <v>100</v>
      </c>
      <c r="O181" s="887"/>
      <c r="R181" s="1">
        <v>1989</v>
      </c>
      <c r="S181" s="8">
        <f>(O68*($E68/365))+(O69*($E69/365))+(O70*($E70/365))</f>
        <v>58.6</v>
      </c>
      <c r="T181" s="8">
        <f>(P68*($E68/365))+(P69*($E69/365))+(P70*($E70/365))</f>
        <v>0</v>
      </c>
      <c r="U181" s="8">
        <f>(Q68*($E68/365))+(Q69*($E69/365))+(Q70*($E70/365))</f>
        <v>0</v>
      </c>
      <c r="V181" s="12"/>
      <c r="W181" s="7">
        <f t="shared" si="42"/>
        <v>58.6</v>
      </c>
    </row>
    <row r="182" spans="1:23">
      <c r="A182" s="1">
        <v>1990</v>
      </c>
      <c r="B182" s="8">
        <f>(K71*($E71/365))+(K72*($E72/365))</f>
        <v>100</v>
      </c>
      <c r="C182" s="8">
        <f>(L71*($E71/365))+(L72*($E72/365))</f>
        <v>0</v>
      </c>
      <c r="D182" s="8">
        <f>(M71*($E71/365))+(M72*($E72/365))</f>
        <v>0</v>
      </c>
      <c r="E182" s="48">
        <f t="shared" si="40"/>
        <v>100</v>
      </c>
      <c r="G182" s="1">
        <v>1990</v>
      </c>
      <c r="H182" s="918">
        <f>(O71/$R71*100*($E71/365))+(O72/$R72*100*($E72/365))</f>
        <v>100</v>
      </c>
      <c r="I182" s="918"/>
      <c r="J182" s="918">
        <f>(P71/$R71*100*($E71/365))+(P72/$R72*100*($E72/365))</f>
        <v>0</v>
      </c>
      <c r="K182" s="918"/>
      <c r="L182" s="918">
        <f>(Q71/$R71*100*($E71/365))+(Q72/$R72*100*($E72/365))</f>
        <v>0</v>
      </c>
      <c r="M182" s="918"/>
      <c r="N182" s="887">
        <f t="shared" si="41"/>
        <v>100</v>
      </c>
      <c r="O182" s="887"/>
      <c r="R182" s="1">
        <v>1990</v>
      </c>
      <c r="S182" s="8">
        <f>(O71*($E71/365))+(O72*($E72/365))</f>
        <v>54.478630136986304</v>
      </c>
      <c r="T182" s="8">
        <f>(P71*($E71/365))+(P72*($E72/365))</f>
        <v>0</v>
      </c>
      <c r="U182" s="8">
        <f>(Q71*($E71/365))+(Q72*($E72/365))</f>
        <v>0</v>
      </c>
      <c r="V182" s="12"/>
      <c r="W182" s="7">
        <f t="shared" si="42"/>
        <v>54.478630136986304</v>
      </c>
    </row>
    <row r="183" spans="1:23">
      <c r="A183" s="1">
        <v>1991</v>
      </c>
      <c r="B183" s="8">
        <f>(K73*($E73/365))+(K74*($E74/365))</f>
        <v>100</v>
      </c>
      <c r="C183" s="8">
        <f>(L73*($E73/365))+(L74*($E74/365))</f>
        <v>0</v>
      </c>
      <c r="D183" s="8">
        <f>(M73*($E73/365))+(M74*($E74/365))</f>
        <v>0</v>
      </c>
      <c r="E183" s="48">
        <f t="shared" si="40"/>
        <v>100</v>
      </c>
      <c r="G183" s="1">
        <v>1991</v>
      </c>
      <c r="H183" s="918">
        <f>(O73/$R73*100*($E73/365))+(O74/$R74*100*($E74/365))</f>
        <v>100</v>
      </c>
      <c r="I183" s="918"/>
      <c r="J183" s="918">
        <f>(P73/$R73*100*($E73/365))+(P74/$R74*100*($E74/365))</f>
        <v>0</v>
      </c>
      <c r="K183" s="918"/>
      <c r="L183" s="918">
        <f>(Q73/$R73*100*($E73/365))+(Q74/$R74*100*($E74/365))</f>
        <v>0</v>
      </c>
      <c r="M183" s="918"/>
      <c r="N183" s="887">
        <f t="shared" si="41"/>
        <v>100</v>
      </c>
      <c r="O183" s="887"/>
      <c r="R183" s="1">
        <v>1991</v>
      </c>
      <c r="S183" s="8">
        <f>(O73*($E73/365))+(O74*($E74/365))</f>
        <v>53.7</v>
      </c>
      <c r="T183" s="8">
        <f>(P73*($E73/365))+(P74*($E74/365))</f>
        <v>0</v>
      </c>
      <c r="U183" s="8">
        <f>(Q73*($E73/365))+(Q74*($E74/365))</f>
        <v>0</v>
      </c>
      <c r="V183" s="12"/>
      <c r="W183" s="7">
        <f t="shared" si="42"/>
        <v>53.7</v>
      </c>
    </row>
    <row r="184" spans="1:23">
      <c r="A184" s="1">
        <v>1992</v>
      </c>
      <c r="B184" s="8">
        <f>(K75*($E75/366))+(K76*($E76/366))</f>
        <v>100</v>
      </c>
      <c r="C184" s="8">
        <f>(L75*($E75/366))+(L76*($E76/366))</f>
        <v>0</v>
      </c>
      <c r="D184" s="8">
        <f>(M75*($E75/366))+(M76*($E76/366))</f>
        <v>0</v>
      </c>
      <c r="E184" s="48">
        <f t="shared" si="40"/>
        <v>100</v>
      </c>
      <c r="G184" s="1">
        <v>1992</v>
      </c>
      <c r="H184" s="918">
        <f>(O75/$R75*100*($E75/366))+(O76/$R76*100*($E76/366))</f>
        <v>100</v>
      </c>
      <c r="I184" s="918"/>
      <c r="J184" s="918">
        <f>(P75/$R75*100*($E75/366))+(P76/$R76*100*($E76/366))</f>
        <v>0</v>
      </c>
      <c r="K184" s="918"/>
      <c r="L184" s="918">
        <f>(Q75/$R75*100*($E75/366))+(Q76/$R76*100*($E76/366))</f>
        <v>0</v>
      </c>
      <c r="M184" s="918"/>
      <c r="N184" s="887">
        <f t="shared" si="41"/>
        <v>100</v>
      </c>
      <c r="O184" s="887"/>
      <c r="R184" s="1">
        <v>1992</v>
      </c>
      <c r="S184" s="8">
        <f>(O75*($E75/366))+(O76*($E76/366))</f>
        <v>53.7</v>
      </c>
      <c r="T184" s="8">
        <f>(P75*($E75/366))+(P76*($E76/366))</f>
        <v>0</v>
      </c>
      <c r="U184" s="8">
        <f>(Q75*($E75/366))+(Q76*($E76/366))</f>
        <v>0</v>
      </c>
      <c r="V184" s="12"/>
      <c r="W184" s="7">
        <f t="shared" si="42"/>
        <v>53.7</v>
      </c>
    </row>
    <row r="185" spans="1:23">
      <c r="A185" s="1">
        <v>1993</v>
      </c>
      <c r="B185" s="8">
        <f>(K77*($E77/365))+(K78*($E78/365))</f>
        <v>73.515981735159812</v>
      </c>
      <c r="C185" s="8">
        <f>(L77*($E77/365))+(L78*($E78/365))</f>
        <v>7.5668623613829089</v>
      </c>
      <c r="D185" s="8">
        <f>(M77*($E77/365))+(M78*($E78/365))</f>
        <v>15.133724722765818</v>
      </c>
      <c r="E185" s="48">
        <f t="shared" si="40"/>
        <v>96.216568819308534</v>
      </c>
      <c r="G185" s="1">
        <v>1993</v>
      </c>
      <c r="H185" s="918">
        <f>(O77/$R77*100*($E77/365))+(O78/$R78*100*($E78/365))</f>
        <v>77.084354722422489</v>
      </c>
      <c r="I185" s="918"/>
      <c r="J185" s="918">
        <f>(P77/$R77*100*($E77/365))+(P78/$R78*100*($E78/365))</f>
        <v>8.3633741888968984</v>
      </c>
      <c r="K185" s="918"/>
      <c r="L185" s="918">
        <f>(Q77/$R77*100*($E77/365))+(Q78/$R78*100*($E78/365))</f>
        <v>14.552271088680607</v>
      </c>
      <c r="M185" s="918"/>
      <c r="N185" s="887">
        <f t="shared" si="41"/>
        <v>100</v>
      </c>
      <c r="O185" s="887"/>
      <c r="R185" s="1">
        <v>1993</v>
      </c>
      <c r="S185" s="8">
        <f>(O77*($E77/365))+(O78*($E78/365))</f>
        <v>40.352054794520548</v>
      </c>
      <c r="T185" s="8">
        <f>(P77*($E77/365))+(P78*($E78/365))</f>
        <v>3.9726027397260273</v>
      </c>
      <c r="U185" s="8">
        <f>(Q77*($E77/365))+(Q78*($E78/365))</f>
        <v>6.912328767123288</v>
      </c>
      <c r="V185" s="12"/>
      <c r="W185" s="7">
        <f t="shared" si="42"/>
        <v>51.236986301369868</v>
      </c>
    </row>
    <row r="186" spans="1:23">
      <c r="A186" s="1">
        <v>1994</v>
      </c>
      <c r="B186" s="8">
        <f>(K79*($E79/365))+(K80*($E80/365))+(K81*($E81/365))</f>
        <v>55.107632093933461</v>
      </c>
      <c r="C186" s="8">
        <f>(L79*($E79/365))+(L80*($E80/365))+(L81*($E81/365))</f>
        <v>11.037181996086106</v>
      </c>
      <c r="D186" s="8">
        <f>(M79*($E79/365))+(M80*($E80/365))+(M81*($E81/365))</f>
        <v>28.336594911937379</v>
      </c>
      <c r="E186" s="48">
        <f t="shared" si="40"/>
        <v>94.481409001956948</v>
      </c>
      <c r="G186" s="1">
        <v>1994</v>
      </c>
      <c r="H186" s="918">
        <f>(O79/$R79*100*($E79/365))+(O80/$R80*100*($E80/365))+(O81/$R81*100*($E81/365))</f>
        <v>60.478497311966848</v>
      </c>
      <c r="I186" s="918"/>
      <c r="J186" s="918">
        <f>(P79/$R79*100*($E79/365))+(P80/$R80*100*($E80/365))+(P81/$R81*100*($E81/365))</f>
        <v>14.526419277989325</v>
      </c>
      <c r="K186" s="918"/>
      <c r="L186" s="918">
        <f>(Q79/$R79*100*($E79/365))+(Q80/$R80*100*($E80/365))+(Q81/$R81*100*($E81/365))</f>
        <v>24.995083410043833</v>
      </c>
      <c r="M186" s="918"/>
      <c r="N186" s="887">
        <f t="shared" si="41"/>
        <v>100</v>
      </c>
      <c r="O186" s="887"/>
      <c r="R186" s="1">
        <v>1994</v>
      </c>
      <c r="S186" s="8">
        <f>(O79*($E79/365))+(O80*($E80/365))+(O81*($E81/365))</f>
        <v>31.579452054794526</v>
      </c>
      <c r="T186" s="8">
        <f>(P79*($E79/365))+(P80*($E80/365))+(P81*($E81/365))</f>
        <v>6.1986301369863011</v>
      </c>
      <c r="U186" s="8">
        <f>(Q79*($E79/365))+(Q80*($E80/365))+(Q81*($E81/365))</f>
        <v>13.021917808219179</v>
      </c>
      <c r="V186" s="12"/>
      <c r="W186" s="7">
        <f t="shared" si="42"/>
        <v>50.800000000000004</v>
      </c>
    </row>
    <row r="187" spans="1:23">
      <c r="A187" s="1">
        <v>1995</v>
      </c>
      <c r="B187" s="8">
        <f>(K82*($E82/365))+(K83*($E83/365))</f>
        <v>69.523809523809518</v>
      </c>
      <c r="C187" s="8">
        <f>(L82*($E82/365))+(L83*($E83/365))</f>
        <v>0</v>
      </c>
      <c r="D187" s="8">
        <f>(M82*($E82/365))+(M83*($E83/365))</f>
        <v>28.571428571428569</v>
      </c>
      <c r="E187" s="48">
        <f t="shared" si="40"/>
        <v>98.095238095238088</v>
      </c>
      <c r="G187" s="1">
        <v>1995</v>
      </c>
      <c r="H187" s="918">
        <f>(O83/$R83*100*($E83/365))+(O82/$R82*100*($E82/365))</f>
        <v>72.909698996655521</v>
      </c>
      <c r="I187" s="918"/>
      <c r="J187" s="918">
        <f>(P83/$R83*100*($E83/365))+(P82/$R82*100*($E82/365))</f>
        <v>4.1806020066889635</v>
      </c>
      <c r="K187" s="918"/>
      <c r="L187" s="918">
        <f>(Q83/$R83*100*($E83/365))+(Q82/$R82*100*($E82/365))</f>
        <v>22.909698996655518</v>
      </c>
      <c r="M187" s="918"/>
      <c r="N187" s="887">
        <f t="shared" si="41"/>
        <v>100</v>
      </c>
      <c r="O187" s="887"/>
      <c r="R187" s="1">
        <v>1995</v>
      </c>
      <c r="S187" s="8">
        <f>(O82*($E82/365))+(O83*($E83/365))</f>
        <v>43.6</v>
      </c>
      <c r="T187" s="8">
        <f>(P82*($E82/365))+(P83*($E83/365))</f>
        <v>2.5</v>
      </c>
      <c r="U187" s="8">
        <f>(Q82*($E82/365))+(Q83*($E83/365))</f>
        <v>13.7</v>
      </c>
      <c r="V187" s="12"/>
      <c r="W187" s="7">
        <f t="shared" si="42"/>
        <v>59.8</v>
      </c>
    </row>
    <row r="188" spans="1:23">
      <c r="A188" s="1">
        <v>1996</v>
      </c>
      <c r="B188" s="8">
        <f>(K84*($E84/366))+(K85*($E85/366))+(K86*($E86/366))</f>
        <v>67.759562841530055</v>
      </c>
      <c r="C188" s="8">
        <f>(L84*($E84/366))+(L85*($E85/366))+(L86*($E86/366))</f>
        <v>0</v>
      </c>
      <c r="D188" s="8">
        <f>(M84*($E84/366))+(M85*($E85/366))+(M86*($E86/366))</f>
        <v>28.194119177725732</v>
      </c>
      <c r="E188" s="48">
        <f t="shared" si="40"/>
        <v>95.95368201925578</v>
      </c>
      <c r="G188" s="1">
        <v>1996</v>
      </c>
      <c r="H188" s="918">
        <f>(O84/$R84*100*($E84/366))+(O85/$R85*100*($E85/366))+(O86/$R86*100*($E86/366))</f>
        <v>76.980645868742812</v>
      </c>
      <c r="I188" s="918"/>
      <c r="J188" s="918">
        <f>(P84/$R84*100*($E84/366))+(P85/$R85*100*($E85/366))+(P86/$R86*100*($E86/366))</f>
        <v>3.5523694647001851</v>
      </c>
      <c r="K188" s="918"/>
      <c r="L188" s="918">
        <f>(Q84/$R84*100*($E84/366))+(Q85/$R85*100*($E85/366))+(Q86/$R86*100*($E86/366))</f>
        <v>19.466984666557014</v>
      </c>
      <c r="M188" s="918"/>
      <c r="N188" s="887">
        <f t="shared" si="41"/>
        <v>100.00000000000001</v>
      </c>
      <c r="O188" s="887"/>
      <c r="R188" s="1">
        <v>1996</v>
      </c>
      <c r="S188" s="8">
        <f>(O84*($E84/366))+(O85*($E85/366))+(O86*($E86/366))</f>
        <v>44.231147540983599</v>
      </c>
      <c r="T188" s="8">
        <f>(P84*($E84/366))+(P85*($E85/366))+(P86*($E86/366))</f>
        <v>2.1243169398907105</v>
      </c>
      <c r="U188" s="8">
        <f>(Q84*($E84/366))+(Q85*($E85/366))+(Q86*($E86/366))</f>
        <v>11.641256830601092</v>
      </c>
      <c r="V188" s="12"/>
      <c r="W188" s="7">
        <f t="shared" si="42"/>
        <v>57.996721311475405</v>
      </c>
    </row>
    <row r="189" spans="1:23">
      <c r="A189" s="1">
        <v>1997</v>
      </c>
      <c r="B189" s="8">
        <f>(K88*($E88/365))+(K87*($E87/365))</f>
        <v>100</v>
      </c>
      <c r="C189" s="8">
        <f>(L88*($E88/365))+(L87*($E87/365))</f>
        <v>0</v>
      </c>
      <c r="D189" s="8">
        <f>(M88*($E88/365))+(M87*($E87/365))</f>
        <v>0</v>
      </c>
      <c r="E189" s="48">
        <f t="shared" si="40"/>
        <v>100</v>
      </c>
      <c r="G189" s="1">
        <v>1997</v>
      </c>
      <c r="H189" s="918">
        <f>(O87/$R87*100*($E87/365))+(O88/$R88*100*($E88/365))</f>
        <v>100</v>
      </c>
      <c r="I189" s="918"/>
      <c r="J189" s="918">
        <f>(P87/$R87*100*($E87/365))+(P88/$R88*100*($E88/365))</f>
        <v>0</v>
      </c>
      <c r="K189" s="918"/>
      <c r="L189" s="918">
        <f>(Q87/$R87*100*($E87/365))+(Q88/$R88*100*($E88/365))</f>
        <v>0</v>
      </c>
      <c r="M189" s="918"/>
      <c r="N189" s="887">
        <f t="shared" si="41"/>
        <v>100</v>
      </c>
      <c r="O189" s="887"/>
      <c r="R189" s="1">
        <v>1997</v>
      </c>
      <c r="S189" s="8">
        <f>(O88*($E88/365))+(O87*($E87/365))</f>
        <v>47.8</v>
      </c>
      <c r="T189" s="8">
        <f>(P88*($E88/365))+(P87*($E87/365))</f>
        <v>0</v>
      </c>
      <c r="U189" s="8">
        <f>(Q88*($E88/365))+(Q87*($E87/365))</f>
        <v>0</v>
      </c>
      <c r="V189" s="12"/>
      <c r="W189" s="7">
        <f t="shared" si="42"/>
        <v>47.8</v>
      </c>
    </row>
    <row r="190" spans="1:23">
      <c r="A190" s="1">
        <v>1998</v>
      </c>
      <c r="B190" s="8">
        <f>(K90*($E90/365))+(K89*($E89/365))</f>
        <v>97.97782126549248</v>
      </c>
      <c r="C190" s="8">
        <f>(L90*($E90/365))+(L89*($E89/365))</f>
        <v>0</v>
      </c>
      <c r="D190" s="8">
        <f>(M90*($E90/365))+(M89*($E89/365))</f>
        <v>0</v>
      </c>
      <c r="E190" s="48">
        <f t="shared" si="40"/>
        <v>97.97782126549248</v>
      </c>
      <c r="G190" s="1">
        <v>1998</v>
      </c>
      <c r="H190" s="918">
        <f>(O90/$R90*100*($E90/365))+(O89/$R89*100*($E89/365))</f>
        <v>100</v>
      </c>
      <c r="I190" s="918"/>
      <c r="J190" s="918">
        <f>(P90/$R90*100*($E90/365))+(P89/$R89*100*($E89/365))</f>
        <v>0</v>
      </c>
      <c r="K190" s="918"/>
      <c r="L190" s="918">
        <f>(Q90/$R90*100*($E90/365))+(Q89/$R89*100*($E89/365))</f>
        <v>0</v>
      </c>
      <c r="M190" s="918"/>
      <c r="N190" s="887">
        <f t="shared" si="41"/>
        <v>100</v>
      </c>
      <c r="O190" s="887"/>
      <c r="R190" s="1">
        <v>1998</v>
      </c>
      <c r="S190" s="8">
        <f>(O90*($E90/365))+(O89*($E89/365))</f>
        <v>47.8</v>
      </c>
      <c r="T190" s="8">
        <f>(P90*($E90/365))+(P89*($E89/365))</f>
        <v>0</v>
      </c>
      <c r="U190" s="8">
        <f>(Q90*($E90/365))+(Q89*($E89/365))</f>
        <v>0</v>
      </c>
      <c r="V190" s="12"/>
      <c r="W190" s="7">
        <f t="shared" si="42"/>
        <v>47.8</v>
      </c>
    </row>
    <row r="191" spans="1:23">
      <c r="A191" s="1">
        <v>1999</v>
      </c>
      <c r="B191" s="8">
        <f>(K92*($E92/365))+(K91*($E91/365))+(K93*($E93/365))</f>
        <v>94.446240676139411</v>
      </c>
      <c r="C191" s="8">
        <f>(L92*($E92/365))+(L91*($E91/365))+(L93*($E93/365))</f>
        <v>1.0482430017867779</v>
      </c>
      <c r="D191" s="8">
        <f>(M92*($E92/365))+(M91*($E91/365))+(M93*($E93/365))</f>
        <v>0</v>
      </c>
      <c r="E191" s="48">
        <f t="shared" si="40"/>
        <v>95.494483677926183</v>
      </c>
      <c r="G191" s="1">
        <v>1999</v>
      </c>
      <c r="H191" s="918">
        <f>(O91/$R91*100*($E91/365))+(O92/$R92*100*($E92/365))+(O93/$R93*100*($E93/365))</f>
        <v>96.200913242009136</v>
      </c>
      <c r="I191" s="918"/>
      <c r="J191" s="918">
        <f>(P91/$R91*100*($E91/365))+(P92/$R92*100*($E92/365))+(P93/$R93*100*($E93/365))</f>
        <v>3.7990867579908683</v>
      </c>
      <c r="K191" s="918"/>
      <c r="L191" s="918">
        <f>(Q91/$R91*100*($E91/365))+(Q92/$R92*100*($E92/365))+(Q93/$R93*100*($E93/365))</f>
        <v>0</v>
      </c>
      <c r="M191" s="918"/>
      <c r="N191" s="887">
        <f t="shared" si="41"/>
        <v>100</v>
      </c>
      <c r="O191" s="887"/>
      <c r="R191" s="1">
        <v>1999</v>
      </c>
      <c r="S191" s="8">
        <f>(O92*($E92/365))+(O91*($E91/365))+(O93*($E93/365))</f>
        <v>55.177534246575341</v>
      </c>
      <c r="T191" s="8">
        <f>(P92*($E92/365))+(P91*($E91/365))+(P93*($E93/365))</f>
        <v>2.5073972602739727</v>
      </c>
      <c r="U191" s="8">
        <f>(Q92*($E92/365))+(Q91*($E91/365))+(Q93*($E93/365))</f>
        <v>0</v>
      </c>
      <c r="V191" s="12"/>
      <c r="W191" s="7">
        <f t="shared" si="42"/>
        <v>57.684931506849317</v>
      </c>
    </row>
    <row r="192" spans="1:23">
      <c r="A192" s="1">
        <v>2000</v>
      </c>
      <c r="B192" s="8">
        <f>(K96*($E96/366))+(K95*($E95/366))+(K94*($E94/366))</f>
        <v>89.154193395105722</v>
      </c>
      <c r="C192" s="8">
        <f>(L96*($E96/366))+(L95*($E95/366))+(L94*($E94/366))</f>
        <v>4.3478260869565215</v>
      </c>
      <c r="D192" s="8">
        <f>(M96*($E96/366))+(M95*($E95/366))+(M94*($E94/366))</f>
        <v>0</v>
      </c>
      <c r="E192" s="48">
        <f t="shared" si="40"/>
        <v>93.502019482062238</v>
      </c>
      <c r="G192" s="1">
        <v>2000</v>
      </c>
      <c r="H192" s="918">
        <f>(O94/$R94*100*($E94/366))+(O95/$R95*100*($E95/366))+(O96/$R96*100*($E96/366))</f>
        <v>86.345758469652267</v>
      </c>
      <c r="I192" s="918"/>
      <c r="J192" s="918">
        <f>(P94/$R94*100*($E94/366))+(P95/$R95*100*($E95/366))+(P96/$R96*100*($E96/366))</f>
        <v>13.654241530347726</v>
      </c>
      <c r="K192" s="918"/>
      <c r="L192" s="918">
        <f>(Q94/$R94*100*($E94/366))+(Q95/$R95*100*($E95/366))+(Q96/$R96*100*($E96/366))</f>
        <v>0</v>
      </c>
      <c r="M192" s="918"/>
      <c r="N192" s="887">
        <f t="shared" si="41"/>
        <v>100</v>
      </c>
      <c r="O192" s="887"/>
      <c r="R192" s="1">
        <v>2000</v>
      </c>
      <c r="S192" s="8">
        <f>(O96*($E96/366))+(O95*($E95/366))+(O94*($E94/366))</f>
        <v>52.830601092896174</v>
      </c>
      <c r="T192" s="8">
        <f>(P96*($E96/366))+(P95*($E95/366))+(P94*($E94/366))</f>
        <v>8.471311475409836</v>
      </c>
      <c r="U192" s="8">
        <f>(Q96*($E96/366))+(Q95*($E95/366))+(Q94*($E94/366))</f>
        <v>0</v>
      </c>
      <c r="V192" s="12"/>
      <c r="W192" s="7">
        <f>S192+T192+U192</f>
        <v>61.301912568306008</v>
      </c>
    </row>
    <row r="193" spans="1:46">
      <c r="A193" s="1">
        <v>2001</v>
      </c>
      <c r="B193" s="8">
        <f>(K98*($E98/365))+(K97*($E97/365))</f>
        <v>80.669710806697111</v>
      </c>
      <c r="C193" s="8">
        <f>(L98*($E98/365))+(L97*($E97/365))</f>
        <v>5.1750380517503798</v>
      </c>
      <c r="D193" s="8">
        <f>(M98*($E98/365))+(M97*($E97/365))</f>
        <v>0</v>
      </c>
      <c r="E193" s="48">
        <f t="shared" si="40"/>
        <v>85.844748858447488</v>
      </c>
      <c r="G193" s="1">
        <v>2001</v>
      </c>
      <c r="H193" s="918">
        <f>(O97/$R97*100*($E97/365))+(O98/$R98*100*($E98/365))</f>
        <v>88.495575221238937</v>
      </c>
      <c r="I193" s="918"/>
      <c r="J193" s="918">
        <f>(P97/$R97*100*($E97/365))+(P98/$R98*100*($E98/365))</f>
        <v>11.504424778761061</v>
      </c>
      <c r="K193" s="918"/>
      <c r="L193" s="918">
        <f>(Q97/$R97*100*($E97/365))+(Q98/$R98*100*($E98/365))</f>
        <v>0</v>
      </c>
      <c r="M193" s="918"/>
      <c r="N193" s="887">
        <f t="shared" si="41"/>
        <v>100</v>
      </c>
      <c r="O193" s="887"/>
      <c r="R193" s="1">
        <v>2001</v>
      </c>
      <c r="S193" s="8">
        <f>(O98*($E98/365))+(O97*($E97/365))</f>
        <v>50</v>
      </c>
      <c r="T193" s="8">
        <f>(P98*($E98/365))+(P97*($E97/365))</f>
        <v>6.5</v>
      </c>
      <c r="U193" s="8">
        <f>(Q98*($E98/365))+(Q97*($E97/365))</f>
        <v>0</v>
      </c>
      <c r="V193" s="12"/>
      <c r="W193" s="7">
        <f t="shared" si="42"/>
        <v>56.5</v>
      </c>
    </row>
    <row r="194" spans="1:46">
      <c r="A194" s="1">
        <v>2002</v>
      </c>
      <c r="B194" s="8">
        <f>(K100*($E100/365))+(K99*($E99/365))</f>
        <v>77.777777777777786</v>
      </c>
      <c r="C194" s="8">
        <f>(L100*($E100/365))+(L99*($E99/365))</f>
        <v>5.5555555555555554</v>
      </c>
      <c r="D194" s="8">
        <f>(M100*($E100/365))+(M99*($E99/365))</f>
        <v>0</v>
      </c>
      <c r="E194" s="48">
        <f t="shared" si="40"/>
        <v>83.333333333333343</v>
      </c>
      <c r="G194" s="1">
        <v>2002</v>
      </c>
      <c r="H194" s="918">
        <f>(O99/$R99*100*($E99/365))+(O100/$R100*100*($E100/365))</f>
        <v>88.495575221238937</v>
      </c>
      <c r="I194" s="918"/>
      <c r="J194" s="918">
        <f>(P99/$R99*100*($E99/365))+(P100/$R100*100*($E100/365))</f>
        <v>11.504424778761061</v>
      </c>
      <c r="K194" s="918"/>
      <c r="L194" s="918">
        <f>(Q99/$R99*100*($E99/365))+(Q100/$R100*100*($E100/365))</f>
        <v>0</v>
      </c>
      <c r="M194" s="918"/>
      <c r="N194" s="887">
        <f t="shared" si="41"/>
        <v>100</v>
      </c>
      <c r="O194" s="887"/>
      <c r="R194" s="1">
        <v>2002</v>
      </c>
      <c r="S194" s="8">
        <f>(O100*($E100/365))+(O99*($E99/365))</f>
        <v>50</v>
      </c>
      <c r="T194" s="8">
        <f>(P100*($E100/365))+(P99*($E99/365))</f>
        <v>6.5</v>
      </c>
      <c r="U194" s="8">
        <f>(Q100*($E100/365))+(Q99*($E99/365))</f>
        <v>0</v>
      </c>
      <c r="V194" s="12"/>
      <c r="W194" s="7">
        <f t="shared" si="42"/>
        <v>56.5</v>
      </c>
    </row>
    <row r="195" spans="1:46">
      <c r="A195" s="1">
        <v>2003</v>
      </c>
      <c r="B195" s="8">
        <f>(K102*($E102/365))+(K101*($E101/365))</f>
        <v>77.777777777777786</v>
      </c>
      <c r="C195" s="8">
        <f>(L102*($E102/365))+(L101*($E101/365))</f>
        <v>5.5555555555555554</v>
      </c>
      <c r="D195" s="8">
        <f>(M102*($E102/365))+(M101*($E101/365))</f>
        <v>0</v>
      </c>
      <c r="E195" s="48">
        <f t="shared" si="40"/>
        <v>83.333333333333343</v>
      </c>
      <c r="G195" s="1">
        <v>2003</v>
      </c>
      <c r="H195" s="918">
        <f>(O101/$R101*100*($E101/365))+(O102/$R102*100*($E102/365))</f>
        <v>88.238260159539578</v>
      </c>
      <c r="I195" s="918"/>
      <c r="J195" s="918">
        <f>(P101/$R101*100*($E101/365))+(P102/$R102*100*($E102/365))</f>
        <v>11.761739840460415</v>
      </c>
      <c r="K195" s="918"/>
      <c r="L195" s="918">
        <f>(Q101/$R101*100*($E101/365))+(Q102/$R102*100*($E102/365))</f>
        <v>0</v>
      </c>
      <c r="M195" s="918"/>
      <c r="N195" s="887">
        <f t="shared" si="41"/>
        <v>100</v>
      </c>
      <c r="O195" s="887"/>
      <c r="R195" s="1">
        <v>2003</v>
      </c>
      <c r="S195" s="8">
        <f>(O102*($E102/365))+(O101*($E101/365))</f>
        <v>50</v>
      </c>
      <c r="T195" s="8">
        <f>(P102*($E102/365))+(P101*($E101/365))</f>
        <v>6.6660273972602733</v>
      </c>
      <c r="U195" s="8">
        <f>(Q102*($E102/365))+(Q101*($E101/365))</f>
        <v>0</v>
      </c>
      <c r="V195" s="12"/>
      <c r="W195" s="7">
        <f t="shared" si="42"/>
        <v>56.666027397260272</v>
      </c>
    </row>
    <row r="196" spans="1:46">
      <c r="A196" s="1">
        <v>2004</v>
      </c>
      <c r="B196" s="8">
        <f>(K104*($E104/366))+(K103*($E103/366))</f>
        <v>82.149362477231335</v>
      </c>
      <c r="C196" s="8">
        <f>(L104*($E104/366))+(L103*($E103/366))</f>
        <v>5.5555555555555554</v>
      </c>
      <c r="D196" s="8">
        <f>(M104*($E104/366))+(M103*($E103/366))</f>
        <v>0</v>
      </c>
      <c r="E196" s="48">
        <f t="shared" si="40"/>
        <v>87.704918032786892</v>
      </c>
      <c r="G196" s="1">
        <v>2004</v>
      </c>
      <c r="H196" s="918">
        <f>(O103/$R103*100*($E103/366))+(O104/$R104*100*($E104/366))</f>
        <v>87.563056230503207</v>
      </c>
      <c r="I196" s="918"/>
      <c r="J196" s="918">
        <f>(P103/$R103*100*($E103/366))+(P104/$R104*100*($E104/366))</f>
        <v>12.436943769496787</v>
      </c>
      <c r="K196" s="918"/>
      <c r="L196" s="918">
        <f>(Q103/$R103*100*($E103/366))+(Q104/$R104*100*($E104/366))</f>
        <v>0</v>
      </c>
      <c r="M196" s="918"/>
      <c r="N196" s="887">
        <f t="shared" si="41"/>
        <v>100</v>
      </c>
      <c r="O196" s="887"/>
      <c r="R196" s="1">
        <v>2004</v>
      </c>
      <c r="S196" s="8">
        <f>(O104*($E104/366))+(O103*($E103/366))</f>
        <v>49.990163934426235</v>
      </c>
      <c r="T196" s="8">
        <f>(P104*($E104/366))+(P103*($E103/366))</f>
        <v>7.1</v>
      </c>
      <c r="U196" s="8">
        <f>(Q104*($E104/366))+(Q103*($E103/366))</f>
        <v>0</v>
      </c>
      <c r="V196" s="12"/>
      <c r="W196" s="7">
        <f t="shared" si="42"/>
        <v>57.090163934426236</v>
      </c>
    </row>
    <row r="197" spans="1:46">
      <c r="A197" s="1">
        <v>2005</v>
      </c>
      <c r="B197" s="8">
        <f>(K106*($E106/365))+(K105*($E105/365))</f>
        <v>94.444444444444457</v>
      </c>
      <c r="C197" s="8">
        <f>(L106*($E106/365))+(L105*($E105/365))</f>
        <v>5.5555555555555554</v>
      </c>
      <c r="D197" s="8">
        <f>(M106*($E106/365))+(M105*($E105/365))</f>
        <v>0</v>
      </c>
      <c r="E197" s="48">
        <f t="shared" si="40"/>
        <v>100.00000000000001</v>
      </c>
      <c r="G197" s="1">
        <v>2005</v>
      </c>
      <c r="H197" s="918">
        <f>(O105/$R105*100*($E105/365))+(O106/$R106*100*($E106/365))</f>
        <v>87.949261067457201</v>
      </c>
      <c r="I197" s="918"/>
      <c r="J197" s="918">
        <f>(P105/$R105*100*($E105/365))+(P106/$R106*100*($E106/365))</f>
        <v>12.050738932542787</v>
      </c>
      <c r="K197" s="918"/>
      <c r="L197" s="918">
        <f>(Q105/$R105*100*($E105/365))+(Q106/$R106*100*($E106/365))</f>
        <v>0</v>
      </c>
      <c r="M197" s="918"/>
      <c r="N197" s="887">
        <f t="shared" si="41"/>
        <v>99.999999999999986</v>
      </c>
      <c r="O197" s="887"/>
      <c r="R197" s="1">
        <v>2005</v>
      </c>
      <c r="S197" s="8">
        <f>(O106*($E106/365))+(O105*($E105/365))</f>
        <v>51.489315068493148</v>
      </c>
      <c r="T197" s="8">
        <f>(P106*($E106/365))+(P105*($E105/365))</f>
        <v>6.9980821917808225</v>
      </c>
      <c r="U197" s="8">
        <f>(Q106*($E106/365))+(Q105*($E105/365))</f>
        <v>0</v>
      </c>
      <c r="V197" s="12"/>
      <c r="W197" s="7">
        <f t="shared" si="42"/>
        <v>58.487397260273973</v>
      </c>
    </row>
    <row r="198" spans="1:46">
      <c r="A198" s="1">
        <v>2006</v>
      </c>
      <c r="B198" s="8">
        <f>(K108*($E108/365))+(K107*($E107/365))</f>
        <v>92.968036529680376</v>
      </c>
      <c r="C198" s="8">
        <f>(L108*($E108/365))+(L107*($E107/365))</f>
        <v>5.5555555555555554</v>
      </c>
      <c r="D198" s="8">
        <f>(M108*($E108/365))+(M107*($E107/365))</f>
        <v>0</v>
      </c>
      <c r="E198" s="48">
        <f t="shared" si="40"/>
        <v>98.523592085235933</v>
      </c>
      <c r="G198" s="1">
        <v>2006</v>
      </c>
      <c r="H198" s="918">
        <f>(O107/$R107*100*($E107/365))+(O108/$R108*100*($E108/365))</f>
        <v>90.469208211143695</v>
      </c>
      <c r="I198" s="918"/>
      <c r="J198" s="918">
        <f>(P107/$R107*100*($E107/365))+(P108/$R108*100*($E108/365))</f>
        <v>9.5307917888563054</v>
      </c>
      <c r="K198" s="918"/>
      <c r="L198" s="918">
        <f>(Q107/$R107*100*($E107/365))+(Q108/$R108*100*($E108/365))</f>
        <v>0</v>
      </c>
      <c r="M198" s="918"/>
      <c r="N198" s="887">
        <f t="shared" si="41"/>
        <v>100</v>
      </c>
      <c r="O198" s="887"/>
      <c r="R198" s="1">
        <v>2006</v>
      </c>
      <c r="S198" s="8">
        <f>(O108*($E108/365))+(O107*($E107/365))</f>
        <v>61.7</v>
      </c>
      <c r="T198" s="8">
        <f>(P108*($E108/365))+(P107*($E107/365))</f>
        <v>6.5</v>
      </c>
      <c r="U198" s="8">
        <f>(Q108*($E108/365))+(Q107*($E107/365))</f>
        <v>0</v>
      </c>
      <c r="V198" s="12"/>
      <c r="W198" s="7">
        <f t="shared" si="42"/>
        <v>68.2</v>
      </c>
    </row>
    <row r="199" spans="1:46">
      <c r="A199" s="1">
        <v>2007</v>
      </c>
      <c r="B199" s="8">
        <f>(K110*($E110/365))+(K109*($E109/365))+(K111*($E111/365))</f>
        <v>86.955859969558603</v>
      </c>
      <c r="C199" s="8">
        <f>(L110*($E110/365))+(L109*($E109/365))+(L111*($E111/365))</f>
        <v>5.5555555555555554</v>
      </c>
      <c r="D199" s="8">
        <f>(M110*($E110/365))+(M109*($E109/365))+(M111*($E111/365))</f>
        <v>0</v>
      </c>
      <c r="E199" s="48">
        <f t="shared" si="40"/>
        <v>92.51141552511416</v>
      </c>
      <c r="G199" s="1">
        <v>2007</v>
      </c>
      <c r="H199" s="918">
        <f>(O109/$R109*100*($E109/365))+(O110/$R110*100*($E110/365))+(O111/$R111*100*($E111/365))</f>
        <v>90.469208211143695</v>
      </c>
      <c r="I199" s="918"/>
      <c r="J199" s="918">
        <f>(P109/$R109*100*($E109/365))+(P110/$R110*100*($E110/365))+(P111/$R111*100*($E111/365))</f>
        <v>9.5307917888563054</v>
      </c>
      <c r="K199" s="918"/>
      <c r="L199" s="918">
        <f>(Q109/$R109*100*($E109/365))+(Q110/$R110*100*($E110/365))+(Q111/$R111*100*($E111/365))</f>
        <v>0</v>
      </c>
      <c r="M199" s="918"/>
      <c r="N199" s="887">
        <f t="shared" si="41"/>
        <v>100</v>
      </c>
      <c r="O199" s="887"/>
      <c r="R199" s="1">
        <v>2007</v>
      </c>
      <c r="S199" s="8">
        <f>(O110*($E110/365))+(O109*($E109/365))+(O111*($E111/365))</f>
        <v>61.7</v>
      </c>
      <c r="T199" s="8">
        <f>(P110*($E110/365))+(P109*($E109/365))+(P111*($E111/365))</f>
        <v>6.5</v>
      </c>
      <c r="U199" s="8">
        <f>(Q110*($E110/365))+(Q109*($E109/365))+(Q111*($E111/365))</f>
        <v>0</v>
      </c>
      <c r="V199" s="12"/>
      <c r="W199" s="7">
        <f t="shared" si="42"/>
        <v>68.2</v>
      </c>
    </row>
    <row r="200" spans="1:46">
      <c r="A200" s="1">
        <v>2008</v>
      </c>
      <c r="B200" s="8">
        <f>(K113*($E113/366))+(K112*($E112/366))+(K114*($E114/366))</f>
        <v>87.14329083181542</v>
      </c>
      <c r="C200" s="8">
        <f>(L113*($E113/366))+(L112*($E112/366))+(L114*($E114/366))</f>
        <v>5.5555555555555554</v>
      </c>
      <c r="D200" s="8">
        <f>(M113*($E113/366))+(M112*($E112/366))+(M114*($E114/366))</f>
        <v>0</v>
      </c>
      <c r="E200" s="48">
        <f t="shared" si="40"/>
        <v>92.698846387370978</v>
      </c>
      <c r="G200" s="1">
        <v>2008</v>
      </c>
      <c r="H200" s="918">
        <f>(O112/$R112*100*($E112/366))+(O113/$R113*100*($E113/366))+(O114/$R114*100*($E114/366))</f>
        <v>90.469208211143695</v>
      </c>
      <c r="I200" s="918"/>
      <c r="J200" s="918">
        <f>(P112/$R112*100*($E112/366))+(P113/$R113*100*($E113/366))+(P114/$R114*100*($E114/366))</f>
        <v>9.5307917888563054</v>
      </c>
      <c r="K200" s="918"/>
      <c r="L200" s="918">
        <f>(Q112/$R112*100*($E112/366))+(Q113/$R113*100*($E113/366))+(Q114/$R114*100*($E114/366))</f>
        <v>0</v>
      </c>
      <c r="M200" s="918"/>
      <c r="N200" s="887">
        <f t="shared" si="41"/>
        <v>100</v>
      </c>
      <c r="O200" s="887"/>
      <c r="R200" s="1">
        <v>2008</v>
      </c>
      <c r="S200" s="8">
        <f>(O113*($E113/366))+(O112*($E112/366))+(O114*($E114/366))</f>
        <v>61.7</v>
      </c>
      <c r="T200" s="8">
        <f>(P113*($E113/366))+(P112*($E112/366))+(P114*($E114/366))</f>
        <v>6.5</v>
      </c>
      <c r="U200" s="8">
        <f>(Q113*($E113/366))+(Q112*($E112/366))+(Q114*($E114/366))</f>
        <v>0</v>
      </c>
      <c r="V200" s="12"/>
      <c r="W200" s="7">
        <f t="shared" si="42"/>
        <v>68.2</v>
      </c>
    </row>
    <row r="201" spans="1:46">
      <c r="A201" s="1">
        <v>2009</v>
      </c>
      <c r="B201" s="8">
        <f>(K115*($E115/365))+(K116*($E116/365))</f>
        <v>68.386605783866059</v>
      </c>
      <c r="C201" s="8">
        <f>(L115*($E115/365))+(L116*($E116/365))</f>
        <v>29.984779299847794</v>
      </c>
      <c r="D201" s="8">
        <f>(M115*($E115/365))+(M116*($E116/365))</f>
        <v>1.6286149162861492</v>
      </c>
      <c r="E201" s="48">
        <f t="shared" si="40"/>
        <v>100</v>
      </c>
      <c r="G201" s="1">
        <v>2009</v>
      </c>
      <c r="H201" s="918">
        <f>(O115/$R115*100*($E115/365))+(O116/$R116*100*($E116/365))</f>
        <v>64.213392596330394</v>
      </c>
      <c r="I201" s="918"/>
      <c r="J201" s="918">
        <f>(P115/$R115*100*($E115/365))+(P116/$R116*100*($E116/365))</f>
        <v>35.123370559933171</v>
      </c>
      <c r="K201" s="918"/>
      <c r="L201" s="918">
        <f>(Q115/$R115*100*($E115/365))+(Q116/$R116*100*($E116/365))</f>
        <v>0.66323684373644087</v>
      </c>
      <c r="M201" s="918"/>
      <c r="N201" s="887">
        <f t="shared" si="41"/>
        <v>100.00000000000001</v>
      </c>
      <c r="O201" s="887"/>
      <c r="R201" s="1">
        <v>2009</v>
      </c>
      <c r="S201" s="8">
        <f>(O115*($E115/365))+(O116*($E116/365))</f>
        <v>43.788493150684936</v>
      </c>
      <c r="T201" s="8">
        <f>(P115*($E115/365))+(P116*($E116/365))</f>
        <v>23.414794520547947</v>
      </c>
      <c r="U201" s="8">
        <f>(Q115*($E115/365))+(Q116*($E116/365))</f>
        <v>0.4397260273972603</v>
      </c>
      <c r="V201" s="12"/>
      <c r="W201" s="7">
        <f t="shared" si="42"/>
        <v>67.643013698630142</v>
      </c>
    </row>
    <row r="202" spans="1:46">
      <c r="A202" s="1">
        <v>2010</v>
      </c>
      <c r="B202" s="8">
        <f>(K117*($E117/365))+(K118*($E118/365))+(K119*($E119/365))+(K120*($E120/365))</f>
        <v>5.5654042438893363</v>
      </c>
      <c r="C202" s="8">
        <f>(L117*($E117/365))+(L118*($E118/365))+(L119*($E119/365))+(L120*($E120/365))</f>
        <v>90.583758617602285</v>
      </c>
      <c r="D202" s="8">
        <f>(M117*($E117/365))+(M118*($E118/365))+(M119*($E119/365))+(M120*($E120/365))</f>
        <v>2.237442922374429</v>
      </c>
      <c r="E202" s="48">
        <f t="shared" si="40"/>
        <v>98.386605783866045</v>
      </c>
      <c r="G202" s="1">
        <v>2010</v>
      </c>
      <c r="H202" s="918">
        <f>(O117/$R117*100*($E117/365))+(O118/$R118*100*($E118/365))+(O119/$R119*100*($E119/365))+(O120/$R120*100*($E120/365))</f>
        <v>0.91748911249314147</v>
      </c>
      <c r="I202" s="918"/>
      <c r="J202" s="918">
        <f>(P117/$R117*100*($E117/365))+(P118/$R118*100*($E118/365))+(P119/$R119*100*($E119/365))+(P120/$R120*100*($E120/365))</f>
        <v>98.171335036766152</v>
      </c>
      <c r="K202" s="918"/>
      <c r="L202" s="918">
        <f>(Q117/$R117*100*($E117/365))+(Q118/$R118*100*($E118/365))+(Q119/$R119*100*($E119/365))+(Q120/$R120*100*($E120/365))</f>
        <v>0.91117585074071783</v>
      </c>
      <c r="M202" s="918"/>
      <c r="N202" s="887">
        <f t="shared" si="41"/>
        <v>100.00000000000001</v>
      </c>
      <c r="O202" s="887"/>
      <c r="R202" s="1">
        <v>2010</v>
      </c>
      <c r="S202" s="8">
        <f>(O117*($E117/365))+(O118*($E118/365))+(O119*($E119/365))+(O120*($E120/365))</f>
        <v>0.59999999999999987</v>
      </c>
      <c r="T202" s="8">
        <f>(P117*($E117/365))+(P118*($E118/365))+(P119*($E119/365))+(P120*($E120/365))</f>
        <v>64.2</v>
      </c>
      <c r="U202" s="8">
        <f>(Q117*($E117/365))+(Q118*($E118/365))+(Q119*($E119/365))+(Q120*($E120/365))</f>
        <v>0.60410958904109591</v>
      </c>
      <c r="V202" s="12"/>
      <c r="W202" s="7">
        <f t="shared" si="42"/>
        <v>65.404109589041099</v>
      </c>
    </row>
    <row r="203" spans="1:46">
      <c r="A203" s="1">
        <v>2011</v>
      </c>
      <c r="B203" s="8">
        <f>(K121*($E121/365))+(K122*($E122/365))+(K123*($E123/365))</f>
        <v>5.5555555555555554</v>
      </c>
      <c r="C203" s="8">
        <f>(L121*($E121/365))+(L122*($E122/365))+(L123*($E123/365))</f>
        <v>87.214611872146122</v>
      </c>
      <c r="D203" s="8">
        <f>(M121*($E121/365))+(M122*($E122/365))+(M123*($E123/365))</f>
        <v>0</v>
      </c>
      <c r="E203" s="48">
        <f t="shared" si="40"/>
        <v>92.770167427701679</v>
      </c>
      <c r="G203" s="1">
        <v>2011</v>
      </c>
      <c r="H203" s="918">
        <f>(O121/$R121*100*($E121/365))+(O122/$R122*100*($E122/365))+(O123/$R123*100*($E123/365))</f>
        <v>0.92592592592592582</v>
      </c>
      <c r="I203" s="918"/>
      <c r="J203" s="918">
        <f>(P121/$R121*100*($E121/365))+(P122/$R122*100*($E122/365))+(P123/$R123*100*($E123/365))</f>
        <v>99.074074074074076</v>
      </c>
      <c r="K203" s="918"/>
      <c r="L203" s="918">
        <f>(Q121/$R121*100*($E121/365))+(Q122/$R122*100*($E122/365))+(Q123/$R123*100*($E123/365))</f>
        <v>0</v>
      </c>
      <c r="M203" s="918"/>
      <c r="N203" s="887">
        <f t="shared" si="41"/>
        <v>100</v>
      </c>
      <c r="O203" s="887"/>
      <c r="R203" s="1">
        <v>2011</v>
      </c>
      <c r="S203" s="8">
        <f>(O121*($E121/365))+(O122*($E122/365))+(O123*($E123/365))</f>
        <v>0.6</v>
      </c>
      <c r="T203" s="8">
        <f>(P121*($E121/365))+(P122*($E122/365))+(P123*($E123/365))</f>
        <v>64.2</v>
      </c>
      <c r="U203" s="8">
        <f>(Q121*($E121/365))+(Q122*($E122/365))+(Q123*($E123/365))</f>
        <v>0</v>
      </c>
      <c r="V203" s="12"/>
      <c r="W203" s="7">
        <f t="shared" si="42"/>
        <v>64.8</v>
      </c>
    </row>
    <row r="204" spans="1:46">
      <c r="A204" s="1">
        <v>2012</v>
      </c>
      <c r="B204" s="8">
        <f>(K124*($E124/366))+(K125*($E125/366))+(K126*($E126/366))+(K127*($E127/366))+(K128*($E128/366))+(K129*($E129/366))</f>
        <v>6.4375419422874121</v>
      </c>
      <c r="C204" s="8">
        <f>(L124*($E124/366))+(L125*($E125/366))+(L126*($E126/366))+(L127*($E127/366))+(L128*($E128/366))+(L129*($E129/366))</f>
        <v>90.597737513181855</v>
      </c>
      <c r="D204" s="8">
        <f>(M124*($E124/366))+(M125*($E125/366))+(M126*($E126/366))+(M127*($E127/366))+(M128*($E128/366))+(M129*($E129/366))</f>
        <v>0</v>
      </c>
      <c r="E204" s="48">
        <f t="shared" si="40"/>
        <v>97.035279455469265</v>
      </c>
      <c r="G204" s="1">
        <v>2012</v>
      </c>
      <c r="H204" s="918">
        <f>(O124/$R124*100*($E124/366))+(O125/$R125*100*($E125/366))+(O126/$R126*100*($E126/366))+(O127/$R127*100*($E127/366))+(O128/$R128*100*($E128/366))+(O129/$R129*100*($E129/366))</f>
        <v>2.3929268017473442</v>
      </c>
      <c r="I204" s="918"/>
      <c r="J204" s="918">
        <f>(P124/$R124*100*($E124/366))+(P125/$R125*100*($E125/366))+(P126/$R126*100*($E126/366))+(P127/$R127*100*($E127/366))+(P128/$R128*100*($E128/366))+(P129/$R129*100*($E129/366))</f>
        <v>97.607073198252664</v>
      </c>
      <c r="K204" s="918"/>
      <c r="L204" s="918">
        <f>(Q124/$R124*100*($E124/366))+(Q125/$R125*100*($E125/366))+(Q126/$R126*100*($E126/366))+(Q127/$R127*100*($E127/366))+(Q128/$R128*100*($E128/366))+(Q129/$R129*100*($E129/366))</f>
        <v>0</v>
      </c>
      <c r="M204" s="918"/>
      <c r="N204" s="887">
        <f t="shared" si="41"/>
        <v>100.00000000000001</v>
      </c>
      <c r="O204" s="887"/>
      <c r="R204" s="1">
        <v>2012</v>
      </c>
      <c r="S204" s="8">
        <f>(O124*($E124/366))+(O125*($E125/366))+(O126*($E126/366))+(O127*($E127/366))+(O128*($E128/366))+(O129*($E129/366))</f>
        <v>1.5950819672131147</v>
      </c>
      <c r="T204" s="8">
        <f>(P124*($E124/366))+(P125*($E125/366))+(P126*($E126/366))+(P127*($E127/366))+(P128*($E128/366))+(P129*($E129/366))</f>
        <v>63.254098360655732</v>
      </c>
      <c r="U204" s="8">
        <f>(Q124*($E124/366))+(Q125*($E125/366))+(Q126*($E126/366))+(Q127*($E127/366))+(Q128*($E128/366))+(Q129*($E129/366))</f>
        <v>0</v>
      </c>
      <c r="V204" s="12"/>
      <c r="W204" s="7">
        <f t="shared" si="42"/>
        <v>64.849180327868851</v>
      </c>
    </row>
    <row r="205" spans="1:46">
      <c r="A205" s="1">
        <v>2013</v>
      </c>
      <c r="B205" s="8">
        <f>(K130*($E130/365))+(K131*($E131/365))</f>
        <v>94.73684210526315</v>
      </c>
      <c r="C205" s="8">
        <f>(L130*($E130/365))+(L131*($E131/365))</f>
        <v>5.2631578947368416</v>
      </c>
      <c r="D205" s="8">
        <f>(M130*($E130/365))+(M131*($E131/365))</f>
        <v>0</v>
      </c>
      <c r="E205" s="270">
        <f t="shared" si="40"/>
        <v>99.999999999999986</v>
      </c>
      <c r="G205" s="1">
        <v>2013</v>
      </c>
      <c r="H205" s="918">
        <f>(O130/$R130*100*($E130/365))+(O131/$R131*100*($E131/365))</f>
        <v>90.412979351032448</v>
      </c>
      <c r="I205" s="918"/>
      <c r="J205" s="918">
        <f>(P130/$R130*100*($E130/365))+(P131/$R131*100*($E131/365))</f>
        <v>9.5870206489675525</v>
      </c>
      <c r="K205" s="918"/>
      <c r="L205" s="918">
        <f>(Q130/$R130*100*($E130/365))+(Q131/$R131*100*($E131/365))</f>
        <v>0</v>
      </c>
      <c r="M205" s="918"/>
      <c r="N205" s="887">
        <f>H205+J205+L205</f>
        <v>100</v>
      </c>
      <c r="O205" s="887"/>
      <c r="R205" s="1">
        <v>2013</v>
      </c>
      <c r="S205" s="8">
        <f>(O130*($E130/365))+(O131*($E131/365))</f>
        <v>61.3</v>
      </c>
      <c r="T205" s="8">
        <f>(P130*($E130/365))+(P131*($E131/365))</f>
        <v>6.5</v>
      </c>
      <c r="U205" s="8">
        <f>(Q130*($E130/365))+(Q131*($E131/365))</f>
        <v>0</v>
      </c>
      <c r="V205" s="12"/>
      <c r="W205" s="7">
        <f t="shared" si="42"/>
        <v>67.8</v>
      </c>
    </row>
    <row r="206" spans="1:46">
      <c r="A206" s="1">
        <v>2014</v>
      </c>
      <c r="B206" s="8">
        <f>(K132*($E132/365))+(K133*($E133/365))</f>
        <v>94.73684210526315</v>
      </c>
      <c r="C206" s="8">
        <f>(L132*($E132/365))+(L133*($E133/365))</f>
        <v>5.2631578947368416</v>
      </c>
      <c r="D206" s="8">
        <f>(M132*($E132/365))+(M133*($E133/365))</f>
        <v>0</v>
      </c>
      <c r="E206" s="464">
        <f>B206+C206+D206</f>
        <v>99.999999999999986</v>
      </c>
      <c r="G206" s="1">
        <v>2014</v>
      </c>
      <c r="H206" s="918">
        <f>(O132/$R132*100*($E132/365))+(O133/$R133*100*($E133/365))</f>
        <v>90.386329508642049</v>
      </c>
      <c r="I206" s="918"/>
      <c r="J206" s="918">
        <f>(P132/$R132*100*($E132/365))+(P133/$R133*100*($E133/365))</f>
        <v>9.6136704913579454</v>
      </c>
      <c r="K206" s="918"/>
      <c r="L206" s="918">
        <f>(Q132/$R132*100*($E132/365))+(Q133/$R133*100*($E133/365))</f>
        <v>0</v>
      </c>
      <c r="M206" s="918"/>
      <c r="N206" s="887">
        <f>H206+J206+L206</f>
        <v>100</v>
      </c>
      <c r="O206" s="887"/>
      <c r="R206" s="1">
        <v>2014</v>
      </c>
      <c r="S206" s="8">
        <f>(O132*($E132/365))+(O133*($E133/365))</f>
        <v>61.295616438356156</v>
      </c>
      <c r="T206" s="8">
        <f>(P132*($E132/365))+(P133*($E133/365))</f>
        <v>6.5197260273972608</v>
      </c>
      <c r="U206" s="8">
        <f>(Q132*($E132/365))+(Q133*($E133/365))</f>
        <v>0</v>
      </c>
      <c r="V206" s="12"/>
      <c r="W206" s="7">
        <f>S206+T206+U206</f>
        <v>67.815342465753417</v>
      </c>
    </row>
    <row r="207" spans="1:46" s="611" customFormat="1">
      <c r="A207" s="611">
        <v>2015</v>
      </c>
      <c r="B207" s="605">
        <f>(K134*($E134/365))+(K135*($E135/365))</f>
        <v>94.798846431146359</v>
      </c>
      <c r="C207" s="605">
        <f>(L134*($E134/365))+(L135*($E135/365))</f>
        <v>5.2011535688536403</v>
      </c>
      <c r="D207" s="605">
        <f>(M134*($E134/365))+(M135*($E135/365))</f>
        <v>0</v>
      </c>
      <c r="E207" s="606">
        <f>B207+C207+D207</f>
        <v>100</v>
      </c>
      <c r="G207" s="611">
        <v>2015</v>
      </c>
      <c r="H207" s="918">
        <f>(O134/$R134*100*($E134/365))+(O135/$R135*100*($E135/365))</f>
        <v>89.197080291970806</v>
      </c>
      <c r="I207" s="918"/>
      <c r="J207" s="918">
        <f>(P134/$R134*100*($E134/365))+(P135/$R135*100*($E135/365))</f>
        <v>10.802919708029197</v>
      </c>
      <c r="K207" s="918"/>
      <c r="L207" s="918">
        <f>(Q134/$R134*100*($E134/365))+(Q135/$R135*100*($E135/365))</f>
        <v>0</v>
      </c>
      <c r="M207" s="918"/>
      <c r="N207" s="887">
        <f>H207+J207+L207</f>
        <v>100</v>
      </c>
      <c r="O207" s="887"/>
      <c r="R207" s="611">
        <v>2015</v>
      </c>
      <c r="S207" s="605">
        <f>(O134*($E134/365))+(O135*($E135/365))</f>
        <v>61.099999999999994</v>
      </c>
      <c r="T207" s="605">
        <f>(P134*($E134/365))+(P135*($E135/365))</f>
        <v>7.4</v>
      </c>
      <c r="U207" s="605">
        <f>(Q134*($E134/365))+(Q135*($E135/365))</f>
        <v>0</v>
      </c>
      <c r="V207" s="12"/>
      <c r="W207" s="610">
        <f>S207+T207+U207</f>
        <v>68.5</v>
      </c>
      <c r="AT207" s="37"/>
    </row>
    <row r="208" spans="1:46" s="682" customFormat="1">
      <c r="A208" s="682">
        <v>2016</v>
      </c>
      <c r="B208" s="679">
        <f>(K136*($E136/366))+(K137*($E137/366))</f>
        <v>95</v>
      </c>
      <c r="C208" s="679">
        <f>(L136*($E136/366))+(L137*($E137/366))</f>
        <v>5</v>
      </c>
      <c r="D208" s="679">
        <f>(M136*($E136/366))+(M137*($E137/366))</f>
        <v>0</v>
      </c>
      <c r="E208" s="680">
        <f>B208+C208+D208</f>
        <v>100</v>
      </c>
      <c r="G208" s="682">
        <v>2016</v>
      </c>
      <c r="H208" s="918">
        <f>(O136/$R136*100*($E136/366))+(O137/$R137*100*($E137/366))</f>
        <v>89.197080291970806</v>
      </c>
      <c r="I208" s="918"/>
      <c r="J208" s="918">
        <f>(P136/$R136*100*($E136/366))+(P137/$R137*100*($E137/366))</f>
        <v>10.802919708029197</v>
      </c>
      <c r="K208" s="918"/>
      <c r="L208" s="918">
        <f>(Q136/$R136*100*($E136/366))+(Q137/$R137*100*($E137/366))</f>
        <v>0</v>
      </c>
      <c r="M208" s="918"/>
      <c r="N208" s="887">
        <f>H208+J208+L208</f>
        <v>100</v>
      </c>
      <c r="O208" s="887"/>
      <c r="R208" s="682">
        <v>2016</v>
      </c>
      <c r="S208" s="679">
        <f>(O136*($E136/366))+(O137*($E137/366))</f>
        <v>61.1</v>
      </c>
      <c r="T208" s="679">
        <f>(P136*($E136/366))+(P137*($E137/366))</f>
        <v>7.4</v>
      </c>
      <c r="U208" s="679">
        <f>(Q136*($E136/366))+(Q137*($E137/366))</f>
        <v>0</v>
      </c>
      <c r="V208" s="12"/>
      <c r="W208" s="681">
        <f>S208+T208+U208</f>
        <v>68.5</v>
      </c>
      <c r="AT208" s="37"/>
    </row>
    <row r="209" spans="1:23">
      <c r="A209" s="749">
        <v>2017</v>
      </c>
      <c r="B209" s="744">
        <f>(K138*($E138/365))+(K139*($E139/365))</f>
        <v>95</v>
      </c>
      <c r="C209" s="744">
        <f t="shared" ref="C209:D209" si="43">(L138*($E138/365))+(L139*($E139/365))</f>
        <v>5</v>
      </c>
      <c r="D209" s="744">
        <f t="shared" si="43"/>
        <v>0</v>
      </c>
      <c r="E209" s="745">
        <f>B209+C209+D209</f>
        <v>100</v>
      </c>
      <c r="F209" s="749"/>
      <c r="G209" s="749">
        <v>2017</v>
      </c>
      <c r="H209" s="918">
        <f>(O138/$R138*100*($E138/365))+(O139/$R139*100*($E139/365))</f>
        <v>89.458290534582915</v>
      </c>
      <c r="I209" s="918"/>
      <c r="J209" s="918">
        <f>(P138/$R138*100*($E138/365))+(P139/$R139*100*($E139/365))</f>
        <v>10.541709465417096</v>
      </c>
      <c r="K209" s="918"/>
      <c r="L209" s="918">
        <f>(Q138/$R138*100*($E138/365))+(Q139/$R139*100*($E139/365))</f>
        <v>0</v>
      </c>
      <c r="M209" s="918"/>
      <c r="N209" s="887">
        <f>H209+J209+L209</f>
        <v>100.00000000000001</v>
      </c>
      <c r="O209" s="887"/>
      <c r="P209" s="749"/>
      <c r="Q209" s="749"/>
      <c r="R209" s="749">
        <v>2017</v>
      </c>
      <c r="S209" s="744">
        <f>(O138*($E138/365))+(O139*($E139/365))</f>
        <v>61.066575342465754</v>
      </c>
      <c r="T209" s="744">
        <f t="shared" ref="T209:U209" si="44">(P138*($E138/365))+(P139*($E139/365))</f>
        <v>7.1994520547945209</v>
      </c>
      <c r="U209" s="744">
        <f t="shared" si="44"/>
        <v>0</v>
      </c>
      <c r="V209" s="12"/>
      <c r="W209" s="746">
        <f>S209+T209+U209</f>
        <v>68.266027397260274</v>
      </c>
    </row>
    <row r="210" spans="1:23">
      <c r="A210" s="775">
        <v>2018</v>
      </c>
      <c r="B210" s="772">
        <f>(K140*($E140/365))+(K141*($E141/365))</f>
        <v>95</v>
      </c>
      <c r="C210" s="772">
        <f>(L140*($E140/365))+(L141*($E141/365))</f>
        <v>5</v>
      </c>
      <c r="D210" s="772">
        <f>(M140*($E140/365))+(M141*($E141/365))</f>
        <v>0</v>
      </c>
      <c r="E210" s="773">
        <f t="shared" ref="E210" si="45">B210+C210+D210</f>
        <v>100</v>
      </c>
      <c r="F210" s="775"/>
      <c r="G210" s="775">
        <v>2018</v>
      </c>
      <c r="H210" s="918">
        <f>(O140/$R140*100*($E140/365))+(O141/$R141*100*($E141/365))</f>
        <v>90.760059612518646</v>
      </c>
      <c r="I210" s="918"/>
      <c r="J210" s="918">
        <f>(P140/$R140*100*($E140/365))+(P141/$R141*100*($E141/365))</f>
        <v>9.2399403874813721</v>
      </c>
      <c r="K210" s="918"/>
      <c r="L210" s="918">
        <f>(Q140/$R140*100*($E140/365))+(Q141/$R141*100*($E141/365))</f>
        <v>0</v>
      </c>
      <c r="M210" s="918"/>
      <c r="N210" s="887">
        <f t="shared" ref="N210" si="46">H210+J210+L210</f>
        <v>100.00000000000001</v>
      </c>
      <c r="O210" s="887"/>
      <c r="P210" s="775"/>
      <c r="Q210" s="775"/>
      <c r="R210" s="775">
        <v>2018</v>
      </c>
      <c r="S210" s="772">
        <f>(O140*($E140/365))+(O141*($E141/365))</f>
        <v>60.9</v>
      </c>
      <c r="T210" s="772">
        <f>(P140*($E140/365))+(P141*($E141/365))</f>
        <v>6.2</v>
      </c>
      <c r="U210" s="772">
        <f>(Q140*($E140/365))+(Q141*($E141/365))</f>
        <v>0</v>
      </c>
      <c r="V210" s="12"/>
      <c r="W210" s="774">
        <f t="shared" ref="W210" si="47">S210+T210+U210</f>
        <v>67.099999999999994</v>
      </c>
    </row>
    <row r="211" spans="1:23">
      <c r="A211" s="802">
        <v>2019</v>
      </c>
      <c r="B211" s="798">
        <f>(K142*($E142/365))+(K143*($E143/365))</f>
        <v>95</v>
      </c>
      <c r="C211" s="798">
        <f>(L142*($E142/365))+(L143*($E143/365))</f>
        <v>5</v>
      </c>
      <c r="D211" s="798">
        <f>(M142*($E142/365))+(M143*($E143/365))</f>
        <v>0</v>
      </c>
      <c r="E211" s="797">
        <f t="shared" ref="E211" si="48">B211+C211+D211</f>
        <v>100</v>
      </c>
      <c r="F211" s="802"/>
      <c r="G211" s="802">
        <v>2019</v>
      </c>
      <c r="H211" s="918">
        <f>(O142/$R142*100*($E142/365))+(O143/$R143*100*($E143/365))</f>
        <v>90.760059612518646</v>
      </c>
      <c r="I211" s="918"/>
      <c r="J211" s="918">
        <f>(P142/$R142*100*($E142/365))+(P143/$R143*100*($E143/365))</f>
        <v>9.2399403874813721</v>
      </c>
      <c r="K211" s="918"/>
      <c r="L211" s="918">
        <f>(Q142/$R142*100*($E142/365))+(Q143/$R143*100*($E143/365))</f>
        <v>0</v>
      </c>
      <c r="M211" s="918"/>
      <c r="N211" s="887">
        <f t="shared" ref="N211" si="49">H211+J211+L211</f>
        <v>100.00000000000001</v>
      </c>
      <c r="O211" s="887"/>
      <c r="P211" s="802"/>
      <c r="Q211" s="802"/>
      <c r="R211" s="802">
        <v>2019</v>
      </c>
      <c r="S211" s="798">
        <f>(O142*($E142/365))+(O143*($E143/365))</f>
        <v>60.9</v>
      </c>
      <c r="T211" s="798">
        <f>(P142*($E142/365))+(P143*($E143/365))</f>
        <v>6.2</v>
      </c>
      <c r="U211" s="798">
        <f>(Q142*($E142/365))+(Q143*($E143/365))</f>
        <v>0</v>
      </c>
      <c r="V211" s="12"/>
      <c r="W211" s="801">
        <f t="shared" ref="W211" si="50">S211+T211+U211</f>
        <v>67.099999999999994</v>
      </c>
    </row>
    <row r="212" spans="1:23">
      <c r="A212" s="802"/>
      <c r="F212" s="802"/>
      <c r="G212" s="802"/>
      <c r="P212" s="802"/>
      <c r="Q212" s="802"/>
      <c r="R212" s="802"/>
    </row>
  </sheetData>
  <mergeCells count="409">
    <mergeCell ref="H211:I211"/>
    <mergeCell ref="J211:K211"/>
    <mergeCell ref="L211:M211"/>
    <mergeCell ref="N211:O211"/>
    <mergeCell ref="C139:D139"/>
    <mergeCell ref="C144:D144"/>
    <mergeCell ref="C140:D140"/>
    <mergeCell ref="C141:D141"/>
    <mergeCell ref="H209:I209"/>
    <mergeCell ref="J209:K209"/>
    <mergeCell ref="L209:M209"/>
    <mergeCell ref="N209:O209"/>
    <mergeCell ref="H207:I207"/>
    <mergeCell ref="J207:K207"/>
    <mergeCell ref="L207:M207"/>
    <mergeCell ref="N207:O207"/>
    <mergeCell ref="H205:I205"/>
    <mergeCell ref="J205:K205"/>
    <mergeCell ref="L205:M205"/>
    <mergeCell ref="N205:O205"/>
    <mergeCell ref="L151:M151"/>
    <mergeCell ref="N151:O151"/>
    <mergeCell ref="L153:M153"/>
    <mergeCell ref="N153:O153"/>
    <mergeCell ref="C123:D123"/>
    <mergeCell ref="C126:D126"/>
    <mergeCell ref="C133:D133"/>
    <mergeCell ref="C132:D132"/>
    <mergeCell ref="C134:D134"/>
    <mergeCell ref="C135:D135"/>
    <mergeCell ref="C136:D136"/>
    <mergeCell ref="C137:D137"/>
    <mergeCell ref="C138:D138"/>
    <mergeCell ref="C131:D131"/>
    <mergeCell ref="C142:D142"/>
    <mergeCell ref="C143:D143"/>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C118:D118"/>
    <mergeCell ref="C119:D119"/>
    <mergeCell ref="C120:D120"/>
    <mergeCell ref="C121:D121"/>
    <mergeCell ref="C122:D122"/>
    <mergeCell ref="C94:D94"/>
    <mergeCell ref="C91:D91"/>
    <mergeCell ref="C92:D92"/>
    <mergeCell ref="C96:D96"/>
    <mergeCell ref="C97:D97"/>
    <mergeCell ref="C100:D100"/>
    <mergeCell ref="C101:D101"/>
    <mergeCell ref="C98:D98"/>
    <mergeCell ref="C99:D99"/>
    <mergeCell ref="C83:D83"/>
    <mergeCell ref="C84:D84"/>
    <mergeCell ref="C87:D87"/>
    <mergeCell ref="C88:D88"/>
    <mergeCell ref="C85:D85"/>
    <mergeCell ref="C86:D86"/>
    <mergeCell ref="C89:D89"/>
    <mergeCell ref="C90:D90"/>
    <mergeCell ref="C93:D93"/>
    <mergeCell ref="C76:D76"/>
    <mergeCell ref="C73:D73"/>
    <mergeCell ref="C74:D74"/>
    <mergeCell ref="C77:D77"/>
    <mergeCell ref="C78:D78"/>
    <mergeCell ref="C81:D81"/>
    <mergeCell ref="C82:D82"/>
    <mergeCell ref="C79:D79"/>
    <mergeCell ref="C80:D80"/>
    <mergeCell ref="C65:D65"/>
    <mergeCell ref="C66:D66"/>
    <mergeCell ref="C69:D69"/>
    <mergeCell ref="C70:D70"/>
    <mergeCell ref="C67:D67"/>
    <mergeCell ref="C68:D68"/>
    <mergeCell ref="C71:D71"/>
    <mergeCell ref="C72:D72"/>
    <mergeCell ref="C75:D75"/>
    <mergeCell ref="C58:D58"/>
    <mergeCell ref="C55:D55"/>
    <mergeCell ref="C56:D56"/>
    <mergeCell ref="C59:D59"/>
    <mergeCell ref="C60:D60"/>
    <mergeCell ref="C63:D63"/>
    <mergeCell ref="C64:D64"/>
    <mergeCell ref="C61:D61"/>
    <mergeCell ref="C62:D62"/>
    <mergeCell ref="C47:D47"/>
    <mergeCell ref="C48:D48"/>
    <mergeCell ref="C51:D51"/>
    <mergeCell ref="C52:D52"/>
    <mergeCell ref="C49:D49"/>
    <mergeCell ref="C50:D50"/>
    <mergeCell ref="C53:D53"/>
    <mergeCell ref="C54:D54"/>
    <mergeCell ref="C57:D57"/>
    <mergeCell ref="C40:D40"/>
    <mergeCell ref="C37:D37"/>
    <mergeCell ref="C38:D38"/>
    <mergeCell ref="C41:D41"/>
    <mergeCell ref="C42:D42"/>
    <mergeCell ref="C45:D45"/>
    <mergeCell ref="C46:D46"/>
    <mergeCell ref="C43:D43"/>
    <mergeCell ref="C44:D44"/>
    <mergeCell ref="C29:D29"/>
    <mergeCell ref="C30:D30"/>
    <mergeCell ref="C33:D33"/>
    <mergeCell ref="C34:D34"/>
    <mergeCell ref="C31:D31"/>
    <mergeCell ref="C32:D32"/>
    <mergeCell ref="C35:D35"/>
    <mergeCell ref="C36:D36"/>
    <mergeCell ref="C39:D39"/>
    <mergeCell ref="AP4:AS4"/>
    <mergeCell ref="C8:D8"/>
    <mergeCell ref="K4:N4"/>
    <mergeCell ref="O4:R4"/>
    <mergeCell ref="S4:S5"/>
    <mergeCell ref="T4:T5"/>
    <mergeCell ref="C11:D11"/>
    <mergeCell ref="C12:D12"/>
    <mergeCell ref="C13:D13"/>
    <mergeCell ref="C7:D7"/>
    <mergeCell ref="C6:D6"/>
    <mergeCell ref="C9:D9"/>
    <mergeCell ref="C10:D10"/>
    <mergeCell ref="AH4:AK4"/>
    <mergeCell ref="AL4:AO4"/>
    <mergeCell ref="U4:U5"/>
    <mergeCell ref="V4:Y4"/>
    <mergeCell ref="A4:A5"/>
    <mergeCell ref="B4:B5"/>
    <mergeCell ref="C4:D5"/>
    <mergeCell ref="E4:E5"/>
    <mergeCell ref="F4:F5"/>
    <mergeCell ref="G4:J4"/>
    <mergeCell ref="C19:D19"/>
    <mergeCell ref="H155:I155"/>
    <mergeCell ref="J155:K155"/>
    <mergeCell ref="C95:D95"/>
    <mergeCell ref="C20:D20"/>
    <mergeCell ref="C14:D14"/>
    <mergeCell ref="C15:D15"/>
    <mergeCell ref="C16:D16"/>
    <mergeCell ref="C17:D17"/>
    <mergeCell ref="C18:D18"/>
    <mergeCell ref="C21:D21"/>
    <mergeCell ref="C22:D22"/>
    <mergeCell ref="C23:D23"/>
    <mergeCell ref="C24:D24"/>
    <mergeCell ref="C27:D27"/>
    <mergeCell ref="C28:D28"/>
    <mergeCell ref="C25:D25"/>
    <mergeCell ref="C26:D26"/>
    <mergeCell ref="L155:M155"/>
    <mergeCell ref="N155:O155"/>
    <mergeCell ref="H156:I156"/>
    <mergeCell ref="J156:K156"/>
    <mergeCell ref="L156:M156"/>
    <mergeCell ref="N156:O156"/>
    <mergeCell ref="G3:M3"/>
    <mergeCell ref="O3:Q3"/>
    <mergeCell ref="N154:O154"/>
    <mergeCell ref="L150:M150"/>
    <mergeCell ref="N150:O150"/>
    <mergeCell ref="H152:I152"/>
    <mergeCell ref="J152:K152"/>
    <mergeCell ref="L152:M152"/>
    <mergeCell ref="N152:O152"/>
    <mergeCell ref="H151:I151"/>
    <mergeCell ref="J151:K151"/>
    <mergeCell ref="H154:I154"/>
    <mergeCell ref="J154:K154"/>
    <mergeCell ref="L154:M154"/>
    <mergeCell ref="H150:I150"/>
    <mergeCell ref="J150:K150"/>
    <mergeCell ref="H153:I153"/>
    <mergeCell ref="J153:K153"/>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H171:I171"/>
    <mergeCell ref="J171:K171"/>
    <mergeCell ref="L171:M171"/>
    <mergeCell ref="N171:O171"/>
    <mergeCell ref="H172:I172"/>
    <mergeCell ref="J172:K172"/>
    <mergeCell ref="L172:M172"/>
    <mergeCell ref="N172:O172"/>
    <mergeCell ref="H169:I169"/>
    <mergeCell ref="J169:K169"/>
    <mergeCell ref="L169:M169"/>
    <mergeCell ref="N169:O169"/>
    <mergeCell ref="H170:I170"/>
    <mergeCell ref="J170:K170"/>
    <mergeCell ref="L170:M170"/>
    <mergeCell ref="N170:O170"/>
    <mergeCell ref="H176:I176"/>
    <mergeCell ref="J176:K176"/>
    <mergeCell ref="L176:M176"/>
    <mergeCell ref="N176:O176"/>
    <mergeCell ref="J178:K178"/>
    <mergeCell ref="L178:M178"/>
    <mergeCell ref="H177:I177"/>
    <mergeCell ref="J177:K177"/>
    <mergeCell ref="L177:M177"/>
    <mergeCell ref="N177:O177"/>
    <mergeCell ref="H178:I178"/>
    <mergeCell ref="H173:I173"/>
    <mergeCell ref="J173:K173"/>
    <mergeCell ref="L173:M173"/>
    <mergeCell ref="N173:O173"/>
    <mergeCell ref="H174:I174"/>
    <mergeCell ref="J174:K174"/>
    <mergeCell ref="L174:M174"/>
    <mergeCell ref="N174:O174"/>
    <mergeCell ref="H175:I175"/>
    <mergeCell ref="J175:K175"/>
    <mergeCell ref="L175:M175"/>
    <mergeCell ref="N175:O175"/>
    <mergeCell ref="H202:I202"/>
    <mergeCell ref="H196:I196"/>
    <mergeCell ref="H197:I197"/>
    <mergeCell ref="H190:I190"/>
    <mergeCell ref="H185:I185"/>
    <mergeCell ref="J201:K201"/>
    <mergeCell ref="J202:K202"/>
    <mergeCell ref="J198:K198"/>
    <mergeCell ref="J199:K199"/>
    <mergeCell ref="J200:K200"/>
    <mergeCell ref="J197:K197"/>
    <mergeCell ref="J195:K195"/>
    <mergeCell ref="J196:K196"/>
    <mergeCell ref="H200:I200"/>
    <mergeCell ref="J191:K191"/>
    <mergeCell ref="H179:I179"/>
    <mergeCell ref="N178:O178"/>
    <mergeCell ref="N179:O179"/>
    <mergeCell ref="J179:K179"/>
    <mergeCell ref="L179:M179"/>
    <mergeCell ref="J187:K187"/>
    <mergeCell ref="J183:K183"/>
    <mergeCell ref="J184:K184"/>
    <mergeCell ref="H191:I191"/>
    <mergeCell ref="H180:I180"/>
    <mergeCell ref="H181:I181"/>
    <mergeCell ref="H182:I182"/>
    <mergeCell ref="H183:I183"/>
    <mergeCell ref="H184:I184"/>
    <mergeCell ref="H204:I204"/>
    <mergeCell ref="J204:K204"/>
    <mergeCell ref="J180:K180"/>
    <mergeCell ref="J181:K181"/>
    <mergeCell ref="J182:K182"/>
    <mergeCell ref="J188:K188"/>
    <mergeCell ref="H198:I198"/>
    <mergeCell ref="H199:I199"/>
    <mergeCell ref="H192:I192"/>
    <mergeCell ref="H193:I193"/>
    <mergeCell ref="H194:I194"/>
    <mergeCell ref="H195:I195"/>
    <mergeCell ref="H186:I186"/>
    <mergeCell ref="H187:I187"/>
    <mergeCell ref="H188:I188"/>
    <mergeCell ref="H189:I189"/>
    <mergeCell ref="J189:K189"/>
    <mergeCell ref="J190:K190"/>
    <mergeCell ref="J192:K192"/>
    <mergeCell ref="J193:K193"/>
    <mergeCell ref="J194:K194"/>
    <mergeCell ref="J185:K185"/>
    <mergeCell ref="J186:K186"/>
    <mergeCell ref="H201:I201"/>
    <mergeCell ref="L204:M204"/>
    <mergeCell ref="N204:O204"/>
    <mergeCell ref="C127:D127"/>
    <mergeCell ref="C128:D128"/>
    <mergeCell ref="C129:D129"/>
    <mergeCell ref="R148:W148"/>
    <mergeCell ref="H203:I203"/>
    <mergeCell ref="J203:K203"/>
    <mergeCell ref="L203:M203"/>
    <mergeCell ref="N203:O203"/>
    <mergeCell ref="N201:O201"/>
    <mergeCell ref="N202:O202"/>
    <mergeCell ref="N195:O195"/>
    <mergeCell ref="N196:O196"/>
    <mergeCell ref="N197:O197"/>
    <mergeCell ref="N194:O194"/>
    <mergeCell ref="N183:O183"/>
    <mergeCell ref="N184:O184"/>
    <mergeCell ref="N185:O185"/>
    <mergeCell ref="N190:O190"/>
    <mergeCell ref="L202:M202"/>
    <mergeCell ref="L196:M196"/>
    <mergeCell ref="L197:M197"/>
    <mergeCell ref="N188:O188"/>
    <mergeCell ref="L198:M198"/>
    <mergeCell ref="AT4:AW4"/>
    <mergeCell ref="AX4:BA4"/>
    <mergeCell ref="N192:O192"/>
    <mergeCell ref="N193:O193"/>
    <mergeCell ref="L186:M186"/>
    <mergeCell ref="L187:M187"/>
    <mergeCell ref="L188:M188"/>
    <mergeCell ref="L189:M189"/>
    <mergeCell ref="L190:M190"/>
    <mergeCell ref="L191:M191"/>
    <mergeCell ref="L180:M180"/>
    <mergeCell ref="L181:M181"/>
    <mergeCell ref="L182:M182"/>
    <mergeCell ref="L183:M183"/>
    <mergeCell ref="L184:M184"/>
    <mergeCell ref="L185:M185"/>
    <mergeCell ref="Z4:AC4"/>
    <mergeCell ref="L192:M192"/>
    <mergeCell ref="AD4:AG4"/>
    <mergeCell ref="N191:O191"/>
    <mergeCell ref="L193:M193"/>
    <mergeCell ref="L194:M194"/>
    <mergeCell ref="L195:M195"/>
    <mergeCell ref="H210:I210"/>
    <mergeCell ref="J210:K210"/>
    <mergeCell ref="L210:M210"/>
    <mergeCell ref="N210:O210"/>
    <mergeCell ref="H208:I208"/>
    <mergeCell ref="J208:K208"/>
    <mergeCell ref="L208:M208"/>
    <mergeCell ref="N208:O208"/>
    <mergeCell ref="N180:O180"/>
    <mergeCell ref="N181:O181"/>
    <mergeCell ref="N182:O182"/>
    <mergeCell ref="H206:I206"/>
    <mergeCell ref="J206:K206"/>
    <mergeCell ref="L206:M206"/>
    <mergeCell ref="N206:O206"/>
    <mergeCell ref="N198:O198"/>
    <mergeCell ref="N199:O199"/>
    <mergeCell ref="N200:O200"/>
    <mergeCell ref="N189:O189"/>
    <mergeCell ref="N186:O186"/>
    <mergeCell ref="N187:O187"/>
    <mergeCell ref="L199:M199"/>
    <mergeCell ref="L200:M200"/>
    <mergeCell ref="L201:M20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A105"/>
  <sheetViews>
    <sheetView zoomScale="125" zoomScaleNormal="120" workbookViewId="0">
      <pane xSplit="1" ySplit="5" topLeftCell="B6" activePane="bottomRight" state="frozen"/>
      <selection pane="topRight" activeCell="B1" sqref="B1"/>
      <selection pane="bottomLeft" activeCell="A6" sqref="A6"/>
      <selection pane="bottomRight" activeCell="T67" sqref="T6:U6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142</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73" customFormat="1">
      <c r="A6" s="73">
        <v>1993</v>
      </c>
      <c r="B6" s="852"/>
      <c r="C6" s="935" t="s">
        <v>1268</v>
      </c>
      <c r="D6" s="935"/>
      <c r="E6" s="73">
        <v>214</v>
      </c>
      <c r="G6" s="411"/>
      <c r="H6" s="468"/>
      <c r="I6" s="468"/>
      <c r="J6" s="413"/>
      <c r="K6" s="409"/>
      <c r="L6" s="409"/>
      <c r="M6" s="409"/>
      <c r="N6" s="412"/>
      <c r="O6" s="408"/>
      <c r="P6" s="409"/>
      <c r="Q6" s="409"/>
      <c r="R6" s="410"/>
      <c r="S6" s="468"/>
      <c r="T6" s="839"/>
      <c r="U6" s="852"/>
      <c r="V6" s="82"/>
      <c r="Y6" s="83"/>
      <c r="AD6" s="82"/>
      <c r="AG6" s="83"/>
      <c r="AL6" s="82"/>
      <c r="AO6" s="83"/>
      <c r="AP6" s="82"/>
      <c r="AS6" s="83"/>
      <c r="AW6" s="83"/>
      <c r="BA6" s="84"/>
    </row>
    <row r="7" spans="1:53" s="292" customFormat="1">
      <c r="A7" s="292">
        <v>1993</v>
      </c>
      <c r="B7" s="836">
        <v>34184</v>
      </c>
      <c r="C7" s="916" t="s">
        <v>1026</v>
      </c>
      <c r="D7" s="916"/>
      <c r="E7" s="292">
        <v>151</v>
      </c>
      <c r="F7" s="292" t="s">
        <v>338</v>
      </c>
      <c r="G7" s="425">
        <v>12</v>
      </c>
      <c r="H7" s="469"/>
      <c r="I7" s="469">
        <v>3</v>
      </c>
      <c r="J7" s="427">
        <v>15</v>
      </c>
      <c r="K7" s="423">
        <f t="shared" ref="K7:K47" si="0">G7/J7*100</f>
        <v>80</v>
      </c>
      <c r="L7" s="423">
        <f t="shared" ref="L7:L47" si="1">H7/J7*100</f>
        <v>0</v>
      </c>
      <c r="M7" s="423">
        <f t="shared" ref="M7:M47" si="2">I7/J7*100</f>
        <v>20</v>
      </c>
      <c r="N7" s="426">
        <f t="shared" ref="N7:N51" si="3">SUM(K7:M7)</f>
        <v>100</v>
      </c>
      <c r="O7" s="422">
        <v>36</v>
      </c>
      <c r="P7" s="423"/>
      <c r="Q7" s="423">
        <v>12</v>
      </c>
      <c r="R7" s="424">
        <f t="shared" ref="R7:R51" si="4">SUM(O7:Q7)</f>
        <v>48</v>
      </c>
      <c r="S7" s="469">
        <v>5</v>
      </c>
      <c r="T7" s="838">
        <v>34126</v>
      </c>
      <c r="U7" s="836">
        <v>34184</v>
      </c>
      <c r="V7" s="299" t="s">
        <v>1025</v>
      </c>
      <c r="W7" s="292" t="s">
        <v>22</v>
      </c>
      <c r="X7" s="292" t="s">
        <v>11</v>
      </c>
      <c r="Y7" s="300">
        <v>36</v>
      </c>
      <c r="Z7" s="292" t="s">
        <v>1027</v>
      </c>
      <c r="AA7" s="292" t="s">
        <v>872</v>
      </c>
      <c r="AB7" s="292" t="s">
        <v>12</v>
      </c>
      <c r="AC7" s="292">
        <v>12</v>
      </c>
      <c r="AD7" s="299"/>
      <c r="AG7" s="300"/>
      <c r="AL7" s="299"/>
      <c r="AO7" s="300"/>
      <c r="AP7" s="299"/>
      <c r="AS7" s="300"/>
      <c r="AW7" s="300"/>
      <c r="BA7" s="301"/>
    </row>
    <row r="8" spans="1:53" s="292" customFormat="1">
      <c r="A8" s="292">
        <v>1994</v>
      </c>
      <c r="B8" s="836"/>
      <c r="C8" s="916" t="s">
        <v>1026</v>
      </c>
      <c r="D8" s="916"/>
      <c r="E8" s="292">
        <v>257</v>
      </c>
      <c r="G8" s="425">
        <v>12</v>
      </c>
      <c r="H8" s="469"/>
      <c r="I8" s="469">
        <v>3</v>
      </c>
      <c r="J8" s="427">
        <v>15</v>
      </c>
      <c r="K8" s="423">
        <f t="shared" si="0"/>
        <v>80</v>
      </c>
      <c r="L8" s="423">
        <f t="shared" si="1"/>
        <v>0</v>
      </c>
      <c r="M8" s="423">
        <f t="shared" si="2"/>
        <v>20</v>
      </c>
      <c r="N8" s="426">
        <f t="shared" si="3"/>
        <v>100</v>
      </c>
      <c r="O8" s="422">
        <v>36</v>
      </c>
      <c r="P8" s="423"/>
      <c r="Q8" s="423">
        <v>12</v>
      </c>
      <c r="R8" s="424">
        <f t="shared" si="4"/>
        <v>48</v>
      </c>
      <c r="S8" s="469">
        <v>5</v>
      </c>
      <c r="T8" s="838"/>
      <c r="U8" s="836"/>
      <c r="V8" s="299" t="s">
        <v>1025</v>
      </c>
      <c r="W8" s="292" t="s">
        <v>22</v>
      </c>
      <c r="X8" s="292" t="s">
        <v>11</v>
      </c>
      <c r="Y8" s="300">
        <v>36</v>
      </c>
      <c r="Z8" s="292" t="s">
        <v>1027</v>
      </c>
      <c r="AA8" s="292" t="s">
        <v>872</v>
      </c>
      <c r="AB8" s="292" t="s">
        <v>12</v>
      </c>
      <c r="AC8" s="292">
        <v>12</v>
      </c>
      <c r="AD8" s="299"/>
      <c r="AG8" s="300"/>
      <c r="AL8" s="299"/>
      <c r="AO8" s="300"/>
      <c r="AP8" s="299"/>
      <c r="AS8" s="300"/>
      <c r="AW8" s="300"/>
      <c r="BA8" s="301"/>
    </row>
    <row r="9" spans="1:53" s="73" customFormat="1">
      <c r="A9" s="73">
        <v>1994</v>
      </c>
      <c r="B9" s="852">
        <v>34592</v>
      </c>
      <c r="C9" s="917" t="s">
        <v>1028</v>
      </c>
      <c r="D9" s="917"/>
      <c r="E9" s="73">
        <v>108</v>
      </c>
      <c r="F9" s="73">
        <v>4</v>
      </c>
      <c r="G9" s="411">
        <v>9</v>
      </c>
      <c r="H9" s="468"/>
      <c r="I9" s="468">
        <v>1</v>
      </c>
      <c r="J9" s="413">
        <v>14</v>
      </c>
      <c r="K9" s="409">
        <f t="shared" si="0"/>
        <v>64.285714285714292</v>
      </c>
      <c r="L9" s="409">
        <f t="shared" si="1"/>
        <v>0</v>
      </c>
      <c r="M9" s="409">
        <f t="shared" si="2"/>
        <v>7.1428571428571423</v>
      </c>
      <c r="N9" s="412">
        <f t="shared" si="3"/>
        <v>71.428571428571431</v>
      </c>
      <c r="O9" s="408">
        <v>36</v>
      </c>
      <c r="P9" s="409"/>
      <c r="Q9" s="409"/>
      <c r="R9" s="410">
        <f t="shared" si="4"/>
        <v>36</v>
      </c>
      <c r="S9" s="468">
        <v>5</v>
      </c>
      <c r="T9" s="839"/>
      <c r="U9" s="852">
        <v>34592</v>
      </c>
      <c r="V9" s="82" t="s">
        <v>1025</v>
      </c>
      <c r="W9" s="73" t="s">
        <v>22</v>
      </c>
      <c r="X9" s="73" t="s">
        <v>11</v>
      </c>
      <c r="Y9" s="83">
        <v>36</v>
      </c>
      <c r="Z9" s="73" t="s">
        <v>1029</v>
      </c>
      <c r="AA9" s="73" t="s">
        <v>330</v>
      </c>
      <c r="AB9" s="73" t="s">
        <v>12</v>
      </c>
      <c r="AC9" s="73">
        <v>0</v>
      </c>
      <c r="AD9" s="82"/>
      <c r="AG9" s="83"/>
      <c r="AL9" s="82"/>
      <c r="AO9" s="83"/>
      <c r="AP9" s="82"/>
      <c r="AS9" s="83"/>
      <c r="AW9" s="83"/>
      <c r="BA9" s="84"/>
    </row>
    <row r="10" spans="1:53" s="73" customFormat="1">
      <c r="A10" s="73">
        <v>1995</v>
      </c>
      <c r="B10" s="852"/>
      <c r="C10" s="917" t="s">
        <v>1028</v>
      </c>
      <c r="D10" s="917"/>
      <c r="E10" s="73">
        <v>354</v>
      </c>
      <c r="G10" s="411">
        <v>9</v>
      </c>
      <c r="H10" s="468"/>
      <c r="I10" s="468">
        <v>1</v>
      </c>
      <c r="J10" s="413">
        <v>14</v>
      </c>
      <c r="K10" s="409">
        <f t="shared" si="0"/>
        <v>64.285714285714292</v>
      </c>
      <c r="L10" s="409">
        <f t="shared" si="1"/>
        <v>0</v>
      </c>
      <c r="M10" s="409">
        <f t="shared" si="2"/>
        <v>7.1428571428571423</v>
      </c>
      <c r="N10" s="412">
        <f t="shared" si="3"/>
        <v>71.428571428571431</v>
      </c>
      <c r="O10" s="408">
        <v>36</v>
      </c>
      <c r="P10" s="409"/>
      <c r="Q10" s="409"/>
      <c r="R10" s="410">
        <f t="shared" si="4"/>
        <v>36</v>
      </c>
      <c r="S10" s="468">
        <v>5</v>
      </c>
      <c r="T10" s="839"/>
      <c r="U10" s="852"/>
      <c r="V10" s="82" t="s">
        <v>1025</v>
      </c>
      <c r="W10" s="73" t="s">
        <v>22</v>
      </c>
      <c r="X10" s="73" t="s">
        <v>11</v>
      </c>
      <c r="Y10" s="83">
        <v>36</v>
      </c>
      <c r="Z10" s="73" t="s">
        <v>1029</v>
      </c>
      <c r="AA10" s="73" t="s">
        <v>330</v>
      </c>
      <c r="AB10" s="73" t="s">
        <v>12</v>
      </c>
      <c r="AC10" s="73">
        <v>0</v>
      </c>
      <c r="AD10" s="82"/>
      <c r="AG10" s="83"/>
      <c r="AL10" s="82"/>
      <c r="AO10" s="83"/>
      <c r="AP10" s="82"/>
      <c r="AS10" s="83"/>
      <c r="AW10" s="83"/>
      <c r="BA10" s="84"/>
    </row>
    <row r="11" spans="1:53" s="292" customFormat="1">
      <c r="A11" s="292">
        <v>1995</v>
      </c>
      <c r="B11" s="836">
        <v>35054</v>
      </c>
      <c r="C11" s="916" t="s">
        <v>1120</v>
      </c>
      <c r="D11" s="916"/>
      <c r="E11" s="292">
        <v>11</v>
      </c>
      <c r="F11" s="292">
        <v>1</v>
      </c>
      <c r="G11" s="425">
        <v>9</v>
      </c>
      <c r="H11" s="469">
        <v>1</v>
      </c>
      <c r="I11" s="469">
        <v>5</v>
      </c>
      <c r="J11" s="427">
        <v>16</v>
      </c>
      <c r="K11" s="423">
        <f t="shared" si="0"/>
        <v>56.25</v>
      </c>
      <c r="L11" s="423">
        <f t="shared" si="1"/>
        <v>6.25</v>
      </c>
      <c r="M11" s="423">
        <f t="shared" si="2"/>
        <v>31.25</v>
      </c>
      <c r="N11" s="426">
        <f t="shared" si="3"/>
        <v>93.75</v>
      </c>
      <c r="O11" s="422">
        <v>39</v>
      </c>
      <c r="P11" s="423">
        <v>8</v>
      </c>
      <c r="Q11" s="423">
        <v>26</v>
      </c>
      <c r="R11" s="424">
        <f t="shared" si="4"/>
        <v>73</v>
      </c>
      <c r="S11" s="469">
        <v>3</v>
      </c>
      <c r="T11" s="838">
        <v>34973</v>
      </c>
      <c r="U11" s="836">
        <v>35045</v>
      </c>
      <c r="V11" s="299" t="s">
        <v>978</v>
      </c>
      <c r="W11" s="292" t="s">
        <v>20</v>
      </c>
      <c r="X11" s="292" t="s">
        <v>12</v>
      </c>
      <c r="Y11" s="300">
        <v>18</v>
      </c>
      <c r="Z11" s="299" t="s">
        <v>1025</v>
      </c>
      <c r="AA11" s="292" t="s">
        <v>22</v>
      </c>
      <c r="AB11" s="292" t="s">
        <v>11</v>
      </c>
      <c r="AC11" s="292">
        <v>17</v>
      </c>
      <c r="AD11" s="299" t="s">
        <v>1030</v>
      </c>
      <c r="AE11" s="292" t="s">
        <v>27</v>
      </c>
      <c r="AF11" s="292" t="s">
        <v>11</v>
      </c>
      <c r="AG11" s="300">
        <v>14</v>
      </c>
      <c r="AH11" s="292" t="s">
        <v>1031</v>
      </c>
      <c r="AI11" s="292" t="s">
        <v>297</v>
      </c>
      <c r="AJ11" s="292" t="s">
        <v>11</v>
      </c>
      <c r="AK11" s="292">
        <v>8</v>
      </c>
      <c r="AL11" s="299" t="s">
        <v>1123</v>
      </c>
      <c r="AM11" s="292" t="s">
        <v>116</v>
      </c>
      <c r="AN11" s="292" t="s">
        <v>12</v>
      </c>
      <c r="AO11" s="300">
        <v>8</v>
      </c>
      <c r="AP11" s="299" t="s">
        <v>1126</v>
      </c>
      <c r="AQ11" s="292" t="s">
        <v>74</v>
      </c>
      <c r="AR11" s="292" t="s">
        <v>18</v>
      </c>
      <c r="AS11" s="300">
        <v>8</v>
      </c>
      <c r="AW11" s="300"/>
      <c r="BA11" s="301"/>
    </row>
    <row r="12" spans="1:53" s="292" customFormat="1">
      <c r="A12" s="292">
        <v>1996</v>
      </c>
      <c r="B12" s="836"/>
      <c r="C12" s="916" t="s">
        <v>1120</v>
      </c>
      <c r="D12" s="916"/>
      <c r="E12" s="292">
        <v>0</v>
      </c>
      <c r="G12" s="425">
        <v>9</v>
      </c>
      <c r="H12" s="469">
        <v>1</v>
      </c>
      <c r="I12" s="469">
        <v>5</v>
      </c>
      <c r="J12" s="427">
        <v>16</v>
      </c>
      <c r="K12" s="423">
        <f t="shared" si="0"/>
        <v>56.25</v>
      </c>
      <c r="L12" s="423">
        <f t="shared" si="1"/>
        <v>6.25</v>
      </c>
      <c r="M12" s="423">
        <f t="shared" si="2"/>
        <v>31.25</v>
      </c>
      <c r="N12" s="426">
        <f t="shared" si="3"/>
        <v>93.75</v>
      </c>
      <c r="O12" s="422">
        <v>39</v>
      </c>
      <c r="P12" s="423">
        <v>8</v>
      </c>
      <c r="Q12" s="423">
        <v>26</v>
      </c>
      <c r="R12" s="424">
        <f t="shared" si="4"/>
        <v>73</v>
      </c>
      <c r="S12" s="469">
        <v>3</v>
      </c>
      <c r="T12" s="838"/>
      <c r="U12" s="836"/>
      <c r="V12" s="299" t="s">
        <v>978</v>
      </c>
      <c r="W12" s="292" t="s">
        <v>20</v>
      </c>
      <c r="X12" s="292" t="s">
        <v>12</v>
      </c>
      <c r="Y12" s="300">
        <v>18</v>
      </c>
      <c r="Z12" s="299" t="s">
        <v>1025</v>
      </c>
      <c r="AA12" s="292" t="s">
        <v>22</v>
      </c>
      <c r="AB12" s="292" t="s">
        <v>11</v>
      </c>
      <c r="AC12" s="292">
        <v>17</v>
      </c>
      <c r="AD12" s="299" t="s">
        <v>1030</v>
      </c>
      <c r="AE12" s="292" t="s">
        <v>27</v>
      </c>
      <c r="AF12" s="292" t="s">
        <v>11</v>
      </c>
      <c r="AG12" s="300">
        <v>14</v>
      </c>
      <c r="AH12" s="292" t="s">
        <v>1031</v>
      </c>
      <c r="AI12" s="292" t="s">
        <v>297</v>
      </c>
      <c r="AJ12" s="292" t="s">
        <v>11</v>
      </c>
      <c r="AK12" s="292">
        <v>8</v>
      </c>
      <c r="AL12" s="299" t="s">
        <v>1123</v>
      </c>
      <c r="AM12" s="292" t="s">
        <v>116</v>
      </c>
      <c r="AN12" s="292" t="s">
        <v>12</v>
      </c>
      <c r="AO12" s="300">
        <v>8</v>
      </c>
      <c r="AP12" s="299" t="s">
        <v>1126</v>
      </c>
      <c r="AQ12" s="292" t="s">
        <v>74</v>
      </c>
      <c r="AR12" s="292" t="s">
        <v>18</v>
      </c>
      <c r="AS12" s="300">
        <v>8</v>
      </c>
      <c r="AW12" s="300"/>
      <c r="BA12" s="301"/>
    </row>
    <row r="13" spans="1:53" s="292" customFormat="1">
      <c r="A13" s="292">
        <v>1996</v>
      </c>
      <c r="B13" s="836"/>
      <c r="C13" s="916" t="s">
        <v>1120</v>
      </c>
      <c r="D13" s="916"/>
      <c r="E13" s="292">
        <v>366</v>
      </c>
      <c r="G13" s="425">
        <v>9</v>
      </c>
      <c r="H13" s="469">
        <v>1</v>
      </c>
      <c r="I13" s="469">
        <v>5</v>
      </c>
      <c r="J13" s="427">
        <v>16</v>
      </c>
      <c r="K13" s="423">
        <f t="shared" si="0"/>
        <v>56.25</v>
      </c>
      <c r="L13" s="423">
        <f t="shared" si="1"/>
        <v>6.25</v>
      </c>
      <c r="M13" s="423">
        <f t="shared" si="2"/>
        <v>31.25</v>
      </c>
      <c r="N13" s="426">
        <f t="shared" si="3"/>
        <v>93.75</v>
      </c>
      <c r="O13" s="422">
        <v>39</v>
      </c>
      <c r="P13" s="423">
        <v>8</v>
      </c>
      <c r="Q13" s="423">
        <v>26</v>
      </c>
      <c r="R13" s="424">
        <f t="shared" si="4"/>
        <v>73</v>
      </c>
      <c r="S13" s="469">
        <v>3</v>
      </c>
      <c r="T13" s="838"/>
      <c r="U13" s="836"/>
      <c r="V13" s="299" t="s">
        <v>978</v>
      </c>
      <c r="W13" s="292" t="s">
        <v>20</v>
      </c>
      <c r="X13" s="292" t="s">
        <v>12</v>
      </c>
      <c r="Y13" s="300">
        <v>18</v>
      </c>
      <c r="Z13" s="299" t="s">
        <v>1025</v>
      </c>
      <c r="AA13" s="292" t="s">
        <v>22</v>
      </c>
      <c r="AB13" s="292" t="s">
        <v>11</v>
      </c>
      <c r="AC13" s="292">
        <v>17</v>
      </c>
      <c r="AD13" s="299" t="s">
        <v>1030</v>
      </c>
      <c r="AE13" s="292" t="s">
        <v>27</v>
      </c>
      <c r="AF13" s="292" t="s">
        <v>11</v>
      </c>
      <c r="AG13" s="300">
        <v>14</v>
      </c>
      <c r="AH13" s="292" t="s">
        <v>1031</v>
      </c>
      <c r="AI13" s="292" t="s">
        <v>297</v>
      </c>
      <c r="AJ13" s="292" t="s">
        <v>11</v>
      </c>
      <c r="AK13" s="292">
        <v>8</v>
      </c>
      <c r="AL13" s="299" t="s">
        <v>1123</v>
      </c>
      <c r="AM13" s="292" t="s">
        <v>116</v>
      </c>
      <c r="AN13" s="292" t="s">
        <v>12</v>
      </c>
      <c r="AO13" s="300">
        <v>8</v>
      </c>
      <c r="AP13" s="299" t="s">
        <v>1126</v>
      </c>
      <c r="AQ13" s="292" t="s">
        <v>74</v>
      </c>
      <c r="AR13" s="292" t="s">
        <v>18</v>
      </c>
      <c r="AS13" s="300">
        <v>8</v>
      </c>
      <c r="AW13" s="300"/>
      <c r="BA13" s="301"/>
    </row>
    <row r="14" spans="1:53" s="292" customFormat="1">
      <c r="A14" s="292">
        <v>1997</v>
      </c>
      <c r="B14" s="836"/>
      <c r="C14" s="916" t="s">
        <v>1120</v>
      </c>
      <c r="D14" s="916"/>
      <c r="E14" s="292">
        <v>43</v>
      </c>
      <c r="G14" s="425">
        <v>9</v>
      </c>
      <c r="H14" s="469">
        <v>1</v>
      </c>
      <c r="I14" s="469">
        <v>5</v>
      </c>
      <c r="J14" s="427">
        <v>16</v>
      </c>
      <c r="K14" s="423">
        <f t="shared" si="0"/>
        <v>56.25</v>
      </c>
      <c r="L14" s="423">
        <f t="shared" si="1"/>
        <v>6.25</v>
      </c>
      <c r="M14" s="423">
        <f t="shared" si="2"/>
        <v>31.25</v>
      </c>
      <c r="N14" s="426">
        <f t="shared" si="3"/>
        <v>93.75</v>
      </c>
      <c r="O14" s="422">
        <v>39</v>
      </c>
      <c r="P14" s="423">
        <v>8</v>
      </c>
      <c r="Q14" s="423">
        <v>26</v>
      </c>
      <c r="R14" s="424">
        <f t="shared" si="4"/>
        <v>73</v>
      </c>
      <c r="S14" s="469">
        <v>3</v>
      </c>
      <c r="T14" s="838"/>
      <c r="U14" s="836"/>
      <c r="V14" s="299" t="s">
        <v>978</v>
      </c>
      <c r="W14" s="292" t="s">
        <v>20</v>
      </c>
      <c r="X14" s="292" t="s">
        <v>12</v>
      </c>
      <c r="Y14" s="300">
        <v>18</v>
      </c>
      <c r="Z14" s="299" t="s">
        <v>1025</v>
      </c>
      <c r="AA14" s="292" t="s">
        <v>22</v>
      </c>
      <c r="AB14" s="292" t="s">
        <v>11</v>
      </c>
      <c r="AC14" s="292">
        <v>17</v>
      </c>
      <c r="AD14" s="299" t="s">
        <v>1030</v>
      </c>
      <c r="AE14" s="292" t="s">
        <v>27</v>
      </c>
      <c r="AF14" s="292" t="s">
        <v>11</v>
      </c>
      <c r="AG14" s="300">
        <v>14</v>
      </c>
      <c r="AH14" s="292" t="s">
        <v>1031</v>
      </c>
      <c r="AI14" s="292" t="s">
        <v>297</v>
      </c>
      <c r="AJ14" s="292" t="s">
        <v>11</v>
      </c>
      <c r="AK14" s="292">
        <v>8</v>
      </c>
      <c r="AL14" s="299" t="s">
        <v>1123</v>
      </c>
      <c r="AM14" s="292" t="s">
        <v>116</v>
      </c>
      <c r="AN14" s="292" t="s">
        <v>12</v>
      </c>
      <c r="AO14" s="300">
        <v>8</v>
      </c>
      <c r="AP14" s="299" t="s">
        <v>1126</v>
      </c>
      <c r="AQ14" s="292" t="s">
        <v>74</v>
      </c>
      <c r="AR14" s="292" t="s">
        <v>18</v>
      </c>
      <c r="AS14" s="300">
        <v>8</v>
      </c>
      <c r="AW14" s="300"/>
      <c r="BA14" s="301"/>
    </row>
    <row r="15" spans="1:53" s="73" customFormat="1">
      <c r="A15" s="73">
        <v>1997</v>
      </c>
      <c r="B15" s="852">
        <v>35474</v>
      </c>
      <c r="C15" s="917" t="s">
        <v>1121</v>
      </c>
      <c r="D15" s="917"/>
      <c r="E15" s="73">
        <v>175</v>
      </c>
      <c r="F15" s="73">
        <v>2</v>
      </c>
      <c r="G15" s="411">
        <v>11</v>
      </c>
      <c r="H15" s="468">
        <v>2</v>
      </c>
      <c r="I15" s="468">
        <v>4</v>
      </c>
      <c r="J15" s="413">
        <v>19</v>
      </c>
      <c r="K15" s="409">
        <f t="shared" si="0"/>
        <v>57.894736842105267</v>
      </c>
      <c r="L15" s="409">
        <f t="shared" si="1"/>
        <v>10.526315789473683</v>
      </c>
      <c r="M15" s="409">
        <f t="shared" si="2"/>
        <v>21.052631578947366</v>
      </c>
      <c r="N15" s="412">
        <f t="shared" si="3"/>
        <v>89.473684210526315</v>
      </c>
      <c r="O15" s="408">
        <v>39</v>
      </c>
      <c r="P15" s="409">
        <v>8</v>
      </c>
      <c r="Q15" s="409">
        <v>18</v>
      </c>
      <c r="R15" s="410">
        <f t="shared" si="4"/>
        <v>65</v>
      </c>
      <c r="S15" s="468">
        <v>3</v>
      </c>
      <c r="T15" s="839"/>
      <c r="U15" s="852">
        <v>35474</v>
      </c>
      <c r="V15" s="82" t="s">
        <v>978</v>
      </c>
      <c r="W15" s="73" t="s">
        <v>20</v>
      </c>
      <c r="X15" s="73" t="s">
        <v>12</v>
      </c>
      <c r="Y15" s="83">
        <v>18</v>
      </c>
      <c r="Z15" s="82" t="s">
        <v>1025</v>
      </c>
      <c r="AA15" s="73" t="s">
        <v>22</v>
      </c>
      <c r="AB15" s="73" t="s">
        <v>11</v>
      </c>
      <c r="AC15" s="73">
        <v>17</v>
      </c>
      <c r="AD15" s="82" t="s">
        <v>1030</v>
      </c>
      <c r="AE15" s="73" t="s">
        <v>27</v>
      </c>
      <c r="AF15" s="73" t="s">
        <v>11</v>
      </c>
      <c r="AG15" s="83">
        <v>14</v>
      </c>
      <c r="AH15" s="73" t="s">
        <v>1031</v>
      </c>
      <c r="AI15" s="73" t="s">
        <v>297</v>
      </c>
      <c r="AJ15" s="73" t="s">
        <v>11</v>
      </c>
      <c r="AK15" s="73">
        <v>8</v>
      </c>
      <c r="AL15" s="82" t="s">
        <v>1126</v>
      </c>
      <c r="AM15" s="73" t="s">
        <v>74</v>
      </c>
      <c r="AN15" s="73" t="s">
        <v>18</v>
      </c>
      <c r="AO15" s="83">
        <v>8</v>
      </c>
      <c r="AP15" s="82"/>
      <c r="AS15" s="83"/>
      <c r="AW15" s="83"/>
      <c r="BA15" s="84"/>
    </row>
    <row r="16" spans="1:53" s="292" customFormat="1">
      <c r="A16" s="292">
        <v>1997</v>
      </c>
      <c r="B16" s="836">
        <v>35649</v>
      </c>
      <c r="C16" s="916" t="s">
        <v>1124</v>
      </c>
      <c r="D16" s="916"/>
      <c r="E16" s="292">
        <v>147</v>
      </c>
      <c r="F16" s="292">
        <v>2</v>
      </c>
      <c r="G16" s="425">
        <v>7</v>
      </c>
      <c r="H16" s="469">
        <v>3</v>
      </c>
      <c r="I16" s="469">
        <v>4</v>
      </c>
      <c r="J16" s="427">
        <v>14</v>
      </c>
      <c r="K16" s="423">
        <f t="shared" si="0"/>
        <v>50</v>
      </c>
      <c r="L16" s="423">
        <f t="shared" si="1"/>
        <v>21.428571428571427</v>
      </c>
      <c r="M16" s="423">
        <f t="shared" si="2"/>
        <v>28.571428571428569</v>
      </c>
      <c r="N16" s="426">
        <f t="shared" si="3"/>
        <v>100</v>
      </c>
      <c r="O16" s="422">
        <v>39</v>
      </c>
      <c r="P16" s="423">
        <v>8</v>
      </c>
      <c r="Q16" s="423">
        <v>18</v>
      </c>
      <c r="R16" s="424">
        <f t="shared" si="4"/>
        <v>65</v>
      </c>
      <c r="S16" s="469">
        <v>3</v>
      </c>
      <c r="T16" s="838"/>
      <c r="U16" s="836">
        <v>35649</v>
      </c>
      <c r="V16" s="299" t="s">
        <v>978</v>
      </c>
      <c r="W16" s="292" t="s">
        <v>20</v>
      </c>
      <c r="X16" s="292" t="s">
        <v>12</v>
      </c>
      <c r="Y16" s="300">
        <v>18</v>
      </c>
      <c r="Z16" s="299" t="s">
        <v>1025</v>
      </c>
      <c r="AA16" s="292" t="s">
        <v>22</v>
      </c>
      <c r="AB16" s="292" t="s">
        <v>11</v>
      </c>
      <c r="AC16" s="292">
        <v>17</v>
      </c>
      <c r="AD16" s="299" t="s">
        <v>1030</v>
      </c>
      <c r="AE16" s="292" t="s">
        <v>27</v>
      </c>
      <c r="AF16" s="292" t="s">
        <v>11</v>
      </c>
      <c r="AG16" s="300">
        <v>14</v>
      </c>
      <c r="AH16" s="292" t="s">
        <v>1031</v>
      </c>
      <c r="AI16" s="292" t="s">
        <v>297</v>
      </c>
      <c r="AJ16" s="292" t="s">
        <v>11</v>
      </c>
      <c r="AK16" s="292">
        <v>8</v>
      </c>
      <c r="AL16" s="299" t="s">
        <v>1126</v>
      </c>
      <c r="AM16" s="292" t="s">
        <v>74</v>
      </c>
      <c r="AN16" s="292" t="s">
        <v>18</v>
      </c>
      <c r="AO16" s="300">
        <v>8</v>
      </c>
      <c r="AP16" s="299"/>
      <c r="AS16" s="300"/>
      <c r="AW16" s="300"/>
      <c r="BA16" s="301"/>
    </row>
    <row r="17" spans="1:53" s="292" customFormat="1">
      <c r="A17" s="292">
        <v>1998</v>
      </c>
      <c r="B17" s="836"/>
      <c r="C17" s="916" t="s">
        <v>1124</v>
      </c>
      <c r="D17" s="916"/>
      <c r="E17" s="292">
        <v>97</v>
      </c>
      <c r="G17" s="425">
        <v>7</v>
      </c>
      <c r="H17" s="469">
        <v>3</v>
      </c>
      <c r="I17" s="469">
        <v>4</v>
      </c>
      <c r="J17" s="427">
        <v>14</v>
      </c>
      <c r="K17" s="423">
        <f t="shared" si="0"/>
        <v>50</v>
      </c>
      <c r="L17" s="423">
        <f t="shared" si="1"/>
        <v>21.428571428571427</v>
      </c>
      <c r="M17" s="423">
        <f t="shared" si="2"/>
        <v>28.571428571428569</v>
      </c>
      <c r="N17" s="426">
        <f t="shared" si="3"/>
        <v>100</v>
      </c>
      <c r="O17" s="422">
        <v>39</v>
      </c>
      <c r="P17" s="423">
        <v>8</v>
      </c>
      <c r="Q17" s="423">
        <v>18</v>
      </c>
      <c r="R17" s="424">
        <f t="shared" si="4"/>
        <v>65</v>
      </c>
      <c r="S17" s="469">
        <v>3</v>
      </c>
      <c r="T17" s="838"/>
      <c r="U17" s="836"/>
      <c r="V17" s="299" t="s">
        <v>978</v>
      </c>
      <c r="W17" s="292" t="s">
        <v>20</v>
      </c>
      <c r="X17" s="292" t="s">
        <v>12</v>
      </c>
      <c r="Y17" s="300">
        <v>18</v>
      </c>
      <c r="Z17" s="299" t="s">
        <v>1025</v>
      </c>
      <c r="AA17" s="292" t="s">
        <v>22</v>
      </c>
      <c r="AB17" s="292" t="s">
        <v>11</v>
      </c>
      <c r="AC17" s="292">
        <v>17</v>
      </c>
      <c r="AD17" s="299" t="s">
        <v>1030</v>
      </c>
      <c r="AE17" s="292" t="s">
        <v>27</v>
      </c>
      <c r="AF17" s="292" t="s">
        <v>11</v>
      </c>
      <c r="AG17" s="300">
        <v>14</v>
      </c>
      <c r="AH17" s="292" t="s">
        <v>1031</v>
      </c>
      <c r="AI17" s="292" t="s">
        <v>297</v>
      </c>
      <c r="AJ17" s="292" t="s">
        <v>11</v>
      </c>
      <c r="AK17" s="292">
        <v>8</v>
      </c>
      <c r="AL17" s="299" t="s">
        <v>1126</v>
      </c>
      <c r="AM17" s="292" t="s">
        <v>74</v>
      </c>
      <c r="AN17" s="292" t="s">
        <v>18</v>
      </c>
      <c r="AO17" s="300">
        <v>8</v>
      </c>
      <c r="AP17" s="299"/>
      <c r="AS17" s="300"/>
      <c r="AW17" s="300"/>
      <c r="BA17" s="301"/>
    </row>
    <row r="18" spans="1:53" s="73" customFormat="1">
      <c r="A18" s="73">
        <v>1998</v>
      </c>
      <c r="B18" s="852">
        <v>35893</v>
      </c>
      <c r="C18" s="917" t="s">
        <v>1125</v>
      </c>
      <c r="D18" s="917"/>
      <c r="E18" s="73">
        <v>232</v>
      </c>
      <c r="F18" s="73">
        <v>4</v>
      </c>
      <c r="G18" s="411">
        <v>9</v>
      </c>
      <c r="H18" s="468">
        <v>4</v>
      </c>
      <c r="I18" s="468"/>
      <c r="J18" s="413">
        <v>13</v>
      </c>
      <c r="K18" s="409">
        <f t="shared" si="0"/>
        <v>69.230769230769226</v>
      </c>
      <c r="L18" s="409">
        <f t="shared" si="1"/>
        <v>30.76923076923077</v>
      </c>
      <c r="M18" s="409">
        <f t="shared" ref="M18:M27" si="5">I18/J18*100</f>
        <v>0</v>
      </c>
      <c r="N18" s="412">
        <f t="shared" ref="N18:N27" si="6">SUM(K18:M18)</f>
        <v>100</v>
      </c>
      <c r="O18" s="408">
        <v>39</v>
      </c>
      <c r="P18" s="409">
        <v>8</v>
      </c>
      <c r="Q18" s="409"/>
      <c r="R18" s="410">
        <f t="shared" si="4"/>
        <v>47</v>
      </c>
      <c r="S18" s="468">
        <v>5</v>
      </c>
      <c r="T18" s="839"/>
      <c r="U18" s="852">
        <v>35893</v>
      </c>
      <c r="V18" s="82" t="s">
        <v>1025</v>
      </c>
      <c r="W18" s="73" t="s">
        <v>22</v>
      </c>
      <c r="X18" s="73" t="s">
        <v>11</v>
      </c>
      <c r="Y18" s="83">
        <v>17</v>
      </c>
      <c r="Z18" s="82" t="s">
        <v>1030</v>
      </c>
      <c r="AA18" s="73" t="s">
        <v>27</v>
      </c>
      <c r="AB18" s="73" t="s">
        <v>11</v>
      </c>
      <c r="AC18" s="83">
        <v>14</v>
      </c>
      <c r="AD18" s="82" t="s">
        <v>1031</v>
      </c>
      <c r="AE18" s="73" t="s">
        <v>297</v>
      </c>
      <c r="AF18" s="73" t="s">
        <v>11</v>
      </c>
      <c r="AG18" s="83">
        <v>8</v>
      </c>
      <c r="AH18" s="73" t="s">
        <v>1126</v>
      </c>
      <c r="AI18" s="73" t="s">
        <v>74</v>
      </c>
      <c r="AJ18" s="73" t="s">
        <v>18</v>
      </c>
      <c r="AK18" s="73">
        <v>8</v>
      </c>
      <c r="AL18" s="82"/>
      <c r="AO18" s="83"/>
      <c r="AP18" s="82"/>
      <c r="AS18" s="83"/>
      <c r="AW18" s="83"/>
      <c r="BA18" s="84"/>
    </row>
    <row r="19" spans="1:53" s="292" customFormat="1">
      <c r="A19" s="292">
        <v>1998</v>
      </c>
      <c r="B19" s="836">
        <v>36125</v>
      </c>
      <c r="C19" s="916" t="s">
        <v>1127</v>
      </c>
      <c r="D19" s="916"/>
      <c r="E19" s="292">
        <v>36</v>
      </c>
      <c r="F19" s="292">
        <v>1</v>
      </c>
      <c r="G19" s="425">
        <v>13</v>
      </c>
      <c r="H19" s="469"/>
      <c r="I19" s="469">
        <v>2</v>
      </c>
      <c r="J19" s="427">
        <v>15</v>
      </c>
      <c r="K19" s="423">
        <f t="shared" ref="K19:K27" si="7">G19/J19*100</f>
        <v>86.666666666666671</v>
      </c>
      <c r="L19" s="423">
        <f t="shared" ref="L19:L27" si="8">H19/J19*100</f>
        <v>0</v>
      </c>
      <c r="M19" s="423">
        <f t="shared" si="5"/>
        <v>13.333333333333334</v>
      </c>
      <c r="N19" s="426">
        <f t="shared" si="6"/>
        <v>100</v>
      </c>
      <c r="O19" s="422">
        <v>41</v>
      </c>
      <c r="P19" s="423"/>
      <c r="Q19" s="423">
        <v>8</v>
      </c>
      <c r="R19" s="424">
        <f t="shared" si="4"/>
        <v>49</v>
      </c>
      <c r="S19" s="469">
        <v>5</v>
      </c>
      <c r="T19" s="838">
        <v>36071</v>
      </c>
      <c r="U19" s="836">
        <v>36125</v>
      </c>
      <c r="V19" s="299" t="s">
        <v>1025</v>
      </c>
      <c r="W19" s="292" t="s">
        <v>22</v>
      </c>
      <c r="X19" s="292" t="s">
        <v>11</v>
      </c>
      <c r="Y19" s="300">
        <v>21</v>
      </c>
      <c r="Z19" s="299" t="s">
        <v>1032</v>
      </c>
      <c r="AA19" s="292" t="s">
        <v>855</v>
      </c>
      <c r="AB19" s="292" t="s">
        <v>11</v>
      </c>
      <c r="AC19" s="300">
        <v>17</v>
      </c>
      <c r="AD19" s="292" t="s">
        <v>1033</v>
      </c>
      <c r="AE19" s="292" t="s">
        <v>1034</v>
      </c>
      <c r="AF19" s="292" t="s">
        <v>12</v>
      </c>
      <c r="AG19" s="300">
        <v>8</v>
      </c>
      <c r="AH19" s="390"/>
      <c r="AL19" s="299"/>
      <c r="AO19" s="300"/>
      <c r="AP19" s="299"/>
      <c r="AS19" s="300"/>
      <c r="AW19" s="300"/>
      <c r="BA19" s="301"/>
    </row>
    <row r="20" spans="1:53" s="292" customFormat="1">
      <c r="A20" s="292">
        <v>1999</v>
      </c>
      <c r="B20" s="836"/>
      <c r="C20" s="916" t="s">
        <v>1127</v>
      </c>
      <c r="D20" s="916"/>
      <c r="E20" s="292">
        <v>34</v>
      </c>
      <c r="G20" s="425">
        <v>13</v>
      </c>
      <c r="H20" s="469"/>
      <c r="I20" s="469">
        <v>2</v>
      </c>
      <c r="J20" s="427">
        <v>15</v>
      </c>
      <c r="K20" s="423">
        <f t="shared" si="7"/>
        <v>86.666666666666671</v>
      </c>
      <c r="L20" s="423">
        <f t="shared" si="8"/>
        <v>0</v>
      </c>
      <c r="M20" s="423">
        <f t="shared" si="5"/>
        <v>13.333333333333334</v>
      </c>
      <c r="N20" s="426">
        <f t="shared" si="6"/>
        <v>100</v>
      </c>
      <c r="O20" s="422">
        <v>41</v>
      </c>
      <c r="P20" s="423"/>
      <c r="Q20" s="423">
        <v>8</v>
      </c>
      <c r="R20" s="424">
        <f t="shared" si="4"/>
        <v>49</v>
      </c>
      <c r="S20" s="469">
        <v>5</v>
      </c>
      <c r="T20" s="838"/>
      <c r="U20" s="836"/>
      <c r="V20" s="299" t="s">
        <v>1025</v>
      </c>
      <c r="W20" s="292" t="s">
        <v>22</v>
      </c>
      <c r="X20" s="292" t="s">
        <v>11</v>
      </c>
      <c r="Y20" s="300">
        <v>21</v>
      </c>
      <c r="Z20" s="292" t="s">
        <v>1032</v>
      </c>
      <c r="AA20" s="292" t="s">
        <v>855</v>
      </c>
      <c r="AB20" s="292" t="s">
        <v>11</v>
      </c>
      <c r="AC20" s="292">
        <v>17</v>
      </c>
      <c r="AD20" s="299" t="s">
        <v>1033</v>
      </c>
      <c r="AE20" s="292" t="s">
        <v>1034</v>
      </c>
      <c r="AF20" s="292" t="s">
        <v>12</v>
      </c>
      <c r="AG20" s="300">
        <v>8</v>
      </c>
      <c r="AL20" s="299"/>
      <c r="AO20" s="300"/>
      <c r="AP20" s="299"/>
      <c r="AS20" s="300"/>
      <c r="AW20" s="300"/>
      <c r="BA20" s="301"/>
    </row>
    <row r="21" spans="1:53" s="73" customFormat="1">
      <c r="A21" s="73">
        <v>1999</v>
      </c>
      <c r="B21" s="852">
        <v>36195</v>
      </c>
      <c r="C21" s="917" t="s">
        <v>1128</v>
      </c>
      <c r="D21" s="917"/>
      <c r="E21" s="73">
        <v>162</v>
      </c>
      <c r="F21" s="73">
        <v>2</v>
      </c>
      <c r="G21" s="411">
        <v>12</v>
      </c>
      <c r="H21" s="468"/>
      <c r="I21" s="468">
        <v>3</v>
      </c>
      <c r="J21" s="413">
        <v>15</v>
      </c>
      <c r="K21" s="409">
        <f t="shared" si="7"/>
        <v>80</v>
      </c>
      <c r="L21" s="409">
        <f t="shared" si="8"/>
        <v>0</v>
      </c>
      <c r="M21" s="409">
        <f t="shared" si="5"/>
        <v>20</v>
      </c>
      <c r="N21" s="412">
        <f t="shared" si="6"/>
        <v>100</v>
      </c>
      <c r="O21" s="408">
        <v>41</v>
      </c>
      <c r="P21" s="409"/>
      <c r="Q21" s="409">
        <v>22</v>
      </c>
      <c r="R21" s="410">
        <f t="shared" si="4"/>
        <v>63</v>
      </c>
      <c r="S21" s="468">
        <v>3</v>
      </c>
      <c r="T21" s="839"/>
      <c r="U21" s="852">
        <v>36195</v>
      </c>
      <c r="V21" s="82" t="s">
        <v>1025</v>
      </c>
      <c r="W21" s="73" t="s">
        <v>22</v>
      </c>
      <c r="X21" s="73" t="s">
        <v>11</v>
      </c>
      <c r="Y21" s="83">
        <v>21</v>
      </c>
      <c r="Z21" s="82" t="s">
        <v>1032</v>
      </c>
      <c r="AA21" s="73" t="s">
        <v>855</v>
      </c>
      <c r="AB21" s="73" t="s">
        <v>11</v>
      </c>
      <c r="AC21" s="83">
        <v>17</v>
      </c>
      <c r="AD21" s="73" t="s">
        <v>1033</v>
      </c>
      <c r="AE21" s="73" t="s">
        <v>1034</v>
      </c>
      <c r="AF21" s="73" t="s">
        <v>12</v>
      </c>
      <c r="AG21" s="83">
        <v>8</v>
      </c>
      <c r="AH21" s="73" t="s">
        <v>1035</v>
      </c>
      <c r="AI21" s="73" t="s">
        <v>1036</v>
      </c>
      <c r="AJ21" s="73" t="s">
        <v>12</v>
      </c>
      <c r="AK21" s="73">
        <v>14</v>
      </c>
      <c r="AL21" s="82"/>
      <c r="AO21" s="83"/>
      <c r="AP21" s="82"/>
      <c r="AS21" s="83"/>
      <c r="AW21" s="83"/>
      <c r="BA21" s="84"/>
    </row>
    <row r="22" spans="1:53" s="292" customFormat="1">
      <c r="A22" s="292">
        <v>1999</v>
      </c>
      <c r="B22" s="836">
        <v>36357</v>
      </c>
      <c r="C22" s="916" t="s">
        <v>1122</v>
      </c>
      <c r="D22" s="916"/>
      <c r="E22" s="292">
        <v>169</v>
      </c>
      <c r="F22" s="292">
        <v>2</v>
      </c>
      <c r="G22" s="425">
        <v>13</v>
      </c>
      <c r="H22" s="469"/>
      <c r="I22" s="469"/>
      <c r="J22" s="427">
        <v>13</v>
      </c>
      <c r="K22" s="423">
        <f t="shared" si="7"/>
        <v>100</v>
      </c>
      <c r="L22" s="423">
        <f t="shared" si="8"/>
        <v>0</v>
      </c>
      <c r="M22" s="423">
        <f t="shared" si="5"/>
        <v>0</v>
      </c>
      <c r="N22" s="426">
        <f t="shared" si="6"/>
        <v>100</v>
      </c>
      <c r="O22" s="422">
        <v>62</v>
      </c>
      <c r="P22" s="423"/>
      <c r="Q22" s="423"/>
      <c r="R22" s="424">
        <f t="shared" si="4"/>
        <v>62</v>
      </c>
      <c r="S22" s="469">
        <v>2</v>
      </c>
      <c r="T22" s="838"/>
      <c r="U22" s="836">
        <v>36357</v>
      </c>
      <c r="V22" s="299" t="s">
        <v>1037</v>
      </c>
      <c r="W22" s="292" t="s">
        <v>1055</v>
      </c>
      <c r="X22" s="292" t="s">
        <v>11</v>
      </c>
      <c r="Y22" s="300">
        <v>24</v>
      </c>
      <c r="Z22" s="299" t="s">
        <v>1025</v>
      </c>
      <c r="AA22" s="292" t="s">
        <v>22</v>
      </c>
      <c r="AB22" s="292" t="s">
        <v>11</v>
      </c>
      <c r="AC22" s="300">
        <v>21</v>
      </c>
      <c r="AD22" s="299" t="s">
        <v>1032</v>
      </c>
      <c r="AE22" s="292" t="s">
        <v>855</v>
      </c>
      <c r="AF22" s="292" t="s">
        <v>11</v>
      </c>
      <c r="AG22" s="300">
        <v>17</v>
      </c>
      <c r="AL22" s="299"/>
      <c r="AO22" s="300"/>
      <c r="AP22" s="299"/>
      <c r="AS22" s="300"/>
      <c r="AW22" s="300"/>
      <c r="BA22" s="301"/>
    </row>
    <row r="23" spans="1:53" s="292" customFormat="1">
      <c r="A23" s="292">
        <v>2000</v>
      </c>
      <c r="B23" s="836"/>
      <c r="C23" s="916" t="s">
        <v>1122</v>
      </c>
      <c r="D23" s="916"/>
      <c r="E23" s="292">
        <v>124</v>
      </c>
      <c r="G23" s="425">
        <v>13</v>
      </c>
      <c r="H23" s="469"/>
      <c r="I23" s="469"/>
      <c r="J23" s="427">
        <v>13</v>
      </c>
      <c r="K23" s="423">
        <f t="shared" si="7"/>
        <v>100</v>
      </c>
      <c r="L23" s="423">
        <f t="shared" si="8"/>
        <v>0</v>
      </c>
      <c r="M23" s="423">
        <f t="shared" si="5"/>
        <v>0</v>
      </c>
      <c r="N23" s="426">
        <f t="shared" si="6"/>
        <v>100</v>
      </c>
      <c r="O23" s="422">
        <v>62</v>
      </c>
      <c r="P23" s="423"/>
      <c r="Q23" s="423"/>
      <c r="R23" s="424">
        <f t="shared" si="4"/>
        <v>62</v>
      </c>
      <c r="S23" s="469">
        <v>2</v>
      </c>
      <c r="T23" s="838"/>
      <c r="U23" s="836"/>
      <c r="V23" s="299" t="s">
        <v>1037</v>
      </c>
      <c r="W23" s="292" t="s">
        <v>1055</v>
      </c>
      <c r="X23" s="292" t="s">
        <v>11</v>
      </c>
      <c r="Y23" s="300">
        <v>24</v>
      </c>
      <c r="Z23" s="299" t="s">
        <v>1025</v>
      </c>
      <c r="AA23" s="292" t="s">
        <v>22</v>
      </c>
      <c r="AB23" s="292" t="s">
        <v>11</v>
      </c>
      <c r="AC23" s="292">
        <v>21</v>
      </c>
      <c r="AD23" s="299" t="s">
        <v>1032</v>
      </c>
      <c r="AE23" s="292" t="s">
        <v>855</v>
      </c>
      <c r="AF23" s="292" t="s">
        <v>11</v>
      </c>
      <c r="AG23" s="300">
        <v>17</v>
      </c>
      <c r="AL23" s="299"/>
      <c r="AO23" s="300"/>
      <c r="AP23" s="299"/>
      <c r="AS23" s="300"/>
      <c r="AW23" s="300"/>
      <c r="BA23" s="301"/>
    </row>
    <row r="24" spans="1:53" s="73" customFormat="1">
      <c r="A24" s="73">
        <v>2000</v>
      </c>
      <c r="B24" s="852">
        <v>36650</v>
      </c>
      <c r="C24" s="917" t="s">
        <v>1129</v>
      </c>
      <c r="D24" s="917"/>
      <c r="E24" s="73">
        <v>242</v>
      </c>
      <c r="F24" s="73">
        <v>7</v>
      </c>
      <c r="G24" s="411">
        <v>13</v>
      </c>
      <c r="H24" s="468"/>
      <c r="I24" s="468">
        <v>2</v>
      </c>
      <c r="J24" s="413">
        <v>15</v>
      </c>
      <c r="K24" s="409">
        <f t="shared" si="7"/>
        <v>86.666666666666671</v>
      </c>
      <c r="L24" s="409">
        <f t="shared" si="8"/>
        <v>0</v>
      </c>
      <c r="M24" s="409">
        <f t="shared" si="5"/>
        <v>13.333333333333334</v>
      </c>
      <c r="N24" s="412">
        <f t="shared" si="6"/>
        <v>100</v>
      </c>
      <c r="O24" s="408">
        <v>62</v>
      </c>
      <c r="P24" s="409"/>
      <c r="Q24" s="409">
        <v>8</v>
      </c>
      <c r="R24" s="410">
        <f t="shared" si="4"/>
        <v>70</v>
      </c>
      <c r="S24" s="468">
        <v>3</v>
      </c>
      <c r="T24" s="839"/>
      <c r="U24" s="852">
        <v>36650</v>
      </c>
      <c r="V24" s="82" t="s">
        <v>1037</v>
      </c>
      <c r="W24" s="73" t="s">
        <v>1055</v>
      </c>
      <c r="X24" s="73" t="s">
        <v>11</v>
      </c>
      <c r="Y24" s="83">
        <v>24</v>
      </c>
      <c r="Z24" s="82" t="s">
        <v>1025</v>
      </c>
      <c r="AA24" s="73" t="s">
        <v>22</v>
      </c>
      <c r="AB24" s="73" t="s">
        <v>11</v>
      </c>
      <c r="AC24" s="83">
        <v>21</v>
      </c>
      <c r="AD24" s="82" t="s">
        <v>1032</v>
      </c>
      <c r="AE24" s="73" t="s">
        <v>855</v>
      </c>
      <c r="AF24" s="73" t="s">
        <v>11</v>
      </c>
      <c r="AG24" s="83">
        <v>17</v>
      </c>
      <c r="AH24" s="73" t="s">
        <v>1033</v>
      </c>
      <c r="AI24" s="73" t="s">
        <v>1034</v>
      </c>
      <c r="AJ24" s="73" t="s">
        <v>12</v>
      </c>
      <c r="AK24" s="73">
        <v>8</v>
      </c>
      <c r="AL24" s="82"/>
      <c r="AO24" s="83"/>
      <c r="AP24" s="82"/>
      <c r="AS24" s="83"/>
      <c r="AW24" s="83"/>
      <c r="BA24" s="84"/>
    </row>
    <row r="25" spans="1:53" s="73" customFormat="1">
      <c r="A25" s="73">
        <v>2001</v>
      </c>
      <c r="B25" s="852"/>
      <c r="C25" s="917" t="s">
        <v>1129</v>
      </c>
      <c r="D25" s="917"/>
      <c r="E25" s="73">
        <v>0</v>
      </c>
      <c r="G25" s="411">
        <v>13</v>
      </c>
      <c r="H25" s="468"/>
      <c r="I25" s="468">
        <v>2</v>
      </c>
      <c r="J25" s="413">
        <v>15</v>
      </c>
      <c r="K25" s="409">
        <f t="shared" si="7"/>
        <v>86.666666666666671</v>
      </c>
      <c r="L25" s="409">
        <f t="shared" si="8"/>
        <v>0</v>
      </c>
      <c r="M25" s="409">
        <f t="shared" si="5"/>
        <v>13.333333333333334</v>
      </c>
      <c r="N25" s="412">
        <f t="shared" si="6"/>
        <v>100</v>
      </c>
      <c r="O25" s="408">
        <v>62</v>
      </c>
      <c r="P25" s="409"/>
      <c r="Q25" s="409">
        <v>8</v>
      </c>
      <c r="R25" s="410">
        <f t="shared" si="4"/>
        <v>70</v>
      </c>
      <c r="S25" s="468">
        <v>3</v>
      </c>
      <c r="T25" s="839"/>
      <c r="U25" s="852"/>
      <c r="V25" s="82" t="s">
        <v>1037</v>
      </c>
      <c r="W25" s="73" t="s">
        <v>1055</v>
      </c>
      <c r="X25" s="73" t="s">
        <v>11</v>
      </c>
      <c r="Y25" s="83">
        <v>24</v>
      </c>
      <c r="Z25" s="82" t="s">
        <v>1025</v>
      </c>
      <c r="AA25" s="73" t="s">
        <v>22</v>
      </c>
      <c r="AB25" s="73" t="s">
        <v>11</v>
      </c>
      <c r="AC25" s="83">
        <v>21</v>
      </c>
      <c r="AD25" s="82" t="s">
        <v>1032</v>
      </c>
      <c r="AE25" s="73" t="s">
        <v>855</v>
      </c>
      <c r="AF25" s="73" t="s">
        <v>11</v>
      </c>
      <c r="AG25" s="83">
        <v>17</v>
      </c>
      <c r="AH25" s="73" t="s">
        <v>1033</v>
      </c>
      <c r="AI25" s="73" t="s">
        <v>1034</v>
      </c>
      <c r="AJ25" s="73" t="s">
        <v>12</v>
      </c>
      <c r="AK25" s="73">
        <v>8</v>
      </c>
      <c r="AL25" s="82"/>
      <c r="AO25" s="83"/>
      <c r="AP25" s="82"/>
      <c r="AS25" s="83"/>
      <c r="AW25" s="83"/>
      <c r="BA25" s="84"/>
    </row>
    <row r="26" spans="1:53" s="73" customFormat="1">
      <c r="A26" s="73">
        <v>2001</v>
      </c>
      <c r="B26" s="852"/>
      <c r="C26" s="917" t="s">
        <v>1129</v>
      </c>
      <c r="D26" s="917"/>
      <c r="E26" s="73">
        <v>365</v>
      </c>
      <c r="G26" s="411">
        <v>13</v>
      </c>
      <c r="H26" s="468"/>
      <c r="I26" s="468">
        <v>2</v>
      </c>
      <c r="J26" s="413">
        <v>15</v>
      </c>
      <c r="K26" s="409">
        <f t="shared" si="7"/>
        <v>86.666666666666671</v>
      </c>
      <c r="L26" s="409">
        <f t="shared" si="8"/>
        <v>0</v>
      </c>
      <c r="M26" s="409">
        <f t="shared" si="5"/>
        <v>13.333333333333334</v>
      </c>
      <c r="N26" s="412">
        <f t="shared" si="6"/>
        <v>100</v>
      </c>
      <c r="O26" s="408">
        <v>62</v>
      </c>
      <c r="P26" s="409"/>
      <c r="Q26" s="409">
        <v>8</v>
      </c>
      <c r="R26" s="410">
        <f t="shared" si="4"/>
        <v>70</v>
      </c>
      <c r="S26" s="468">
        <v>3</v>
      </c>
      <c r="T26" s="839"/>
      <c r="U26" s="852"/>
      <c r="V26" s="82" t="s">
        <v>1037</v>
      </c>
      <c r="W26" s="73" t="s">
        <v>1055</v>
      </c>
      <c r="X26" s="73" t="s">
        <v>11</v>
      </c>
      <c r="Y26" s="83">
        <v>24</v>
      </c>
      <c r="Z26" s="82" t="s">
        <v>1025</v>
      </c>
      <c r="AA26" s="73" t="s">
        <v>22</v>
      </c>
      <c r="AB26" s="73" t="s">
        <v>11</v>
      </c>
      <c r="AC26" s="73">
        <v>21</v>
      </c>
      <c r="AD26" s="82" t="s">
        <v>1032</v>
      </c>
      <c r="AE26" s="73" t="s">
        <v>855</v>
      </c>
      <c r="AF26" s="73" t="s">
        <v>11</v>
      </c>
      <c r="AG26" s="83">
        <v>17</v>
      </c>
      <c r="AH26" s="73" t="s">
        <v>1033</v>
      </c>
      <c r="AI26" s="73" t="s">
        <v>1034</v>
      </c>
      <c r="AJ26" s="73" t="s">
        <v>12</v>
      </c>
      <c r="AK26" s="73">
        <v>8</v>
      </c>
      <c r="AL26" s="82"/>
      <c r="AO26" s="83"/>
      <c r="AP26" s="82"/>
      <c r="AS26" s="83"/>
      <c r="AW26" s="83"/>
      <c r="BA26" s="84"/>
    </row>
    <row r="27" spans="1:53" s="73" customFormat="1">
      <c r="A27" s="73">
        <v>2002</v>
      </c>
      <c r="B27" s="852"/>
      <c r="C27" s="917" t="s">
        <v>1129</v>
      </c>
      <c r="D27" s="917"/>
      <c r="E27" s="73">
        <v>308</v>
      </c>
      <c r="G27" s="411">
        <v>13</v>
      </c>
      <c r="H27" s="468"/>
      <c r="I27" s="468">
        <v>2</v>
      </c>
      <c r="J27" s="413">
        <v>15</v>
      </c>
      <c r="K27" s="409">
        <f t="shared" si="7"/>
        <v>86.666666666666671</v>
      </c>
      <c r="L27" s="409">
        <f t="shared" si="8"/>
        <v>0</v>
      </c>
      <c r="M27" s="409">
        <f t="shared" si="5"/>
        <v>13.333333333333334</v>
      </c>
      <c r="N27" s="412">
        <f t="shared" si="6"/>
        <v>100</v>
      </c>
      <c r="O27" s="408">
        <v>62</v>
      </c>
      <c r="P27" s="409"/>
      <c r="Q27" s="409">
        <v>8</v>
      </c>
      <c r="R27" s="410">
        <f t="shared" si="4"/>
        <v>70</v>
      </c>
      <c r="S27" s="468">
        <v>3</v>
      </c>
      <c r="T27" s="839"/>
      <c r="U27" s="852"/>
      <c r="V27" s="82" t="s">
        <v>1037</v>
      </c>
      <c r="W27" s="73" t="s">
        <v>1055</v>
      </c>
      <c r="X27" s="73" t="s">
        <v>11</v>
      </c>
      <c r="Y27" s="83">
        <v>24</v>
      </c>
      <c r="Z27" s="82" t="s">
        <v>1025</v>
      </c>
      <c r="AA27" s="73" t="s">
        <v>22</v>
      </c>
      <c r="AB27" s="73" t="s">
        <v>11</v>
      </c>
      <c r="AC27" s="83">
        <v>21</v>
      </c>
      <c r="AD27" s="82" t="s">
        <v>1032</v>
      </c>
      <c r="AE27" s="73" t="s">
        <v>855</v>
      </c>
      <c r="AF27" s="73" t="s">
        <v>11</v>
      </c>
      <c r="AG27" s="83">
        <v>17</v>
      </c>
      <c r="AH27" s="73" t="s">
        <v>1033</v>
      </c>
      <c r="AI27" s="73" t="s">
        <v>1034</v>
      </c>
      <c r="AJ27" s="73" t="s">
        <v>12</v>
      </c>
      <c r="AK27" s="73">
        <v>8</v>
      </c>
      <c r="AL27" s="82"/>
      <c r="AO27" s="83"/>
      <c r="AP27" s="82"/>
      <c r="AS27" s="83"/>
      <c r="AW27" s="83"/>
      <c r="BA27" s="84"/>
    </row>
    <row r="28" spans="1:53" s="292" customFormat="1">
      <c r="A28" s="292">
        <v>2002</v>
      </c>
      <c r="B28" s="850">
        <v>37565</v>
      </c>
      <c r="C28" s="916" t="s">
        <v>1130</v>
      </c>
      <c r="D28" s="916"/>
      <c r="E28" s="292">
        <v>57</v>
      </c>
      <c r="F28" s="292">
        <v>1</v>
      </c>
      <c r="G28" s="425">
        <v>11</v>
      </c>
      <c r="H28" s="469">
        <v>7</v>
      </c>
      <c r="I28" s="469"/>
      <c r="J28" s="427">
        <v>18</v>
      </c>
      <c r="K28" s="423">
        <f t="shared" si="0"/>
        <v>61.111111111111114</v>
      </c>
      <c r="L28" s="423">
        <f t="shared" si="1"/>
        <v>38.888888888888893</v>
      </c>
      <c r="M28" s="423">
        <f t="shared" si="2"/>
        <v>0</v>
      </c>
      <c r="N28" s="426">
        <f t="shared" si="3"/>
        <v>100</v>
      </c>
      <c r="O28" s="422">
        <v>33</v>
      </c>
      <c r="P28" s="423">
        <v>22</v>
      </c>
      <c r="Q28" s="423"/>
      <c r="R28" s="424">
        <f t="shared" si="4"/>
        <v>55</v>
      </c>
      <c r="S28" s="469">
        <v>2</v>
      </c>
      <c r="T28" s="838">
        <v>37534</v>
      </c>
      <c r="U28" s="850">
        <v>37565</v>
      </c>
      <c r="V28" s="299" t="s">
        <v>1038</v>
      </c>
      <c r="W28" s="292" t="s">
        <v>88</v>
      </c>
      <c r="X28" s="292" t="s">
        <v>11</v>
      </c>
      <c r="Y28" s="300">
        <v>26</v>
      </c>
      <c r="Z28" s="292" t="s">
        <v>1039</v>
      </c>
      <c r="AA28" s="292" t="s">
        <v>937</v>
      </c>
      <c r="AB28" s="292" t="s">
        <v>18</v>
      </c>
      <c r="AC28" s="292">
        <v>12</v>
      </c>
      <c r="AD28" s="299" t="s">
        <v>1032</v>
      </c>
      <c r="AE28" s="292" t="s">
        <v>855</v>
      </c>
      <c r="AF28" s="292" t="s">
        <v>11</v>
      </c>
      <c r="AG28" s="300">
        <v>7</v>
      </c>
      <c r="AH28" s="292" t="s">
        <v>1040</v>
      </c>
      <c r="AI28" s="292" t="s">
        <v>82</v>
      </c>
      <c r="AJ28" s="292" t="s">
        <v>18</v>
      </c>
      <c r="AK28" s="292">
        <v>10</v>
      </c>
      <c r="AL28" s="299"/>
      <c r="AO28" s="300"/>
      <c r="AP28" s="299"/>
      <c r="AS28" s="300"/>
      <c r="AW28" s="300"/>
      <c r="BA28" s="301"/>
    </row>
    <row r="29" spans="1:53" s="292" customFormat="1">
      <c r="A29" s="292">
        <v>2003</v>
      </c>
      <c r="B29" s="863"/>
      <c r="C29" s="916" t="s">
        <v>1130</v>
      </c>
      <c r="D29" s="916"/>
      <c r="E29" s="292">
        <v>0</v>
      </c>
      <c r="G29" s="425">
        <v>11</v>
      </c>
      <c r="H29" s="469">
        <v>7</v>
      </c>
      <c r="I29" s="469"/>
      <c r="J29" s="427">
        <v>18</v>
      </c>
      <c r="K29" s="423">
        <f t="shared" si="0"/>
        <v>61.111111111111114</v>
      </c>
      <c r="L29" s="423">
        <f t="shared" si="1"/>
        <v>38.888888888888893</v>
      </c>
      <c r="M29" s="423">
        <f t="shared" si="2"/>
        <v>0</v>
      </c>
      <c r="N29" s="426">
        <f t="shared" si="3"/>
        <v>100</v>
      </c>
      <c r="O29" s="422">
        <v>33</v>
      </c>
      <c r="P29" s="423">
        <v>22</v>
      </c>
      <c r="Q29" s="423"/>
      <c r="R29" s="424">
        <f t="shared" si="4"/>
        <v>55</v>
      </c>
      <c r="S29" s="469">
        <v>2</v>
      </c>
      <c r="T29" s="838"/>
      <c r="U29" s="836"/>
      <c r="V29" s="299" t="s">
        <v>1038</v>
      </c>
      <c r="W29" s="292" t="s">
        <v>88</v>
      </c>
      <c r="X29" s="292" t="s">
        <v>11</v>
      </c>
      <c r="Y29" s="300">
        <v>26</v>
      </c>
      <c r="Z29" s="292" t="s">
        <v>1039</v>
      </c>
      <c r="AA29" s="292" t="s">
        <v>937</v>
      </c>
      <c r="AB29" s="466" t="s">
        <v>18</v>
      </c>
      <c r="AC29" s="292">
        <v>12</v>
      </c>
      <c r="AD29" s="299" t="s">
        <v>1032</v>
      </c>
      <c r="AE29" s="292" t="s">
        <v>855</v>
      </c>
      <c r="AF29" s="292" t="s">
        <v>11</v>
      </c>
      <c r="AG29" s="300">
        <v>7</v>
      </c>
      <c r="AH29" s="292" t="s">
        <v>1040</v>
      </c>
      <c r="AI29" s="292" t="s">
        <v>82</v>
      </c>
      <c r="AJ29" s="292" t="s">
        <v>18</v>
      </c>
      <c r="AK29" s="292">
        <v>10</v>
      </c>
      <c r="AL29" s="299"/>
      <c r="AO29" s="300"/>
      <c r="AP29" s="299"/>
      <c r="AS29" s="300"/>
      <c r="AW29" s="300"/>
      <c r="BA29" s="301"/>
    </row>
    <row r="30" spans="1:53" s="292" customFormat="1">
      <c r="A30" s="292">
        <v>2003</v>
      </c>
      <c r="B30" s="863"/>
      <c r="C30" s="916" t="s">
        <v>1130</v>
      </c>
      <c r="D30" s="916"/>
      <c r="E30" s="292">
        <v>365</v>
      </c>
      <c r="G30" s="425">
        <v>11</v>
      </c>
      <c r="H30" s="469">
        <v>7</v>
      </c>
      <c r="I30" s="469"/>
      <c r="J30" s="427">
        <v>18</v>
      </c>
      <c r="K30" s="423">
        <f t="shared" si="0"/>
        <v>61.111111111111114</v>
      </c>
      <c r="L30" s="423">
        <f t="shared" si="1"/>
        <v>38.888888888888893</v>
      </c>
      <c r="M30" s="423">
        <f t="shared" si="2"/>
        <v>0</v>
      </c>
      <c r="N30" s="426">
        <f t="shared" si="3"/>
        <v>100</v>
      </c>
      <c r="O30" s="422">
        <v>33</v>
      </c>
      <c r="P30" s="423">
        <v>22</v>
      </c>
      <c r="Q30" s="423"/>
      <c r="R30" s="424">
        <f t="shared" si="4"/>
        <v>55</v>
      </c>
      <c r="S30" s="469">
        <v>2</v>
      </c>
      <c r="T30" s="838"/>
      <c r="U30" s="836"/>
      <c r="V30" s="299" t="s">
        <v>1038</v>
      </c>
      <c r="W30" s="292" t="s">
        <v>88</v>
      </c>
      <c r="X30" s="292" t="s">
        <v>11</v>
      </c>
      <c r="Y30" s="300">
        <v>26</v>
      </c>
      <c r="Z30" s="292" t="s">
        <v>1039</v>
      </c>
      <c r="AA30" s="292" t="s">
        <v>937</v>
      </c>
      <c r="AB30" s="466" t="s">
        <v>18</v>
      </c>
      <c r="AC30" s="292">
        <v>12</v>
      </c>
      <c r="AD30" s="299" t="s">
        <v>1032</v>
      </c>
      <c r="AE30" s="292" t="s">
        <v>855</v>
      </c>
      <c r="AF30" s="292" t="s">
        <v>11</v>
      </c>
      <c r="AG30" s="300">
        <v>7</v>
      </c>
      <c r="AH30" s="292" t="s">
        <v>1040</v>
      </c>
      <c r="AI30" s="292" t="s">
        <v>82</v>
      </c>
      <c r="AJ30" s="292" t="s">
        <v>18</v>
      </c>
      <c r="AK30" s="292">
        <v>10</v>
      </c>
      <c r="AL30" s="299"/>
      <c r="AO30" s="300"/>
      <c r="AP30" s="299"/>
      <c r="AS30" s="300"/>
      <c r="AW30" s="300"/>
      <c r="BA30" s="301"/>
    </row>
    <row r="31" spans="1:53" s="292" customFormat="1">
      <c r="A31" s="292">
        <v>2004</v>
      </c>
      <c r="B31" s="863"/>
      <c r="C31" s="916" t="s">
        <v>1130</v>
      </c>
      <c r="D31" s="916"/>
      <c r="E31" s="292">
        <v>68</v>
      </c>
      <c r="G31" s="425">
        <v>11</v>
      </c>
      <c r="H31" s="469">
        <v>7</v>
      </c>
      <c r="I31" s="469"/>
      <c r="J31" s="427">
        <v>18</v>
      </c>
      <c r="K31" s="423">
        <f>G31/J31*100</f>
        <v>61.111111111111114</v>
      </c>
      <c r="L31" s="423">
        <f>H31/J31*100</f>
        <v>38.888888888888893</v>
      </c>
      <c r="M31" s="423">
        <f>I31/J31*100</f>
        <v>0</v>
      </c>
      <c r="N31" s="426">
        <f t="shared" si="3"/>
        <v>100</v>
      </c>
      <c r="O31" s="422">
        <v>33</v>
      </c>
      <c r="P31" s="423">
        <v>22</v>
      </c>
      <c r="Q31" s="423"/>
      <c r="R31" s="424">
        <f t="shared" si="4"/>
        <v>55</v>
      </c>
      <c r="S31" s="469">
        <v>2</v>
      </c>
      <c r="T31" s="838"/>
      <c r="U31" s="836"/>
      <c r="V31" s="299" t="s">
        <v>1038</v>
      </c>
      <c r="W31" s="292" t="s">
        <v>88</v>
      </c>
      <c r="X31" s="292" t="s">
        <v>11</v>
      </c>
      <c r="Y31" s="300">
        <v>26</v>
      </c>
      <c r="Z31" s="292" t="s">
        <v>1039</v>
      </c>
      <c r="AA31" s="292" t="s">
        <v>937</v>
      </c>
      <c r="AB31" s="466" t="s">
        <v>18</v>
      </c>
      <c r="AC31" s="292">
        <v>12</v>
      </c>
      <c r="AD31" s="299" t="s">
        <v>1032</v>
      </c>
      <c r="AE31" s="292" t="s">
        <v>855</v>
      </c>
      <c r="AF31" s="292" t="s">
        <v>11</v>
      </c>
      <c r="AG31" s="300">
        <v>7</v>
      </c>
      <c r="AH31" s="292" t="s">
        <v>1040</v>
      </c>
      <c r="AI31" s="292" t="s">
        <v>82</v>
      </c>
      <c r="AJ31" s="292" t="s">
        <v>18</v>
      </c>
      <c r="AK31" s="292">
        <v>10</v>
      </c>
      <c r="AL31" s="299"/>
      <c r="AO31" s="300"/>
      <c r="AP31" s="299"/>
      <c r="AS31" s="300"/>
      <c r="AW31" s="300"/>
      <c r="BA31" s="301"/>
    </row>
    <row r="32" spans="1:53" s="73" customFormat="1">
      <c r="A32" s="73">
        <v>2004</v>
      </c>
      <c r="B32" s="830">
        <v>38055</v>
      </c>
      <c r="C32" s="917" t="s">
        <v>1041</v>
      </c>
      <c r="D32" s="917"/>
      <c r="E32" s="73">
        <v>268</v>
      </c>
      <c r="F32" s="73">
        <v>2</v>
      </c>
      <c r="G32" s="411">
        <v>5</v>
      </c>
      <c r="H32" s="468">
        <v>11</v>
      </c>
      <c r="I32" s="468"/>
      <c r="J32" s="413">
        <v>18</v>
      </c>
      <c r="K32" s="409">
        <f t="shared" si="0"/>
        <v>27.777777777777779</v>
      </c>
      <c r="L32" s="409">
        <f t="shared" si="1"/>
        <v>61.111111111111114</v>
      </c>
      <c r="M32" s="409">
        <f t="shared" si="2"/>
        <v>0</v>
      </c>
      <c r="N32" s="412">
        <f t="shared" si="3"/>
        <v>88.888888888888886</v>
      </c>
      <c r="O32" s="408">
        <v>20</v>
      </c>
      <c r="P32" s="409">
        <v>22</v>
      </c>
      <c r="Q32" s="409"/>
      <c r="R32" s="410">
        <f t="shared" si="4"/>
        <v>42</v>
      </c>
      <c r="S32" s="468">
        <v>5</v>
      </c>
      <c r="T32" s="839"/>
      <c r="U32" s="830">
        <v>38055</v>
      </c>
      <c r="V32" s="82" t="s">
        <v>1037</v>
      </c>
      <c r="W32" s="73" t="s">
        <v>1055</v>
      </c>
      <c r="X32" s="73" t="s">
        <v>11</v>
      </c>
      <c r="Y32" s="83">
        <v>20</v>
      </c>
      <c r="Z32" s="73" t="s">
        <v>1039</v>
      </c>
      <c r="AA32" s="73" t="s">
        <v>937</v>
      </c>
      <c r="AB32" s="73" t="s">
        <v>18</v>
      </c>
      <c r="AC32" s="73">
        <v>12</v>
      </c>
      <c r="AD32" s="82" t="s">
        <v>1040</v>
      </c>
      <c r="AE32" s="73" t="s">
        <v>82</v>
      </c>
      <c r="AF32" s="73" t="s">
        <v>18</v>
      </c>
      <c r="AG32" s="83">
        <v>10</v>
      </c>
      <c r="AL32" s="82"/>
      <c r="AO32" s="83"/>
      <c r="AP32" s="82"/>
      <c r="AS32" s="83"/>
      <c r="AW32" s="83"/>
      <c r="BA32" s="84"/>
    </row>
    <row r="33" spans="1:53" s="292" customFormat="1">
      <c r="A33" s="292">
        <v>2004</v>
      </c>
      <c r="B33" s="863">
        <v>38323</v>
      </c>
      <c r="C33" s="916" t="s">
        <v>1131</v>
      </c>
      <c r="D33" s="916"/>
      <c r="E33" s="292">
        <v>30</v>
      </c>
      <c r="F33" s="292">
        <v>7</v>
      </c>
      <c r="G33" s="425">
        <v>12</v>
      </c>
      <c r="H33" s="469">
        <v>6</v>
      </c>
      <c r="I33" s="469"/>
      <c r="J33" s="427">
        <v>18</v>
      </c>
      <c r="K33" s="423">
        <f t="shared" si="0"/>
        <v>66.666666666666657</v>
      </c>
      <c r="L33" s="423">
        <f t="shared" si="1"/>
        <v>33.333333333333329</v>
      </c>
      <c r="M33" s="423">
        <f t="shared" si="2"/>
        <v>0</v>
      </c>
      <c r="N33" s="426">
        <f t="shared" si="3"/>
        <v>99.999999999999986</v>
      </c>
      <c r="O33" s="422">
        <v>46</v>
      </c>
      <c r="P33" s="423">
        <v>22</v>
      </c>
      <c r="Q33" s="423"/>
      <c r="R33" s="424">
        <f t="shared" si="4"/>
        <v>68</v>
      </c>
      <c r="S33" s="469">
        <v>3</v>
      </c>
      <c r="T33" s="838"/>
      <c r="U33" s="863">
        <v>38323</v>
      </c>
      <c r="V33" s="299" t="s">
        <v>1038</v>
      </c>
      <c r="W33" s="292" t="s">
        <v>88</v>
      </c>
      <c r="X33" s="292" t="s">
        <v>11</v>
      </c>
      <c r="Y33" s="300">
        <v>26</v>
      </c>
      <c r="Z33" s="299" t="s">
        <v>1037</v>
      </c>
      <c r="AA33" s="292" t="s">
        <v>1055</v>
      </c>
      <c r="AB33" s="292" t="s">
        <v>11</v>
      </c>
      <c r="AC33" s="292">
        <v>20</v>
      </c>
      <c r="AD33" s="299" t="s">
        <v>1039</v>
      </c>
      <c r="AE33" s="292" t="s">
        <v>937</v>
      </c>
      <c r="AF33" s="292" t="s">
        <v>18</v>
      </c>
      <c r="AG33" s="300">
        <v>12</v>
      </c>
      <c r="AH33" s="292" t="s">
        <v>1040</v>
      </c>
      <c r="AI33" s="292" t="s">
        <v>82</v>
      </c>
      <c r="AJ33" s="292" t="s">
        <v>18</v>
      </c>
      <c r="AK33" s="292">
        <v>10</v>
      </c>
      <c r="AL33" s="299"/>
      <c r="AO33" s="300"/>
      <c r="AP33" s="299"/>
      <c r="AS33" s="300"/>
      <c r="AW33" s="300"/>
      <c r="BA33" s="301"/>
    </row>
    <row r="34" spans="1:53" s="292" customFormat="1">
      <c r="A34" s="292">
        <v>2005</v>
      </c>
      <c r="B34" s="863"/>
      <c r="C34" s="916" t="s">
        <v>1131</v>
      </c>
      <c r="D34" s="916"/>
      <c r="E34" s="292">
        <v>0</v>
      </c>
      <c r="G34" s="425">
        <v>12</v>
      </c>
      <c r="H34" s="469">
        <v>6</v>
      </c>
      <c r="I34" s="469"/>
      <c r="J34" s="427">
        <v>18</v>
      </c>
      <c r="K34" s="423">
        <f t="shared" si="0"/>
        <v>66.666666666666657</v>
      </c>
      <c r="L34" s="423">
        <f t="shared" si="1"/>
        <v>33.333333333333329</v>
      </c>
      <c r="M34" s="423">
        <f t="shared" si="2"/>
        <v>0</v>
      </c>
      <c r="N34" s="426">
        <f t="shared" si="3"/>
        <v>99.999999999999986</v>
      </c>
      <c r="O34" s="422">
        <v>46</v>
      </c>
      <c r="P34" s="423">
        <v>22</v>
      </c>
      <c r="Q34" s="423"/>
      <c r="R34" s="424">
        <f t="shared" si="4"/>
        <v>68</v>
      </c>
      <c r="S34" s="469">
        <v>3</v>
      </c>
      <c r="T34" s="838"/>
      <c r="U34" s="836"/>
      <c r="V34" s="299" t="s">
        <v>1038</v>
      </c>
      <c r="W34" s="292" t="s">
        <v>88</v>
      </c>
      <c r="X34" s="292" t="s">
        <v>11</v>
      </c>
      <c r="Y34" s="300">
        <v>26</v>
      </c>
      <c r="Z34" s="292" t="s">
        <v>1037</v>
      </c>
      <c r="AA34" s="292" t="s">
        <v>1055</v>
      </c>
      <c r="AB34" s="292" t="s">
        <v>11</v>
      </c>
      <c r="AC34" s="292">
        <v>20</v>
      </c>
      <c r="AD34" s="299" t="s">
        <v>1039</v>
      </c>
      <c r="AE34" s="292" t="s">
        <v>937</v>
      </c>
      <c r="AF34" s="466" t="s">
        <v>18</v>
      </c>
      <c r="AG34" s="300">
        <v>12</v>
      </c>
      <c r="AH34" s="292" t="s">
        <v>1040</v>
      </c>
      <c r="AI34" s="292" t="s">
        <v>82</v>
      </c>
      <c r="AJ34" s="292" t="s">
        <v>18</v>
      </c>
      <c r="AK34" s="292">
        <v>10</v>
      </c>
      <c r="AL34" s="299"/>
      <c r="AO34" s="300"/>
      <c r="AP34" s="299"/>
      <c r="AS34" s="300"/>
      <c r="AW34" s="300"/>
      <c r="BA34" s="301"/>
    </row>
    <row r="35" spans="1:53" s="292" customFormat="1">
      <c r="A35" s="292">
        <v>2005</v>
      </c>
      <c r="B35" s="863"/>
      <c r="C35" s="916" t="s">
        <v>1131</v>
      </c>
      <c r="D35" s="916"/>
      <c r="E35" s="292">
        <v>365</v>
      </c>
      <c r="G35" s="425">
        <v>12</v>
      </c>
      <c r="H35" s="469">
        <v>6</v>
      </c>
      <c r="I35" s="469"/>
      <c r="J35" s="427">
        <v>18</v>
      </c>
      <c r="K35" s="423">
        <f t="shared" si="0"/>
        <v>66.666666666666657</v>
      </c>
      <c r="L35" s="423">
        <f t="shared" si="1"/>
        <v>33.333333333333329</v>
      </c>
      <c r="M35" s="423">
        <f t="shared" si="2"/>
        <v>0</v>
      </c>
      <c r="N35" s="426">
        <f t="shared" si="3"/>
        <v>99.999999999999986</v>
      </c>
      <c r="O35" s="422">
        <v>46</v>
      </c>
      <c r="P35" s="423">
        <v>22</v>
      </c>
      <c r="Q35" s="423"/>
      <c r="R35" s="424">
        <f t="shared" si="4"/>
        <v>68</v>
      </c>
      <c r="S35" s="469">
        <v>3</v>
      </c>
      <c r="T35" s="838"/>
      <c r="U35" s="836"/>
      <c r="V35" s="299" t="s">
        <v>1038</v>
      </c>
      <c r="W35" s="292" t="s">
        <v>88</v>
      </c>
      <c r="X35" s="292" t="s">
        <v>11</v>
      </c>
      <c r="Y35" s="300">
        <v>26</v>
      </c>
      <c r="Z35" s="299" t="s">
        <v>1037</v>
      </c>
      <c r="AA35" s="292" t="s">
        <v>1055</v>
      </c>
      <c r="AB35" s="292" t="s">
        <v>11</v>
      </c>
      <c r="AC35" s="292">
        <v>20</v>
      </c>
      <c r="AD35" s="299" t="s">
        <v>1039</v>
      </c>
      <c r="AE35" s="292" t="s">
        <v>937</v>
      </c>
      <c r="AF35" s="466" t="s">
        <v>18</v>
      </c>
      <c r="AG35" s="300">
        <v>12</v>
      </c>
      <c r="AH35" s="292" t="s">
        <v>1040</v>
      </c>
      <c r="AI35" s="292" t="s">
        <v>82</v>
      </c>
      <c r="AJ35" s="292" t="s">
        <v>18</v>
      </c>
      <c r="AK35" s="292">
        <v>10</v>
      </c>
      <c r="AL35" s="299"/>
      <c r="AO35" s="300"/>
      <c r="AP35" s="299"/>
      <c r="AS35" s="300"/>
      <c r="AW35" s="300"/>
      <c r="BA35" s="301"/>
    </row>
    <row r="36" spans="1:53" s="292" customFormat="1">
      <c r="A36" s="292">
        <v>2006</v>
      </c>
      <c r="B36" s="863"/>
      <c r="C36" s="916" t="s">
        <v>1131</v>
      </c>
      <c r="D36" s="916"/>
      <c r="E36" s="292">
        <v>97</v>
      </c>
      <c r="G36" s="425">
        <v>12</v>
      </c>
      <c r="H36" s="469">
        <v>6</v>
      </c>
      <c r="I36" s="469"/>
      <c r="J36" s="427">
        <v>18</v>
      </c>
      <c r="K36" s="423">
        <f>G36/J36*100</f>
        <v>66.666666666666657</v>
      </c>
      <c r="L36" s="423">
        <f>H36/J36*100</f>
        <v>33.333333333333329</v>
      </c>
      <c r="M36" s="423">
        <f>I36/J36*100</f>
        <v>0</v>
      </c>
      <c r="N36" s="426">
        <f t="shared" si="3"/>
        <v>99.999999999999986</v>
      </c>
      <c r="O36" s="422">
        <v>46</v>
      </c>
      <c r="P36" s="423">
        <v>22</v>
      </c>
      <c r="Q36" s="423"/>
      <c r="R36" s="424">
        <f t="shared" si="4"/>
        <v>68</v>
      </c>
      <c r="S36" s="469">
        <v>3</v>
      </c>
      <c r="T36" s="838"/>
      <c r="U36" s="836"/>
      <c r="V36" s="299" t="s">
        <v>1038</v>
      </c>
      <c r="W36" s="292" t="s">
        <v>88</v>
      </c>
      <c r="X36" s="292" t="s">
        <v>11</v>
      </c>
      <c r="Y36" s="300">
        <v>26</v>
      </c>
      <c r="Z36" s="292" t="s">
        <v>1037</v>
      </c>
      <c r="AA36" s="292" t="s">
        <v>1055</v>
      </c>
      <c r="AB36" s="292" t="s">
        <v>11</v>
      </c>
      <c r="AC36" s="292">
        <v>20</v>
      </c>
      <c r="AD36" s="299" t="s">
        <v>1039</v>
      </c>
      <c r="AE36" s="292" t="s">
        <v>937</v>
      </c>
      <c r="AF36" s="466" t="s">
        <v>18</v>
      </c>
      <c r="AG36" s="300">
        <v>12</v>
      </c>
      <c r="AH36" s="292" t="s">
        <v>1040</v>
      </c>
      <c r="AI36" s="292" t="s">
        <v>82</v>
      </c>
      <c r="AJ36" s="292" t="s">
        <v>18</v>
      </c>
      <c r="AK36" s="292">
        <v>10</v>
      </c>
      <c r="AL36" s="299"/>
      <c r="AO36" s="300"/>
      <c r="AP36" s="299"/>
      <c r="AS36" s="300"/>
      <c r="AW36" s="300"/>
      <c r="BA36" s="301"/>
    </row>
    <row r="37" spans="1:53" s="73" customFormat="1">
      <c r="A37" s="73">
        <v>2006</v>
      </c>
      <c r="B37" s="830">
        <v>38815</v>
      </c>
      <c r="C37" s="917" t="s">
        <v>1132</v>
      </c>
      <c r="D37" s="917"/>
      <c r="E37" s="73">
        <v>213</v>
      </c>
      <c r="F37" s="73">
        <v>4</v>
      </c>
      <c r="G37" s="411">
        <v>9</v>
      </c>
      <c r="H37" s="468">
        <v>9</v>
      </c>
      <c r="I37" s="468"/>
      <c r="J37" s="413">
        <v>18</v>
      </c>
      <c r="K37" s="409">
        <f t="shared" si="0"/>
        <v>50</v>
      </c>
      <c r="L37" s="409">
        <f t="shared" si="1"/>
        <v>50</v>
      </c>
      <c r="M37" s="409">
        <f t="shared" si="2"/>
        <v>0</v>
      </c>
      <c r="N37" s="412">
        <f t="shared" si="3"/>
        <v>100</v>
      </c>
      <c r="O37" s="408">
        <v>20</v>
      </c>
      <c r="P37" s="409">
        <v>22</v>
      </c>
      <c r="Q37" s="409"/>
      <c r="R37" s="410">
        <f t="shared" si="4"/>
        <v>42</v>
      </c>
      <c r="S37" s="468">
        <v>5</v>
      </c>
      <c r="T37" s="839"/>
      <c r="U37" s="830">
        <v>38815</v>
      </c>
      <c r="V37" s="82" t="s">
        <v>1037</v>
      </c>
      <c r="W37" s="73" t="s">
        <v>1055</v>
      </c>
      <c r="X37" s="73" t="s">
        <v>11</v>
      </c>
      <c r="Y37" s="83">
        <v>20</v>
      </c>
      <c r="Z37" s="73" t="s">
        <v>1039</v>
      </c>
      <c r="AA37" s="73" t="s">
        <v>937</v>
      </c>
      <c r="AB37" s="73" t="s">
        <v>18</v>
      </c>
      <c r="AC37" s="73">
        <v>12</v>
      </c>
      <c r="AD37" s="82" t="s">
        <v>1040</v>
      </c>
      <c r="AE37" s="73" t="s">
        <v>82</v>
      </c>
      <c r="AF37" s="73" t="s">
        <v>18</v>
      </c>
      <c r="AG37" s="83">
        <v>10</v>
      </c>
      <c r="AH37" s="82" t="s">
        <v>1025</v>
      </c>
      <c r="AI37" s="73" t="s">
        <v>22</v>
      </c>
      <c r="AJ37" s="73" t="s">
        <v>11</v>
      </c>
      <c r="AK37" s="73">
        <v>0</v>
      </c>
      <c r="AL37" s="82"/>
      <c r="AO37" s="83"/>
      <c r="AP37" s="82"/>
      <c r="AS37" s="83"/>
      <c r="AW37" s="83"/>
      <c r="BA37" s="84"/>
    </row>
    <row r="38" spans="1:53" s="292" customFormat="1">
      <c r="A38" s="292">
        <v>2006</v>
      </c>
      <c r="B38" s="863">
        <v>39028</v>
      </c>
      <c r="C38" s="916" t="s">
        <v>1133</v>
      </c>
      <c r="D38" s="916"/>
      <c r="E38" s="292">
        <v>55</v>
      </c>
      <c r="F38" s="292">
        <v>1</v>
      </c>
      <c r="G38" s="425">
        <v>9</v>
      </c>
      <c r="H38" s="469">
        <v>9</v>
      </c>
      <c r="I38" s="469"/>
      <c r="J38" s="427">
        <v>18</v>
      </c>
      <c r="K38" s="423">
        <f t="shared" si="0"/>
        <v>50</v>
      </c>
      <c r="L38" s="423">
        <f t="shared" si="1"/>
        <v>50</v>
      </c>
      <c r="M38" s="423">
        <f t="shared" si="2"/>
        <v>0</v>
      </c>
      <c r="N38" s="426">
        <f t="shared" si="3"/>
        <v>100</v>
      </c>
      <c r="O38" s="422">
        <v>31</v>
      </c>
      <c r="P38" s="423">
        <v>28</v>
      </c>
      <c r="Q38" s="423"/>
      <c r="R38" s="424">
        <f t="shared" si="4"/>
        <v>59</v>
      </c>
      <c r="S38" s="469">
        <v>3</v>
      </c>
      <c r="T38" s="838">
        <v>38997</v>
      </c>
      <c r="U38" s="863">
        <v>39028</v>
      </c>
      <c r="V38" s="299" t="s">
        <v>1037</v>
      </c>
      <c r="W38" s="292" t="s">
        <v>1055</v>
      </c>
      <c r="X38" s="292" t="s">
        <v>11</v>
      </c>
      <c r="Y38" s="300">
        <v>23</v>
      </c>
      <c r="Z38" s="292" t="s">
        <v>1039</v>
      </c>
      <c r="AA38" s="292" t="s">
        <v>937</v>
      </c>
      <c r="AB38" s="292" t="s">
        <v>18</v>
      </c>
      <c r="AC38" s="292">
        <v>18</v>
      </c>
      <c r="AD38" s="299" t="s">
        <v>1043</v>
      </c>
      <c r="AE38" s="292" t="s">
        <v>1042</v>
      </c>
      <c r="AF38" s="292" t="s">
        <v>18</v>
      </c>
      <c r="AG38" s="300">
        <v>10</v>
      </c>
      <c r="AH38" s="299" t="s">
        <v>1032</v>
      </c>
      <c r="AI38" s="292" t="s">
        <v>855</v>
      </c>
      <c r="AJ38" s="292" t="s">
        <v>11</v>
      </c>
      <c r="AK38" s="292">
        <v>8</v>
      </c>
      <c r="AL38" s="299"/>
      <c r="AO38" s="300"/>
      <c r="AP38" s="299"/>
      <c r="AS38" s="300"/>
      <c r="AW38" s="300"/>
      <c r="BA38" s="301"/>
    </row>
    <row r="39" spans="1:53" s="292" customFormat="1">
      <c r="A39" s="292">
        <v>2007</v>
      </c>
      <c r="B39" s="863"/>
      <c r="C39" s="916" t="s">
        <v>1133</v>
      </c>
      <c r="D39" s="916"/>
      <c r="E39" s="292">
        <v>353</v>
      </c>
      <c r="G39" s="425">
        <v>9</v>
      </c>
      <c r="H39" s="469">
        <v>9</v>
      </c>
      <c r="I39" s="469"/>
      <c r="J39" s="427">
        <v>18</v>
      </c>
      <c r="K39" s="423">
        <f t="shared" si="0"/>
        <v>50</v>
      </c>
      <c r="L39" s="423">
        <f t="shared" si="1"/>
        <v>50</v>
      </c>
      <c r="M39" s="423">
        <f t="shared" si="2"/>
        <v>0</v>
      </c>
      <c r="N39" s="426">
        <f t="shared" si="3"/>
        <v>100</v>
      </c>
      <c r="O39" s="422">
        <v>31</v>
      </c>
      <c r="P39" s="423">
        <v>28</v>
      </c>
      <c r="Q39" s="423"/>
      <c r="R39" s="424">
        <f t="shared" si="4"/>
        <v>59</v>
      </c>
      <c r="S39" s="469">
        <v>3</v>
      </c>
      <c r="T39" s="838"/>
      <c r="U39" s="836"/>
      <c r="V39" s="299" t="s">
        <v>1037</v>
      </c>
      <c r="W39" s="292" t="s">
        <v>1055</v>
      </c>
      <c r="X39" s="292" t="s">
        <v>11</v>
      </c>
      <c r="Y39" s="300">
        <v>23</v>
      </c>
      <c r="Z39" s="292" t="s">
        <v>1039</v>
      </c>
      <c r="AA39" s="292" t="s">
        <v>937</v>
      </c>
      <c r="AB39" s="292" t="s">
        <v>18</v>
      </c>
      <c r="AC39" s="292">
        <v>18</v>
      </c>
      <c r="AD39" s="299" t="s">
        <v>1043</v>
      </c>
      <c r="AE39" s="292" t="s">
        <v>1042</v>
      </c>
      <c r="AF39" s="292" t="s">
        <v>18</v>
      </c>
      <c r="AG39" s="300">
        <v>10</v>
      </c>
      <c r="AH39" s="299" t="s">
        <v>1032</v>
      </c>
      <c r="AI39" s="292" t="s">
        <v>855</v>
      </c>
      <c r="AJ39" s="292" t="s">
        <v>11</v>
      </c>
      <c r="AK39" s="292">
        <v>8</v>
      </c>
      <c r="AL39" s="299"/>
      <c r="AO39" s="300"/>
      <c r="AP39" s="299"/>
      <c r="AS39" s="300"/>
      <c r="AW39" s="300"/>
      <c r="BA39" s="301"/>
    </row>
    <row r="40" spans="1:53" s="73" customFormat="1">
      <c r="A40" s="73">
        <v>2007</v>
      </c>
      <c r="B40" s="830">
        <v>39436</v>
      </c>
      <c r="C40" s="917" t="s">
        <v>1044</v>
      </c>
      <c r="D40" s="917"/>
      <c r="E40" s="73">
        <v>12</v>
      </c>
      <c r="F40" s="73">
        <v>2</v>
      </c>
      <c r="G40" s="411">
        <v>10</v>
      </c>
      <c r="H40" s="468">
        <v>9</v>
      </c>
      <c r="I40" s="468"/>
      <c r="J40" s="413">
        <v>19</v>
      </c>
      <c r="K40" s="409">
        <f t="shared" si="0"/>
        <v>52.631578947368418</v>
      </c>
      <c r="L40" s="409">
        <f t="shared" si="1"/>
        <v>47.368421052631575</v>
      </c>
      <c r="M40" s="409">
        <f t="shared" si="2"/>
        <v>0</v>
      </c>
      <c r="N40" s="412">
        <f t="shared" si="3"/>
        <v>100</v>
      </c>
      <c r="O40" s="408">
        <v>31</v>
      </c>
      <c r="P40" s="409">
        <v>28</v>
      </c>
      <c r="Q40" s="409"/>
      <c r="R40" s="410">
        <f t="shared" si="4"/>
        <v>59</v>
      </c>
      <c r="S40" s="468">
        <v>3</v>
      </c>
      <c r="T40" s="839"/>
      <c r="U40" s="830">
        <v>39436</v>
      </c>
      <c r="V40" s="82" t="s">
        <v>1037</v>
      </c>
      <c r="W40" s="73" t="s">
        <v>1055</v>
      </c>
      <c r="X40" s="73" t="s">
        <v>11</v>
      </c>
      <c r="Y40" s="83">
        <v>23</v>
      </c>
      <c r="Z40" s="73" t="s">
        <v>1039</v>
      </c>
      <c r="AA40" s="73" t="s">
        <v>937</v>
      </c>
      <c r="AB40" s="73" t="s">
        <v>18</v>
      </c>
      <c r="AC40" s="73">
        <v>18</v>
      </c>
      <c r="AD40" s="82" t="s">
        <v>1043</v>
      </c>
      <c r="AE40" s="73" t="s">
        <v>1042</v>
      </c>
      <c r="AF40" s="73" t="s">
        <v>18</v>
      </c>
      <c r="AG40" s="83">
        <v>10</v>
      </c>
      <c r="AH40" s="82" t="s">
        <v>1032</v>
      </c>
      <c r="AI40" s="73" t="s">
        <v>855</v>
      </c>
      <c r="AJ40" s="73" t="s">
        <v>11</v>
      </c>
      <c r="AK40" s="73">
        <v>8</v>
      </c>
      <c r="AL40" s="82"/>
      <c r="AO40" s="83"/>
      <c r="AP40" s="82"/>
      <c r="AS40" s="83"/>
      <c r="AW40" s="83"/>
      <c r="BA40" s="84"/>
    </row>
    <row r="41" spans="1:53" s="73" customFormat="1">
      <c r="A41" s="73">
        <v>2008</v>
      </c>
      <c r="B41" s="830"/>
      <c r="C41" s="917" t="s">
        <v>1044</v>
      </c>
      <c r="D41" s="917"/>
      <c r="E41" s="73">
        <v>0</v>
      </c>
      <c r="G41" s="411">
        <v>10</v>
      </c>
      <c r="H41" s="468">
        <v>9</v>
      </c>
      <c r="I41" s="468"/>
      <c r="J41" s="413">
        <v>19</v>
      </c>
      <c r="K41" s="409">
        <f t="shared" si="0"/>
        <v>52.631578947368418</v>
      </c>
      <c r="L41" s="409">
        <f t="shared" si="1"/>
        <v>47.368421052631575</v>
      </c>
      <c r="M41" s="409">
        <f t="shared" si="2"/>
        <v>0</v>
      </c>
      <c r="N41" s="412">
        <f t="shared" si="3"/>
        <v>100</v>
      </c>
      <c r="O41" s="408">
        <v>31</v>
      </c>
      <c r="P41" s="409">
        <v>28</v>
      </c>
      <c r="Q41" s="409"/>
      <c r="R41" s="410">
        <f t="shared" si="4"/>
        <v>59</v>
      </c>
      <c r="S41" s="468">
        <v>3</v>
      </c>
      <c r="T41" s="839"/>
      <c r="U41" s="852"/>
      <c r="V41" s="82" t="s">
        <v>1037</v>
      </c>
      <c r="W41" s="73" t="s">
        <v>1055</v>
      </c>
      <c r="X41" s="73" t="s">
        <v>11</v>
      </c>
      <c r="Y41" s="83">
        <v>23</v>
      </c>
      <c r="Z41" s="73" t="s">
        <v>1039</v>
      </c>
      <c r="AA41" s="73" t="s">
        <v>937</v>
      </c>
      <c r="AB41" s="465" t="s">
        <v>18</v>
      </c>
      <c r="AC41" s="73">
        <v>18</v>
      </c>
      <c r="AD41" s="82" t="s">
        <v>1043</v>
      </c>
      <c r="AE41" s="73" t="s">
        <v>1042</v>
      </c>
      <c r="AF41" s="73" t="s">
        <v>18</v>
      </c>
      <c r="AG41" s="83">
        <v>10</v>
      </c>
      <c r="AH41" s="73" t="s">
        <v>1032</v>
      </c>
      <c r="AI41" s="73" t="s">
        <v>855</v>
      </c>
      <c r="AJ41" s="73" t="s">
        <v>11</v>
      </c>
      <c r="AK41" s="73">
        <v>8</v>
      </c>
      <c r="AL41" s="82"/>
      <c r="AO41" s="83"/>
      <c r="AP41" s="82"/>
      <c r="AS41" s="83"/>
      <c r="AW41" s="83"/>
      <c r="BA41" s="84"/>
    </row>
    <row r="42" spans="1:53" s="73" customFormat="1">
      <c r="A42" s="73">
        <v>2008</v>
      </c>
      <c r="B42" s="830"/>
      <c r="C42" s="917" t="s">
        <v>1044</v>
      </c>
      <c r="D42" s="917"/>
      <c r="E42" s="73">
        <v>366</v>
      </c>
      <c r="G42" s="411">
        <v>10</v>
      </c>
      <c r="H42" s="468">
        <v>9</v>
      </c>
      <c r="I42" s="468"/>
      <c r="J42" s="413">
        <v>19</v>
      </c>
      <c r="K42" s="409">
        <f t="shared" si="0"/>
        <v>52.631578947368418</v>
      </c>
      <c r="L42" s="409">
        <f t="shared" si="1"/>
        <v>47.368421052631575</v>
      </c>
      <c r="M42" s="409">
        <f t="shared" si="2"/>
        <v>0</v>
      </c>
      <c r="N42" s="412">
        <f t="shared" si="3"/>
        <v>100</v>
      </c>
      <c r="O42" s="408">
        <v>31</v>
      </c>
      <c r="P42" s="409">
        <v>28</v>
      </c>
      <c r="Q42" s="409"/>
      <c r="R42" s="410">
        <f t="shared" si="4"/>
        <v>59</v>
      </c>
      <c r="S42" s="468">
        <v>3</v>
      </c>
      <c r="T42" s="839"/>
      <c r="U42" s="852"/>
      <c r="V42" s="82" t="s">
        <v>1037</v>
      </c>
      <c r="W42" s="73" t="s">
        <v>1055</v>
      </c>
      <c r="X42" s="73" t="s">
        <v>11</v>
      </c>
      <c r="Y42" s="83">
        <v>23</v>
      </c>
      <c r="Z42" s="73" t="s">
        <v>1039</v>
      </c>
      <c r="AA42" s="73" t="s">
        <v>937</v>
      </c>
      <c r="AB42" s="465" t="s">
        <v>18</v>
      </c>
      <c r="AC42" s="73">
        <v>18</v>
      </c>
      <c r="AD42" s="82" t="s">
        <v>1043</v>
      </c>
      <c r="AE42" s="73" t="s">
        <v>1042</v>
      </c>
      <c r="AF42" s="73" t="s">
        <v>18</v>
      </c>
      <c r="AG42" s="83">
        <v>10</v>
      </c>
      <c r="AH42" s="82" t="s">
        <v>1032</v>
      </c>
      <c r="AI42" s="73" t="s">
        <v>855</v>
      </c>
      <c r="AJ42" s="73" t="s">
        <v>11</v>
      </c>
      <c r="AK42" s="73">
        <v>8</v>
      </c>
      <c r="AL42" s="82"/>
      <c r="AO42" s="83"/>
      <c r="AP42" s="82"/>
      <c r="AS42" s="83"/>
      <c r="AW42" s="83"/>
      <c r="BA42" s="84"/>
    </row>
    <row r="43" spans="1:53" s="73" customFormat="1">
      <c r="A43" s="73">
        <v>2009</v>
      </c>
      <c r="B43" s="830"/>
      <c r="C43" s="917" t="s">
        <v>1044</v>
      </c>
      <c r="D43" s="917"/>
      <c r="E43" s="73">
        <v>70</v>
      </c>
      <c r="G43" s="411">
        <v>10</v>
      </c>
      <c r="H43" s="468">
        <v>9</v>
      </c>
      <c r="I43" s="468"/>
      <c r="J43" s="413">
        <v>19</v>
      </c>
      <c r="K43" s="409">
        <f t="shared" si="0"/>
        <v>52.631578947368418</v>
      </c>
      <c r="L43" s="409">
        <f t="shared" si="1"/>
        <v>47.368421052631575</v>
      </c>
      <c r="M43" s="409">
        <f t="shared" si="2"/>
        <v>0</v>
      </c>
      <c r="N43" s="412">
        <f t="shared" si="3"/>
        <v>100</v>
      </c>
      <c r="O43" s="408">
        <v>31</v>
      </c>
      <c r="P43" s="409">
        <v>28</v>
      </c>
      <c r="Q43" s="409"/>
      <c r="R43" s="410">
        <f t="shared" si="4"/>
        <v>59</v>
      </c>
      <c r="S43" s="468">
        <v>3</v>
      </c>
      <c r="T43" s="839"/>
      <c r="U43" s="852"/>
      <c r="V43" s="82" t="s">
        <v>1037</v>
      </c>
      <c r="W43" s="73" t="s">
        <v>1055</v>
      </c>
      <c r="X43" s="73" t="s">
        <v>11</v>
      </c>
      <c r="Y43" s="83">
        <v>23</v>
      </c>
      <c r="Z43" s="73" t="s">
        <v>1039</v>
      </c>
      <c r="AA43" s="73" t="s">
        <v>937</v>
      </c>
      <c r="AB43" s="465" t="s">
        <v>18</v>
      </c>
      <c r="AC43" s="73">
        <v>18</v>
      </c>
      <c r="AD43" s="82" t="s">
        <v>1043</v>
      </c>
      <c r="AE43" s="73" t="s">
        <v>1042</v>
      </c>
      <c r="AF43" s="73" t="s">
        <v>18</v>
      </c>
      <c r="AG43" s="83">
        <v>10</v>
      </c>
      <c r="AH43" s="73" t="s">
        <v>1032</v>
      </c>
      <c r="AI43" s="73" t="s">
        <v>855</v>
      </c>
      <c r="AJ43" s="73" t="s">
        <v>11</v>
      </c>
      <c r="AK43" s="73">
        <v>8</v>
      </c>
      <c r="AL43" s="82"/>
      <c r="AO43" s="83"/>
      <c r="AP43" s="82"/>
      <c r="AS43" s="83"/>
      <c r="AW43" s="83"/>
      <c r="BA43" s="84"/>
    </row>
    <row r="44" spans="1:53" s="292" customFormat="1">
      <c r="A44" s="292">
        <v>2009</v>
      </c>
      <c r="B44" s="863">
        <v>39884</v>
      </c>
      <c r="C44" s="916" t="s">
        <v>1134</v>
      </c>
      <c r="D44" s="916"/>
      <c r="E44" s="292">
        <v>295</v>
      </c>
      <c r="F44" s="292">
        <v>2</v>
      </c>
      <c r="G44" s="425">
        <v>11</v>
      </c>
      <c r="H44" s="469">
        <v>4</v>
      </c>
      <c r="I44" s="469"/>
      <c r="J44" s="427">
        <v>15</v>
      </c>
      <c r="K44" s="423">
        <f t="shared" si="0"/>
        <v>73.333333333333329</v>
      </c>
      <c r="L44" s="423">
        <f t="shared" si="1"/>
        <v>26.666666666666668</v>
      </c>
      <c r="M44" s="423">
        <f t="shared" si="2"/>
        <v>0</v>
      </c>
      <c r="N44" s="426">
        <f t="shared" si="3"/>
        <v>100</v>
      </c>
      <c r="O44" s="422">
        <v>49</v>
      </c>
      <c r="P44" s="423">
        <v>18</v>
      </c>
      <c r="R44" s="424">
        <f>SUM(O44:P44)</f>
        <v>67</v>
      </c>
      <c r="S44" s="469">
        <v>3</v>
      </c>
      <c r="T44" s="838"/>
      <c r="U44" s="836">
        <v>39884</v>
      </c>
      <c r="V44" s="299" t="s">
        <v>1037</v>
      </c>
      <c r="W44" s="292" t="s">
        <v>1055</v>
      </c>
      <c r="X44" s="292" t="s">
        <v>11</v>
      </c>
      <c r="Y44" s="300">
        <v>23</v>
      </c>
      <c r="Z44" s="292" t="s">
        <v>1038</v>
      </c>
      <c r="AA44" s="292" t="s">
        <v>88</v>
      </c>
      <c r="AB44" s="292" t="s">
        <v>11</v>
      </c>
      <c r="AC44" s="292">
        <v>18</v>
      </c>
      <c r="AD44" s="299" t="s">
        <v>1039</v>
      </c>
      <c r="AE44" s="292" t="s">
        <v>937</v>
      </c>
      <c r="AF44" s="292" t="s">
        <v>18</v>
      </c>
      <c r="AG44" s="300">
        <v>18</v>
      </c>
      <c r="AH44" s="299" t="s">
        <v>1032</v>
      </c>
      <c r="AI44" s="292" t="s">
        <v>855</v>
      </c>
      <c r="AJ44" s="292" t="s">
        <v>11</v>
      </c>
      <c r="AK44" s="292">
        <v>8</v>
      </c>
      <c r="AL44" s="299" t="s">
        <v>96</v>
      </c>
      <c r="AM44" s="292" t="s">
        <v>330</v>
      </c>
      <c r="AN44" s="292" t="s">
        <v>11</v>
      </c>
      <c r="AO44" s="300">
        <v>0</v>
      </c>
      <c r="AP44" s="299"/>
      <c r="AS44" s="300"/>
      <c r="AW44" s="300"/>
      <c r="BA44" s="301"/>
    </row>
    <row r="45" spans="1:53" s="292" customFormat="1">
      <c r="A45" s="292">
        <v>2010</v>
      </c>
      <c r="B45" s="863"/>
      <c r="C45" s="916" t="s">
        <v>1134</v>
      </c>
      <c r="D45" s="916"/>
      <c r="E45" s="292">
        <v>81</v>
      </c>
      <c r="G45" s="425">
        <v>11</v>
      </c>
      <c r="H45" s="469">
        <v>4</v>
      </c>
      <c r="I45" s="469"/>
      <c r="J45" s="427">
        <v>15</v>
      </c>
      <c r="K45" s="423">
        <f>G45/J45*100</f>
        <v>73.333333333333329</v>
      </c>
      <c r="L45" s="423">
        <f>H45/J45*100</f>
        <v>26.666666666666668</v>
      </c>
      <c r="M45" s="423">
        <f>I45/J45*100</f>
        <v>0</v>
      </c>
      <c r="N45" s="426">
        <f t="shared" si="3"/>
        <v>100</v>
      </c>
      <c r="O45" s="422">
        <v>49</v>
      </c>
      <c r="P45" s="423">
        <v>18</v>
      </c>
      <c r="R45" s="424">
        <f>SUM(O45:P45)</f>
        <v>67</v>
      </c>
      <c r="S45" s="469">
        <v>3</v>
      </c>
      <c r="T45" s="838"/>
      <c r="U45" s="836"/>
      <c r="V45" s="299" t="s">
        <v>1037</v>
      </c>
      <c r="W45" s="292" t="s">
        <v>1055</v>
      </c>
      <c r="X45" s="292" t="s">
        <v>11</v>
      </c>
      <c r="Y45" s="300">
        <v>23</v>
      </c>
      <c r="Z45" s="292" t="s">
        <v>1038</v>
      </c>
      <c r="AA45" s="292" t="s">
        <v>88</v>
      </c>
      <c r="AB45" s="292" t="s">
        <v>11</v>
      </c>
      <c r="AC45" s="292">
        <v>18</v>
      </c>
      <c r="AD45" s="299" t="s">
        <v>1039</v>
      </c>
      <c r="AE45" s="292" t="s">
        <v>937</v>
      </c>
      <c r="AF45" s="292" t="s">
        <v>18</v>
      </c>
      <c r="AG45" s="300">
        <v>18</v>
      </c>
      <c r="AH45" s="292" t="s">
        <v>1032</v>
      </c>
      <c r="AI45" s="292" t="s">
        <v>855</v>
      </c>
      <c r="AJ45" s="292" t="s">
        <v>11</v>
      </c>
      <c r="AK45" s="292">
        <v>8</v>
      </c>
      <c r="AL45" s="299" t="s">
        <v>96</v>
      </c>
      <c r="AM45" s="292" t="s">
        <v>330</v>
      </c>
      <c r="AN45" s="292" t="s">
        <v>11</v>
      </c>
      <c r="AO45" s="300">
        <v>0</v>
      </c>
      <c r="AP45" s="299"/>
      <c r="AS45" s="300"/>
      <c r="AW45" s="300"/>
      <c r="BA45" s="301"/>
    </row>
    <row r="46" spans="1:53" s="73" customFormat="1">
      <c r="A46" s="73">
        <v>2010</v>
      </c>
      <c r="B46" s="830">
        <v>40260</v>
      </c>
      <c r="C46" s="917" t="s">
        <v>1135</v>
      </c>
      <c r="D46" s="917"/>
      <c r="E46" s="73">
        <v>224</v>
      </c>
      <c r="F46" s="73">
        <v>4</v>
      </c>
      <c r="G46" s="411">
        <v>8</v>
      </c>
      <c r="H46" s="468">
        <v>5</v>
      </c>
      <c r="I46" s="468"/>
      <c r="J46" s="413">
        <v>15</v>
      </c>
      <c r="K46" s="409">
        <f t="shared" si="0"/>
        <v>53.333333333333336</v>
      </c>
      <c r="L46" s="409">
        <f t="shared" si="1"/>
        <v>33.333333333333329</v>
      </c>
      <c r="M46" s="409">
        <f t="shared" si="2"/>
        <v>0</v>
      </c>
      <c r="N46" s="412">
        <f t="shared" si="3"/>
        <v>86.666666666666657</v>
      </c>
      <c r="O46" s="408">
        <v>26</v>
      </c>
      <c r="P46" s="409">
        <v>18</v>
      </c>
      <c r="R46" s="410">
        <f>SUM(O46:P46)</f>
        <v>44</v>
      </c>
      <c r="S46" s="468">
        <v>5</v>
      </c>
      <c r="T46" s="839"/>
      <c r="U46" s="852">
        <v>40260</v>
      </c>
      <c r="V46" s="82" t="s">
        <v>1038</v>
      </c>
      <c r="W46" s="73" t="s">
        <v>88</v>
      </c>
      <c r="X46" s="73" t="s">
        <v>11</v>
      </c>
      <c r="Y46" s="83">
        <v>18</v>
      </c>
      <c r="Z46" s="73" t="s">
        <v>1039</v>
      </c>
      <c r="AA46" s="73" t="s">
        <v>937</v>
      </c>
      <c r="AB46" s="73" t="s">
        <v>18</v>
      </c>
      <c r="AC46" s="73">
        <v>18</v>
      </c>
      <c r="AD46" s="82" t="s">
        <v>1032</v>
      </c>
      <c r="AE46" s="73" t="s">
        <v>855</v>
      </c>
      <c r="AF46" s="73" t="s">
        <v>11</v>
      </c>
      <c r="AG46" s="83">
        <v>8</v>
      </c>
      <c r="AH46" s="73" t="s">
        <v>96</v>
      </c>
      <c r="AI46" s="73" t="s">
        <v>330</v>
      </c>
      <c r="AJ46" s="73" t="s">
        <v>11</v>
      </c>
      <c r="AK46" s="73">
        <v>0</v>
      </c>
      <c r="AL46" s="82"/>
      <c r="AO46" s="83"/>
      <c r="AP46" s="82"/>
      <c r="AS46" s="83"/>
      <c r="AW46" s="83"/>
      <c r="BA46" s="84"/>
    </row>
    <row r="47" spans="1:53" s="292" customFormat="1">
      <c r="A47" s="292">
        <v>2010</v>
      </c>
      <c r="B47" s="863">
        <v>40484</v>
      </c>
      <c r="C47" s="916" t="s">
        <v>1136</v>
      </c>
      <c r="D47" s="916"/>
      <c r="E47" s="292">
        <v>60</v>
      </c>
      <c r="F47" s="292">
        <v>1</v>
      </c>
      <c r="G47" s="425">
        <v>8</v>
      </c>
      <c r="H47" s="469">
        <v>6</v>
      </c>
      <c r="I47" s="469"/>
      <c r="J47" s="427">
        <v>14</v>
      </c>
      <c r="K47" s="423">
        <f t="shared" si="0"/>
        <v>57.142857142857139</v>
      </c>
      <c r="L47" s="423">
        <f t="shared" si="1"/>
        <v>42.857142857142854</v>
      </c>
      <c r="M47" s="423">
        <f t="shared" si="2"/>
        <v>0</v>
      </c>
      <c r="N47" s="426">
        <f t="shared" si="3"/>
        <v>100</v>
      </c>
      <c r="O47" s="422">
        <v>33</v>
      </c>
      <c r="P47" s="423">
        <v>22</v>
      </c>
      <c r="R47" s="424">
        <f>SUM(O47:P47)</f>
        <v>55</v>
      </c>
      <c r="S47" s="469">
        <v>2</v>
      </c>
      <c r="T47" s="838">
        <v>40453</v>
      </c>
      <c r="U47" s="836">
        <v>40484</v>
      </c>
      <c r="V47" s="299" t="s">
        <v>407</v>
      </c>
      <c r="W47" s="292" t="s">
        <v>76</v>
      </c>
      <c r="X47" s="292" t="s">
        <v>11</v>
      </c>
      <c r="Y47" s="300">
        <v>33</v>
      </c>
      <c r="Z47" s="292" t="s">
        <v>1039</v>
      </c>
      <c r="AA47" s="292" t="s">
        <v>937</v>
      </c>
      <c r="AB47" s="292" t="s">
        <v>18</v>
      </c>
      <c r="AC47" s="292">
        <v>22</v>
      </c>
      <c r="AD47" s="299"/>
      <c r="AG47" s="300"/>
      <c r="AL47" s="299"/>
      <c r="AO47" s="300"/>
      <c r="AP47" s="299"/>
      <c r="AS47" s="300"/>
      <c r="AW47" s="300"/>
      <c r="BA47" s="301"/>
    </row>
    <row r="48" spans="1:53" s="292" customFormat="1">
      <c r="A48" s="292">
        <v>2011</v>
      </c>
      <c r="B48" s="863"/>
      <c r="C48" s="916" t="s">
        <v>1136</v>
      </c>
      <c r="D48" s="916"/>
      <c r="E48" s="292">
        <v>297</v>
      </c>
      <c r="G48" s="425">
        <v>8</v>
      </c>
      <c r="H48" s="469">
        <v>6</v>
      </c>
      <c r="I48" s="469"/>
      <c r="J48" s="427">
        <v>14</v>
      </c>
      <c r="K48" s="423">
        <f t="shared" ref="K48:K53" si="9">G48/J48*100</f>
        <v>57.142857142857139</v>
      </c>
      <c r="L48" s="423">
        <f t="shared" ref="L48:L53" si="10">H48/J48*100</f>
        <v>42.857142857142854</v>
      </c>
      <c r="M48" s="423">
        <f t="shared" ref="M48:M53" si="11">I48/J48*100</f>
        <v>0</v>
      </c>
      <c r="N48" s="426">
        <f t="shared" si="3"/>
        <v>100</v>
      </c>
      <c r="O48" s="422">
        <v>33</v>
      </c>
      <c r="P48" s="423">
        <v>22</v>
      </c>
      <c r="R48" s="424">
        <f>SUM(O48:P48)</f>
        <v>55</v>
      </c>
      <c r="S48" s="469">
        <v>2</v>
      </c>
      <c r="T48" s="838"/>
      <c r="U48" s="836"/>
      <c r="V48" s="299" t="s">
        <v>407</v>
      </c>
      <c r="W48" s="292" t="s">
        <v>76</v>
      </c>
      <c r="X48" s="292" t="s">
        <v>11</v>
      </c>
      <c r="Y48" s="300">
        <v>33</v>
      </c>
      <c r="Z48" s="292" t="s">
        <v>1039</v>
      </c>
      <c r="AA48" s="292" t="s">
        <v>937</v>
      </c>
      <c r="AB48" s="292" t="s">
        <v>18</v>
      </c>
      <c r="AC48" s="292">
        <v>22</v>
      </c>
      <c r="AD48" s="299"/>
      <c r="AG48" s="300"/>
      <c r="AL48" s="299"/>
      <c r="AO48" s="300"/>
      <c r="AP48" s="299"/>
      <c r="AS48" s="300"/>
      <c r="AW48" s="300"/>
      <c r="BA48" s="301"/>
    </row>
    <row r="49" spans="1:53" s="73" customFormat="1">
      <c r="A49" s="73">
        <v>2011</v>
      </c>
      <c r="B49" s="830">
        <v>40841</v>
      </c>
      <c r="C49" s="917" t="s">
        <v>1137</v>
      </c>
      <c r="D49" s="917"/>
      <c r="E49" s="73">
        <v>68</v>
      </c>
      <c r="F49" s="73">
        <v>1</v>
      </c>
      <c r="G49" s="411">
        <v>14</v>
      </c>
      <c r="H49" s="468"/>
      <c r="I49" s="468"/>
      <c r="J49" s="413">
        <v>14</v>
      </c>
      <c r="K49" s="409">
        <f t="shared" si="9"/>
        <v>100</v>
      </c>
      <c r="L49" s="409">
        <f t="shared" si="10"/>
        <v>0</v>
      </c>
      <c r="M49" s="409">
        <f t="shared" si="11"/>
        <v>0</v>
      </c>
      <c r="N49" s="412">
        <f t="shared" si="3"/>
        <v>100</v>
      </c>
      <c r="O49" s="408">
        <v>56</v>
      </c>
      <c r="P49" s="409"/>
      <c r="Q49" s="409"/>
      <c r="R49" s="410">
        <f t="shared" si="4"/>
        <v>56</v>
      </c>
      <c r="S49" s="468">
        <v>2</v>
      </c>
      <c r="T49" s="839">
        <v>40803</v>
      </c>
      <c r="U49" s="852">
        <v>40841</v>
      </c>
      <c r="V49" s="82" t="s">
        <v>1138</v>
      </c>
      <c r="W49" s="73" t="s">
        <v>79</v>
      </c>
      <c r="X49" s="73" t="s">
        <v>11</v>
      </c>
      <c r="Y49" s="83">
        <v>22</v>
      </c>
      <c r="Z49" s="73" t="s">
        <v>407</v>
      </c>
      <c r="AA49" s="73" t="s">
        <v>76</v>
      </c>
      <c r="AB49" s="73" t="s">
        <v>11</v>
      </c>
      <c r="AC49" s="73">
        <v>20</v>
      </c>
      <c r="AD49" s="82" t="s">
        <v>1139</v>
      </c>
      <c r="AE49" s="73" t="s">
        <v>1140</v>
      </c>
      <c r="AF49" s="73" t="s">
        <v>11</v>
      </c>
      <c r="AG49" s="83">
        <v>14</v>
      </c>
      <c r="AL49" s="82"/>
      <c r="AO49" s="83"/>
      <c r="AP49" s="82"/>
      <c r="AS49" s="83"/>
      <c r="AW49" s="83"/>
      <c r="BA49" s="84"/>
    </row>
    <row r="50" spans="1:53" s="73" customFormat="1">
      <c r="A50" s="73">
        <v>2012</v>
      </c>
      <c r="B50" s="830"/>
      <c r="C50" s="917" t="s">
        <v>1137</v>
      </c>
      <c r="D50" s="917"/>
      <c r="E50" s="73">
        <v>0</v>
      </c>
      <c r="G50" s="411">
        <v>14</v>
      </c>
      <c r="H50" s="468"/>
      <c r="I50" s="468"/>
      <c r="J50" s="413">
        <v>14</v>
      </c>
      <c r="K50" s="409">
        <f t="shared" si="9"/>
        <v>100</v>
      </c>
      <c r="L50" s="409">
        <f t="shared" si="10"/>
        <v>0</v>
      </c>
      <c r="M50" s="409">
        <f t="shared" si="11"/>
        <v>0</v>
      </c>
      <c r="N50" s="412">
        <f t="shared" si="3"/>
        <v>100</v>
      </c>
      <c r="O50" s="408">
        <v>56</v>
      </c>
      <c r="P50" s="409"/>
      <c r="Q50" s="409"/>
      <c r="R50" s="410">
        <f t="shared" si="4"/>
        <v>56</v>
      </c>
      <c r="S50" s="468">
        <v>2</v>
      </c>
      <c r="T50" s="839"/>
      <c r="U50" s="852"/>
      <c r="V50" s="82" t="s">
        <v>1138</v>
      </c>
      <c r="W50" s="73" t="s">
        <v>79</v>
      </c>
      <c r="X50" s="73" t="s">
        <v>11</v>
      </c>
      <c r="Y50" s="83">
        <v>22</v>
      </c>
      <c r="Z50" s="73" t="s">
        <v>407</v>
      </c>
      <c r="AA50" s="73" t="s">
        <v>76</v>
      </c>
      <c r="AB50" s="73" t="s">
        <v>11</v>
      </c>
      <c r="AC50" s="73">
        <v>20</v>
      </c>
      <c r="AD50" s="82" t="s">
        <v>1139</v>
      </c>
      <c r="AE50" s="73" t="s">
        <v>1140</v>
      </c>
      <c r="AF50" s="73" t="s">
        <v>11</v>
      </c>
      <c r="AG50" s="83">
        <v>14</v>
      </c>
      <c r="AL50" s="82"/>
      <c r="AO50" s="83"/>
      <c r="AP50" s="82"/>
      <c r="AS50" s="83"/>
      <c r="AW50" s="83"/>
      <c r="BA50" s="84"/>
    </row>
    <row r="51" spans="1:53" s="73" customFormat="1">
      <c r="A51" s="73">
        <v>2012</v>
      </c>
      <c r="B51" s="830"/>
      <c r="C51" s="917" t="s">
        <v>1137</v>
      </c>
      <c r="D51" s="917"/>
      <c r="E51" s="73">
        <v>366</v>
      </c>
      <c r="G51" s="411">
        <v>14</v>
      </c>
      <c r="H51" s="468"/>
      <c r="I51" s="468"/>
      <c r="J51" s="413">
        <v>14</v>
      </c>
      <c r="K51" s="409">
        <f t="shared" si="9"/>
        <v>100</v>
      </c>
      <c r="L51" s="409">
        <f t="shared" si="10"/>
        <v>0</v>
      </c>
      <c r="M51" s="409">
        <f t="shared" si="11"/>
        <v>0</v>
      </c>
      <c r="N51" s="412">
        <f t="shared" si="3"/>
        <v>100</v>
      </c>
      <c r="O51" s="408">
        <v>56</v>
      </c>
      <c r="P51" s="409"/>
      <c r="Q51" s="409"/>
      <c r="R51" s="410">
        <f t="shared" si="4"/>
        <v>56</v>
      </c>
      <c r="S51" s="468">
        <v>2</v>
      </c>
      <c r="T51" s="839"/>
      <c r="U51" s="852"/>
      <c r="V51" s="82" t="s">
        <v>1138</v>
      </c>
      <c r="W51" s="73" t="s">
        <v>79</v>
      </c>
      <c r="X51" s="73" t="s">
        <v>11</v>
      </c>
      <c r="Y51" s="83">
        <v>22</v>
      </c>
      <c r="Z51" s="73" t="s">
        <v>407</v>
      </c>
      <c r="AA51" s="73" t="s">
        <v>76</v>
      </c>
      <c r="AB51" s="73" t="s">
        <v>11</v>
      </c>
      <c r="AC51" s="73">
        <v>20</v>
      </c>
      <c r="AD51" s="82" t="s">
        <v>1139</v>
      </c>
      <c r="AE51" s="73" t="s">
        <v>1140</v>
      </c>
      <c r="AF51" s="73" t="s">
        <v>11</v>
      </c>
      <c r="AG51" s="83">
        <v>14</v>
      </c>
      <c r="AL51" s="82"/>
      <c r="AO51" s="83"/>
      <c r="AP51" s="82"/>
      <c r="AS51" s="83"/>
      <c r="AW51" s="83"/>
      <c r="BA51" s="84"/>
    </row>
    <row r="52" spans="1:53" s="278" customFormat="1">
      <c r="A52" s="278">
        <v>2013</v>
      </c>
      <c r="B52" s="830"/>
      <c r="C52" s="917" t="s">
        <v>1137</v>
      </c>
      <c r="D52" s="917"/>
      <c r="E52" s="278">
        <v>0</v>
      </c>
      <c r="G52" s="411">
        <v>14</v>
      </c>
      <c r="H52" s="468"/>
      <c r="I52" s="468"/>
      <c r="J52" s="413">
        <v>14</v>
      </c>
      <c r="K52" s="409">
        <f t="shared" si="9"/>
        <v>100</v>
      </c>
      <c r="L52" s="409">
        <f t="shared" si="10"/>
        <v>0</v>
      </c>
      <c r="M52" s="409">
        <f t="shared" si="11"/>
        <v>0</v>
      </c>
      <c r="N52" s="412">
        <f t="shared" ref="N52:N57" si="12">SUM(K52:M52)</f>
        <v>100</v>
      </c>
      <c r="O52" s="408">
        <v>56</v>
      </c>
      <c r="P52" s="409"/>
      <c r="Q52" s="409"/>
      <c r="R52" s="410">
        <f>SUM(O52:Q52)</f>
        <v>56</v>
      </c>
      <c r="S52" s="468">
        <v>2</v>
      </c>
      <c r="T52" s="839"/>
      <c r="U52" s="852"/>
      <c r="V52" s="82" t="s">
        <v>1138</v>
      </c>
      <c r="W52" s="278" t="s">
        <v>79</v>
      </c>
      <c r="X52" s="278" t="s">
        <v>11</v>
      </c>
      <c r="Y52" s="83">
        <v>22</v>
      </c>
      <c r="Z52" s="278" t="s">
        <v>407</v>
      </c>
      <c r="AA52" s="278" t="s">
        <v>76</v>
      </c>
      <c r="AB52" s="278" t="s">
        <v>11</v>
      </c>
      <c r="AC52" s="278">
        <v>20</v>
      </c>
      <c r="AD52" s="82" t="s">
        <v>1139</v>
      </c>
      <c r="AE52" s="278" t="s">
        <v>1140</v>
      </c>
      <c r="AF52" s="278" t="s">
        <v>11</v>
      </c>
      <c r="AG52" s="83">
        <v>14</v>
      </c>
      <c r="AL52" s="82"/>
      <c r="AO52" s="83"/>
      <c r="AP52" s="82"/>
      <c r="AS52" s="83"/>
      <c r="AW52" s="83"/>
      <c r="BA52" s="84"/>
    </row>
    <row r="53" spans="1:53" s="278" customFormat="1">
      <c r="A53" s="278">
        <v>2013</v>
      </c>
      <c r="B53" s="830"/>
      <c r="C53" s="917" t="s">
        <v>1137</v>
      </c>
      <c r="D53" s="917"/>
      <c r="E53" s="278">
        <v>365</v>
      </c>
      <c r="G53" s="411">
        <v>14</v>
      </c>
      <c r="H53" s="468"/>
      <c r="I53" s="468"/>
      <c r="J53" s="413">
        <v>14</v>
      </c>
      <c r="K53" s="409">
        <f t="shared" si="9"/>
        <v>100</v>
      </c>
      <c r="L53" s="409">
        <f t="shared" si="10"/>
        <v>0</v>
      </c>
      <c r="M53" s="409">
        <f t="shared" si="11"/>
        <v>0</v>
      </c>
      <c r="N53" s="412">
        <f t="shared" si="12"/>
        <v>100</v>
      </c>
      <c r="O53" s="408">
        <v>56</v>
      </c>
      <c r="P53" s="409"/>
      <c r="Q53" s="409"/>
      <c r="R53" s="410">
        <f>SUM(O53:Q53)</f>
        <v>56</v>
      </c>
      <c r="S53" s="468">
        <v>2</v>
      </c>
      <c r="T53" s="839"/>
      <c r="U53" s="852"/>
      <c r="V53" s="82" t="s">
        <v>1138</v>
      </c>
      <c r="W53" s="278" t="s">
        <v>79</v>
      </c>
      <c r="X53" s="278" t="s">
        <v>11</v>
      </c>
      <c r="Y53" s="83">
        <v>22</v>
      </c>
      <c r="Z53" s="278" t="s">
        <v>407</v>
      </c>
      <c r="AA53" s="278" t="s">
        <v>76</v>
      </c>
      <c r="AB53" s="278" t="s">
        <v>11</v>
      </c>
      <c r="AC53" s="278">
        <v>20</v>
      </c>
      <c r="AD53" s="82" t="s">
        <v>1139</v>
      </c>
      <c r="AE53" s="278" t="s">
        <v>1140</v>
      </c>
      <c r="AF53" s="278" t="s">
        <v>11</v>
      </c>
      <c r="AG53" s="83">
        <v>14</v>
      </c>
      <c r="AL53" s="82"/>
      <c r="AO53" s="83"/>
      <c r="AP53" s="82"/>
      <c r="AS53" s="83"/>
      <c r="AW53" s="83"/>
      <c r="BA53" s="84"/>
    </row>
    <row r="54" spans="1:53" s="465" customFormat="1">
      <c r="A54" s="465">
        <v>2014</v>
      </c>
      <c r="B54" s="830"/>
      <c r="C54" s="917" t="s">
        <v>1137</v>
      </c>
      <c r="D54" s="917"/>
      <c r="E54" s="465">
        <v>21</v>
      </c>
      <c r="G54" s="411">
        <v>14</v>
      </c>
      <c r="H54" s="468"/>
      <c r="I54" s="468"/>
      <c r="J54" s="413">
        <v>14</v>
      </c>
      <c r="K54" s="409">
        <f>G54/J54*100</f>
        <v>100</v>
      </c>
      <c r="L54" s="409">
        <f>H54/J54*100</f>
        <v>0</v>
      </c>
      <c r="M54" s="409">
        <f>I54/J54*100</f>
        <v>0</v>
      </c>
      <c r="N54" s="412">
        <f t="shared" si="12"/>
        <v>100</v>
      </c>
      <c r="O54" s="408">
        <v>56</v>
      </c>
      <c r="P54" s="409"/>
      <c r="Q54" s="409"/>
      <c r="R54" s="410">
        <f>SUM(O54:Q54)</f>
        <v>56</v>
      </c>
      <c r="S54" s="468">
        <v>2</v>
      </c>
      <c r="T54" s="839"/>
      <c r="U54" s="852"/>
      <c r="V54" s="405" t="s">
        <v>1138</v>
      </c>
      <c r="W54" s="465" t="s">
        <v>79</v>
      </c>
      <c r="X54" s="465" t="s">
        <v>11</v>
      </c>
      <c r="Y54" s="406">
        <v>22</v>
      </c>
      <c r="Z54" s="465" t="s">
        <v>407</v>
      </c>
      <c r="AA54" s="465" t="s">
        <v>76</v>
      </c>
      <c r="AB54" s="465" t="s">
        <v>11</v>
      </c>
      <c r="AC54" s="465">
        <v>20</v>
      </c>
      <c r="AD54" s="405" t="s">
        <v>1139</v>
      </c>
      <c r="AE54" s="465" t="s">
        <v>1140</v>
      </c>
      <c r="AF54" s="465" t="s">
        <v>11</v>
      </c>
      <c r="AG54" s="406">
        <v>14</v>
      </c>
      <c r="AL54" s="405"/>
      <c r="AO54" s="406"/>
      <c r="AP54" s="405"/>
      <c r="AS54" s="406"/>
      <c r="AW54" s="406"/>
      <c r="BA54" s="407"/>
    </row>
    <row r="55" spans="1:53" s="469" customFormat="1">
      <c r="A55" s="469">
        <v>2014</v>
      </c>
      <c r="B55" s="863">
        <v>41661</v>
      </c>
      <c r="C55" s="916" t="s">
        <v>1296</v>
      </c>
      <c r="D55" s="916"/>
      <c r="E55" s="469">
        <v>169</v>
      </c>
      <c r="F55" s="469">
        <v>2</v>
      </c>
      <c r="G55" s="425">
        <v>11</v>
      </c>
      <c r="H55" s="469">
        <v>3</v>
      </c>
      <c r="J55" s="427">
        <v>14</v>
      </c>
      <c r="K55" s="423">
        <f>G55/J55*100</f>
        <v>78.571428571428569</v>
      </c>
      <c r="L55" s="423">
        <f>H55/J55*100</f>
        <v>21.428571428571427</v>
      </c>
      <c r="M55" s="423">
        <f>I55/J55*100</f>
        <v>0</v>
      </c>
      <c r="N55" s="426">
        <f t="shared" si="12"/>
        <v>100</v>
      </c>
      <c r="O55" s="422">
        <v>50</v>
      </c>
      <c r="P55" s="423">
        <v>13</v>
      </c>
      <c r="R55" s="424">
        <f>SUM(O55:P55)</f>
        <v>63</v>
      </c>
      <c r="S55" s="469">
        <v>2</v>
      </c>
      <c r="T55" s="838"/>
      <c r="U55" s="836"/>
      <c r="V55" s="417" t="s">
        <v>1138</v>
      </c>
      <c r="W55" s="469" t="s">
        <v>79</v>
      </c>
      <c r="X55" s="469" t="s">
        <v>11</v>
      </c>
      <c r="Y55" s="418">
        <v>16</v>
      </c>
      <c r="Z55" s="469" t="s">
        <v>407</v>
      </c>
      <c r="AA55" s="469" t="s">
        <v>76</v>
      </c>
      <c r="AB55" s="469" t="s">
        <v>11</v>
      </c>
      <c r="AC55" s="469">
        <v>20</v>
      </c>
      <c r="AD55" s="417" t="s">
        <v>1139</v>
      </c>
      <c r="AE55" s="469" t="s">
        <v>1140</v>
      </c>
      <c r="AF55" s="469" t="s">
        <v>11</v>
      </c>
      <c r="AG55" s="418">
        <v>14</v>
      </c>
      <c r="AH55" s="469" t="s">
        <v>1039</v>
      </c>
      <c r="AI55" s="469" t="s">
        <v>937</v>
      </c>
      <c r="AJ55" s="469" t="s">
        <v>18</v>
      </c>
      <c r="AK55" s="469">
        <v>13</v>
      </c>
      <c r="AL55" s="417"/>
      <c r="AO55" s="418"/>
      <c r="AP55" s="417"/>
      <c r="AS55" s="418"/>
      <c r="AW55" s="418"/>
      <c r="BA55" s="419"/>
    </row>
    <row r="56" spans="1:53" s="469" customFormat="1">
      <c r="A56" s="469">
        <v>2014</v>
      </c>
      <c r="B56" s="865">
        <v>41830</v>
      </c>
      <c r="C56" s="916" t="s">
        <v>1296</v>
      </c>
      <c r="D56" s="916"/>
      <c r="E56" s="469">
        <v>118</v>
      </c>
      <c r="F56" s="428">
        <v>0</v>
      </c>
      <c r="G56" s="425">
        <v>10</v>
      </c>
      <c r="H56" s="469">
        <v>3</v>
      </c>
      <c r="J56" s="427">
        <v>13</v>
      </c>
      <c r="K56" s="423">
        <f>G56/J56*100</f>
        <v>76.923076923076934</v>
      </c>
      <c r="L56" s="423">
        <f>H56/J56*100</f>
        <v>23.076923076923077</v>
      </c>
      <c r="M56" s="423">
        <f>I56/J56*100</f>
        <v>0</v>
      </c>
      <c r="N56" s="426">
        <f t="shared" si="12"/>
        <v>100.00000000000001</v>
      </c>
      <c r="O56" s="422">
        <v>50</v>
      </c>
      <c r="P56" s="423">
        <v>13</v>
      </c>
      <c r="R56" s="424">
        <f>SUM(O56:P56)</f>
        <v>63</v>
      </c>
      <c r="S56" s="469">
        <v>2</v>
      </c>
      <c r="T56" s="838"/>
      <c r="U56" s="836"/>
      <c r="V56" s="417" t="s">
        <v>1138</v>
      </c>
      <c r="W56" s="469" t="s">
        <v>79</v>
      </c>
      <c r="X56" s="469" t="s">
        <v>11</v>
      </c>
      <c r="Y56" s="418">
        <v>16</v>
      </c>
      <c r="Z56" s="469" t="s">
        <v>407</v>
      </c>
      <c r="AA56" s="469" t="s">
        <v>76</v>
      </c>
      <c r="AB56" s="469" t="s">
        <v>11</v>
      </c>
      <c r="AC56" s="469">
        <v>20</v>
      </c>
      <c r="AD56" s="417" t="s">
        <v>1139</v>
      </c>
      <c r="AE56" s="469" t="s">
        <v>1140</v>
      </c>
      <c r="AF56" s="469" t="s">
        <v>11</v>
      </c>
      <c r="AG56" s="418">
        <v>14</v>
      </c>
      <c r="AH56" s="469" t="s">
        <v>1039</v>
      </c>
      <c r="AI56" s="469" t="s">
        <v>937</v>
      </c>
      <c r="AJ56" s="469" t="s">
        <v>18</v>
      </c>
      <c r="AK56" s="469">
        <v>13</v>
      </c>
      <c r="AL56" s="417"/>
      <c r="AO56" s="418"/>
      <c r="AP56" s="417"/>
      <c r="AS56" s="418"/>
      <c r="AW56" s="418"/>
      <c r="BA56" s="419"/>
    </row>
    <row r="57" spans="1:53" s="468" customFormat="1">
      <c r="A57" s="468">
        <v>2014</v>
      </c>
      <c r="B57" s="830">
        <v>41948</v>
      </c>
      <c r="C57" s="917" t="s">
        <v>1297</v>
      </c>
      <c r="D57" s="917"/>
      <c r="E57" s="468">
        <v>57</v>
      </c>
      <c r="F57" s="468">
        <v>1</v>
      </c>
      <c r="G57" s="411">
        <v>9</v>
      </c>
      <c r="H57" s="468">
        <v>5</v>
      </c>
      <c r="J57" s="413">
        <v>14</v>
      </c>
      <c r="K57" s="409">
        <f>G57/J57*100</f>
        <v>64.285714285714292</v>
      </c>
      <c r="L57" s="409">
        <f>H57/J57*100</f>
        <v>35.714285714285715</v>
      </c>
      <c r="M57" s="409">
        <f>I57/J57*100</f>
        <v>0</v>
      </c>
      <c r="N57" s="412">
        <f t="shared" si="12"/>
        <v>100</v>
      </c>
      <c r="O57" s="408">
        <v>40</v>
      </c>
      <c r="P57" s="409">
        <v>21</v>
      </c>
      <c r="R57" s="410">
        <f>SUM(O57:P57)</f>
        <v>61</v>
      </c>
      <c r="S57" s="468">
        <v>2</v>
      </c>
      <c r="T57" s="839">
        <v>41915</v>
      </c>
      <c r="U57" s="852">
        <v>41948</v>
      </c>
      <c r="V57" s="492" t="s">
        <v>407</v>
      </c>
      <c r="W57" s="468" t="s">
        <v>76</v>
      </c>
      <c r="X57" s="468" t="s">
        <v>11</v>
      </c>
      <c r="Y57" s="406">
        <v>23</v>
      </c>
      <c r="Z57" s="405" t="s">
        <v>1139</v>
      </c>
      <c r="AA57" s="468" t="s">
        <v>1140</v>
      </c>
      <c r="AB57" s="468" t="s">
        <v>11</v>
      </c>
      <c r="AC57" s="468">
        <v>17</v>
      </c>
      <c r="AD57" s="405" t="s">
        <v>1039</v>
      </c>
      <c r="AE57" s="468" t="s">
        <v>937</v>
      </c>
      <c r="AF57" s="468" t="s">
        <v>18</v>
      </c>
      <c r="AG57" s="406">
        <v>21</v>
      </c>
      <c r="AL57" s="405"/>
      <c r="AO57" s="406"/>
      <c r="AP57" s="405"/>
      <c r="AS57" s="406"/>
      <c r="AW57" s="406"/>
      <c r="BA57" s="407"/>
    </row>
    <row r="58" spans="1:53" s="607" customFormat="1">
      <c r="A58" s="607">
        <v>2015</v>
      </c>
      <c r="B58" s="830"/>
      <c r="C58" s="917" t="s">
        <v>1297</v>
      </c>
      <c r="D58" s="917"/>
      <c r="E58" s="607">
        <v>307</v>
      </c>
      <c r="G58" s="498">
        <v>9</v>
      </c>
      <c r="H58" s="607">
        <v>5</v>
      </c>
      <c r="J58" s="500">
        <v>14</v>
      </c>
      <c r="K58" s="496">
        <f t="shared" ref="K58:K59" si="13">G58/J58*100</f>
        <v>64.285714285714292</v>
      </c>
      <c r="L58" s="496">
        <f t="shared" ref="L58:L59" si="14">H58/J58*100</f>
        <v>35.714285714285715</v>
      </c>
      <c r="M58" s="496">
        <f t="shared" ref="M58:M59" si="15">I58/J58*100</f>
        <v>0</v>
      </c>
      <c r="N58" s="499">
        <f t="shared" ref="N58:N59" si="16">SUM(K58:M58)</f>
        <v>100</v>
      </c>
      <c r="O58" s="495">
        <v>40</v>
      </c>
      <c r="P58" s="496">
        <v>21</v>
      </c>
      <c r="R58" s="497">
        <f t="shared" ref="R58:R59" si="17">SUM(O58:P58)</f>
        <v>61</v>
      </c>
      <c r="S58" s="607">
        <v>2</v>
      </c>
      <c r="T58" s="839"/>
      <c r="U58" s="852"/>
      <c r="V58" s="492" t="s">
        <v>407</v>
      </c>
      <c r="W58" s="607" t="s">
        <v>76</v>
      </c>
      <c r="X58" s="607" t="s">
        <v>11</v>
      </c>
      <c r="Y58" s="493">
        <v>23</v>
      </c>
      <c r="Z58" s="492" t="s">
        <v>1139</v>
      </c>
      <c r="AA58" s="607" t="s">
        <v>1140</v>
      </c>
      <c r="AB58" s="607" t="s">
        <v>11</v>
      </c>
      <c r="AC58" s="607">
        <v>17</v>
      </c>
      <c r="AD58" s="492" t="s">
        <v>1039</v>
      </c>
      <c r="AE58" s="607" t="s">
        <v>937</v>
      </c>
      <c r="AF58" s="607" t="s">
        <v>18</v>
      </c>
      <c r="AG58" s="493">
        <v>21</v>
      </c>
      <c r="AL58" s="492"/>
      <c r="AO58" s="493"/>
      <c r="AP58" s="492"/>
      <c r="AS58" s="493"/>
      <c r="AW58" s="493"/>
      <c r="BA58" s="494"/>
    </row>
    <row r="59" spans="1:53" s="607" customFormat="1">
      <c r="A59" s="607">
        <v>2015</v>
      </c>
      <c r="B59" s="864">
        <v>42312</v>
      </c>
      <c r="C59" s="917" t="s">
        <v>1297</v>
      </c>
      <c r="D59" s="917"/>
      <c r="E59" s="607">
        <v>58</v>
      </c>
      <c r="F59" s="502">
        <v>0</v>
      </c>
      <c r="G59" s="498">
        <v>8</v>
      </c>
      <c r="H59" s="607">
        <v>5</v>
      </c>
      <c r="J59" s="500">
        <v>13</v>
      </c>
      <c r="K59" s="496">
        <f t="shared" si="13"/>
        <v>61.53846153846154</v>
      </c>
      <c r="L59" s="496">
        <f t="shared" si="14"/>
        <v>38.461538461538467</v>
      </c>
      <c r="M59" s="496">
        <f t="shared" si="15"/>
        <v>0</v>
      </c>
      <c r="N59" s="499">
        <f t="shared" si="16"/>
        <v>100</v>
      </c>
      <c r="O59" s="495">
        <v>40</v>
      </c>
      <c r="P59" s="496">
        <v>21</v>
      </c>
      <c r="R59" s="497">
        <f t="shared" si="17"/>
        <v>61</v>
      </c>
      <c r="S59" s="607">
        <v>2</v>
      </c>
      <c r="T59" s="839"/>
      <c r="U59" s="852"/>
      <c r="V59" s="492" t="s">
        <v>407</v>
      </c>
      <c r="W59" s="607" t="s">
        <v>76</v>
      </c>
      <c r="X59" s="607" t="s">
        <v>11</v>
      </c>
      <c r="Y59" s="493">
        <v>23</v>
      </c>
      <c r="Z59" s="492" t="s">
        <v>1139</v>
      </c>
      <c r="AA59" s="607" t="s">
        <v>1140</v>
      </c>
      <c r="AB59" s="607" t="s">
        <v>11</v>
      </c>
      <c r="AC59" s="607">
        <v>17</v>
      </c>
      <c r="AD59" s="492" t="s">
        <v>1039</v>
      </c>
      <c r="AE59" s="607" t="s">
        <v>937</v>
      </c>
      <c r="AF59" s="607" t="s">
        <v>18</v>
      </c>
      <c r="AG59" s="493">
        <v>21</v>
      </c>
      <c r="AL59" s="492"/>
      <c r="AO59" s="493"/>
      <c r="AP59" s="492"/>
      <c r="AS59" s="493"/>
      <c r="AW59" s="493"/>
      <c r="BA59" s="494"/>
    </row>
    <row r="60" spans="1:53" s="678" customFormat="1">
      <c r="A60" s="678">
        <v>2016</v>
      </c>
      <c r="B60" s="864"/>
      <c r="C60" s="917" t="s">
        <v>1297</v>
      </c>
      <c r="D60" s="917"/>
      <c r="E60" s="678">
        <v>41</v>
      </c>
      <c r="F60" s="502"/>
      <c r="G60" s="498">
        <v>8</v>
      </c>
      <c r="H60" s="678">
        <v>5</v>
      </c>
      <c r="J60" s="500">
        <v>13</v>
      </c>
      <c r="K60" s="496">
        <f t="shared" ref="K60:K63" si="18">G60/J60*100</f>
        <v>61.53846153846154</v>
      </c>
      <c r="L60" s="496">
        <f t="shared" ref="L60:L63" si="19">H60/J60*100</f>
        <v>38.461538461538467</v>
      </c>
      <c r="M60" s="496">
        <f t="shared" ref="M60:M63" si="20">I60/J60*100</f>
        <v>0</v>
      </c>
      <c r="N60" s="499">
        <f t="shared" ref="N60:N63" si="21">SUM(K60:M60)</f>
        <v>100</v>
      </c>
      <c r="O60" s="495">
        <v>40</v>
      </c>
      <c r="P60" s="496">
        <v>21</v>
      </c>
      <c r="R60" s="497">
        <f t="shared" ref="R60:R61" si="22">SUM(O60:P60)</f>
        <v>61</v>
      </c>
      <c r="S60" s="678">
        <v>2</v>
      </c>
      <c r="T60" s="839"/>
      <c r="U60" s="852"/>
      <c r="V60" s="492" t="s">
        <v>407</v>
      </c>
      <c r="W60" s="678" t="s">
        <v>76</v>
      </c>
      <c r="X60" s="678" t="s">
        <v>11</v>
      </c>
      <c r="Y60" s="493">
        <v>23</v>
      </c>
      <c r="Z60" s="492" t="s">
        <v>1139</v>
      </c>
      <c r="AA60" s="678" t="s">
        <v>1140</v>
      </c>
      <c r="AB60" s="678" t="s">
        <v>11</v>
      </c>
      <c r="AC60" s="678">
        <v>17</v>
      </c>
      <c r="AD60" s="492" t="s">
        <v>1039</v>
      </c>
      <c r="AE60" s="678" t="s">
        <v>937</v>
      </c>
      <c r="AF60" s="678" t="s">
        <v>18</v>
      </c>
      <c r="AG60" s="493">
        <v>21</v>
      </c>
      <c r="AL60" s="492"/>
      <c r="AO60" s="493"/>
      <c r="AP60" s="492"/>
      <c r="AS60" s="493"/>
      <c r="AW60" s="493"/>
      <c r="BA60" s="494"/>
    </row>
    <row r="61" spans="1:53" s="702" customFormat="1">
      <c r="A61" s="702">
        <v>2016</v>
      </c>
      <c r="B61" s="850">
        <v>42411</v>
      </c>
      <c r="C61" s="916" t="s">
        <v>1350</v>
      </c>
      <c r="D61" s="916"/>
      <c r="E61" s="702">
        <v>325</v>
      </c>
      <c r="F61" s="707">
        <v>2</v>
      </c>
      <c r="G61" s="539">
        <v>8</v>
      </c>
      <c r="H61" s="702">
        <v>6</v>
      </c>
      <c r="J61" s="541">
        <v>14</v>
      </c>
      <c r="K61" s="537">
        <f t="shared" si="18"/>
        <v>57.142857142857139</v>
      </c>
      <c r="L61" s="537">
        <f t="shared" si="19"/>
        <v>42.857142857142854</v>
      </c>
      <c r="M61" s="537">
        <f t="shared" si="20"/>
        <v>0</v>
      </c>
      <c r="N61" s="540">
        <f t="shared" si="21"/>
        <v>100</v>
      </c>
      <c r="O61" s="536">
        <v>40</v>
      </c>
      <c r="P61" s="537">
        <v>21</v>
      </c>
      <c r="R61" s="538">
        <f t="shared" si="22"/>
        <v>61</v>
      </c>
      <c r="S61" s="702">
        <v>2</v>
      </c>
      <c r="T61" s="838"/>
      <c r="U61" s="850">
        <v>42411</v>
      </c>
      <c r="V61" s="532" t="s">
        <v>407</v>
      </c>
      <c r="W61" s="702" t="s">
        <v>76</v>
      </c>
      <c r="X61" s="702" t="s">
        <v>11</v>
      </c>
      <c r="Y61" s="533">
        <v>23</v>
      </c>
      <c r="Z61" s="532" t="s">
        <v>1139</v>
      </c>
      <c r="AA61" s="702" t="s">
        <v>1140</v>
      </c>
      <c r="AB61" s="702" t="s">
        <v>11</v>
      </c>
      <c r="AC61" s="702">
        <v>17</v>
      </c>
      <c r="AD61" s="532" t="s">
        <v>1039</v>
      </c>
      <c r="AE61" s="702" t="s">
        <v>937</v>
      </c>
      <c r="AF61" s="702" t="s">
        <v>18</v>
      </c>
      <c r="AG61" s="533">
        <v>21</v>
      </c>
      <c r="AL61" s="532"/>
      <c r="AO61" s="533"/>
      <c r="AP61" s="532"/>
      <c r="AS61" s="533"/>
      <c r="AW61" s="533"/>
      <c r="BA61" s="534"/>
    </row>
    <row r="62" spans="1:53" s="726" customFormat="1">
      <c r="A62" s="726">
        <v>2017</v>
      </c>
      <c r="B62" s="850"/>
      <c r="C62" s="916" t="s">
        <v>1350</v>
      </c>
      <c r="D62" s="916"/>
      <c r="E62" s="726">
        <v>355</v>
      </c>
      <c r="F62" s="707"/>
      <c r="G62" s="539">
        <v>8</v>
      </c>
      <c r="H62" s="726">
        <v>6</v>
      </c>
      <c r="J62" s="541">
        <v>14</v>
      </c>
      <c r="K62" s="537">
        <f t="shared" si="18"/>
        <v>57.142857142857139</v>
      </c>
      <c r="L62" s="537">
        <f t="shared" si="19"/>
        <v>42.857142857142854</v>
      </c>
      <c r="M62" s="537">
        <f t="shared" si="20"/>
        <v>0</v>
      </c>
      <c r="N62" s="540">
        <f t="shared" si="21"/>
        <v>100</v>
      </c>
      <c r="O62" s="536">
        <v>40</v>
      </c>
      <c r="P62" s="537">
        <v>21</v>
      </c>
      <c r="R62" s="538">
        <f t="shared" ref="R62:R63" si="23">SUM(O62:P62)</f>
        <v>61</v>
      </c>
      <c r="S62" s="726">
        <v>2</v>
      </c>
      <c r="T62" s="838"/>
      <c r="U62" s="850"/>
      <c r="V62" s="532" t="s">
        <v>407</v>
      </c>
      <c r="W62" s="726" t="s">
        <v>76</v>
      </c>
      <c r="X62" s="726" t="s">
        <v>11</v>
      </c>
      <c r="Y62" s="533">
        <v>23</v>
      </c>
      <c r="Z62" s="532" t="s">
        <v>1139</v>
      </c>
      <c r="AA62" s="726" t="s">
        <v>1140</v>
      </c>
      <c r="AB62" s="726" t="s">
        <v>11</v>
      </c>
      <c r="AC62" s="726">
        <v>17</v>
      </c>
      <c r="AD62" s="532" t="s">
        <v>1039</v>
      </c>
      <c r="AE62" s="726" t="s">
        <v>937</v>
      </c>
      <c r="AF62" s="726" t="s">
        <v>18</v>
      </c>
      <c r="AG62" s="533">
        <v>21</v>
      </c>
      <c r="AL62" s="532"/>
      <c r="AO62" s="533"/>
      <c r="AP62" s="532"/>
      <c r="AS62" s="533"/>
      <c r="AW62" s="533"/>
      <c r="BA62" s="534"/>
    </row>
    <row r="63" spans="1:53" s="726" customFormat="1">
      <c r="A63" s="726">
        <v>2017</v>
      </c>
      <c r="B63" s="869">
        <v>43091</v>
      </c>
      <c r="C63" s="916" t="s">
        <v>1350</v>
      </c>
      <c r="D63" s="916"/>
      <c r="E63" s="726">
        <v>10</v>
      </c>
      <c r="F63" s="735">
        <v>0</v>
      </c>
      <c r="G63" s="539">
        <v>8</v>
      </c>
      <c r="H63" s="726">
        <v>5</v>
      </c>
      <c r="J63" s="541">
        <v>13</v>
      </c>
      <c r="K63" s="537">
        <f t="shared" si="18"/>
        <v>61.53846153846154</v>
      </c>
      <c r="L63" s="537">
        <f t="shared" si="19"/>
        <v>38.461538461538467</v>
      </c>
      <c r="M63" s="537">
        <f t="shared" si="20"/>
        <v>0</v>
      </c>
      <c r="N63" s="540">
        <f t="shared" si="21"/>
        <v>100</v>
      </c>
      <c r="O63" s="536">
        <v>40</v>
      </c>
      <c r="P63" s="537">
        <v>21</v>
      </c>
      <c r="R63" s="538">
        <f t="shared" si="23"/>
        <v>61</v>
      </c>
      <c r="S63" s="726">
        <v>2</v>
      </c>
      <c r="T63" s="838"/>
      <c r="U63" s="850"/>
      <c r="V63" s="532" t="s">
        <v>407</v>
      </c>
      <c r="W63" s="726" t="s">
        <v>76</v>
      </c>
      <c r="X63" s="726" t="s">
        <v>11</v>
      </c>
      <c r="Y63" s="533">
        <v>23</v>
      </c>
      <c r="Z63" s="532" t="s">
        <v>1139</v>
      </c>
      <c r="AA63" s="726" t="s">
        <v>1140</v>
      </c>
      <c r="AB63" s="726" t="s">
        <v>11</v>
      </c>
      <c r="AC63" s="726">
        <v>17</v>
      </c>
      <c r="AD63" s="532" t="s">
        <v>1039</v>
      </c>
      <c r="AE63" s="726" t="s">
        <v>937</v>
      </c>
      <c r="AF63" s="726" t="s">
        <v>18</v>
      </c>
      <c r="AG63" s="533">
        <v>21</v>
      </c>
      <c r="AL63" s="532"/>
      <c r="AO63" s="533"/>
      <c r="AP63" s="532"/>
      <c r="AS63" s="533"/>
      <c r="AW63" s="533"/>
      <c r="BA63" s="534"/>
    </row>
    <row r="64" spans="1:53" s="770" customFormat="1">
      <c r="A64" s="770">
        <v>2018</v>
      </c>
      <c r="B64" s="869"/>
      <c r="C64" s="916" t="s">
        <v>1350</v>
      </c>
      <c r="D64" s="916"/>
      <c r="E64" s="770">
        <v>330</v>
      </c>
      <c r="F64" s="735"/>
      <c r="G64" s="539">
        <v>8</v>
      </c>
      <c r="H64" s="770">
        <v>5</v>
      </c>
      <c r="J64" s="541">
        <v>13</v>
      </c>
      <c r="K64" s="537">
        <f t="shared" ref="K64:K65" si="24">G64/J64*100</f>
        <v>61.53846153846154</v>
      </c>
      <c r="L64" s="537">
        <f t="shared" ref="L64:L65" si="25">H64/J64*100</f>
        <v>38.461538461538467</v>
      </c>
      <c r="M64" s="537">
        <f t="shared" ref="M64:M65" si="26">I64/J64*100</f>
        <v>0</v>
      </c>
      <c r="N64" s="540">
        <f t="shared" ref="N64:N65" si="27">SUM(K64:M64)</f>
        <v>100</v>
      </c>
      <c r="O64" s="536">
        <v>40</v>
      </c>
      <c r="P64" s="537">
        <v>21</v>
      </c>
      <c r="R64" s="538">
        <f t="shared" ref="R64" si="28">SUM(O64:P64)</f>
        <v>61</v>
      </c>
      <c r="S64" s="770">
        <v>2</v>
      </c>
      <c r="T64" s="838"/>
      <c r="U64" s="850"/>
      <c r="V64" s="532" t="s">
        <v>407</v>
      </c>
      <c r="W64" s="770" t="s">
        <v>76</v>
      </c>
      <c r="X64" s="770" t="s">
        <v>11</v>
      </c>
      <c r="Y64" s="533">
        <v>23</v>
      </c>
      <c r="Z64" s="532" t="s">
        <v>1139</v>
      </c>
      <c r="AA64" s="770" t="s">
        <v>1140</v>
      </c>
      <c r="AB64" s="770" t="s">
        <v>11</v>
      </c>
      <c r="AC64" s="770">
        <v>17</v>
      </c>
      <c r="AD64" s="532" t="s">
        <v>1039</v>
      </c>
      <c r="AE64" s="770" t="s">
        <v>937</v>
      </c>
      <c r="AF64" s="770" t="s">
        <v>18</v>
      </c>
      <c r="AG64" s="533">
        <v>21</v>
      </c>
      <c r="AL64" s="532"/>
      <c r="AO64" s="533"/>
      <c r="AP64" s="532"/>
      <c r="AS64" s="533"/>
      <c r="AW64" s="533"/>
      <c r="BA64" s="534"/>
    </row>
    <row r="65" spans="1:53" s="770" customFormat="1">
      <c r="A65" s="770">
        <v>2018</v>
      </c>
      <c r="B65" s="869">
        <v>43431</v>
      </c>
      <c r="C65" s="916" t="s">
        <v>1350</v>
      </c>
      <c r="D65" s="916"/>
      <c r="E65" s="770">
        <v>35</v>
      </c>
      <c r="F65" s="735">
        <v>0</v>
      </c>
      <c r="G65" s="539">
        <v>7</v>
      </c>
      <c r="H65" s="770">
        <v>6</v>
      </c>
      <c r="J65" s="541">
        <v>13</v>
      </c>
      <c r="K65" s="537">
        <f t="shared" si="24"/>
        <v>53.846153846153847</v>
      </c>
      <c r="L65" s="537">
        <f t="shared" si="25"/>
        <v>46.153846153846153</v>
      </c>
      <c r="M65" s="537">
        <f t="shared" si="26"/>
        <v>0</v>
      </c>
      <c r="N65" s="540">
        <f t="shared" si="27"/>
        <v>100</v>
      </c>
      <c r="O65" s="536">
        <v>21</v>
      </c>
      <c r="P65" s="537">
        <v>11</v>
      </c>
      <c r="R65" s="538">
        <f t="shared" ref="R65" si="29">SUM(O65:P65)</f>
        <v>32</v>
      </c>
      <c r="S65" s="770">
        <v>5</v>
      </c>
      <c r="T65" s="838">
        <v>43379</v>
      </c>
      <c r="U65" s="850"/>
      <c r="V65" s="532" t="s">
        <v>407</v>
      </c>
      <c r="W65" s="770" t="s">
        <v>76</v>
      </c>
      <c r="X65" s="770" t="s">
        <v>11</v>
      </c>
      <c r="Y65" s="533">
        <v>8</v>
      </c>
      <c r="Z65" s="532" t="s">
        <v>1139</v>
      </c>
      <c r="AA65" s="770" t="s">
        <v>1140</v>
      </c>
      <c r="AB65" s="770" t="s">
        <v>11</v>
      </c>
      <c r="AC65" s="770">
        <v>13</v>
      </c>
      <c r="AD65" s="532" t="s">
        <v>1039</v>
      </c>
      <c r="AE65" s="770" t="s">
        <v>937</v>
      </c>
      <c r="AF65" s="770" t="s">
        <v>18</v>
      </c>
      <c r="AG65" s="533">
        <v>11</v>
      </c>
      <c r="AL65" s="532"/>
      <c r="AO65" s="533"/>
      <c r="AP65" s="532"/>
      <c r="AS65" s="533"/>
      <c r="AW65" s="533"/>
      <c r="BA65" s="534"/>
    </row>
    <row r="66" spans="1:53" s="800" customFormat="1">
      <c r="A66" s="800">
        <v>2019</v>
      </c>
      <c r="B66" s="869"/>
      <c r="C66" s="916" t="s">
        <v>1350</v>
      </c>
      <c r="D66" s="916"/>
      <c r="E66" s="800">
        <v>23</v>
      </c>
      <c r="F66" s="735"/>
      <c r="G66" s="539">
        <v>7</v>
      </c>
      <c r="H66" s="800">
        <v>6</v>
      </c>
      <c r="J66" s="541">
        <v>13</v>
      </c>
      <c r="K66" s="537">
        <f t="shared" ref="K66:K67" si="30">G66/J66*100</f>
        <v>53.846153846153847</v>
      </c>
      <c r="L66" s="537">
        <f t="shared" ref="L66:L67" si="31">H66/J66*100</f>
        <v>46.153846153846153</v>
      </c>
      <c r="M66" s="537">
        <f t="shared" ref="M66:M67" si="32">I66/J66*100</f>
        <v>0</v>
      </c>
      <c r="N66" s="540">
        <f t="shared" ref="N66:N67" si="33">SUM(K66:M66)</f>
        <v>100</v>
      </c>
      <c r="O66" s="536">
        <v>21</v>
      </c>
      <c r="P66" s="537">
        <v>11</v>
      </c>
      <c r="R66" s="538">
        <f t="shared" ref="R66:R67" si="34">SUM(O66:P66)</f>
        <v>32</v>
      </c>
      <c r="S66" s="800">
        <v>5</v>
      </c>
      <c r="T66" s="838"/>
      <c r="U66" s="850"/>
      <c r="V66" s="532" t="s">
        <v>407</v>
      </c>
      <c r="W66" s="800" t="s">
        <v>76</v>
      </c>
      <c r="X66" s="800" t="s">
        <v>11</v>
      </c>
      <c r="Y66" s="533">
        <v>8</v>
      </c>
      <c r="Z66" s="532" t="s">
        <v>1139</v>
      </c>
      <c r="AA66" s="800" t="s">
        <v>1140</v>
      </c>
      <c r="AB66" s="800" t="s">
        <v>11</v>
      </c>
      <c r="AC66" s="800">
        <v>13</v>
      </c>
      <c r="AD66" s="532" t="s">
        <v>1039</v>
      </c>
      <c r="AE66" s="800" t="s">
        <v>937</v>
      </c>
      <c r="AF66" s="800" t="s">
        <v>18</v>
      </c>
      <c r="AG66" s="533">
        <v>11</v>
      </c>
    </row>
    <row r="67" spans="1:53" s="799" customFormat="1">
      <c r="A67" s="799">
        <v>2019</v>
      </c>
      <c r="B67" s="830">
        <v>43488</v>
      </c>
      <c r="C67" s="917" t="s">
        <v>1426</v>
      </c>
      <c r="D67" s="917"/>
      <c r="E67" s="799">
        <v>342</v>
      </c>
      <c r="F67" s="799">
        <v>1</v>
      </c>
      <c r="G67" s="498">
        <v>11</v>
      </c>
      <c r="H67" s="799">
        <v>3</v>
      </c>
      <c r="J67" s="500">
        <v>14</v>
      </c>
      <c r="K67" s="496">
        <f t="shared" si="30"/>
        <v>78.571428571428569</v>
      </c>
      <c r="L67" s="496">
        <f t="shared" si="31"/>
        <v>21.428571428571427</v>
      </c>
      <c r="M67" s="496">
        <f t="shared" si="32"/>
        <v>0</v>
      </c>
      <c r="N67" s="499">
        <f t="shared" si="33"/>
        <v>100</v>
      </c>
      <c r="O67" s="495">
        <v>53</v>
      </c>
      <c r="P67" s="496">
        <v>13</v>
      </c>
      <c r="R67" s="497">
        <f t="shared" si="34"/>
        <v>66</v>
      </c>
      <c r="S67" s="799">
        <v>3</v>
      </c>
      <c r="T67" s="839"/>
      <c r="U67" s="852">
        <v>43488</v>
      </c>
      <c r="V67" s="492" t="s">
        <v>407</v>
      </c>
      <c r="W67" s="799" t="s">
        <v>76</v>
      </c>
      <c r="X67" s="799" t="s">
        <v>11</v>
      </c>
      <c r="Y67" s="493">
        <v>8</v>
      </c>
      <c r="Z67" s="492" t="s">
        <v>1139</v>
      </c>
      <c r="AA67" s="799" t="s">
        <v>1140</v>
      </c>
      <c r="AB67" s="799" t="s">
        <v>11</v>
      </c>
      <c r="AC67" s="799">
        <v>13</v>
      </c>
      <c r="AD67" s="492" t="s">
        <v>1427</v>
      </c>
      <c r="AE67" s="799" t="s">
        <v>1442</v>
      </c>
      <c r="AF67" s="823" t="s">
        <v>11</v>
      </c>
      <c r="AG67" s="493">
        <v>16</v>
      </c>
      <c r="AH67" s="799" t="s">
        <v>1428</v>
      </c>
      <c r="AI67" s="799" t="s">
        <v>1429</v>
      </c>
      <c r="AJ67" s="823" t="s">
        <v>11</v>
      </c>
      <c r="AK67" s="799">
        <v>16</v>
      </c>
      <c r="AL67" s="492" t="s">
        <v>1430</v>
      </c>
      <c r="AM67" s="799" t="s">
        <v>100</v>
      </c>
      <c r="AN67" s="823" t="s">
        <v>1419</v>
      </c>
      <c r="AO67" s="493">
        <v>13</v>
      </c>
      <c r="AP67" s="492"/>
      <c r="AS67" s="493"/>
      <c r="AW67" s="493"/>
      <c r="BA67" s="494"/>
    </row>
    <row r="68" spans="1:53">
      <c r="B68" s="2"/>
      <c r="C68" s="2"/>
      <c r="D68" s="2"/>
      <c r="E68" s="2"/>
      <c r="F68" s="2"/>
      <c r="G68" s="2"/>
      <c r="H68" s="2"/>
      <c r="I68" s="2"/>
      <c r="J68" s="2"/>
      <c r="K68" s="2"/>
      <c r="L68" s="2"/>
      <c r="M68" s="2"/>
      <c r="N68" s="2"/>
    </row>
    <row r="69" spans="1:53">
      <c r="B69" s="2"/>
      <c r="C69" s="2"/>
      <c r="D69" s="2"/>
      <c r="E69" s="2"/>
      <c r="F69" s="2"/>
      <c r="G69" s="2"/>
      <c r="H69" s="2"/>
      <c r="I69" s="2"/>
      <c r="J69" s="2"/>
      <c r="K69" s="2"/>
      <c r="L69" s="2"/>
      <c r="M69" s="2"/>
      <c r="N69" s="2"/>
    </row>
    <row r="70" spans="1:53" s="2" customFormat="1" ht="18" customHeight="1">
      <c r="B70" s="22" t="s">
        <v>1269</v>
      </c>
    </row>
    <row r="71" spans="1:53" s="2" customFormat="1" ht="9" customHeight="1"/>
    <row r="72" spans="1:53" s="317" customFormat="1" ht="9" customHeight="1">
      <c r="A72" s="315"/>
      <c r="B72" s="316" t="s">
        <v>1220</v>
      </c>
      <c r="C72" s="316"/>
      <c r="D72" s="316"/>
      <c r="E72" s="316"/>
      <c r="F72" s="316"/>
      <c r="G72" s="316" t="s">
        <v>1221</v>
      </c>
      <c r="H72" s="316"/>
      <c r="I72" s="316"/>
      <c r="J72" s="316"/>
      <c r="K72" s="316"/>
      <c r="L72" s="316"/>
      <c r="M72" s="316"/>
      <c r="N72" s="316"/>
      <c r="R72" s="895" t="s">
        <v>1222</v>
      </c>
      <c r="S72" s="895"/>
      <c r="T72" s="895"/>
      <c r="U72" s="895"/>
      <c r="V72" s="895"/>
      <c r="W72" s="895"/>
      <c r="X72" s="318"/>
      <c r="Y72" s="318"/>
      <c r="AA72" s="318"/>
      <c r="AB72" s="318"/>
      <c r="AC72" s="318"/>
      <c r="AD72" s="318"/>
    </row>
    <row r="73" spans="1:53" s="322" customFormat="1" ht="9" customHeight="1">
      <c r="A73" s="319"/>
      <c r="B73" s="320" t="s">
        <v>1224</v>
      </c>
      <c r="C73" s="321"/>
      <c r="D73" s="321"/>
      <c r="E73" s="321"/>
      <c r="F73" s="321"/>
      <c r="G73" s="320" t="s">
        <v>1223</v>
      </c>
      <c r="H73" s="321"/>
      <c r="I73" s="321"/>
      <c r="J73" s="321"/>
      <c r="K73" s="321"/>
      <c r="L73" s="321"/>
      <c r="M73" s="321"/>
      <c r="N73" s="321"/>
      <c r="R73" s="323" t="s">
        <v>1225</v>
      </c>
      <c r="S73" s="324"/>
      <c r="T73" s="325"/>
      <c r="U73" s="325"/>
      <c r="V73" s="325"/>
      <c r="W73" s="323" t="s">
        <v>1226</v>
      </c>
      <c r="X73" s="325"/>
      <c r="Y73" s="325"/>
      <c r="AA73" s="325"/>
      <c r="AB73" s="325"/>
      <c r="AC73" s="325"/>
      <c r="AD73" s="325"/>
    </row>
    <row r="74" spans="1:53" s="307" customFormat="1" ht="12" customHeight="1">
      <c r="A74" s="326" t="s">
        <v>3</v>
      </c>
      <c r="B74" s="327" t="s">
        <v>8</v>
      </c>
      <c r="C74" s="327" t="s">
        <v>9</v>
      </c>
      <c r="D74" s="327" t="s">
        <v>10</v>
      </c>
      <c r="E74" s="328" t="s">
        <v>1200</v>
      </c>
      <c r="F74" s="327"/>
      <c r="G74" s="307" t="s">
        <v>3</v>
      </c>
      <c r="H74" s="896" t="s">
        <v>0</v>
      </c>
      <c r="I74" s="896"/>
      <c r="J74" s="896" t="s">
        <v>1</v>
      </c>
      <c r="K74" s="896"/>
      <c r="L74" s="896" t="s">
        <v>2</v>
      </c>
      <c r="M74" s="896"/>
      <c r="N74" s="897" t="s">
        <v>1200</v>
      </c>
      <c r="O74" s="897"/>
      <c r="P74" s="329"/>
      <c r="Q74" s="329"/>
      <c r="R74" s="330" t="s">
        <v>3</v>
      </c>
      <c r="S74" s="331" t="s">
        <v>136</v>
      </c>
      <c r="T74" s="329" t="s">
        <v>134</v>
      </c>
      <c r="U74" s="327" t="s">
        <v>135</v>
      </c>
      <c r="V74" s="329"/>
      <c r="W74" s="332" t="s">
        <v>26</v>
      </c>
    </row>
    <row r="75" spans="1:53" ht="9" customHeight="1">
      <c r="A75" s="1">
        <v>1990</v>
      </c>
      <c r="C75" s="8"/>
      <c r="D75" s="8"/>
      <c r="E75" s="69"/>
      <c r="G75" s="1">
        <v>1990</v>
      </c>
      <c r="H75" s="894"/>
      <c r="I75" s="894"/>
      <c r="J75" s="894"/>
      <c r="K75" s="894"/>
      <c r="L75" s="894"/>
      <c r="M75" s="894"/>
      <c r="N75" s="887"/>
      <c r="O75" s="887"/>
      <c r="R75" s="1">
        <v>1990</v>
      </c>
    </row>
    <row r="76" spans="1:53" ht="9" customHeight="1">
      <c r="A76" s="1">
        <v>1991</v>
      </c>
      <c r="C76" s="8"/>
      <c r="D76" s="8"/>
      <c r="E76" s="69"/>
      <c r="G76" s="1">
        <v>1991</v>
      </c>
      <c r="H76" s="929"/>
      <c r="I76" s="929"/>
      <c r="J76" s="929"/>
      <c r="K76" s="929"/>
      <c r="L76" s="929"/>
      <c r="M76" s="929"/>
      <c r="N76" s="887"/>
      <c r="O76" s="887"/>
      <c r="R76" s="1">
        <v>1991</v>
      </c>
    </row>
    <row r="77" spans="1:53" ht="9" customHeight="1">
      <c r="A77" s="1">
        <v>1992</v>
      </c>
      <c r="C77" s="8"/>
      <c r="D77" s="8"/>
      <c r="E77" s="69"/>
      <c r="G77" s="1">
        <v>1992</v>
      </c>
      <c r="H77" s="929"/>
      <c r="I77" s="929"/>
      <c r="J77" s="929"/>
      <c r="K77" s="929"/>
      <c r="L77" s="929"/>
      <c r="M77" s="929"/>
      <c r="N77" s="887"/>
      <c r="O77" s="887"/>
      <c r="R77" s="1">
        <v>1992</v>
      </c>
    </row>
    <row r="78" spans="1:53" ht="9" customHeight="1">
      <c r="A78" s="1">
        <v>1993</v>
      </c>
      <c r="B78" s="8">
        <f>(K7*($E7/151))</f>
        <v>80</v>
      </c>
      <c r="C78" s="8">
        <f>(L7*($E7/151))</f>
        <v>0</v>
      </c>
      <c r="D78" s="8">
        <f>(M7*($E7/151))</f>
        <v>20</v>
      </c>
      <c r="E78" s="69">
        <f t="shared" ref="E78:E97" si="35">SUM(B78:D78)</f>
        <v>100</v>
      </c>
      <c r="G78" s="1">
        <v>1993</v>
      </c>
      <c r="H78" s="929">
        <f>(O7/$R7*100*($E7/151))</f>
        <v>75</v>
      </c>
      <c r="I78" s="929"/>
      <c r="J78" s="929">
        <f>(P7/$R7*100*($E7/151))</f>
        <v>0</v>
      </c>
      <c r="K78" s="929"/>
      <c r="L78" s="929">
        <f>(Q7/$R7*100*($E7/151))</f>
        <v>25</v>
      </c>
      <c r="M78" s="929"/>
      <c r="N78" s="887">
        <f t="shared" ref="N78:N93" si="36">SUM(H78:L78)</f>
        <v>100</v>
      </c>
      <c r="O78" s="887"/>
      <c r="R78" s="1">
        <v>1993</v>
      </c>
      <c r="S78" s="8">
        <f>(O7*($E7/151))</f>
        <v>36</v>
      </c>
      <c r="T78" s="8">
        <f>(P7*($E7/151))</f>
        <v>0</v>
      </c>
      <c r="U78" s="8">
        <f>(Q7*($E7/151))</f>
        <v>12</v>
      </c>
      <c r="W78" s="7">
        <f>SUM(S78:U78)</f>
        <v>48</v>
      </c>
      <c r="Y78" s="71" t="s">
        <v>1229</v>
      </c>
    </row>
    <row r="79" spans="1:53" ht="9" customHeight="1">
      <c r="A79" s="1">
        <v>1994</v>
      </c>
      <c r="B79" s="8">
        <f>(K8*($E8/365))+(K9*($E9/365))</f>
        <v>75.350293542074368</v>
      </c>
      <c r="C79" s="8">
        <f>(L8*($E8/365))+(L9*($E9/365))</f>
        <v>0</v>
      </c>
      <c r="D79" s="8">
        <f>(M8*($E8/365))+(M9*($E9/365))</f>
        <v>16.195694716242659</v>
      </c>
      <c r="E79" s="69">
        <f t="shared" si="35"/>
        <v>91.545988258317024</v>
      </c>
      <c r="G79" s="1">
        <v>1994</v>
      </c>
      <c r="H79" s="929">
        <f>(O8/$R8*100*($E8/365))+(O9/$R9*100*($E9/365))</f>
        <v>82.397260273972606</v>
      </c>
      <c r="I79" s="929"/>
      <c r="J79" s="929">
        <f>(P8/$R8*100*($E8/365))+(P9/$R9*100*($E9/365))</f>
        <v>0</v>
      </c>
      <c r="K79" s="929"/>
      <c r="L79" s="929">
        <f>(Q8/$R8*100*($E8/365))+(Q9/$R9*100*($E9/365))</f>
        <v>17.602739726027398</v>
      </c>
      <c r="M79" s="929"/>
      <c r="N79" s="887">
        <f t="shared" si="36"/>
        <v>100</v>
      </c>
      <c r="O79" s="887"/>
      <c r="R79" s="1">
        <v>1994</v>
      </c>
      <c r="S79" s="8">
        <f>(O8*($E8/365))+(O9*($E9/365))</f>
        <v>36</v>
      </c>
      <c r="T79" s="8">
        <f>(P8*($E8/365))+(P9*($E9/365))</f>
        <v>0</v>
      </c>
      <c r="U79" s="8">
        <f>(Q8*($E8/365))+(Q9*($E9/365))</f>
        <v>8.4493150684931511</v>
      </c>
      <c r="W79" s="7">
        <f t="shared" ref="W79:W97" si="37">SUM(S79:U79)</f>
        <v>44.449315068493149</v>
      </c>
    </row>
    <row r="80" spans="1:53" ht="9" customHeight="1">
      <c r="A80" s="1">
        <v>1995</v>
      </c>
      <c r="B80" s="8">
        <f>(K10*($E10/365))+(K11*($E11/365))</f>
        <v>64.043542074363998</v>
      </c>
      <c r="C80" s="8">
        <f>(L10*($E10/365))+(L11*($E11/365))</f>
        <v>0.18835616438356165</v>
      </c>
      <c r="D80" s="8">
        <f>(M10*($E10/365))+(M11*($E11/365))</f>
        <v>7.8693737769080228</v>
      </c>
      <c r="E80" s="69">
        <f t="shared" si="35"/>
        <v>72.101272015655582</v>
      </c>
      <c r="G80" s="1">
        <v>1995</v>
      </c>
      <c r="H80" s="929">
        <f>(O10/$R10*100*($E10/365))+(O11/$R11*100*($E11/365))</f>
        <v>98.596359542127985</v>
      </c>
      <c r="I80" s="929"/>
      <c r="J80" s="929">
        <f>(P10/$R10*100*($E10/365))+(P11/$R11*100*($E11/365))</f>
        <v>0.33026834302871083</v>
      </c>
      <c r="K80" s="929"/>
      <c r="L80" s="929">
        <f>(Q10/$R10*100*($E10/365))+(Q11/$R11*100*($E11/365))</f>
        <v>1.0733721148433102</v>
      </c>
      <c r="M80" s="929"/>
      <c r="N80" s="887">
        <f t="shared" si="36"/>
        <v>100</v>
      </c>
      <c r="O80" s="887"/>
      <c r="R80" s="1">
        <v>1995</v>
      </c>
      <c r="S80" s="8">
        <f>(O10*($E10/365))+(O11*($E11/365))</f>
        <v>36.090410958904108</v>
      </c>
      <c r="T80" s="8">
        <f>(P10*($E10/365))+(P11*($E11/365))</f>
        <v>0.24109589041095891</v>
      </c>
      <c r="U80" s="8">
        <f>(Q10*($E10/365))+(Q11*($E11/365))</f>
        <v>0.78356164383561644</v>
      </c>
      <c r="W80" s="7">
        <f t="shared" si="37"/>
        <v>37.115068493150687</v>
      </c>
    </row>
    <row r="81" spans="1:23" ht="9" customHeight="1">
      <c r="A81" s="1">
        <v>1996</v>
      </c>
      <c r="B81" s="8">
        <f>(K12*($E12/366))+(K13*($E13/366))</f>
        <v>56.25</v>
      </c>
      <c r="C81" s="8">
        <f>(L12*($E12/366))+(L13*($E13/366))</f>
        <v>6.25</v>
      </c>
      <c r="D81" s="8">
        <f>(M12*($E12/366))+(M13*($E13/366))</f>
        <v>31.25</v>
      </c>
      <c r="E81" s="69">
        <f t="shared" si="35"/>
        <v>93.75</v>
      </c>
      <c r="G81" s="1">
        <v>1996</v>
      </c>
      <c r="H81" s="929">
        <f>(O12/$R12*100*($E12/366))+(O13/$R13*100*($E13/366))</f>
        <v>53.424657534246577</v>
      </c>
      <c r="I81" s="929"/>
      <c r="J81" s="929">
        <f>(P12/$R12*100*($E12/366))+(P13/$R13*100*($E13/366))</f>
        <v>10.95890410958904</v>
      </c>
      <c r="K81" s="929"/>
      <c r="L81" s="929">
        <f>(Q12/$R12*100*($E12/366))+(Q13/$R13*100*($E13/366))</f>
        <v>35.61643835616438</v>
      </c>
      <c r="M81" s="929"/>
      <c r="N81" s="887">
        <f t="shared" si="36"/>
        <v>100</v>
      </c>
      <c r="O81" s="887"/>
      <c r="R81" s="1">
        <v>1996</v>
      </c>
      <c r="S81" s="8">
        <f>(O12*($E12/366))+(O13*($E13/366))</f>
        <v>39</v>
      </c>
      <c r="T81" s="8">
        <f>(P12*($E12/366))+(P13*($E13/366))</f>
        <v>8</v>
      </c>
      <c r="U81" s="8">
        <f>(Q12*($E12/366))+(Q13*($E13/366))</f>
        <v>26</v>
      </c>
      <c r="W81" s="7">
        <f t="shared" si="37"/>
        <v>73</v>
      </c>
    </row>
    <row r="82" spans="1:23" ht="9" customHeight="1">
      <c r="A82" s="1">
        <v>1997</v>
      </c>
      <c r="B82" s="8">
        <f>(K14*($E14/365))+(K15*($E15/365))+(K16*($E16/365))</f>
        <v>54.521449170872387</v>
      </c>
      <c r="C82" s="8">
        <f>(L14*($E14/365))+(L15*($E15/365))+(L16*($E16/365))</f>
        <v>14.413302090843548</v>
      </c>
      <c r="D82" s="8">
        <f>(M14*($E14/365))+(M15*($E15/365))+(M16*($E16/365))</f>
        <v>25.282083633741887</v>
      </c>
      <c r="E82" s="69">
        <f t="shared" si="35"/>
        <v>94.216834895457822</v>
      </c>
      <c r="G82" s="1">
        <v>1997</v>
      </c>
      <c r="H82" s="929">
        <f>(O14/$R14*100*($E14/365))+(O15/$R15*100*($E15/365))+(O16/$R16*100*($E16/365))</f>
        <v>59.225370613623575</v>
      </c>
      <c r="I82" s="929"/>
      <c r="J82" s="929">
        <f>(P14/$R14*100*($E14/365))+(P15/$R15*100*($E15/365))+(P16/$R16*100*($E16/365))</f>
        <v>12.148793972025349</v>
      </c>
      <c r="K82" s="929"/>
      <c r="L82" s="929">
        <f>(Q14/$R14*100*($E14/365))+(Q15/$R15*100*($E15/365))+(Q16/$R16*100*($E16/365))</f>
        <v>28.625835414351084</v>
      </c>
      <c r="M82" s="929"/>
      <c r="N82" s="887">
        <f t="shared" si="36"/>
        <v>100.00000000000001</v>
      </c>
      <c r="O82" s="887"/>
      <c r="R82" s="1">
        <v>1997</v>
      </c>
      <c r="S82" s="8">
        <f>(O14*($E14/365))+(O15*($E15/365))+(O16*($E16/365))</f>
        <v>39</v>
      </c>
      <c r="T82" s="8">
        <f>(P14*($E14/365))+(P15*($E15/365))+(P16*($E16/365))</f>
        <v>8</v>
      </c>
      <c r="U82" s="8">
        <f>(Q14*($E14/365))+(Q15*($E15/365))+(Q16*($E16/365))</f>
        <v>18.942465753424656</v>
      </c>
      <c r="W82" s="7">
        <f t="shared" si="37"/>
        <v>65.942465753424656</v>
      </c>
    </row>
    <row r="83" spans="1:23" ht="9" customHeight="1">
      <c r="A83" s="1">
        <v>1998</v>
      </c>
      <c r="B83" s="8">
        <f>(K17*($E17/365))+(K18*($E18/365))+(K19*($E19/365))</f>
        <v>65.839831401475237</v>
      </c>
      <c r="C83" s="8">
        <f>(L17*($E17/365))+(L18*($E18/365))+(L19*($E19/365))</f>
        <v>25.252145115158818</v>
      </c>
      <c r="D83" s="8">
        <f>(M17*($E17/365))+(M18*($E18/365))+(M19*($E19/365))</f>
        <v>8.9080234833659482</v>
      </c>
      <c r="E83" s="69">
        <f t="shared" si="35"/>
        <v>100</v>
      </c>
      <c r="G83" s="1">
        <v>1998</v>
      </c>
      <c r="H83" s="929">
        <f>(O17/$R17*100*($E17/365))+(O18/$R18*100*($E18/365))+(O19/$R19*100*($E19/365))</f>
        <v>76.940571856839512</v>
      </c>
      <c r="I83" s="929"/>
      <c r="J83" s="929">
        <f>(P17/$R17*100*($E17/365))+(P18/$R18*100*($E18/365))+(P19/$R19*100*($E19/365))</f>
        <v>14.089814586462795</v>
      </c>
      <c r="K83" s="929"/>
      <c r="L83" s="929">
        <f>(Q17/$R17*100*($E17/365))+(Q18/$R18*100*($E18/365))+(Q19/$R19*100*($E19/365))</f>
        <v>8.9696135566977055</v>
      </c>
      <c r="M83" s="929"/>
      <c r="N83" s="887">
        <f t="shared" si="36"/>
        <v>100.00000000000001</v>
      </c>
      <c r="O83" s="887"/>
      <c r="R83" s="1">
        <v>1998</v>
      </c>
      <c r="S83" s="8">
        <f>(O17*($E17/365))+(O18*($E18/365))+(O19*($E19/365))</f>
        <v>39.197260273972603</v>
      </c>
      <c r="T83" s="8">
        <f>(P17*($E17/365))+(P18*($E18/365))+(P19*($E19/365))</f>
        <v>7.2109589041095896</v>
      </c>
      <c r="U83" s="8">
        <f>(Q17*($E17/365))+(Q18*($E18/365))+(Q19*($E19/365))</f>
        <v>5.5726027397260278</v>
      </c>
      <c r="W83" s="7">
        <f t="shared" si="37"/>
        <v>51.980821917808221</v>
      </c>
    </row>
    <row r="84" spans="1:23" ht="9" customHeight="1">
      <c r="A84" s="1">
        <v>1999</v>
      </c>
      <c r="B84" s="8">
        <f>(K20*($E20/365))+(K21*($E21/365))+(K22*($E22/365))</f>
        <v>89.881278538812779</v>
      </c>
      <c r="C84" s="8">
        <f>(L20*($E20/365))+(L21*($E21/365))+(L22*($E22/365))</f>
        <v>0</v>
      </c>
      <c r="D84" s="8">
        <f>(M20*($E20/365))+(M21*($E21/365))+(M22*($E22/365))</f>
        <v>10.118721461187215</v>
      </c>
      <c r="E84" s="69">
        <f t="shared" si="35"/>
        <v>100</v>
      </c>
      <c r="G84" s="1">
        <v>1999</v>
      </c>
      <c r="H84" s="929">
        <f>(O20/$R20*100*($E20/365))+(O21/$R21*100*($E21/365))+(O22/$R22*100*($E22/365))</f>
        <v>82.98015096449538</v>
      </c>
      <c r="I84" s="929"/>
      <c r="J84" s="929">
        <f>(P20/$R20*100*($E20/365))+(P21/$R21*100*($E21/365))+(P22/$R22*100*($E22/365))</f>
        <v>0</v>
      </c>
      <c r="K84" s="929"/>
      <c r="L84" s="929">
        <f>(Q20/$R20*100*($E20/365))+(Q21/$R21*100*($E21/365))+(Q22/$R22*100*($E22/365))</f>
        <v>17.01984903550461</v>
      </c>
      <c r="M84" s="929"/>
      <c r="N84" s="887">
        <f t="shared" si="36"/>
        <v>99.999999999999986</v>
      </c>
      <c r="O84" s="887"/>
      <c r="R84" s="1">
        <v>1999</v>
      </c>
      <c r="S84" s="8">
        <f>(O20*($E20/365))+(O21*($E21/365))+(O22*($E22/365))</f>
        <v>50.723287671232875</v>
      </c>
      <c r="T84" s="8">
        <f>(P20*($E20/365))+(P21*($E21/365))+(P22*($E22/365))</f>
        <v>0</v>
      </c>
      <c r="U84" s="8">
        <f>(Q20*($E20/365))+(Q21*($E21/365))+(Q22*($E22/365))</f>
        <v>10.509589041095891</v>
      </c>
      <c r="W84" s="7">
        <f t="shared" si="37"/>
        <v>61.232876712328768</v>
      </c>
    </row>
    <row r="85" spans="1:23" ht="9" customHeight="1">
      <c r="A85" s="1">
        <v>2000</v>
      </c>
      <c r="B85" s="8">
        <f>(K23*($E23/366))+(K24*($E24/366))</f>
        <v>91.183970856102007</v>
      </c>
      <c r="C85" s="8">
        <f>(L23*($E23/366))+(L24*($E24/366))</f>
        <v>0</v>
      </c>
      <c r="D85" s="8">
        <f>(M23*($E23/366))+(M24*($E24/366))</f>
        <v>8.8160291438979961</v>
      </c>
      <c r="E85" s="69">
        <f t="shared" si="35"/>
        <v>100</v>
      </c>
      <c r="G85" s="1">
        <v>2000</v>
      </c>
      <c r="H85" s="929">
        <f>(O23/$R23*100*($E23/366))+(O24/$R24*100*($E24/366))</f>
        <v>92.44340359094457</v>
      </c>
      <c r="I85" s="929"/>
      <c r="J85" s="929">
        <f>(P23/$R23*100*($E23/366))+(P24/$R24*100*($E24/366))</f>
        <v>0</v>
      </c>
      <c r="K85" s="929"/>
      <c r="L85" s="929">
        <f>(Q23/$R23*100*($E23/366))+(Q24/$R24*100*($E24/366))</f>
        <v>7.556596409055425</v>
      </c>
      <c r="M85" s="929"/>
      <c r="N85" s="887">
        <f t="shared" si="36"/>
        <v>100</v>
      </c>
      <c r="O85" s="887"/>
      <c r="R85" s="1">
        <v>2000</v>
      </c>
      <c r="S85" s="8">
        <f>(O23*($E23/366))+(O24*($E24/366))</f>
        <v>62</v>
      </c>
      <c r="T85" s="8">
        <f>(P23*($E23/366))+(P24*($E24/366))</f>
        <v>0</v>
      </c>
      <c r="U85" s="8">
        <f>(Q23*($E23/366))+(Q24*($E24/366))</f>
        <v>5.2896174863387975</v>
      </c>
      <c r="W85" s="7">
        <f t="shared" si="37"/>
        <v>67.289617486338798</v>
      </c>
    </row>
    <row r="86" spans="1:23" ht="9" customHeight="1">
      <c r="A86" s="1">
        <v>2001</v>
      </c>
      <c r="B86" s="8">
        <f>(K25*($E25/365))+(K26*($E26/365))</f>
        <v>86.666666666666671</v>
      </c>
      <c r="C86" s="8">
        <f>(L25*($E25/365))+(L26*($E26/365))</f>
        <v>0</v>
      </c>
      <c r="D86" s="8">
        <f>(M25*($E25/365))+(M26*($E26/365))</f>
        <v>13.333333333333334</v>
      </c>
      <c r="E86" s="69">
        <f t="shared" si="35"/>
        <v>100</v>
      </c>
      <c r="G86" s="1">
        <v>2001</v>
      </c>
      <c r="H86" s="929">
        <f>(O25/$R25*100*($E25/365))+(O26/$R26*100*($E26/365))</f>
        <v>88.571428571428569</v>
      </c>
      <c r="I86" s="929"/>
      <c r="J86" s="929">
        <f>(P25/$R25*100*($E25/365))+(P26/$R26*100*($E26/365))</f>
        <v>0</v>
      </c>
      <c r="K86" s="929"/>
      <c r="L86" s="929">
        <f>(Q25/$R25*100*($E25/365))+(Q26/$R26*100*($E26/365))</f>
        <v>11.428571428571429</v>
      </c>
      <c r="M86" s="929"/>
      <c r="N86" s="887">
        <f t="shared" si="36"/>
        <v>100</v>
      </c>
      <c r="O86" s="887"/>
      <c r="R86" s="1">
        <v>2001</v>
      </c>
      <c r="S86" s="8">
        <f>(O25*($E25/365))+(O26*($E26/365))</f>
        <v>62</v>
      </c>
      <c r="T86" s="8">
        <f>(P25*($E25/365))+(P26*($E26/365))</f>
        <v>0</v>
      </c>
      <c r="U86" s="8">
        <f>(Q25*($E25/365))+(Q26*($E26/365))</f>
        <v>8</v>
      </c>
      <c r="W86" s="7">
        <f t="shared" si="37"/>
        <v>70</v>
      </c>
    </row>
    <row r="87" spans="1:23" ht="9" customHeight="1">
      <c r="A87" s="1">
        <v>2002</v>
      </c>
      <c r="B87" s="8">
        <f>(K27*($E27/365))+(K28*($E28/365))</f>
        <v>82.675799086757991</v>
      </c>
      <c r="C87" s="8">
        <f>(L27*($E27/365))+(L28*($E28/365))</f>
        <v>6.0730593607305945</v>
      </c>
      <c r="D87" s="8">
        <f>(M27*($E27/365))+(M28*($E28/365))</f>
        <v>11.251141552511415</v>
      </c>
      <c r="E87" s="69">
        <f t="shared" si="35"/>
        <v>100</v>
      </c>
      <c r="G87" s="1">
        <v>2002</v>
      </c>
      <c r="H87" s="929">
        <f>(O27/$R27*100*($E27/365))+(O28/$R28*100*($E28/365))</f>
        <v>84.109589041095887</v>
      </c>
      <c r="I87" s="929"/>
      <c r="J87" s="929">
        <f>(P27/$R27*100*($E27/365))+(P28/$R28*100*($E28/365))</f>
        <v>6.2465753424657535</v>
      </c>
      <c r="K87" s="929"/>
      <c r="L87" s="929">
        <f>(Q27/$R27*100*($E27/365))+(Q28/$R28*100*($E28/365))</f>
        <v>9.6438356164383556</v>
      </c>
      <c r="M87" s="929"/>
      <c r="N87" s="887">
        <f t="shared" si="36"/>
        <v>99.999999999999986</v>
      </c>
      <c r="O87" s="887"/>
      <c r="R87" s="1">
        <v>2002</v>
      </c>
      <c r="S87" s="8">
        <f>(O27*($E27/365))+(O28*($E28/365))</f>
        <v>57.471232876712328</v>
      </c>
      <c r="T87" s="8">
        <f>(P27*($E27/365))+(P28*($E28/365))</f>
        <v>3.4356164383561643</v>
      </c>
      <c r="U87" s="8">
        <f>(Q27*($E27/365))+(Q28*($E28/365))</f>
        <v>6.7506849315068491</v>
      </c>
      <c r="W87" s="7">
        <f t="shared" si="37"/>
        <v>67.657534246575338</v>
      </c>
    </row>
    <row r="88" spans="1:23" ht="9" customHeight="1">
      <c r="A88" s="1">
        <v>2003</v>
      </c>
      <c r="B88" s="8">
        <f>(K29*($E29/365))+(K30*($E30/365))</f>
        <v>61.111111111111114</v>
      </c>
      <c r="C88" s="8">
        <f>(L29*($E29/365))+(L30*($E30/365))</f>
        <v>38.888888888888893</v>
      </c>
      <c r="D88" s="8">
        <f>(M29*($E29/365))+(M30*($E30/365))</f>
        <v>0</v>
      </c>
      <c r="E88" s="69">
        <f t="shared" si="35"/>
        <v>100</v>
      </c>
      <c r="G88" s="1">
        <v>2003</v>
      </c>
      <c r="H88" s="929">
        <f>(O29/$R29*100*($E29/365))+(O30/$R30*100*($E30/365))</f>
        <v>60</v>
      </c>
      <c r="I88" s="929"/>
      <c r="J88" s="929">
        <f>(P29/$R29*100*($E29/365))+(P30/$R30*100*($E30/365))</f>
        <v>40</v>
      </c>
      <c r="K88" s="929"/>
      <c r="L88" s="929">
        <f>(Q29/$R29*100*($E29/365))+(Q30/$R30*100*($E30/365))</f>
        <v>0</v>
      </c>
      <c r="M88" s="929"/>
      <c r="N88" s="887">
        <f t="shared" si="36"/>
        <v>100</v>
      </c>
      <c r="O88" s="887"/>
      <c r="R88" s="1">
        <v>2003</v>
      </c>
      <c r="S88" s="8">
        <f>(O29*($E29/365))+(O30*($E30/365))</f>
        <v>33</v>
      </c>
      <c r="T88" s="8">
        <f>(P29*($E29/365))+(P30*($E30/365))</f>
        <v>22</v>
      </c>
      <c r="U88" s="8">
        <f>(Q29*($E29/365))+(Q30*($E30/365))</f>
        <v>0</v>
      </c>
      <c r="W88" s="7">
        <f t="shared" si="37"/>
        <v>55</v>
      </c>
    </row>
    <row r="89" spans="1:23" ht="9" customHeight="1">
      <c r="A89" s="1">
        <v>2004</v>
      </c>
      <c r="B89" s="8">
        <f>(K31*($E31/366))+(K32*($E32/366))+(K33*($E33/366))</f>
        <v>37.158469945355193</v>
      </c>
      <c r="C89" s="8">
        <f>(L31*($E31/366))+(L32*($E32/366))+(L33*($E33/366))</f>
        <v>54.705525197328477</v>
      </c>
      <c r="D89" s="8">
        <f>(M31*($E31/366))+(M32*($E32/366))+(M33*($E33/366))</f>
        <v>0</v>
      </c>
      <c r="E89" s="69">
        <f t="shared" si="35"/>
        <v>91.863995142683677</v>
      </c>
      <c r="G89" s="1">
        <v>2004</v>
      </c>
      <c r="H89" s="929">
        <f>(O31/$R31*100*($E31/366))+(O32/$R32*100*($E32/366))+(O33/$R33*100*($E33/366))</f>
        <v>51.560974116422528</v>
      </c>
      <c r="I89" s="929"/>
      <c r="J89" s="929">
        <f>(P31/$R31*100*($E31/366))+(P32/$R32*100*($E32/366))+(P33/$R33*100*($E33/366))</f>
        <v>48.439025883577479</v>
      </c>
      <c r="K89" s="929"/>
      <c r="L89" s="929">
        <f>(Q31/$R31*100*($E31/366))+(Q32/$R32*100*($E32/366))+(Q33/$R33*100*($E33/366))</f>
        <v>0</v>
      </c>
      <c r="M89" s="929"/>
      <c r="N89" s="887">
        <f t="shared" si="36"/>
        <v>100</v>
      </c>
      <c r="O89" s="887"/>
      <c r="R89" s="1">
        <v>2004</v>
      </c>
      <c r="S89" s="8">
        <f>(O31*($E31/366))+(O32*($E32/366))+(O33*($E33/366))</f>
        <v>24.546448087431692</v>
      </c>
      <c r="T89" s="8">
        <f>(P31*($E31/366))+(P32*($E32/366))+(P33*($E33/366))</f>
        <v>22</v>
      </c>
      <c r="U89" s="8">
        <f>(Q31*($E31/366))+(Q32*($E32/366))+(Q33*($E33/366))</f>
        <v>0</v>
      </c>
      <c r="W89" s="7">
        <f t="shared" si="37"/>
        <v>46.546448087431692</v>
      </c>
    </row>
    <row r="90" spans="1:23" ht="9" customHeight="1">
      <c r="A90" s="1">
        <v>2005</v>
      </c>
      <c r="B90" s="8">
        <f>(K34*($E34/365))+(K35*($E35/365))</f>
        <v>66.666666666666657</v>
      </c>
      <c r="C90" s="8">
        <f>(L34*($E34/365))+(L35*($E35/365))</f>
        <v>33.333333333333329</v>
      </c>
      <c r="D90" s="8">
        <f>(M34*($E34/365))+(M35*($E35/365))</f>
        <v>0</v>
      </c>
      <c r="E90" s="69">
        <f t="shared" si="35"/>
        <v>99.999999999999986</v>
      </c>
      <c r="G90" s="1">
        <v>2005</v>
      </c>
      <c r="H90" s="929">
        <f>(O34/$R34*100*($E34/365))+(O35/$R35*100*($E35/365))</f>
        <v>67.64705882352942</v>
      </c>
      <c r="I90" s="929"/>
      <c r="J90" s="929">
        <f>(P34/$R34*100*($E34/365))+(P35/$R35*100*($E35/365))</f>
        <v>32.352941176470587</v>
      </c>
      <c r="K90" s="929"/>
      <c r="L90" s="929">
        <f>(Q34/$R34*100*($E34/365))+(Q35/$R35*100*($E35/365))</f>
        <v>0</v>
      </c>
      <c r="M90" s="929"/>
      <c r="N90" s="887">
        <f t="shared" si="36"/>
        <v>100</v>
      </c>
      <c r="O90" s="887"/>
      <c r="R90" s="1">
        <v>2005</v>
      </c>
      <c r="S90" s="8">
        <f>(O34*($E34/365))+(O35*($E35/365))</f>
        <v>46</v>
      </c>
      <c r="T90" s="8">
        <f>(P34*($E34/365))+(P35*($E35/365))</f>
        <v>22</v>
      </c>
      <c r="U90" s="8">
        <f>(Q34*($E34/365))+(Q35*($E35/365))</f>
        <v>0</v>
      </c>
      <c r="W90" s="7">
        <f t="shared" si="37"/>
        <v>68</v>
      </c>
    </row>
    <row r="91" spans="1:23" ht="9" customHeight="1">
      <c r="A91" s="1">
        <v>2006</v>
      </c>
      <c r="B91" s="8">
        <f>(K36*($E36/365))+(K37*($E37/365))+(K38*($E38/365))</f>
        <v>54.429223744292237</v>
      </c>
      <c r="C91" s="8">
        <f>(L36*($E36/365))+(L37*($E37/365))+(L38*($E38/365))</f>
        <v>45.570776255707763</v>
      </c>
      <c r="D91" s="8">
        <f>(M36*($E36/365))+(M37*($E37/365))+(M38*($E38/365))</f>
        <v>0</v>
      </c>
      <c r="E91" s="69">
        <f t="shared" si="35"/>
        <v>100</v>
      </c>
      <c r="G91" s="1">
        <v>2006</v>
      </c>
      <c r="H91" s="929">
        <f>(O36/$R36*100*($E36/365))+(O37/$R37*100*($E37/365))+(O38/$R38*100*($E38/365))</f>
        <v>53.683431115654997</v>
      </c>
      <c r="I91" s="929"/>
      <c r="J91" s="929">
        <f>(P36/$R36*100*($E36/365))+(P37/$R37*100*($E37/365))+(P38/$R38*100*($E38/365))</f>
        <v>46.31656888434501</v>
      </c>
      <c r="K91" s="929"/>
      <c r="L91" s="929">
        <f>(Q36/$R36*100*($E36/365))+(Q37/$R37*100*($E37/365))+(Q38/$R38*100*($E38/365))</f>
        <v>0</v>
      </c>
      <c r="M91" s="929"/>
      <c r="N91" s="887">
        <f t="shared" si="36"/>
        <v>100</v>
      </c>
      <c r="O91" s="887"/>
      <c r="R91" s="1">
        <v>2006</v>
      </c>
      <c r="S91" s="8">
        <f>(O36*($E36/365))+(O37*($E37/365))+(O38*($E38/365))</f>
        <v>28.567123287671233</v>
      </c>
      <c r="T91" s="8">
        <f>(P36*($E36/365))+(P37*($E37/365))+(P38*($E38/365))</f>
        <v>22.904109589041099</v>
      </c>
      <c r="U91" s="8">
        <f>(Q36*($E36/365))+(Q37*($E37/365))+(Q38*($E38/365))</f>
        <v>0</v>
      </c>
      <c r="W91" s="7">
        <f t="shared" si="37"/>
        <v>51.471232876712335</v>
      </c>
    </row>
    <row r="92" spans="1:23" ht="9" customHeight="1">
      <c r="A92" s="1">
        <v>2007</v>
      </c>
      <c r="B92" s="8">
        <f>(K39*($E39/365))+(K40*($E40/365))</f>
        <v>50.086517664023077</v>
      </c>
      <c r="C92" s="8">
        <f>(L39*($E39/365))+(L40*($E40/365))</f>
        <v>49.91348233597693</v>
      </c>
      <c r="D92" s="8">
        <f>(M39*($E39/365))+(M40*($E40/365))</f>
        <v>0</v>
      </c>
      <c r="E92" s="69">
        <f t="shared" si="35"/>
        <v>100</v>
      </c>
      <c r="G92" s="1">
        <v>2007</v>
      </c>
      <c r="H92" s="929">
        <f>(O39/$R39*100*($E39/365))+(O40/$R40*100*($E40/365))</f>
        <v>52.542372881355938</v>
      </c>
      <c r="I92" s="929"/>
      <c r="J92" s="929">
        <f>(P39/$R39*100*($E39/365))+(P40/$R40*100*($E40/365))</f>
        <v>47.457627118644069</v>
      </c>
      <c r="K92" s="929"/>
      <c r="L92" s="929">
        <f>(Q39/$R39*100*($E39/365))+(Q40/$R40*100*($E40/365))</f>
        <v>0</v>
      </c>
      <c r="M92" s="929"/>
      <c r="N92" s="887">
        <f t="shared" si="36"/>
        <v>100</v>
      </c>
      <c r="O92" s="887"/>
      <c r="R92" s="1">
        <v>2007</v>
      </c>
      <c r="S92" s="8">
        <f>(O39*($E39/365))+(O40*($E40/365))</f>
        <v>31</v>
      </c>
      <c r="T92" s="8">
        <f>(P39*($E39/365))+(P40*($E40/365))</f>
        <v>28.000000000000004</v>
      </c>
      <c r="U92" s="8">
        <f>(Q39*($E39/365))+(Q40*($E40/365))</f>
        <v>0</v>
      </c>
      <c r="W92" s="7">
        <f t="shared" si="37"/>
        <v>59</v>
      </c>
    </row>
    <row r="93" spans="1:23" ht="9" customHeight="1">
      <c r="A93" s="1">
        <v>2008</v>
      </c>
      <c r="B93" s="8">
        <f>(K41*($E41/366))+(K42*($E42/366))</f>
        <v>52.631578947368418</v>
      </c>
      <c r="C93" s="8">
        <f>(L41*($E41/366))+(L42*($E42/366))</f>
        <v>47.368421052631575</v>
      </c>
      <c r="D93" s="8">
        <f>(M41*($E41/366))+(M42*($E42/366))</f>
        <v>0</v>
      </c>
      <c r="E93" s="69">
        <f t="shared" si="35"/>
        <v>100</v>
      </c>
      <c r="G93" s="1">
        <v>2008</v>
      </c>
      <c r="H93" s="929">
        <f>(O41/$R41*100*($E41/366))+(O42/$R42*100*($E42/366))</f>
        <v>52.542372881355938</v>
      </c>
      <c r="I93" s="929"/>
      <c r="J93" s="929">
        <f>(P41/$R41*100*($E41/366))+(P42/$R42*100*($E42/366))</f>
        <v>47.457627118644069</v>
      </c>
      <c r="K93" s="929"/>
      <c r="L93" s="929">
        <f>(Q41/$R41*100*($E41/366))+(Q42/$R42*100*($E42/366))</f>
        <v>0</v>
      </c>
      <c r="M93" s="929"/>
      <c r="N93" s="887">
        <f t="shared" si="36"/>
        <v>100</v>
      </c>
      <c r="O93" s="887"/>
      <c r="R93" s="1">
        <v>2008</v>
      </c>
      <c r="S93" s="8">
        <f>(O41*($E41/366))+(O42*($E42/366))</f>
        <v>31</v>
      </c>
      <c r="T93" s="8">
        <f>(P41*($E41/366))+(P42*($E42/366))</f>
        <v>28</v>
      </c>
      <c r="U93" s="8">
        <f>(Q41*($E41/366))+(Q42*($E42/366))</f>
        <v>0</v>
      </c>
      <c r="W93" s="7">
        <f t="shared" si="37"/>
        <v>59</v>
      </c>
    </row>
    <row r="94" spans="1:23" ht="9" customHeight="1">
      <c r="A94" s="1">
        <v>2009</v>
      </c>
      <c r="B94" s="8">
        <f>(K43*($E43/365))+(K44*($E44/365))</f>
        <v>69.363133862052379</v>
      </c>
      <c r="C94" s="8">
        <f>(L43*($E43/365))+(L44*($E44/365))</f>
        <v>30.636866137947607</v>
      </c>
      <c r="D94" s="8">
        <f>(M43*($E43/365))+(M44*($E44/365))</f>
        <v>0</v>
      </c>
      <c r="E94" s="69">
        <f t="shared" si="35"/>
        <v>99.999999999999986</v>
      </c>
      <c r="G94" s="1">
        <v>2009</v>
      </c>
      <c r="H94" s="929">
        <f>(O43/$R43*100*($E43/365))+(O44/$R44*100*($E44/365))</f>
        <v>69.18518621196317</v>
      </c>
      <c r="I94" s="929"/>
      <c r="J94" s="929">
        <f>(P43/$R43*100*($E43/365))+(P44/$R44*100*($E44/365))</f>
        <v>30.81481378803683</v>
      </c>
      <c r="K94" s="929"/>
      <c r="L94" s="929">
        <f>(Q43/$R43*100*($E43/365))+(Q44/$R44*100*($E44/365))</f>
        <v>0</v>
      </c>
      <c r="M94" s="929"/>
      <c r="N94" s="887">
        <f t="shared" ref="N94:N99" si="38">SUM(H94:L94)</f>
        <v>100</v>
      </c>
      <c r="O94" s="887"/>
      <c r="R94" s="1">
        <v>2009</v>
      </c>
      <c r="S94" s="8">
        <f>(O43*($E43/365))+(O44*($E44/365))</f>
        <v>45.547945205479451</v>
      </c>
      <c r="T94" s="8">
        <f>(P43*($E43/365))+(P44*($E44/365))</f>
        <v>19.917808219178085</v>
      </c>
      <c r="U94" s="8">
        <f>(Q43*($E43/365))+(Q44*($E44/365))</f>
        <v>0</v>
      </c>
      <c r="W94" s="7">
        <f t="shared" si="37"/>
        <v>65.465753424657535</v>
      </c>
    </row>
    <row r="95" spans="1:23" ht="9" customHeight="1">
      <c r="A95" s="1">
        <v>2010</v>
      </c>
      <c r="B95" s="8">
        <f>(K45*($E45/365))+(K46*($E46/365))+(K47*($E47/365))</f>
        <v>58.397912589693419</v>
      </c>
      <c r="C95" s="8">
        <f>(L45*($E45/365))+(L46*($E46/365))+(L47*($E47/365))</f>
        <v>33.419439008480104</v>
      </c>
      <c r="D95" s="8">
        <f>(M45*($E45/365))+(M46*($E46/365))+(M47*($E47/365))</f>
        <v>0</v>
      </c>
      <c r="E95" s="69">
        <f t="shared" si="35"/>
        <v>91.817351598173531</v>
      </c>
      <c r="G95" s="1">
        <v>2010</v>
      </c>
      <c r="H95" s="929">
        <f>(O45/$R45*100*($E45/365))+(O46/$R46*100*($E46/365))+(O47/$R47*100*($E47/365))</f>
        <v>62.356833516105652</v>
      </c>
      <c r="I95" s="929"/>
      <c r="J95" s="929">
        <f>(P45/$R45*100*($E45/365))+(P46/$R46*100*($E46/365))+(P47/$R47*100*($E47/365))</f>
        <v>37.643166483894355</v>
      </c>
      <c r="K95" s="929"/>
      <c r="L95" s="929">
        <f>(Q45/$R45*100*($E45/365))+(Q46/$R46*100*($E46/365))+(Q47/$R47*100*($E47/365))</f>
        <v>0</v>
      </c>
      <c r="M95" s="929"/>
      <c r="N95" s="887">
        <f t="shared" si="38"/>
        <v>100</v>
      </c>
      <c r="O95" s="887"/>
      <c r="R95" s="1">
        <v>2010</v>
      </c>
      <c r="S95" s="8">
        <f>(O45*($E45/365))+(O46*($E46/365))+(O47*($E47/365))</f>
        <v>32.254794520547946</v>
      </c>
      <c r="T95" s="8">
        <f>(P45*($E45/365))+(P46*($E46/365))+(P47*($E47/365))</f>
        <v>18.657534246575342</v>
      </c>
      <c r="U95" s="8">
        <f>(Q45*($E45/365))+(Q46*($E46/365))+(Q47*($E47/365))</f>
        <v>0</v>
      </c>
      <c r="W95" s="7">
        <f t="shared" si="37"/>
        <v>50.912328767123284</v>
      </c>
    </row>
    <row r="96" spans="1:23" ht="9" customHeight="1">
      <c r="A96" s="1">
        <v>2011</v>
      </c>
      <c r="B96" s="8">
        <f>(K48*($E48/365))+(K49*($E49/365))</f>
        <v>65.127201565557726</v>
      </c>
      <c r="C96" s="8">
        <f>(L48*($E48/365))+(L49*($E49/365))</f>
        <v>34.872798434442267</v>
      </c>
      <c r="D96" s="8">
        <f>(M48*($E48/365))+(M49*($E49/365))</f>
        <v>0</v>
      </c>
      <c r="E96" s="69">
        <f t="shared" si="35"/>
        <v>100</v>
      </c>
      <c r="G96" s="1">
        <v>2011</v>
      </c>
      <c r="H96" s="929">
        <f>(O48/$R48*100*($E48/365))+(O49/$R49*100*($E49/365))</f>
        <v>67.452054794520549</v>
      </c>
      <c r="I96" s="929"/>
      <c r="J96" s="929">
        <f>(P48/$R48*100*($E48/365))+(P49/$R49*100*($E49/365))</f>
        <v>32.547945205479451</v>
      </c>
      <c r="K96" s="929"/>
      <c r="L96" s="929">
        <f>(Q48/$R48*100*($E48/365))+(Q49/$R49*100*($E49/365))</f>
        <v>0</v>
      </c>
      <c r="M96" s="929"/>
      <c r="N96" s="887">
        <f t="shared" si="38"/>
        <v>100</v>
      </c>
      <c r="O96" s="887"/>
      <c r="R96" s="1">
        <v>2011</v>
      </c>
      <c r="S96" s="8">
        <f>(O48*($E48/365))+(O49*($E49/365))</f>
        <v>37.284931506849318</v>
      </c>
      <c r="T96" s="8">
        <f>(P48*($E48/365))+(P49*($E49/365))</f>
        <v>17.901369863013699</v>
      </c>
      <c r="U96" s="8">
        <f>(Q48*($E48/365))+(Q49*($E49/365))</f>
        <v>0</v>
      </c>
      <c r="W96" s="7">
        <f t="shared" si="37"/>
        <v>55.186301369863017</v>
      </c>
    </row>
    <row r="97" spans="1:53" ht="9" customHeight="1">
      <c r="A97" s="1">
        <v>2012</v>
      </c>
      <c r="B97" s="8">
        <f>(K50*($E50/366))+(K51*($E51/366))</f>
        <v>100</v>
      </c>
      <c r="C97" s="8">
        <f>(L50*($E50/366))+(L51*($E51/366))</f>
        <v>0</v>
      </c>
      <c r="D97" s="8">
        <f>(M50*($E50/366))+(M51*($E51/366))</f>
        <v>0</v>
      </c>
      <c r="E97" s="69">
        <f t="shared" si="35"/>
        <v>100</v>
      </c>
      <c r="G97" s="1">
        <v>2012</v>
      </c>
      <c r="H97" s="929">
        <f>(O50/$R50*100*($E50/366))+(O51/$R51*100*($E51/366))</f>
        <v>100</v>
      </c>
      <c r="I97" s="929"/>
      <c r="J97" s="929">
        <f>(P50/$R50*100*($E50/366))+(P51/$R51*100*($E51/366))</f>
        <v>0</v>
      </c>
      <c r="K97" s="929"/>
      <c r="L97" s="929">
        <f>(Q50/$R50*100*($E50/366))+(Q51/$R51*100*($E51/366))</f>
        <v>0</v>
      </c>
      <c r="M97" s="929"/>
      <c r="N97" s="887">
        <f t="shared" si="38"/>
        <v>100</v>
      </c>
      <c r="O97" s="887"/>
      <c r="R97" s="1">
        <v>2012</v>
      </c>
      <c r="S97" s="8">
        <f>(O50*($E50/366))+(O51*($E51/366))</f>
        <v>56</v>
      </c>
      <c r="T97" s="8">
        <f>(P50*($E50/366))+(P51*($E51/366))</f>
        <v>0</v>
      </c>
      <c r="U97" s="8">
        <f>(Q50*($E50/366))+(Q51*($E51/366))</f>
        <v>0</v>
      </c>
      <c r="W97" s="7">
        <f t="shared" si="37"/>
        <v>56</v>
      </c>
    </row>
    <row r="98" spans="1:53" ht="9" customHeight="1">
      <c r="A98" s="1">
        <v>2013</v>
      </c>
      <c r="B98" s="8">
        <f>(K52*($E52/365))+(K53*($E53/365))</f>
        <v>100</v>
      </c>
      <c r="C98" s="8">
        <f>(L52*($E52/365))+(L53*($E53/365))</f>
        <v>0</v>
      </c>
      <c r="D98" s="8">
        <f>(M52*($E52/365))+(M53*($E53/365))</f>
        <v>0</v>
      </c>
      <c r="E98" s="467">
        <f>SUM(B98:D98)</f>
        <v>100</v>
      </c>
      <c r="G98" s="1">
        <v>2013</v>
      </c>
      <c r="H98" s="929">
        <f>(O52/$R52*100*($E52/365))+(O53/$R53*100*($E53/365))</f>
        <v>100</v>
      </c>
      <c r="I98" s="929"/>
      <c r="J98" s="929">
        <f>(P52/$R52*100*($E52/365))+(P53/$R53*100*($E53/365))</f>
        <v>0</v>
      </c>
      <c r="K98" s="929"/>
      <c r="L98" s="929">
        <f>(Q52/$R52*100*($E52/365))+(Q53/$R53*100*($E53/365))</f>
        <v>0</v>
      </c>
      <c r="M98" s="929"/>
      <c r="N98" s="887">
        <f t="shared" si="38"/>
        <v>100</v>
      </c>
      <c r="O98" s="887"/>
      <c r="R98" s="1">
        <v>2013</v>
      </c>
      <c r="S98" s="8">
        <f>(O52*($E52/365))+(O53*($E53/365))</f>
        <v>56</v>
      </c>
      <c r="T98" s="8">
        <f>(P52*($E52/365))+(P53*($E53/365))</f>
        <v>0</v>
      </c>
      <c r="U98" s="8">
        <f>(Q52*($E52/365))+(Q53*($E53/365))</f>
        <v>0</v>
      </c>
      <c r="W98" s="7">
        <f>SUM(S98:U98)</f>
        <v>56</v>
      </c>
    </row>
    <row r="99" spans="1:53" s="611" customFormat="1" ht="9" customHeight="1">
      <c r="A99" s="611">
        <v>2014</v>
      </c>
      <c r="B99" s="605">
        <f>(K54*($E54/365))+(K55*($E55/365))+(K56*($E56/365))+(K57*($E57/365))</f>
        <v>77.040493752822528</v>
      </c>
      <c r="C99" s="605">
        <f>(L54*($E54/365))+(L55*($E55/365))+(L56*($E56/365))+(L57*($E57/365))</f>
        <v>22.95950624717748</v>
      </c>
      <c r="D99" s="605">
        <f>(M54*($E54/365))+(M55*($E55/365))+(M56*($E56/365))+(M57*($E57/365))</f>
        <v>0</v>
      </c>
      <c r="E99" s="606">
        <f>SUM(B99:D99)</f>
        <v>100</v>
      </c>
      <c r="G99" s="611">
        <v>2014</v>
      </c>
      <c r="H99" s="929">
        <f>(O54/$R54*100*($E54/365))+(O55/$R55*100*($E55/365))+(O56/$R56*100*($E56/365))+(O57/$R57*100*($E57/365))</f>
        <v>78.398582728248115</v>
      </c>
      <c r="I99" s="929"/>
      <c r="J99" s="929">
        <f>(P54/$R54*100*($E54/365))+(P55/$R55*100*($E55/365))+(P56/$R56*100*($E56/365))+(P57/$R57*100*($E57/365))</f>
        <v>21.601417271751874</v>
      </c>
      <c r="K99" s="929"/>
      <c r="L99" s="929">
        <f>(Q54/$R54*100*($E54/365))+(Q55/$R55*100*($E55/365))+(Q56/$R56*100*($E56/365))+(Q57/$R57*100*($E57/365))</f>
        <v>0</v>
      </c>
      <c r="M99" s="929"/>
      <c r="N99" s="887">
        <f t="shared" si="38"/>
        <v>99.999999999999986</v>
      </c>
      <c r="O99" s="887"/>
      <c r="R99" s="611">
        <v>2014</v>
      </c>
      <c r="S99" s="605">
        <f>(O54*($E54/365))+(O55*($E55/365))+(O56*($E56/365))+(O57*($E57/365))</f>
        <v>48.783561643835618</v>
      </c>
      <c r="T99" s="605">
        <f>(P54*($E54/365))+(P55*($E55/365))+(P56*($E56/365))+(P57*($E57/365))</f>
        <v>13.501369863013698</v>
      </c>
      <c r="U99" s="605">
        <f>(Q54*($E54/365))+(Q55*($E55/365))+(Q56*($E56/365))+(Q57*($E57/365))</f>
        <v>0</v>
      </c>
      <c r="W99" s="610">
        <f>SUM(S99:U99)</f>
        <v>62.284931506849318</v>
      </c>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row>
    <row r="100" spans="1:53" s="611" customFormat="1" ht="9" customHeight="1">
      <c r="A100" s="611">
        <v>2015</v>
      </c>
      <c r="B100" s="605">
        <f>(K58*($E58/365))+(K59*($E59/365))</f>
        <v>63.849164534096047</v>
      </c>
      <c r="C100" s="605">
        <f>(L58*($E58/365))+(L59*($E59/365))</f>
        <v>36.15083546590396</v>
      </c>
      <c r="D100" s="605">
        <f>(M58*($E58/365))+(M59*($E59/365))</f>
        <v>0</v>
      </c>
      <c r="E100" s="606">
        <f>SUM(B100:D100)</f>
        <v>100</v>
      </c>
      <c r="G100" s="611">
        <v>2015</v>
      </c>
      <c r="H100" s="929">
        <f>(O58/$R58*100*($E58/365))+(O59/$R59*100*($E59/365))</f>
        <v>65.573770491803273</v>
      </c>
      <c r="I100" s="929"/>
      <c r="J100" s="929">
        <f>(P58/$R58*100*($E58/365))+(P59/$R59*100*($E59/365))</f>
        <v>34.42622950819672</v>
      </c>
      <c r="K100" s="929"/>
      <c r="L100" s="929">
        <f>(Q58/$R58*100*($E58/365))+(Q59/$R59*100*($E59/365))</f>
        <v>0</v>
      </c>
      <c r="M100" s="929"/>
      <c r="N100" s="887">
        <f>SUM(H100:L100)</f>
        <v>100</v>
      </c>
      <c r="O100" s="887"/>
      <c r="R100" s="611">
        <v>2015</v>
      </c>
      <c r="S100" s="605">
        <f>(O58*($E58/365))+(O59*($E59/365))</f>
        <v>40</v>
      </c>
      <c r="T100" s="605">
        <f>(P58*($E58/365))+(P59*($E59/365))</f>
        <v>21</v>
      </c>
      <c r="U100" s="605">
        <f>(Q58*($E58/365))+(Q59*($E59/365))</f>
        <v>0</v>
      </c>
      <c r="W100" s="610">
        <f>SUM(S100:U100)</f>
        <v>61</v>
      </c>
    </row>
    <row r="101" spans="1:53" s="611" customFormat="1" ht="9" customHeight="1">
      <c r="A101" s="704">
        <v>2016</v>
      </c>
      <c r="B101" s="699">
        <f>(K60*($E60/366))+(K61*($E61/366))</f>
        <v>57.635260913949438</v>
      </c>
      <c r="C101" s="699">
        <f>(L60*($E60/366))+(L61*($E61/366))</f>
        <v>42.364739086050562</v>
      </c>
      <c r="D101" s="699">
        <f>(M60*($E60/366))+(M61*($E61/366))</f>
        <v>0</v>
      </c>
      <c r="E101" s="700">
        <f t="shared" ref="E101" si="39">SUM(B101:D101)</f>
        <v>100</v>
      </c>
      <c r="G101" s="611">
        <v>2016</v>
      </c>
      <c r="H101" s="929">
        <f>(O60/$R60*100*($E60/366))+(O61/$R61*100*($E61/366))</f>
        <v>65.573770491803273</v>
      </c>
      <c r="I101" s="929"/>
      <c r="J101" s="929">
        <f>(P60/$R60*100*($E60/366))+(P61/$R61*100*($E61/366))</f>
        <v>34.42622950819672</v>
      </c>
      <c r="K101" s="929"/>
      <c r="L101" s="929">
        <f>(Q60/$R60*100*($E60/366))+(Q61/$R61*100*($E61/366))</f>
        <v>0</v>
      </c>
      <c r="M101" s="929"/>
      <c r="N101" s="887">
        <f t="shared" ref="N101" si="40">SUM(H101:L101)</f>
        <v>100</v>
      </c>
      <c r="O101" s="887"/>
      <c r="R101" s="611">
        <v>2016</v>
      </c>
      <c r="S101" s="699">
        <f>(O60*($E60/366))+(O61*($E61/366))</f>
        <v>40</v>
      </c>
      <c r="T101" s="699">
        <f>(P60*($E60/366))+(P61*($E61/366))</f>
        <v>21</v>
      </c>
      <c r="U101" s="699">
        <f>(Q60*($E60/366))+(Q61*($E61/366))</f>
        <v>0</v>
      </c>
      <c r="V101" s="704"/>
      <c r="W101" s="703">
        <f t="shared" ref="W101" si="41">SUM(S101:U101)</f>
        <v>61</v>
      </c>
    </row>
    <row r="102" spans="1:53" s="611" customFormat="1" ht="9" customHeight="1">
      <c r="A102" s="749">
        <v>2017</v>
      </c>
      <c r="B102" s="744">
        <f>(K62*($E62/365))+(K63*($E63/365))</f>
        <v>57.263284660544933</v>
      </c>
      <c r="C102" s="744">
        <f>(L62*($E62/365))+(L63*($E63/365))</f>
        <v>42.73671533945506</v>
      </c>
      <c r="D102" s="744">
        <f>(M62*($E62/365))+(M63*($E63/365))</f>
        <v>0</v>
      </c>
      <c r="E102" s="745">
        <f t="shared" ref="E102" si="42">SUM(B102:D102)</f>
        <v>100</v>
      </c>
      <c r="G102" s="749">
        <v>2017</v>
      </c>
      <c r="H102" s="929">
        <f>(O62/$R62*100*($E62/365))+(O63/$R63*100*($E63/365))</f>
        <v>65.573770491803273</v>
      </c>
      <c r="I102" s="929"/>
      <c r="J102" s="929">
        <f>(P62/$R62*100*($E62/365))+(P63/$R63*100*($E63/365))</f>
        <v>34.42622950819672</v>
      </c>
      <c r="K102" s="929"/>
      <c r="L102" s="929">
        <f>(Q62/$R62*100*($E62/365))+(Q63/$R63*100*($E63/365))</f>
        <v>0</v>
      </c>
      <c r="M102" s="929"/>
      <c r="N102" s="887">
        <f t="shared" ref="N102" si="43">SUM(H102:L102)</f>
        <v>100</v>
      </c>
      <c r="O102" s="887"/>
      <c r="R102" s="749">
        <v>2017</v>
      </c>
      <c r="S102" s="744">
        <f>(O62*($E62/365)+(O63*($E63/365)))</f>
        <v>40</v>
      </c>
      <c r="T102" s="744">
        <f>(P62*($E62/365)+(P63*($E63/365)))</f>
        <v>21</v>
      </c>
      <c r="U102" s="744">
        <f>(Q62*($E62/365)+(Q63*($E63/365)))</f>
        <v>0</v>
      </c>
      <c r="V102" s="749"/>
      <c r="W102" s="746">
        <f t="shared" ref="W102" si="44">SUM(S102:U102)</f>
        <v>61</v>
      </c>
    </row>
    <row r="103" spans="1:53">
      <c r="A103" s="775">
        <v>2018</v>
      </c>
      <c r="B103" s="772">
        <f>(K64*($E64/365))+(K65*($E65/365))</f>
        <v>60.800842992623814</v>
      </c>
      <c r="C103" s="772">
        <f>(L64*($E64/365))+(L65*($E65/365))</f>
        <v>39.199157007376186</v>
      </c>
      <c r="D103" s="772">
        <f>(M64*($E64/365))+(M65*($E65/365))</f>
        <v>0</v>
      </c>
      <c r="E103" s="773">
        <f t="shared" ref="E103" si="45">SUM(B103:D103)</f>
        <v>100</v>
      </c>
      <c r="F103" s="775"/>
      <c r="G103" s="775">
        <v>2018</v>
      </c>
      <c r="H103" s="929">
        <f>(O64/$R64*100*($E64/365))+(O65/$R65*100*($E65/365))</f>
        <v>65.578682910397475</v>
      </c>
      <c r="I103" s="929"/>
      <c r="J103" s="929">
        <f>(P64/$R64*100*($E64/365))+(P65/$R65*100*($E65/365))</f>
        <v>34.42131708960251</v>
      </c>
      <c r="K103" s="929"/>
      <c r="L103" s="929">
        <f>(Q64/$R64*100*($E64/365))+(Q65/$R65*100*($E65/365))</f>
        <v>0</v>
      </c>
      <c r="M103" s="929"/>
      <c r="N103" s="887">
        <f t="shared" ref="N103" si="46">SUM(H103:L103)</f>
        <v>99.999999999999986</v>
      </c>
      <c r="O103" s="887"/>
      <c r="P103" s="775"/>
      <c r="Q103" s="775"/>
      <c r="R103" s="775">
        <v>2018</v>
      </c>
      <c r="S103" s="772">
        <f>(O64*($E64/365)+(O65*($E65/365)))</f>
        <v>38.178082191780817</v>
      </c>
      <c r="T103" s="772">
        <f>(P64*($E64/365)+(P65*($E65/365)))</f>
        <v>20.041095890410958</v>
      </c>
      <c r="U103" s="772">
        <f>(Q64*($E64/365)+(Q65*($E65/365)))</f>
        <v>0</v>
      </c>
      <c r="V103" s="775"/>
      <c r="W103" s="774">
        <f t="shared" ref="W103" si="47">SUM(S103:U103)</f>
        <v>58.219178082191775</v>
      </c>
    </row>
    <row r="104" spans="1:53">
      <c r="A104" s="802">
        <v>2019</v>
      </c>
      <c r="B104" s="798">
        <f>(K66*($E66/365))+(K67*($E67/365))</f>
        <v>77.013397561342771</v>
      </c>
      <c r="C104" s="798">
        <f>(L66*($E66/365))+(L67*($E67/365))</f>
        <v>22.986602438657229</v>
      </c>
      <c r="D104" s="798">
        <f>(M66*($E66/365))+(M67*($E67/365))</f>
        <v>0</v>
      </c>
      <c r="E104" s="797">
        <f t="shared" ref="E104" si="48">SUM(B104:D104)</f>
        <v>100</v>
      </c>
      <c r="F104" s="802"/>
      <c r="G104" s="802">
        <v>2019</v>
      </c>
      <c r="H104" s="929">
        <f>(O66/$R66*100*($E66/365))+(O67/$R67*100*($E67/365))</f>
        <v>79.378113325031137</v>
      </c>
      <c r="I104" s="929"/>
      <c r="J104" s="929">
        <f>(P66/$R66*100*($E66/365))+(P67/$R67*100*($E67/365))</f>
        <v>20.621886674968867</v>
      </c>
      <c r="K104" s="929"/>
      <c r="L104" s="929">
        <f>(Q66/$R66*100*($E66/365))+(Q67/$R67*100*($E67/365))</f>
        <v>0</v>
      </c>
      <c r="M104" s="929"/>
      <c r="N104" s="887">
        <f t="shared" ref="N104" si="49">SUM(H104:L104)</f>
        <v>100</v>
      </c>
      <c r="O104" s="887"/>
      <c r="P104" s="802"/>
      <c r="Q104" s="802"/>
      <c r="R104" s="802">
        <v>2019</v>
      </c>
      <c r="S104" s="798">
        <f>(O66*($E66/365)+(O67*($E67/365)))</f>
        <v>50.983561643835621</v>
      </c>
      <c r="T104" s="798">
        <f>(P66*($E66/365)+(P67*($E67/365)))</f>
        <v>12.873972602739727</v>
      </c>
      <c r="U104" s="798">
        <f>(Q66*($E66/365)+(Q67*($E67/365)))</f>
        <v>0</v>
      </c>
      <c r="V104" s="802"/>
      <c r="W104" s="801">
        <f t="shared" ref="W104" si="50">SUM(S104:U104)</f>
        <v>63.857534246575348</v>
      </c>
    </row>
    <row r="105" spans="1:53">
      <c r="A105" s="802"/>
      <c r="F105" s="802"/>
      <c r="G105" s="802"/>
      <c r="R105" s="802"/>
    </row>
  </sheetData>
  <mergeCells count="208">
    <mergeCell ref="J99:K99"/>
    <mergeCell ref="H99:I99"/>
    <mergeCell ref="L99:M99"/>
    <mergeCell ref="N99:O99"/>
    <mergeCell ref="H104:I104"/>
    <mergeCell ref="J104:K104"/>
    <mergeCell ref="L104:M104"/>
    <mergeCell ref="N104:O104"/>
    <mergeCell ref="H100:I100"/>
    <mergeCell ref="J100:K100"/>
    <mergeCell ref="L100:M100"/>
    <mergeCell ref="N100:O100"/>
    <mergeCell ref="H102:I102"/>
    <mergeCell ref="J102:K102"/>
    <mergeCell ref="L102:M102"/>
    <mergeCell ref="N102:O102"/>
    <mergeCell ref="H101:I101"/>
    <mergeCell ref="J101:K101"/>
    <mergeCell ref="L101:M101"/>
    <mergeCell ref="N101:O101"/>
    <mergeCell ref="H103:I103"/>
    <mergeCell ref="J103:K103"/>
    <mergeCell ref="L103:M103"/>
    <mergeCell ref="N103:O103"/>
    <mergeCell ref="H87:I87"/>
    <mergeCell ref="N97:O97"/>
    <mergeCell ref="N96:O96"/>
    <mergeCell ref="H96:I96"/>
    <mergeCell ref="J88:K88"/>
    <mergeCell ref="J87:K87"/>
    <mergeCell ref="J93:K93"/>
    <mergeCell ref="J94:K94"/>
    <mergeCell ref="H95:I95"/>
    <mergeCell ref="J95:K95"/>
    <mergeCell ref="H97:I97"/>
    <mergeCell ref="J96:K96"/>
    <mergeCell ref="J97:K97"/>
    <mergeCell ref="N94:O94"/>
    <mergeCell ref="N91:O91"/>
    <mergeCell ref="H93:I93"/>
    <mergeCell ref="H92:I92"/>
    <mergeCell ref="N95:O95"/>
    <mergeCell ref="N93:O93"/>
    <mergeCell ref="N92:O92"/>
    <mergeCell ref="N89:O89"/>
    <mergeCell ref="N90:O90"/>
    <mergeCell ref="H90:I90"/>
    <mergeCell ref="L88:M88"/>
    <mergeCell ref="N88:O88"/>
    <mergeCell ref="J89:K89"/>
    <mergeCell ref="J90:K90"/>
    <mergeCell ref="J91:K91"/>
    <mergeCell ref="J92:K92"/>
    <mergeCell ref="H89:I89"/>
    <mergeCell ref="H91:I91"/>
    <mergeCell ref="H88:I88"/>
    <mergeCell ref="L89:M89"/>
    <mergeCell ref="H86:I86"/>
    <mergeCell ref="H81:I81"/>
    <mergeCell ref="H82:I82"/>
    <mergeCell ref="H83:I83"/>
    <mergeCell ref="H94:I94"/>
    <mergeCell ref="L91:M91"/>
    <mergeCell ref="L76:M76"/>
    <mergeCell ref="L77:M77"/>
    <mergeCell ref="L78:M78"/>
    <mergeCell ref="L79:M79"/>
    <mergeCell ref="L80:M80"/>
    <mergeCell ref="L86:M86"/>
    <mergeCell ref="L92:M92"/>
    <mergeCell ref="J76:K76"/>
    <mergeCell ref="J77:K77"/>
    <mergeCell ref="J78:K78"/>
    <mergeCell ref="J79:K79"/>
    <mergeCell ref="J81:K81"/>
    <mergeCell ref="J82:K82"/>
    <mergeCell ref="H77:I77"/>
    <mergeCell ref="H78:I78"/>
    <mergeCell ref="H85:I85"/>
    <mergeCell ref="H76:I76"/>
    <mergeCell ref="H79:I79"/>
    <mergeCell ref="L83:M83"/>
    <mergeCell ref="L84:M84"/>
    <mergeCell ref="L85:M85"/>
    <mergeCell ref="C59:D59"/>
    <mergeCell ref="C60:D60"/>
    <mergeCell ref="C61:D61"/>
    <mergeCell ref="C62:D62"/>
    <mergeCell ref="C63:D63"/>
    <mergeCell ref="C64:D64"/>
    <mergeCell ref="C65:D65"/>
    <mergeCell ref="H84:I84"/>
    <mergeCell ref="C66:D66"/>
    <mergeCell ref="C67:D67"/>
    <mergeCell ref="H80:I80"/>
    <mergeCell ref="J80:K80"/>
    <mergeCell ref="J83:K83"/>
    <mergeCell ref="J84:K84"/>
    <mergeCell ref="G3:M3"/>
    <mergeCell ref="O3:Q3"/>
    <mergeCell ref="Z4:AC4"/>
    <mergeCell ref="AD4:AG4"/>
    <mergeCell ref="N75:O75"/>
    <mergeCell ref="C18:D18"/>
    <mergeCell ref="C20:D20"/>
    <mergeCell ref="C21:D21"/>
    <mergeCell ref="C38:D38"/>
    <mergeCell ref="C39:D39"/>
    <mergeCell ref="C40:D40"/>
    <mergeCell ref="C41:D41"/>
    <mergeCell ref="C42:D42"/>
    <mergeCell ref="C30:D30"/>
    <mergeCell ref="C32:D32"/>
    <mergeCell ref="C33:D33"/>
    <mergeCell ref="C35:D35"/>
    <mergeCell ref="C22:D22"/>
    <mergeCell ref="C37:D37"/>
    <mergeCell ref="C24:D24"/>
    <mergeCell ref="C25:D25"/>
    <mergeCell ref="C26:D26"/>
    <mergeCell ref="C27:D27"/>
    <mergeCell ref="C28:D28"/>
    <mergeCell ref="C6:D6"/>
    <mergeCell ref="C7:D7"/>
    <mergeCell ref="C8:D8"/>
    <mergeCell ref="J75:K75"/>
    <mergeCell ref="H75:I75"/>
    <mergeCell ref="R72:W72"/>
    <mergeCell ref="H74:I74"/>
    <mergeCell ref="J74:K74"/>
    <mergeCell ref="L74:M74"/>
    <mergeCell ref="N74:O74"/>
    <mergeCell ref="L75:M75"/>
    <mergeCell ref="C43:D43"/>
    <mergeCell ref="C44:D44"/>
    <mergeCell ref="C46:D46"/>
    <mergeCell ref="C47:D47"/>
    <mergeCell ref="C48:D48"/>
    <mergeCell ref="C49:D49"/>
    <mergeCell ref="C50:D50"/>
    <mergeCell ref="C45:D45"/>
    <mergeCell ref="C58:D58"/>
    <mergeCell ref="C51:D51"/>
    <mergeCell ref="C56:D56"/>
    <mergeCell ref="C52:D52"/>
    <mergeCell ref="C53:D53"/>
    <mergeCell ref="A4:A5"/>
    <mergeCell ref="B4:B5"/>
    <mergeCell ref="C4:D5"/>
    <mergeCell ref="E4:E5"/>
    <mergeCell ref="AP4:AS4"/>
    <mergeCell ref="S4:S5"/>
    <mergeCell ref="T4:T5"/>
    <mergeCell ref="U4:U5"/>
    <mergeCell ref="V4:Y4"/>
    <mergeCell ref="G4:J4"/>
    <mergeCell ref="AL4:AO4"/>
    <mergeCell ref="F4:F5"/>
    <mergeCell ref="O4:R4"/>
    <mergeCell ref="AH4:AK4"/>
    <mergeCell ref="C16:D16"/>
    <mergeCell ref="C19:D19"/>
    <mergeCell ref="L95:M95"/>
    <mergeCell ref="N79:O79"/>
    <mergeCell ref="C9:D9"/>
    <mergeCell ref="C10:D10"/>
    <mergeCell ref="C11:D11"/>
    <mergeCell ref="C12:D12"/>
    <mergeCell ref="C13:D13"/>
    <mergeCell ref="C14:D14"/>
    <mergeCell ref="C15:D15"/>
    <mergeCell ref="C17:D17"/>
    <mergeCell ref="C29:D29"/>
    <mergeCell ref="C31:D31"/>
    <mergeCell ref="C36:D36"/>
    <mergeCell ref="C23:D23"/>
    <mergeCell ref="C34:D34"/>
    <mergeCell ref="N85:O85"/>
    <mergeCell ref="L87:M87"/>
    <mergeCell ref="C54:D54"/>
    <mergeCell ref="C55:D55"/>
    <mergeCell ref="C57:D57"/>
    <mergeCell ref="J85:K85"/>
    <mergeCell ref="J86:K86"/>
    <mergeCell ref="AT4:AW4"/>
    <mergeCell ref="AX4:BA4"/>
    <mergeCell ref="H98:I98"/>
    <mergeCell ref="J98:K98"/>
    <mergeCell ref="L98:M98"/>
    <mergeCell ref="N98:O98"/>
    <mergeCell ref="K4:N4"/>
    <mergeCell ref="N76:O76"/>
    <mergeCell ref="L97:M97"/>
    <mergeCell ref="N77:O77"/>
    <mergeCell ref="N78:O78"/>
    <mergeCell ref="L93:M93"/>
    <mergeCell ref="L94:M94"/>
    <mergeCell ref="N86:O86"/>
    <mergeCell ref="N83:O83"/>
    <mergeCell ref="N84:O84"/>
    <mergeCell ref="N87:O87"/>
    <mergeCell ref="L96:M96"/>
    <mergeCell ref="N80:O80"/>
    <mergeCell ref="L81:M81"/>
    <mergeCell ref="L82:M82"/>
    <mergeCell ref="N81:O81"/>
    <mergeCell ref="N82:O82"/>
    <mergeCell ref="L90:M90"/>
  </mergeCells>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BA104"/>
  <sheetViews>
    <sheetView zoomScale="171" zoomScaleNormal="120" workbookViewId="0">
      <pane xSplit="1" ySplit="5" topLeftCell="B42" activePane="bottomRight" state="frozen"/>
      <selection pane="topRight" activeCell="B1" sqref="B1"/>
      <selection pane="bottomLeft" activeCell="A6" sqref="A6"/>
      <selection pane="bottomRight" activeCell="Z63" sqref="Z6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143</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86" customFormat="1">
      <c r="A6" s="86">
        <v>1992</v>
      </c>
      <c r="B6" s="852"/>
      <c r="C6" s="935" t="s">
        <v>1268</v>
      </c>
      <c r="D6" s="935"/>
      <c r="E6" s="140">
        <v>344</v>
      </c>
      <c r="F6" s="174"/>
      <c r="G6" s="119"/>
      <c r="J6" s="126"/>
      <c r="K6" s="92"/>
      <c r="L6" s="92"/>
      <c r="M6" s="92"/>
      <c r="N6" s="121"/>
      <c r="O6" s="91"/>
      <c r="P6" s="92"/>
      <c r="Q6" s="92"/>
      <c r="R6" s="93"/>
      <c r="T6" s="839"/>
      <c r="U6" s="852"/>
      <c r="V6" s="82"/>
      <c r="Y6" s="83"/>
      <c r="AD6" s="82"/>
      <c r="AG6" s="83"/>
      <c r="AL6" s="82"/>
      <c r="AO6" s="83"/>
      <c r="AP6" s="82"/>
      <c r="AS6" s="83"/>
      <c r="AW6" s="83"/>
      <c r="BA6" s="84"/>
    </row>
    <row r="7" spans="1:53" s="292" customFormat="1">
      <c r="A7" s="292">
        <v>1992</v>
      </c>
      <c r="B7" s="836">
        <v>33948</v>
      </c>
      <c r="C7" s="916" t="s">
        <v>1022</v>
      </c>
      <c r="D7" s="916"/>
      <c r="E7" s="292">
        <f>366-344</f>
        <v>22</v>
      </c>
      <c r="F7" s="292" t="s">
        <v>338</v>
      </c>
      <c r="G7" s="425"/>
      <c r="H7" s="469"/>
      <c r="I7" s="469">
        <v>19</v>
      </c>
      <c r="J7" s="427">
        <v>19</v>
      </c>
      <c r="K7" s="423">
        <f t="shared" ref="K7:K49" si="0">G7/J7*100</f>
        <v>0</v>
      </c>
      <c r="L7" s="423">
        <f t="shared" ref="L7:L49" si="1">H7/J7*100</f>
        <v>0</v>
      </c>
      <c r="M7" s="423">
        <f t="shared" ref="M7:M49" si="2">I7/J7*100</f>
        <v>100</v>
      </c>
      <c r="N7" s="426">
        <f t="shared" ref="N7:N53" si="3">SUM(K7:M7)</f>
        <v>100</v>
      </c>
      <c r="O7" s="422"/>
      <c r="P7" s="423"/>
      <c r="Q7" s="423">
        <v>51.8</v>
      </c>
      <c r="R7" s="424">
        <f t="shared" ref="R7:R53" si="4">SUM(O7:Q7)</f>
        <v>51.8</v>
      </c>
      <c r="S7" s="469">
        <v>1</v>
      </c>
      <c r="T7" s="838">
        <v>33923</v>
      </c>
      <c r="U7" s="836">
        <v>33940</v>
      </c>
      <c r="V7" s="299" t="s">
        <v>1017</v>
      </c>
      <c r="W7" s="292" t="s">
        <v>895</v>
      </c>
      <c r="X7" s="292" t="s">
        <v>12</v>
      </c>
      <c r="Y7" s="300">
        <v>51.8</v>
      </c>
      <c r="AD7" s="299"/>
      <c r="AG7" s="300"/>
      <c r="AL7" s="299"/>
      <c r="AO7" s="300"/>
      <c r="AP7" s="299"/>
      <c r="AS7" s="300"/>
      <c r="AW7" s="300"/>
      <c r="BA7" s="301"/>
    </row>
    <row r="8" spans="1:53" s="292" customFormat="1">
      <c r="A8" s="292">
        <v>1993</v>
      </c>
      <c r="B8" s="836"/>
      <c r="C8" s="916" t="s">
        <v>1022</v>
      </c>
      <c r="D8" s="916"/>
      <c r="E8" s="292">
        <v>74</v>
      </c>
      <c r="G8" s="425"/>
      <c r="H8" s="469"/>
      <c r="I8" s="469">
        <v>19</v>
      </c>
      <c r="J8" s="427">
        <v>19</v>
      </c>
      <c r="K8" s="423">
        <f t="shared" si="0"/>
        <v>0</v>
      </c>
      <c r="L8" s="423">
        <f t="shared" si="1"/>
        <v>0</v>
      </c>
      <c r="M8" s="423">
        <f t="shared" si="2"/>
        <v>100</v>
      </c>
      <c r="N8" s="426">
        <f t="shared" si="3"/>
        <v>100</v>
      </c>
      <c r="O8" s="422"/>
      <c r="P8" s="423"/>
      <c r="Q8" s="423">
        <v>51.8</v>
      </c>
      <c r="R8" s="424">
        <f t="shared" si="4"/>
        <v>51.8</v>
      </c>
      <c r="S8" s="469">
        <v>1</v>
      </c>
      <c r="T8" s="838"/>
      <c r="U8" s="836"/>
      <c r="V8" s="299" t="s">
        <v>1017</v>
      </c>
      <c r="W8" s="292" t="s">
        <v>895</v>
      </c>
      <c r="X8" s="292" t="s">
        <v>12</v>
      </c>
      <c r="Y8" s="300">
        <v>51.8</v>
      </c>
      <c r="AD8" s="299"/>
      <c r="AG8" s="300"/>
      <c r="AL8" s="299"/>
      <c r="AO8" s="300"/>
      <c r="AP8" s="299"/>
      <c r="AS8" s="300"/>
      <c r="AW8" s="300"/>
      <c r="BA8" s="301"/>
    </row>
    <row r="9" spans="1:53" s="86" customFormat="1">
      <c r="A9" s="86">
        <v>1993</v>
      </c>
      <c r="B9" s="852">
        <v>34044</v>
      </c>
      <c r="C9" s="917" t="s">
        <v>1146</v>
      </c>
      <c r="D9" s="917"/>
      <c r="E9" s="86">
        <f xml:space="preserve"> 365-E8</f>
        <v>291</v>
      </c>
      <c r="F9" s="86">
        <v>1</v>
      </c>
      <c r="G9" s="411"/>
      <c r="H9" s="468"/>
      <c r="I9" s="468">
        <v>17</v>
      </c>
      <c r="J9" s="413">
        <v>17</v>
      </c>
      <c r="K9" s="409">
        <f t="shared" si="0"/>
        <v>0</v>
      </c>
      <c r="L9" s="409">
        <f t="shared" si="1"/>
        <v>0</v>
      </c>
      <c r="M9" s="409">
        <f t="shared" si="2"/>
        <v>100</v>
      </c>
      <c r="N9" s="412">
        <f t="shared" si="3"/>
        <v>100</v>
      </c>
      <c r="O9" s="408"/>
      <c r="P9" s="409"/>
      <c r="Q9" s="409">
        <v>51.8</v>
      </c>
      <c r="R9" s="410">
        <f t="shared" si="4"/>
        <v>51.8</v>
      </c>
      <c r="S9" s="468">
        <v>1</v>
      </c>
      <c r="T9" s="839"/>
      <c r="U9" s="852">
        <v>34044</v>
      </c>
      <c r="V9" s="82" t="s">
        <v>1017</v>
      </c>
      <c r="W9" s="86" t="s">
        <v>895</v>
      </c>
      <c r="X9" s="86" t="s">
        <v>12</v>
      </c>
      <c r="Y9" s="83">
        <v>51.8</v>
      </c>
      <c r="AD9" s="82"/>
      <c r="AG9" s="83"/>
      <c r="AL9" s="82"/>
      <c r="AO9" s="83"/>
      <c r="AP9" s="82"/>
      <c r="AS9" s="83"/>
      <c r="AW9" s="83"/>
      <c r="BA9" s="84"/>
    </row>
    <row r="10" spans="1:53" s="86" customFormat="1">
      <c r="A10" s="86">
        <v>1994</v>
      </c>
      <c r="B10" s="852"/>
      <c r="C10" s="917" t="s">
        <v>1146</v>
      </c>
      <c r="D10" s="917"/>
      <c r="E10" s="86">
        <v>0</v>
      </c>
      <c r="G10" s="411"/>
      <c r="H10" s="468"/>
      <c r="I10" s="468">
        <v>17</v>
      </c>
      <c r="J10" s="413">
        <v>17</v>
      </c>
      <c r="K10" s="409">
        <f t="shared" si="0"/>
        <v>0</v>
      </c>
      <c r="L10" s="409">
        <f t="shared" si="1"/>
        <v>0</v>
      </c>
      <c r="M10" s="409">
        <f t="shared" si="2"/>
        <v>100</v>
      </c>
      <c r="N10" s="412">
        <f t="shared" si="3"/>
        <v>100</v>
      </c>
      <c r="O10" s="408"/>
      <c r="P10" s="409"/>
      <c r="Q10" s="409">
        <v>51.8</v>
      </c>
      <c r="R10" s="410">
        <f t="shared" si="4"/>
        <v>51.8</v>
      </c>
      <c r="S10" s="468">
        <v>1</v>
      </c>
      <c r="T10" s="839"/>
      <c r="U10" s="852"/>
      <c r="V10" s="82" t="s">
        <v>1017</v>
      </c>
      <c r="W10" s="86" t="s">
        <v>895</v>
      </c>
      <c r="X10" s="86" t="s">
        <v>12</v>
      </c>
      <c r="Y10" s="83">
        <v>51.8</v>
      </c>
      <c r="AD10" s="82"/>
      <c r="AG10" s="83"/>
      <c r="AL10" s="82"/>
      <c r="AO10" s="83"/>
      <c r="AP10" s="82"/>
      <c r="AS10" s="83"/>
      <c r="AW10" s="83"/>
      <c r="BA10" s="84"/>
    </row>
    <row r="11" spans="1:53" s="86" customFormat="1">
      <c r="A11" s="86">
        <v>1994</v>
      </c>
      <c r="B11" s="852"/>
      <c r="C11" s="917" t="s">
        <v>1146</v>
      </c>
      <c r="D11" s="917"/>
      <c r="E11" s="86">
        <v>365</v>
      </c>
      <c r="G11" s="411"/>
      <c r="H11" s="468"/>
      <c r="I11" s="468">
        <v>17</v>
      </c>
      <c r="J11" s="413">
        <v>17</v>
      </c>
      <c r="K11" s="409">
        <f t="shared" si="0"/>
        <v>0</v>
      </c>
      <c r="L11" s="409">
        <f t="shared" si="1"/>
        <v>0</v>
      </c>
      <c r="M11" s="409">
        <f t="shared" si="2"/>
        <v>100</v>
      </c>
      <c r="N11" s="412">
        <f t="shared" si="3"/>
        <v>100</v>
      </c>
      <c r="O11" s="408"/>
      <c r="P11" s="409"/>
      <c r="Q11" s="409">
        <v>51.8</v>
      </c>
      <c r="R11" s="410">
        <f t="shared" si="4"/>
        <v>51.8</v>
      </c>
      <c r="S11" s="468">
        <v>1</v>
      </c>
      <c r="T11" s="839"/>
      <c r="U11" s="852"/>
      <c r="V11" s="82" t="s">
        <v>1017</v>
      </c>
      <c r="W11" s="86" t="s">
        <v>895</v>
      </c>
      <c r="X11" s="86" t="s">
        <v>12</v>
      </c>
      <c r="Y11" s="83">
        <v>51.8</v>
      </c>
      <c r="AD11" s="82"/>
      <c r="AG11" s="83"/>
      <c r="AL11" s="82"/>
      <c r="AO11" s="83"/>
      <c r="AP11" s="82"/>
      <c r="AS11" s="83"/>
      <c r="AW11" s="83"/>
      <c r="BA11" s="84"/>
    </row>
    <row r="12" spans="1:53" s="86" customFormat="1">
      <c r="A12" s="86">
        <v>1995</v>
      </c>
      <c r="B12" s="852"/>
      <c r="C12" s="917" t="s">
        <v>1146</v>
      </c>
      <c r="D12" s="917"/>
      <c r="E12" s="86">
        <v>0</v>
      </c>
      <c r="G12" s="411"/>
      <c r="H12" s="468"/>
      <c r="I12" s="468">
        <v>17</v>
      </c>
      <c r="J12" s="413">
        <v>17</v>
      </c>
      <c r="K12" s="409">
        <f t="shared" si="0"/>
        <v>0</v>
      </c>
      <c r="L12" s="409">
        <f t="shared" si="1"/>
        <v>0</v>
      </c>
      <c r="M12" s="409">
        <f t="shared" si="2"/>
        <v>100</v>
      </c>
      <c r="N12" s="412">
        <f t="shared" si="3"/>
        <v>100</v>
      </c>
      <c r="O12" s="408"/>
      <c r="P12" s="409"/>
      <c r="Q12" s="409">
        <v>51.8</v>
      </c>
      <c r="R12" s="410">
        <f t="shared" si="4"/>
        <v>51.8</v>
      </c>
      <c r="S12" s="468">
        <v>1</v>
      </c>
      <c r="T12" s="839"/>
      <c r="U12" s="852"/>
      <c r="V12" s="82" t="s">
        <v>1017</v>
      </c>
      <c r="W12" s="86" t="s">
        <v>895</v>
      </c>
      <c r="X12" s="86" t="s">
        <v>12</v>
      </c>
      <c r="Y12" s="83">
        <v>51.8</v>
      </c>
      <c r="AD12" s="82"/>
      <c r="AG12" s="83"/>
      <c r="AL12" s="82"/>
      <c r="AO12" s="83"/>
      <c r="AP12" s="82"/>
      <c r="AS12" s="83"/>
      <c r="AW12" s="83"/>
      <c r="BA12" s="84"/>
    </row>
    <row r="13" spans="1:53" s="86" customFormat="1">
      <c r="A13" s="86">
        <v>1995</v>
      </c>
      <c r="B13" s="852"/>
      <c r="C13" s="917" t="s">
        <v>1146</v>
      </c>
      <c r="D13" s="917"/>
      <c r="E13" s="86">
        <v>365</v>
      </c>
      <c r="G13" s="411"/>
      <c r="H13" s="468"/>
      <c r="I13" s="468">
        <v>17</v>
      </c>
      <c r="J13" s="413">
        <v>17</v>
      </c>
      <c r="K13" s="409">
        <f t="shared" si="0"/>
        <v>0</v>
      </c>
      <c r="L13" s="409">
        <f t="shared" si="1"/>
        <v>0</v>
      </c>
      <c r="M13" s="409">
        <f t="shared" si="2"/>
        <v>100</v>
      </c>
      <c r="N13" s="412">
        <f t="shared" si="3"/>
        <v>100</v>
      </c>
      <c r="O13" s="408"/>
      <c r="P13" s="409"/>
      <c r="Q13" s="409">
        <v>51.8</v>
      </c>
      <c r="R13" s="410">
        <f t="shared" si="4"/>
        <v>51.8</v>
      </c>
      <c r="S13" s="468">
        <v>1</v>
      </c>
      <c r="T13" s="839"/>
      <c r="U13" s="852"/>
      <c r="V13" s="82" t="s">
        <v>1017</v>
      </c>
      <c r="W13" s="86" t="s">
        <v>895</v>
      </c>
      <c r="X13" s="86" t="s">
        <v>12</v>
      </c>
      <c r="Y13" s="83">
        <v>51.8</v>
      </c>
      <c r="AD13" s="82"/>
      <c r="AG13" s="83"/>
      <c r="AL13" s="82"/>
      <c r="AO13" s="83"/>
      <c r="AP13" s="82"/>
      <c r="AS13" s="83"/>
      <c r="AW13" s="83"/>
      <c r="BA13" s="84"/>
    </row>
    <row r="14" spans="1:53" s="86" customFormat="1">
      <c r="A14" s="86">
        <v>1996</v>
      </c>
      <c r="B14" s="852"/>
      <c r="C14" s="917" t="s">
        <v>1146</v>
      </c>
      <c r="D14" s="917"/>
      <c r="E14" s="86">
        <v>53</v>
      </c>
      <c r="G14" s="411"/>
      <c r="H14" s="468"/>
      <c r="I14" s="468">
        <v>17</v>
      </c>
      <c r="J14" s="413">
        <v>17</v>
      </c>
      <c r="K14" s="409">
        <f t="shared" si="0"/>
        <v>0</v>
      </c>
      <c r="L14" s="409">
        <f t="shared" si="1"/>
        <v>0</v>
      </c>
      <c r="M14" s="409">
        <f t="shared" si="2"/>
        <v>100</v>
      </c>
      <c r="N14" s="412">
        <f t="shared" si="3"/>
        <v>100</v>
      </c>
      <c r="O14" s="408"/>
      <c r="P14" s="409"/>
      <c r="Q14" s="409">
        <v>51.8</v>
      </c>
      <c r="R14" s="410">
        <f t="shared" si="4"/>
        <v>51.8</v>
      </c>
      <c r="S14" s="468">
        <v>1</v>
      </c>
      <c r="T14" s="839"/>
      <c r="U14" s="852"/>
      <c r="V14" s="82" t="s">
        <v>1017</v>
      </c>
      <c r="W14" s="86" t="s">
        <v>895</v>
      </c>
      <c r="X14" s="86" t="s">
        <v>12</v>
      </c>
      <c r="Y14" s="83">
        <v>51.8</v>
      </c>
      <c r="AD14" s="82"/>
      <c r="AG14" s="83"/>
      <c r="AL14" s="82"/>
      <c r="AO14" s="83"/>
      <c r="AP14" s="82"/>
      <c r="AS14" s="83"/>
      <c r="AW14" s="83"/>
      <c r="BA14" s="84"/>
    </row>
    <row r="15" spans="1:53" s="292" customFormat="1">
      <c r="A15" s="292">
        <v>1996</v>
      </c>
      <c r="B15" s="836">
        <v>35118</v>
      </c>
      <c r="C15" s="916" t="s">
        <v>1147</v>
      </c>
      <c r="D15" s="916"/>
      <c r="E15" s="292">
        <v>278</v>
      </c>
      <c r="F15" s="292">
        <v>6</v>
      </c>
      <c r="G15" s="425"/>
      <c r="H15" s="469"/>
      <c r="I15" s="469">
        <v>18</v>
      </c>
      <c r="J15" s="427">
        <v>18</v>
      </c>
      <c r="K15" s="423">
        <f t="shared" si="0"/>
        <v>0</v>
      </c>
      <c r="L15" s="423">
        <f t="shared" si="1"/>
        <v>0</v>
      </c>
      <c r="M15" s="423">
        <f t="shared" si="2"/>
        <v>100</v>
      </c>
      <c r="N15" s="426">
        <f t="shared" si="3"/>
        <v>100</v>
      </c>
      <c r="O15" s="422"/>
      <c r="P15" s="423"/>
      <c r="Q15" s="423">
        <v>51.8</v>
      </c>
      <c r="R15" s="424">
        <f t="shared" si="4"/>
        <v>51.8</v>
      </c>
      <c r="S15" s="469">
        <v>1</v>
      </c>
      <c r="T15" s="838"/>
      <c r="U15" s="836">
        <v>35118</v>
      </c>
      <c r="V15" s="299" t="s">
        <v>1017</v>
      </c>
      <c r="W15" s="292" t="s">
        <v>895</v>
      </c>
      <c r="X15" s="292" t="s">
        <v>12</v>
      </c>
      <c r="Y15" s="300">
        <v>51.8</v>
      </c>
      <c r="AD15" s="299"/>
      <c r="AG15" s="300"/>
      <c r="AL15" s="299"/>
      <c r="AO15" s="300"/>
      <c r="AP15" s="299"/>
      <c r="AS15" s="300"/>
      <c r="AW15" s="300"/>
      <c r="BA15" s="301"/>
    </row>
    <row r="16" spans="1:53" s="86" customFormat="1">
      <c r="A16" s="86">
        <v>1996</v>
      </c>
      <c r="B16" s="852">
        <v>35396</v>
      </c>
      <c r="C16" s="917" t="s">
        <v>1148</v>
      </c>
      <c r="D16" s="917"/>
      <c r="E16" s="86">
        <f xml:space="preserve"> 366-E15-E14</f>
        <v>35</v>
      </c>
      <c r="F16" s="86">
        <v>1</v>
      </c>
      <c r="G16" s="411">
        <v>13</v>
      </c>
      <c r="H16" s="468">
        <v>3</v>
      </c>
      <c r="I16" s="468"/>
      <c r="J16" s="413">
        <v>17</v>
      </c>
      <c r="K16" s="409">
        <f t="shared" si="0"/>
        <v>76.470588235294116</v>
      </c>
      <c r="L16" s="409">
        <f t="shared" si="1"/>
        <v>17.647058823529413</v>
      </c>
      <c r="M16" s="409">
        <f t="shared" si="2"/>
        <v>0</v>
      </c>
      <c r="N16" s="412">
        <f t="shared" si="3"/>
        <v>94.117647058823536</v>
      </c>
      <c r="O16" s="408">
        <v>60.6</v>
      </c>
      <c r="P16" s="409">
        <v>11.7</v>
      </c>
      <c r="Q16" s="409"/>
      <c r="R16" s="410">
        <f t="shared" si="4"/>
        <v>72.3</v>
      </c>
      <c r="S16" s="468">
        <v>3</v>
      </c>
      <c r="T16" s="839">
        <v>35380</v>
      </c>
      <c r="U16" s="852">
        <v>35396</v>
      </c>
      <c r="V16" s="82" t="s">
        <v>1012</v>
      </c>
      <c r="W16" s="86" t="s">
        <v>88</v>
      </c>
      <c r="X16" s="86" t="s">
        <v>11</v>
      </c>
      <c r="Y16" s="83">
        <v>51.1</v>
      </c>
      <c r="Z16" s="86" t="s">
        <v>1018</v>
      </c>
      <c r="AA16" s="86" t="s">
        <v>17</v>
      </c>
      <c r="AB16" s="86" t="s">
        <v>18</v>
      </c>
      <c r="AC16" s="86">
        <v>11.7</v>
      </c>
      <c r="AD16" s="82" t="s">
        <v>1019</v>
      </c>
      <c r="AE16" s="86" t="s">
        <v>22</v>
      </c>
      <c r="AF16" s="86" t="s">
        <v>11</v>
      </c>
      <c r="AG16" s="83">
        <v>9.5</v>
      </c>
      <c r="AL16" s="82"/>
      <c r="AO16" s="83"/>
      <c r="AP16" s="82"/>
      <c r="AS16" s="83"/>
      <c r="AW16" s="83"/>
      <c r="BA16" s="84"/>
    </row>
    <row r="17" spans="1:53" s="86" customFormat="1">
      <c r="A17" s="86">
        <v>1997</v>
      </c>
      <c r="B17" s="852"/>
      <c r="C17" s="917" t="s">
        <v>1148</v>
      </c>
      <c r="D17" s="917"/>
      <c r="E17" s="86">
        <v>0</v>
      </c>
      <c r="G17" s="411">
        <v>13</v>
      </c>
      <c r="H17" s="468">
        <v>3</v>
      </c>
      <c r="I17" s="468"/>
      <c r="J17" s="413">
        <v>17</v>
      </c>
      <c r="K17" s="409">
        <f t="shared" si="0"/>
        <v>76.470588235294116</v>
      </c>
      <c r="L17" s="409">
        <f t="shared" si="1"/>
        <v>17.647058823529413</v>
      </c>
      <c r="M17" s="409">
        <f t="shared" si="2"/>
        <v>0</v>
      </c>
      <c r="N17" s="412">
        <f t="shared" si="3"/>
        <v>94.117647058823536</v>
      </c>
      <c r="O17" s="408">
        <v>60.6</v>
      </c>
      <c r="P17" s="409">
        <v>11.7</v>
      </c>
      <c r="Q17" s="409"/>
      <c r="R17" s="410">
        <f t="shared" si="4"/>
        <v>72.3</v>
      </c>
      <c r="S17" s="468">
        <v>3</v>
      </c>
      <c r="T17" s="839"/>
      <c r="U17" s="852"/>
      <c r="V17" s="82" t="s">
        <v>1012</v>
      </c>
      <c r="W17" s="86" t="s">
        <v>88</v>
      </c>
      <c r="X17" s="86" t="s">
        <v>11</v>
      </c>
      <c r="Y17" s="83">
        <v>51.1</v>
      </c>
      <c r="Z17" s="86" t="s">
        <v>1018</v>
      </c>
      <c r="AA17" s="86" t="s">
        <v>17</v>
      </c>
      <c r="AB17" s="86" t="s">
        <v>18</v>
      </c>
      <c r="AC17" s="86">
        <v>11.7</v>
      </c>
      <c r="AD17" s="82" t="s">
        <v>1019</v>
      </c>
      <c r="AE17" s="86" t="s">
        <v>22</v>
      </c>
      <c r="AF17" s="86" t="s">
        <v>11</v>
      </c>
      <c r="AG17" s="83">
        <v>9.5</v>
      </c>
      <c r="AL17" s="82"/>
      <c r="AO17" s="83"/>
      <c r="AP17" s="82"/>
      <c r="AS17" s="83"/>
      <c r="AW17" s="83"/>
      <c r="BA17" s="84"/>
    </row>
    <row r="18" spans="1:53" s="86" customFormat="1">
      <c r="A18" s="86">
        <v>1997</v>
      </c>
      <c r="B18" s="852"/>
      <c r="C18" s="917" t="s">
        <v>1148</v>
      </c>
      <c r="D18" s="917"/>
      <c r="E18" s="86">
        <v>365</v>
      </c>
      <c r="G18" s="411">
        <v>13</v>
      </c>
      <c r="H18" s="468">
        <v>3</v>
      </c>
      <c r="I18" s="468"/>
      <c r="J18" s="413">
        <v>17</v>
      </c>
      <c r="K18" s="409">
        <f t="shared" si="0"/>
        <v>76.470588235294116</v>
      </c>
      <c r="L18" s="409">
        <f t="shared" si="1"/>
        <v>17.647058823529413</v>
      </c>
      <c r="M18" s="409">
        <f t="shared" si="2"/>
        <v>0</v>
      </c>
      <c r="N18" s="412">
        <f t="shared" si="3"/>
        <v>94.117647058823536</v>
      </c>
      <c r="O18" s="408">
        <v>60.6</v>
      </c>
      <c r="P18" s="409">
        <v>11.7</v>
      </c>
      <c r="Q18" s="409"/>
      <c r="R18" s="410">
        <f t="shared" si="4"/>
        <v>72.3</v>
      </c>
      <c r="S18" s="468">
        <v>3</v>
      </c>
      <c r="T18" s="839"/>
      <c r="U18" s="852"/>
      <c r="V18" s="82" t="s">
        <v>1012</v>
      </c>
      <c r="W18" s="86" t="s">
        <v>88</v>
      </c>
      <c r="X18" s="86" t="s">
        <v>11</v>
      </c>
      <c r="Y18" s="83">
        <v>51.1</v>
      </c>
      <c r="Z18" s="86" t="s">
        <v>1018</v>
      </c>
      <c r="AA18" s="86" t="s">
        <v>17</v>
      </c>
      <c r="AB18" s="86" t="s">
        <v>18</v>
      </c>
      <c r="AC18" s="86">
        <v>11.7</v>
      </c>
      <c r="AD18" s="82" t="s">
        <v>1019</v>
      </c>
      <c r="AE18" s="86" t="s">
        <v>22</v>
      </c>
      <c r="AF18" s="86" t="s">
        <v>11</v>
      </c>
      <c r="AG18" s="83">
        <v>9.5</v>
      </c>
      <c r="AL18" s="82"/>
      <c r="AO18" s="83"/>
      <c r="AP18" s="82"/>
      <c r="AS18" s="83"/>
      <c r="AW18" s="83"/>
      <c r="BA18" s="84"/>
    </row>
    <row r="19" spans="1:53" s="86" customFormat="1">
      <c r="A19" s="86">
        <v>1998</v>
      </c>
      <c r="B19" s="852"/>
      <c r="C19" s="917" t="s">
        <v>1148</v>
      </c>
      <c r="D19" s="917"/>
      <c r="E19" s="86">
        <v>83</v>
      </c>
      <c r="G19" s="411">
        <v>13</v>
      </c>
      <c r="H19" s="468">
        <v>3</v>
      </c>
      <c r="I19" s="468"/>
      <c r="J19" s="413">
        <v>17</v>
      </c>
      <c r="K19" s="409">
        <f t="shared" si="0"/>
        <v>76.470588235294116</v>
      </c>
      <c r="L19" s="409">
        <f t="shared" si="1"/>
        <v>17.647058823529413</v>
      </c>
      <c r="M19" s="409">
        <f t="shared" si="2"/>
        <v>0</v>
      </c>
      <c r="N19" s="412">
        <f t="shared" si="3"/>
        <v>94.117647058823536</v>
      </c>
      <c r="O19" s="408">
        <v>60.6</v>
      </c>
      <c r="P19" s="409">
        <v>11.7</v>
      </c>
      <c r="Q19" s="409"/>
      <c r="R19" s="410">
        <f t="shared" si="4"/>
        <v>72.3</v>
      </c>
      <c r="S19" s="468">
        <v>3</v>
      </c>
      <c r="T19" s="839"/>
      <c r="U19" s="852"/>
      <c r="V19" s="82" t="s">
        <v>1012</v>
      </c>
      <c r="W19" s="86" t="s">
        <v>88</v>
      </c>
      <c r="X19" s="86" t="s">
        <v>11</v>
      </c>
      <c r="Y19" s="83">
        <v>51.1</v>
      </c>
      <c r="Z19" s="86" t="s">
        <v>1018</v>
      </c>
      <c r="AA19" s="86" t="s">
        <v>17</v>
      </c>
      <c r="AB19" s="86" t="s">
        <v>18</v>
      </c>
      <c r="AC19" s="86">
        <v>11.7</v>
      </c>
      <c r="AD19" s="82" t="s">
        <v>1019</v>
      </c>
      <c r="AE19" s="86" t="s">
        <v>22</v>
      </c>
      <c r="AF19" s="86" t="s">
        <v>11</v>
      </c>
      <c r="AG19" s="83">
        <v>9.5</v>
      </c>
      <c r="AL19" s="82"/>
      <c r="AO19" s="83"/>
      <c r="AP19" s="82"/>
      <c r="AS19" s="83"/>
      <c r="AW19" s="83"/>
      <c r="BA19" s="84"/>
    </row>
    <row r="20" spans="1:53" s="86" customFormat="1">
      <c r="A20" s="86">
        <v>1998</v>
      </c>
      <c r="B20" s="860">
        <v>35879</v>
      </c>
      <c r="C20" s="917" t="s">
        <v>1148</v>
      </c>
      <c r="D20" s="917"/>
      <c r="E20" s="86">
        <v>282</v>
      </c>
      <c r="F20" s="139">
        <v>0</v>
      </c>
      <c r="G20" s="411">
        <v>10</v>
      </c>
      <c r="H20" s="468">
        <v>2</v>
      </c>
      <c r="I20" s="468"/>
      <c r="J20" s="413">
        <v>15</v>
      </c>
      <c r="K20" s="409">
        <f t="shared" si="0"/>
        <v>66.666666666666657</v>
      </c>
      <c r="L20" s="409">
        <f t="shared" si="1"/>
        <v>13.333333333333334</v>
      </c>
      <c r="M20" s="409">
        <f t="shared" si="2"/>
        <v>0</v>
      </c>
      <c r="N20" s="412">
        <f t="shared" si="3"/>
        <v>79.999999999999986</v>
      </c>
      <c r="O20" s="408">
        <v>60.6</v>
      </c>
      <c r="P20" s="409">
        <v>11.7</v>
      </c>
      <c r="Q20" s="409"/>
      <c r="R20" s="410">
        <f t="shared" si="4"/>
        <v>72.3</v>
      </c>
      <c r="S20" s="468">
        <v>3</v>
      </c>
      <c r="T20" s="839"/>
      <c r="U20" s="852"/>
      <c r="V20" s="82" t="s">
        <v>1012</v>
      </c>
      <c r="W20" s="86" t="s">
        <v>88</v>
      </c>
      <c r="X20" s="86" t="s">
        <v>11</v>
      </c>
      <c r="Y20" s="83">
        <v>51.1</v>
      </c>
      <c r="Z20" s="86" t="s">
        <v>1018</v>
      </c>
      <c r="AA20" s="86" t="s">
        <v>17</v>
      </c>
      <c r="AB20" s="86" t="s">
        <v>18</v>
      </c>
      <c r="AC20" s="86">
        <v>11.7</v>
      </c>
      <c r="AD20" s="82" t="s">
        <v>1019</v>
      </c>
      <c r="AE20" s="86" t="s">
        <v>22</v>
      </c>
      <c r="AF20" s="86" t="s">
        <v>11</v>
      </c>
      <c r="AG20" s="83">
        <v>9.5</v>
      </c>
      <c r="AL20" s="82"/>
      <c r="AO20" s="83"/>
      <c r="AP20" s="82"/>
      <c r="AS20" s="83"/>
      <c r="AW20" s="83"/>
      <c r="BA20" s="84"/>
    </row>
    <row r="21" spans="1:53" s="86" customFormat="1">
      <c r="A21" s="86">
        <v>1999</v>
      </c>
      <c r="B21" s="852"/>
      <c r="C21" s="917" t="s">
        <v>1148</v>
      </c>
      <c r="D21" s="917"/>
      <c r="E21" s="86">
        <v>137</v>
      </c>
      <c r="G21" s="411">
        <v>10</v>
      </c>
      <c r="H21" s="468">
        <v>2</v>
      </c>
      <c r="I21" s="468"/>
      <c r="J21" s="413">
        <v>15</v>
      </c>
      <c r="K21" s="409">
        <f t="shared" si="0"/>
        <v>66.666666666666657</v>
      </c>
      <c r="L21" s="409">
        <f t="shared" si="1"/>
        <v>13.333333333333334</v>
      </c>
      <c r="M21" s="409">
        <f t="shared" si="2"/>
        <v>0</v>
      </c>
      <c r="N21" s="412">
        <f t="shared" si="3"/>
        <v>79.999999999999986</v>
      </c>
      <c r="O21" s="408">
        <v>60.6</v>
      </c>
      <c r="P21" s="409">
        <v>11.7</v>
      </c>
      <c r="Q21" s="409"/>
      <c r="R21" s="410">
        <f t="shared" si="4"/>
        <v>72.3</v>
      </c>
      <c r="S21" s="468">
        <v>3</v>
      </c>
      <c r="T21" s="839"/>
      <c r="U21" s="852"/>
      <c r="V21" s="82" t="s">
        <v>1012</v>
      </c>
      <c r="W21" s="86" t="s">
        <v>88</v>
      </c>
      <c r="X21" s="86" t="s">
        <v>11</v>
      </c>
      <c r="Y21" s="83">
        <v>51.1</v>
      </c>
      <c r="Z21" s="86" t="s">
        <v>1018</v>
      </c>
      <c r="AA21" s="86" t="s">
        <v>17</v>
      </c>
      <c r="AB21" s="86" t="s">
        <v>18</v>
      </c>
      <c r="AC21" s="86">
        <v>11.7</v>
      </c>
      <c r="AD21" s="82" t="s">
        <v>1019</v>
      </c>
      <c r="AE21" s="86" t="s">
        <v>22</v>
      </c>
      <c r="AF21" s="86" t="s">
        <v>11</v>
      </c>
      <c r="AG21" s="83">
        <v>9.5</v>
      </c>
      <c r="AL21" s="82"/>
      <c r="AO21" s="83"/>
      <c r="AP21" s="82"/>
      <c r="AS21" s="83"/>
      <c r="AW21" s="83"/>
      <c r="BA21" s="84"/>
    </row>
    <row r="22" spans="1:53" s="292" customFormat="1">
      <c r="A22" s="292">
        <v>1999</v>
      </c>
      <c r="B22" s="836">
        <v>36298</v>
      </c>
      <c r="C22" s="916" t="s">
        <v>1020</v>
      </c>
      <c r="D22" s="916"/>
      <c r="E22" s="292">
        <v>164</v>
      </c>
      <c r="F22" s="292">
        <v>2</v>
      </c>
      <c r="G22" s="425">
        <v>8</v>
      </c>
      <c r="H22" s="469">
        <v>2</v>
      </c>
      <c r="I22" s="469"/>
      <c r="J22" s="427">
        <v>14</v>
      </c>
      <c r="K22" s="423">
        <f t="shared" si="0"/>
        <v>57.142857142857139</v>
      </c>
      <c r="L22" s="423">
        <f t="shared" si="1"/>
        <v>14.285714285714285</v>
      </c>
      <c r="M22" s="423">
        <f t="shared" si="2"/>
        <v>0</v>
      </c>
      <c r="N22" s="426">
        <f t="shared" si="3"/>
        <v>71.428571428571416</v>
      </c>
      <c r="O22" s="422">
        <v>60.6</v>
      </c>
      <c r="P22" s="423">
        <v>11.7</v>
      </c>
      <c r="Q22" s="423"/>
      <c r="R22" s="424">
        <f>SUM(O22:Q22)</f>
        <v>72.3</v>
      </c>
      <c r="S22" s="469">
        <v>3</v>
      </c>
      <c r="T22" s="838"/>
      <c r="U22" s="836">
        <v>36298</v>
      </c>
      <c r="V22" s="299" t="s">
        <v>1012</v>
      </c>
      <c r="W22" s="292" t="s">
        <v>88</v>
      </c>
      <c r="X22" s="292" t="s">
        <v>11</v>
      </c>
      <c r="Y22" s="300">
        <v>51.1</v>
      </c>
      <c r="Z22" s="292" t="s">
        <v>1018</v>
      </c>
      <c r="AA22" s="292" t="s">
        <v>17</v>
      </c>
      <c r="AB22" s="292" t="s">
        <v>18</v>
      </c>
      <c r="AC22" s="292">
        <v>11.7</v>
      </c>
      <c r="AD22" s="299" t="s">
        <v>1019</v>
      </c>
      <c r="AE22" s="292" t="s">
        <v>22</v>
      </c>
      <c r="AF22" s="292" t="s">
        <v>11</v>
      </c>
      <c r="AG22" s="300">
        <v>9.5</v>
      </c>
      <c r="AL22" s="299"/>
      <c r="AO22" s="300"/>
      <c r="AP22" s="299"/>
      <c r="AS22" s="300"/>
      <c r="AW22" s="300"/>
      <c r="BA22" s="301"/>
    </row>
    <row r="23" spans="1:53" s="86" customFormat="1">
      <c r="A23" s="86">
        <v>1999</v>
      </c>
      <c r="B23" s="852">
        <v>36462</v>
      </c>
      <c r="C23" s="917" t="s">
        <v>1021</v>
      </c>
      <c r="D23" s="917"/>
      <c r="E23" s="86">
        <v>64</v>
      </c>
      <c r="F23" s="86">
        <v>2</v>
      </c>
      <c r="G23" s="411">
        <v>7</v>
      </c>
      <c r="H23" s="468">
        <v>2</v>
      </c>
      <c r="I23" s="468"/>
      <c r="J23" s="413">
        <v>14</v>
      </c>
      <c r="K23" s="409">
        <f t="shared" si="0"/>
        <v>50</v>
      </c>
      <c r="L23" s="409">
        <f t="shared" si="1"/>
        <v>14.285714285714285</v>
      </c>
      <c r="M23" s="409">
        <f t="shared" si="2"/>
        <v>0</v>
      </c>
      <c r="N23" s="409">
        <f t="shared" si="3"/>
        <v>64.285714285714278</v>
      </c>
      <c r="O23" s="408">
        <v>60.6</v>
      </c>
      <c r="P23" s="409">
        <v>11.7</v>
      </c>
      <c r="Q23" s="409"/>
      <c r="R23" s="410">
        <f t="shared" si="4"/>
        <v>72.3</v>
      </c>
      <c r="S23" s="468">
        <v>3</v>
      </c>
      <c r="T23" s="839"/>
      <c r="U23" s="852">
        <v>36462</v>
      </c>
      <c r="V23" s="82" t="s">
        <v>1012</v>
      </c>
      <c r="W23" s="86" t="s">
        <v>88</v>
      </c>
      <c r="X23" s="86" t="s">
        <v>11</v>
      </c>
      <c r="Y23" s="83">
        <v>51.1</v>
      </c>
      <c r="Z23" s="86" t="s">
        <v>1018</v>
      </c>
      <c r="AA23" s="86" t="s">
        <v>17</v>
      </c>
      <c r="AB23" s="86" t="s">
        <v>18</v>
      </c>
      <c r="AC23" s="86">
        <v>11.7</v>
      </c>
      <c r="AD23" s="82" t="s">
        <v>1019</v>
      </c>
      <c r="AE23" s="86" t="s">
        <v>22</v>
      </c>
      <c r="AF23" s="86" t="s">
        <v>11</v>
      </c>
      <c r="AG23" s="83">
        <v>9.5</v>
      </c>
      <c r="AL23" s="82"/>
      <c r="AO23" s="83"/>
      <c r="AP23" s="82"/>
      <c r="AS23" s="83"/>
      <c r="AW23" s="83"/>
      <c r="BA23" s="84"/>
    </row>
    <row r="24" spans="1:53" s="86" customFormat="1">
      <c r="A24" s="86">
        <v>2000</v>
      </c>
      <c r="B24" s="852"/>
      <c r="C24" s="917" t="s">
        <v>1021</v>
      </c>
      <c r="D24" s="917"/>
      <c r="E24" s="86">
        <v>300</v>
      </c>
      <c r="G24" s="411">
        <v>7</v>
      </c>
      <c r="H24" s="468">
        <v>2</v>
      </c>
      <c r="I24" s="468"/>
      <c r="J24" s="413">
        <v>14</v>
      </c>
      <c r="K24" s="409">
        <f>G24/J24*100</f>
        <v>50</v>
      </c>
      <c r="L24" s="409">
        <f>H24/J24*100</f>
        <v>14.285714285714285</v>
      </c>
      <c r="M24" s="409">
        <f>I24/J24*100</f>
        <v>0</v>
      </c>
      <c r="N24" s="409">
        <f>SUM(K24:M24)</f>
        <v>64.285714285714278</v>
      </c>
      <c r="O24" s="408">
        <v>60.6</v>
      </c>
      <c r="P24" s="409">
        <v>11.7</v>
      </c>
      <c r="Q24" s="409"/>
      <c r="R24" s="410">
        <f t="shared" si="4"/>
        <v>72.3</v>
      </c>
      <c r="S24" s="468">
        <v>3</v>
      </c>
      <c r="T24" s="839"/>
      <c r="U24" s="852"/>
      <c r="V24" s="82" t="s">
        <v>1012</v>
      </c>
      <c r="W24" s="86" t="s">
        <v>88</v>
      </c>
      <c r="X24" s="86" t="s">
        <v>11</v>
      </c>
      <c r="Y24" s="83">
        <v>51.1</v>
      </c>
      <c r="Z24" s="86" t="s">
        <v>1018</v>
      </c>
      <c r="AA24" s="86" t="s">
        <v>17</v>
      </c>
      <c r="AB24" s="86" t="s">
        <v>18</v>
      </c>
      <c r="AC24" s="86">
        <v>11.7</v>
      </c>
      <c r="AD24" s="82" t="s">
        <v>1019</v>
      </c>
      <c r="AE24" s="86" t="s">
        <v>22</v>
      </c>
      <c r="AF24" s="86" t="s">
        <v>11</v>
      </c>
      <c r="AG24" s="83">
        <v>9.5</v>
      </c>
      <c r="AL24" s="82"/>
      <c r="AO24" s="83"/>
      <c r="AP24" s="82"/>
      <c r="AS24" s="83"/>
      <c r="AW24" s="83"/>
      <c r="BA24" s="84"/>
    </row>
    <row r="25" spans="1:53" s="292" customFormat="1">
      <c r="A25" s="292">
        <v>2000</v>
      </c>
      <c r="B25" s="836">
        <v>36826</v>
      </c>
      <c r="C25" s="916" t="s">
        <v>1149</v>
      </c>
      <c r="D25" s="916"/>
      <c r="E25" s="292">
        <f xml:space="preserve"> 366-E24</f>
        <v>66</v>
      </c>
      <c r="F25" s="292">
        <v>1</v>
      </c>
      <c r="G25" s="425">
        <v>7</v>
      </c>
      <c r="H25" s="469">
        <v>6</v>
      </c>
      <c r="I25" s="469"/>
      <c r="J25" s="427">
        <v>14</v>
      </c>
      <c r="K25" s="423">
        <f>G25/J25*100</f>
        <v>50</v>
      </c>
      <c r="L25" s="423">
        <f>H25/J25*100</f>
        <v>42.857142857142854</v>
      </c>
      <c r="M25" s="423">
        <f>I25/J25*100</f>
        <v>0</v>
      </c>
      <c r="N25" s="426">
        <f>SUM(K25:M25)</f>
        <v>92.857142857142861</v>
      </c>
      <c r="O25" s="422">
        <v>23.4</v>
      </c>
      <c r="P25" s="423">
        <v>19.899999999999999</v>
      </c>
      <c r="Q25" s="423"/>
      <c r="R25" s="424">
        <f t="shared" si="4"/>
        <v>43.3</v>
      </c>
      <c r="S25" s="469">
        <v>5</v>
      </c>
      <c r="T25" s="838">
        <v>36807</v>
      </c>
      <c r="U25" s="836">
        <v>36826</v>
      </c>
      <c r="V25" s="299" t="s">
        <v>1023</v>
      </c>
      <c r="W25" s="292" t="s">
        <v>100</v>
      </c>
      <c r="X25" s="292" t="s">
        <v>11</v>
      </c>
      <c r="Y25" s="300">
        <v>23.4</v>
      </c>
      <c r="Z25" s="292" t="s">
        <v>1008</v>
      </c>
      <c r="AA25" s="292" t="s">
        <v>1024</v>
      </c>
      <c r="AB25" s="292" t="s">
        <v>18</v>
      </c>
      <c r="AC25" s="292">
        <v>19.899999999999999</v>
      </c>
      <c r="AD25" s="299"/>
      <c r="AG25" s="300"/>
      <c r="AL25" s="299"/>
      <c r="AO25" s="300"/>
      <c r="AP25" s="299"/>
      <c r="AS25" s="300"/>
      <c r="AW25" s="300"/>
      <c r="BA25" s="301"/>
    </row>
    <row r="26" spans="1:53" s="292" customFormat="1">
      <c r="A26" s="292">
        <v>2001</v>
      </c>
      <c r="B26" s="836"/>
      <c r="C26" s="916" t="s">
        <v>1149</v>
      </c>
      <c r="D26" s="916"/>
      <c r="E26" s="292">
        <v>185</v>
      </c>
      <c r="G26" s="425">
        <v>7</v>
      </c>
      <c r="H26" s="469">
        <v>6</v>
      </c>
      <c r="I26" s="469"/>
      <c r="J26" s="427">
        <v>14</v>
      </c>
      <c r="K26" s="423">
        <f>G26/J26*100</f>
        <v>50</v>
      </c>
      <c r="L26" s="423">
        <f>H26/J26*100</f>
        <v>42.857142857142854</v>
      </c>
      <c r="M26" s="423">
        <f>I26/J26*100</f>
        <v>0</v>
      </c>
      <c r="N26" s="426">
        <f>SUM(K26:M26)</f>
        <v>92.857142857142861</v>
      </c>
      <c r="O26" s="422">
        <v>23.4</v>
      </c>
      <c r="P26" s="423">
        <v>19.899999999999999</v>
      </c>
      <c r="Q26" s="423"/>
      <c r="R26" s="424">
        <f t="shared" si="4"/>
        <v>43.3</v>
      </c>
      <c r="S26" s="469">
        <v>5</v>
      </c>
      <c r="T26" s="838"/>
      <c r="U26" s="836"/>
      <c r="V26" s="299" t="s">
        <v>1023</v>
      </c>
      <c r="W26" s="292" t="s">
        <v>100</v>
      </c>
      <c r="X26" s="292" t="s">
        <v>11</v>
      </c>
      <c r="Y26" s="300">
        <v>23.4</v>
      </c>
      <c r="Z26" s="292" t="s">
        <v>1008</v>
      </c>
      <c r="AA26" s="292" t="s">
        <v>1024</v>
      </c>
      <c r="AB26" s="292" t="s">
        <v>18</v>
      </c>
      <c r="AC26" s="292">
        <v>19.899999999999999</v>
      </c>
      <c r="AD26" s="299"/>
      <c r="AG26" s="300"/>
      <c r="AL26" s="299"/>
      <c r="AO26" s="300"/>
      <c r="AP26" s="299"/>
      <c r="AS26" s="300"/>
      <c r="AW26" s="300"/>
      <c r="BA26" s="301"/>
    </row>
    <row r="27" spans="1:53" s="86" customFormat="1">
      <c r="A27" s="86">
        <v>2001</v>
      </c>
      <c r="B27" s="876">
        <v>37077</v>
      </c>
      <c r="C27" s="917" t="s">
        <v>1007</v>
      </c>
      <c r="D27" s="917"/>
      <c r="E27" s="86">
        <f xml:space="preserve"> 365-E26</f>
        <v>180</v>
      </c>
      <c r="F27" s="86">
        <v>7</v>
      </c>
      <c r="G27" s="411"/>
      <c r="H27" s="468">
        <v>6</v>
      </c>
      <c r="I27" s="468">
        <v>4</v>
      </c>
      <c r="J27" s="413">
        <v>14</v>
      </c>
      <c r="K27" s="409">
        <f t="shared" si="0"/>
        <v>0</v>
      </c>
      <c r="L27" s="409">
        <f t="shared" si="1"/>
        <v>42.857142857142854</v>
      </c>
      <c r="M27" s="409">
        <f t="shared" si="2"/>
        <v>28.571428571428569</v>
      </c>
      <c r="N27" s="412">
        <f t="shared" si="3"/>
        <v>71.428571428571416</v>
      </c>
      <c r="O27" s="408"/>
      <c r="P27" s="409">
        <v>19.899999999999999</v>
      </c>
      <c r="Q27" s="409">
        <v>34</v>
      </c>
      <c r="R27" s="410">
        <f t="shared" si="4"/>
        <v>53.9</v>
      </c>
      <c r="S27" s="468">
        <v>2</v>
      </c>
      <c r="T27" s="839"/>
      <c r="U27" s="876">
        <v>37077</v>
      </c>
      <c r="V27" s="82" t="s">
        <v>1150</v>
      </c>
      <c r="W27" s="86" t="s">
        <v>20</v>
      </c>
      <c r="X27" s="86" t="s">
        <v>12</v>
      </c>
      <c r="Y27" s="83">
        <v>34</v>
      </c>
      <c r="Z27" s="86" t="s">
        <v>1008</v>
      </c>
      <c r="AA27" s="86" t="s">
        <v>309</v>
      </c>
      <c r="AB27" s="86" t="s">
        <v>18</v>
      </c>
      <c r="AC27" s="86">
        <v>19.899999999999999</v>
      </c>
      <c r="AD27" s="82"/>
      <c r="AG27" s="83"/>
      <c r="AL27" s="82"/>
      <c r="AO27" s="83"/>
      <c r="AP27" s="82"/>
      <c r="AS27" s="83"/>
      <c r="AW27" s="83"/>
      <c r="BA27" s="84"/>
    </row>
    <row r="28" spans="1:53" s="86" customFormat="1">
      <c r="A28" s="86">
        <v>2002</v>
      </c>
      <c r="B28" s="876"/>
      <c r="C28" s="917" t="s">
        <v>1007</v>
      </c>
      <c r="D28" s="917"/>
      <c r="E28" s="86">
        <v>0</v>
      </c>
      <c r="G28" s="411"/>
      <c r="H28" s="468">
        <v>6</v>
      </c>
      <c r="I28" s="468">
        <v>4</v>
      </c>
      <c r="J28" s="413">
        <v>14</v>
      </c>
      <c r="K28" s="409">
        <f t="shared" si="0"/>
        <v>0</v>
      </c>
      <c r="L28" s="409">
        <f t="shared" si="1"/>
        <v>42.857142857142854</v>
      </c>
      <c r="M28" s="409">
        <f t="shared" si="2"/>
        <v>28.571428571428569</v>
      </c>
      <c r="N28" s="412">
        <f t="shared" si="3"/>
        <v>71.428571428571416</v>
      </c>
      <c r="O28" s="408"/>
      <c r="P28" s="409">
        <v>19.899999999999999</v>
      </c>
      <c r="Q28" s="409">
        <v>34</v>
      </c>
      <c r="R28" s="410">
        <f t="shared" si="4"/>
        <v>53.9</v>
      </c>
      <c r="S28" s="468">
        <v>2</v>
      </c>
      <c r="T28" s="839"/>
      <c r="U28" s="852"/>
      <c r="V28" s="82" t="s">
        <v>1150</v>
      </c>
      <c r="W28" s="86" t="s">
        <v>20</v>
      </c>
      <c r="X28" s="86" t="s">
        <v>12</v>
      </c>
      <c r="Y28" s="83">
        <v>34</v>
      </c>
      <c r="Z28" s="86" t="s">
        <v>1008</v>
      </c>
      <c r="AA28" s="86" t="s">
        <v>309</v>
      </c>
      <c r="AB28" s="86" t="s">
        <v>18</v>
      </c>
      <c r="AC28" s="86">
        <v>19.899999999999999</v>
      </c>
      <c r="AD28" s="82"/>
      <c r="AG28" s="83"/>
      <c r="AL28" s="82"/>
      <c r="AO28" s="83"/>
      <c r="AP28" s="82"/>
      <c r="AS28" s="83"/>
      <c r="AW28" s="83"/>
      <c r="BA28" s="84"/>
    </row>
    <row r="29" spans="1:53" s="86" customFormat="1">
      <c r="A29" s="86">
        <v>2002</v>
      </c>
      <c r="B29" s="876"/>
      <c r="C29" s="917" t="s">
        <v>1007</v>
      </c>
      <c r="D29" s="917"/>
      <c r="E29" s="86">
        <v>365</v>
      </c>
      <c r="G29" s="411"/>
      <c r="H29" s="468">
        <v>6</v>
      </c>
      <c r="I29" s="468">
        <v>4</v>
      </c>
      <c r="J29" s="413">
        <v>14</v>
      </c>
      <c r="K29" s="409">
        <f t="shared" si="0"/>
        <v>0</v>
      </c>
      <c r="L29" s="409">
        <f t="shared" si="1"/>
        <v>42.857142857142854</v>
      </c>
      <c r="M29" s="409">
        <f t="shared" si="2"/>
        <v>28.571428571428569</v>
      </c>
      <c r="N29" s="412">
        <f t="shared" si="3"/>
        <v>71.428571428571416</v>
      </c>
      <c r="O29" s="408"/>
      <c r="P29" s="409">
        <v>19.899999999999999</v>
      </c>
      <c r="Q29" s="409">
        <v>34</v>
      </c>
      <c r="R29" s="410">
        <f t="shared" si="4"/>
        <v>53.9</v>
      </c>
      <c r="S29" s="468">
        <v>2</v>
      </c>
      <c r="T29" s="839"/>
      <c r="U29" s="852"/>
      <c r="V29" s="82" t="s">
        <v>1150</v>
      </c>
      <c r="W29" s="86" t="s">
        <v>20</v>
      </c>
      <c r="X29" s="86" t="s">
        <v>12</v>
      </c>
      <c r="Y29" s="83">
        <v>34</v>
      </c>
      <c r="Z29" s="86" t="s">
        <v>1008</v>
      </c>
      <c r="AA29" s="86" t="s">
        <v>309</v>
      </c>
      <c r="AB29" s="86" t="s">
        <v>18</v>
      </c>
      <c r="AC29" s="86">
        <v>19.899999999999999</v>
      </c>
      <c r="AD29" s="82"/>
      <c r="AG29" s="83"/>
      <c r="AL29" s="82"/>
      <c r="AO29" s="83"/>
      <c r="AP29" s="82"/>
      <c r="AS29" s="83"/>
      <c r="AW29" s="83"/>
      <c r="BA29" s="84"/>
    </row>
    <row r="30" spans="1:53" s="86" customFormat="1">
      <c r="A30" s="86">
        <v>2003</v>
      </c>
      <c r="B30" s="876"/>
      <c r="C30" s="917" t="s">
        <v>1007</v>
      </c>
      <c r="D30" s="917"/>
      <c r="E30" s="86">
        <v>64</v>
      </c>
      <c r="G30" s="411"/>
      <c r="H30" s="468">
        <v>6</v>
      </c>
      <c r="I30" s="468">
        <v>4</v>
      </c>
      <c r="J30" s="413">
        <v>14</v>
      </c>
      <c r="K30" s="409">
        <f t="shared" si="0"/>
        <v>0</v>
      </c>
      <c r="L30" s="409">
        <f t="shared" si="1"/>
        <v>42.857142857142854</v>
      </c>
      <c r="M30" s="409">
        <f t="shared" si="2"/>
        <v>28.571428571428569</v>
      </c>
      <c r="N30" s="412">
        <f t="shared" si="3"/>
        <v>71.428571428571416</v>
      </c>
      <c r="O30" s="408"/>
      <c r="P30" s="409">
        <v>19.899999999999999</v>
      </c>
      <c r="Q30" s="409">
        <v>34</v>
      </c>
      <c r="R30" s="410">
        <f t="shared" si="4"/>
        <v>53.9</v>
      </c>
      <c r="S30" s="468">
        <v>2</v>
      </c>
      <c r="T30" s="839"/>
      <c r="U30" s="852"/>
      <c r="V30" s="82" t="s">
        <v>1150</v>
      </c>
      <c r="W30" s="86" t="s">
        <v>20</v>
      </c>
      <c r="X30" s="86" t="s">
        <v>12</v>
      </c>
      <c r="Y30" s="83">
        <v>34</v>
      </c>
      <c r="Z30" s="86" t="s">
        <v>1008</v>
      </c>
      <c r="AA30" s="86" t="s">
        <v>309</v>
      </c>
      <c r="AB30" s="86" t="s">
        <v>18</v>
      </c>
      <c r="AC30" s="86">
        <v>19.899999999999999</v>
      </c>
      <c r="AD30" s="82"/>
      <c r="AG30" s="83"/>
      <c r="AL30" s="82"/>
      <c r="AO30" s="83"/>
      <c r="AP30" s="82"/>
      <c r="AS30" s="83"/>
      <c r="AW30" s="83"/>
      <c r="BA30" s="84"/>
    </row>
    <row r="31" spans="1:53" s="86" customFormat="1">
      <c r="A31" s="86">
        <v>2003</v>
      </c>
      <c r="B31" s="877">
        <v>37686</v>
      </c>
      <c r="C31" s="917" t="s">
        <v>1007</v>
      </c>
      <c r="D31" s="917"/>
      <c r="E31" s="86">
        <f xml:space="preserve"> 365-E30</f>
        <v>301</v>
      </c>
      <c r="F31" s="123">
        <v>0</v>
      </c>
      <c r="G31" s="411"/>
      <c r="H31" s="468">
        <v>5</v>
      </c>
      <c r="I31" s="468">
        <v>5</v>
      </c>
      <c r="J31" s="413">
        <v>14</v>
      </c>
      <c r="K31" s="409">
        <f t="shared" si="0"/>
        <v>0</v>
      </c>
      <c r="L31" s="409">
        <f t="shared" si="1"/>
        <v>35.714285714285715</v>
      </c>
      <c r="M31" s="409">
        <f t="shared" si="2"/>
        <v>35.714285714285715</v>
      </c>
      <c r="N31" s="412">
        <f t="shared" si="3"/>
        <v>71.428571428571431</v>
      </c>
      <c r="O31" s="408"/>
      <c r="P31" s="409">
        <v>19.899999999999999</v>
      </c>
      <c r="Q31" s="409">
        <v>34</v>
      </c>
      <c r="R31" s="410">
        <f t="shared" si="4"/>
        <v>53.9</v>
      </c>
      <c r="S31" s="468">
        <v>2</v>
      </c>
      <c r="T31" s="839"/>
      <c r="U31" s="852"/>
      <c r="V31" s="82" t="s">
        <v>1150</v>
      </c>
      <c r="W31" s="86" t="s">
        <v>20</v>
      </c>
      <c r="X31" s="86" t="s">
        <v>12</v>
      </c>
      <c r="Y31" s="83">
        <v>34</v>
      </c>
      <c r="Z31" s="86" t="s">
        <v>1008</v>
      </c>
      <c r="AA31" s="86" t="s">
        <v>309</v>
      </c>
      <c r="AB31" s="86" t="s">
        <v>18</v>
      </c>
      <c r="AC31" s="86">
        <v>19.899999999999999</v>
      </c>
      <c r="AD31" s="82"/>
      <c r="AG31" s="83"/>
      <c r="AL31" s="82"/>
      <c r="AO31" s="83"/>
      <c r="AP31" s="82"/>
      <c r="AS31" s="83"/>
      <c r="AW31" s="83"/>
      <c r="BA31" s="84"/>
    </row>
    <row r="32" spans="1:53" s="86" customFormat="1">
      <c r="A32" s="86">
        <v>2004</v>
      </c>
      <c r="B32" s="878"/>
      <c r="C32" s="917" t="s">
        <v>1007</v>
      </c>
      <c r="D32" s="917"/>
      <c r="E32" s="86">
        <v>124</v>
      </c>
      <c r="G32" s="411"/>
      <c r="H32" s="468">
        <v>5</v>
      </c>
      <c r="I32" s="468">
        <v>5</v>
      </c>
      <c r="J32" s="413">
        <v>14</v>
      </c>
      <c r="K32" s="409">
        <f>G32/J32*100</f>
        <v>0</v>
      </c>
      <c r="L32" s="409">
        <f>H32/J32*100</f>
        <v>35.714285714285715</v>
      </c>
      <c r="M32" s="409">
        <f>I32/J32*100</f>
        <v>35.714285714285715</v>
      </c>
      <c r="N32" s="412">
        <f t="shared" si="3"/>
        <v>71.428571428571431</v>
      </c>
      <c r="O32" s="408"/>
      <c r="P32" s="409">
        <v>19.899999999999999</v>
      </c>
      <c r="Q32" s="409">
        <v>34</v>
      </c>
      <c r="R32" s="410">
        <f t="shared" si="4"/>
        <v>53.9</v>
      </c>
      <c r="S32" s="468">
        <v>2</v>
      </c>
      <c r="T32" s="839"/>
      <c r="U32" s="852"/>
      <c r="V32" s="82" t="s">
        <v>1150</v>
      </c>
      <c r="W32" s="86" t="s">
        <v>20</v>
      </c>
      <c r="X32" s="86" t="s">
        <v>12</v>
      </c>
      <c r="Y32" s="83">
        <v>34</v>
      </c>
      <c r="Z32" s="86" t="s">
        <v>1008</v>
      </c>
      <c r="AA32" s="86" t="s">
        <v>309</v>
      </c>
      <c r="AB32" s="86" t="s">
        <v>18</v>
      </c>
      <c r="AC32" s="86">
        <v>19.899999999999999</v>
      </c>
      <c r="AD32" s="82"/>
      <c r="AG32" s="83"/>
      <c r="AL32" s="82"/>
      <c r="AO32" s="83"/>
      <c r="AP32" s="82"/>
      <c r="AS32" s="83"/>
      <c r="AW32" s="83"/>
      <c r="BA32" s="84"/>
    </row>
    <row r="33" spans="1:53" s="86" customFormat="1">
      <c r="A33" s="86">
        <v>2004</v>
      </c>
      <c r="B33" s="877">
        <v>38111</v>
      </c>
      <c r="C33" s="917" t="s">
        <v>1007</v>
      </c>
      <c r="D33" s="917"/>
      <c r="E33" s="86">
        <v>224</v>
      </c>
      <c r="F33" s="123">
        <v>0</v>
      </c>
      <c r="G33" s="411"/>
      <c r="H33" s="468">
        <v>5</v>
      </c>
      <c r="I33" s="468">
        <v>6</v>
      </c>
      <c r="J33" s="413">
        <v>14</v>
      </c>
      <c r="K33" s="409">
        <f t="shared" si="0"/>
        <v>0</v>
      </c>
      <c r="L33" s="409">
        <f t="shared" si="1"/>
        <v>35.714285714285715</v>
      </c>
      <c r="M33" s="409">
        <f t="shared" si="2"/>
        <v>42.857142857142854</v>
      </c>
      <c r="N33" s="412">
        <f t="shared" si="3"/>
        <v>78.571428571428569</v>
      </c>
      <c r="O33" s="408"/>
      <c r="P33" s="409">
        <v>19.899999999999999</v>
      </c>
      <c r="Q33" s="409">
        <v>34</v>
      </c>
      <c r="R33" s="410">
        <f t="shared" si="4"/>
        <v>53.9</v>
      </c>
      <c r="S33" s="468">
        <v>2</v>
      </c>
      <c r="T33" s="839"/>
      <c r="U33" s="852"/>
      <c r="V33" s="82" t="s">
        <v>1150</v>
      </c>
      <c r="W33" s="86" t="s">
        <v>20</v>
      </c>
      <c r="X33" s="86" t="s">
        <v>12</v>
      </c>
      <c r="Y33" s="83">
        <v>34</v>
      </c>
      <c r="Z33" s="86" t="s">
        <v>1008</v>
      </c>
      <c r="AA33" s="86" t="s">
        <v>309</v>
      </c>
      <c r="AB33" s="86" t="s">
        <v>18</v>
      </c>
      <c r="AC33" s="86">
        <v>19.899999999999999</v>
      </c>
      <c r="AD33" s="82"/>
      <c r="AG33" s="83"/>
      <c r="AL33" s="82"/>
      <c r="AO33" s="83"/>
      <c r="AP33" s="82"/>
      <c r="AS33" s="83"/>
      <c r="AW33" s="83"/>
      <c r="BA33" s="84"/>
    </row>
    <row r="34" spans="1:53" s="292" customFormat="1">
      <c r="A34" s="292">
        <v>2004</v>
      </c>
      <c r="B34" s="863">
        <v>38335</v>
      </c>
      <c r="C34" s="916" t="s">
        <v>1009</v>
      </c>
      <c r="D34" s="916"/>
      <c r="E34" s="292">
        <f xml:space="preserve"> 366-E33-E32</f>
        <v>18</v>
      </c>
      <c r="F34" s="292">
        <v>1</v>
      </c>
      <c r="G34" s="425"/>
      <c r="H34" s="469">
        <v>2</v>
      </c>
      <c r="I34" s="469">
        <v>12</v>
      </c>
      <c r="J34" s="427">
        <v>14</v>
      </c>
      <c r="K34" s="423">
        <f t="shared" si="0"/>
        <v>0</v>
      </c>
      <c r="L34" s="423">
        <f t="shared" si="1"/>
        <v>14.285714285714285</v>
      </c>
      <c r="M34" s="423">
        <f t="shared" si="2"/>
        <v>85.714285714285708</v>
      </c>
      <c r="N34" s="426">
        <f t="shared" si="3"/>
        <v>100</v>
      </c>
      <c r="O34" s="422"/>
      <c r="P34" s="423">
        <v>7.8</v>
      </c>
      <c r="Q34" s="423">
        <v>49</v>
      </c>
      <c r="R34" s="424">
        <f t="shared" si="4"/>
        <v>56.8</v>
      </c>
      <c r="S34" s="469">
        <v>2</v>
      </c>
      <c r="T34" s="838">
        <v>38270</v>
      </c>
      <c r="U34" s="863">
        <v>38335</v>
      </c>
      <c r="V34" s="299" t="s">
        <v>131</v>
      </c>
      <c r="W34" s="292" t="s">
        <v>98</v>
      </c>
      <c r="X34" s="292" t="s">
        <v>12</v>
      </c>
      <c r="Y34" s="300">
        <v>27.7</v>
      </c>
      <c r="Z34" s="299" t="s">
        <v>1150</v>
      </c>
      <c r="AA34" s="292" t="s">
        <v>20</v>
      </c>
      <c r="AB34" s="292" t="s">
        <v>12</v>
      </c>
      <c r="AC34" s="292">
        <v>14.2</v>
      </c>
      <c r="AD34" s="299" t="s">
        <v>1008</v>
      </c>
      <c r="AE34" s="292" t="s">
        <v>309</v>
      </c>
      <c r="AF34" s="292" t="s">
        <v>18</v>
      </c>
      <c r="AG34" s="300">
        <v>7.8</v>
      </c>
      <c r="AH34" s="292" t="s">
        <v>1010</v>
      </c>
      <c r="AI34" s="292" t="s">
        <v>937</v>
      </c>
      <c r="AJ34" s="292" t="s">
        <v>12</v>
      </c>
      <c r="AK34" s="292">
        <v>7.1</v>
      </c>
      <c r="AL34" s="299"/>
      <c r="AO34" s="300"/>
      <c r="AP34" s="299"/>
      <c r="AS34" s="300"/>
      <c r="AW34" s="300"/>
      <c r="BA34" s="301"/>
    </row>
    <row r="35" spans="1:53" s="292" customFormat="1">
      <c r="A35" s="292">
        <v>2005</v>
      </c>
      <c r="B35" s="863"/>
      <c r="C35" s="916" t="s">
        <v>1009</v>
      </c>
      <c r="D35" s="916"/>
      <c r="E35" s="292">
        <v>0</v>
      </c>
      <c r="G35" s="425"/>
      <c r="H35" s="469">
        <v>2</v>
      </c>
      <c r="I35" s="469">
        <v>12</v>
      </c>
      <c r="J35" s="427">
        <v>14</v>
      </c>
      <c r="K35" s="423">
        <f t="shared" si="0"/>
        <v>0</v>
      </c>
      <c r="L35" s="423">
        <f t="shared" si="1"/>
        <v>14.285714285714285</v>
      </c>
      <c r="M35" s="423">
        <f t="shared" si="2"/>
        <v>85.714285714285708</v>
      </c>
      <c r="N35" s="426">
        <f t="shared" si="3"/>
        <v>100</v>
      </c>
      <c r="O35" s="422"/>
      <c r="P35" s="423">
        <v>7.8</v>
      </c>
      <c r="Q35" s="423">
        <v>49</v>
      </c>
      <c r="R35" s="424">
        <f t="shared" si="4"/>
        <v>56.8</v>
      </c>
      <c r="S35" s="469">
        <v>2</v>
      </c>
      <c r="T35" s="838"/>
      <c r="U35" s="836"/>
      <c r="V35" s="299" t="s">
        <v>131</v>
      </c>
      <c r="W35" s="292" t="s">
        <v>98</v>
      </c>
      <c r="X35" s="292" t="s">
        <v>12</v>
      </c>
      <c r="Y35" s="300">
        <v>27.7</v>
      </c>
      <c r="Z35" s="299" t="s">
        <v>1150</v>
      </c>
      <c r="AA35" s="292" t="s">
        <v>20</v>
      </c>
      <c r="AB35" s="292" t="s">
        <v>12</v>
      </c>
      <c r="AC35" s="292">
        <v>14.2</v>
      </c>
      <c r="AD35" s="299" t="s">
        <v>1008</v>
      </c>
      <c r="AE35" s="292" t="s">
        <v>309</v>
      </c>
      <c r="AF35" s="292" t="s">
        <v>18</v>
      </c>
      <c r="AG35" s="300">
        <v>7.8</v>
      </c>
      <c r="AH35" s="292" t="s">
        <v>1010</v>
      </c>
      <c r="AI35" s="292" t="s">
        <v>937</v>
      </c>
      <c r="AJ35" s="292" t="s">
        <v>12</v>
      </c>
      <c r="AK35" s="292">
        <v>7.1</v>
      </c>
      <c r="AL35" s="299"/>
      <c r="AO35" s="300"/>
      <c r="AP35" s="299"/>
      <c r="AS35" s="300"/>
      <c r="AW35" s="300"/>
      <c r="BA35" s="301"/>
    </row>
    <row r="36" spans="1:53" s="292" customFormat="1">
      <c r="A36" s="292">
        <v>2005</v>
      </c>
      <c r="B36" s="863"/>
      <c r="C36" s="916" t="s">
        <v>1009</v>
      </c>
      <c r="D36" s="916"/>
      <c r="E36" s="292">
        <v>365</v>
      </c>
      <c r="G36" s="425"/>
      <c r="H36" s="469">
        <v>2</v>
      </c>
      <c r="I36" s="469">
        <v>12</v>
      </c>
      <c r="J36" s="427">
        <v>14</v>
      </c>
      <c r="K36" s="423">
        <f t="shared" si="0"/>
        <v>0</v>
      </c>
      <c r="L36" s="423">
        <f t="shared" si="1"/>
        <v>14.285714285714285</v>
      </c>
      <c r="M36" s="423">
        <f t="shared" si="2"/>
        <v>85.714285714285708</v>
      </c>
      <c r="N36" s="426">
        <f t="shared" si="3"/>
        <v>100</v>
      </c>
      <c r="O36" s="422"/>
      <c r="P36" s="423">
        <v>7.8</v>
      </c>
      <c r="Q36" s="423">
        <v>49</v>
      </c>
      <c r="R36" s="424">
        <f t="shared" si="4"/>
        <v>56.8</v>
      </c>
      <c r="S36" s="469">
        <v>2</v>
      </c>
      <c r="T36" s="838"/>
      <c r="U36" s="836"/>
      <c r="V36" s="299" t="s">
        <v>131</v>
      </c>
      <c r="W36" s="292" t="s">
        <v>98</v>
      </c>
      <c r="X36" s="292" t="s">
        <v>12</v>
      </c>
      <c r="Y36" s="300">
        <v>27.7</v>
      </c>
      <c r="Z36" s="299" t="s">
        <v>1150</v>
      </c>
      <c r="AA36" s="292" t="s">
        <v>20</v>
      </c>
      <c r="AB36" s="292" t="s">
        <v>12</v>
      </c>
      <c r="AC36" s="292">
        <v>14.2</v>
      </c>
      <c r="AD36" s="299" t="s">
        <v>1008</v>
      </c>
      <c r="AE36" s="292" t="s">
        <v>309</v>
      </c>
      <c r="AF36" s="292" t="s">
        <v>18</v>
      </c>
      <c r="AG36" s="300">
        <v>7.8</v>
      </c>
      <c r="AH36" s="292" t="s">
        <v>1010</v>
      </c>
      <c r="AI36" s="292" t="s">
        <v>937</v>
      </c>
      <c r="AJ36" s="292" t="s">
        <v>12</v>
      </c>
      <c r="AK36" s="292">
        <v>7.1</v>
      </c>
      <c r="AL36" s="299"/>
      <c r="AO36" s="300"/>
      <c r="AP36" s="299"/>
      <c r="AS36" s="300"/>
      <c r="AW36" s="300"/>
      <c r="BA36" s="301"/>
    </row>
    <row r="37" spans="1:53" s="292" customFormat="1">
      <c r="A37" s="292">
        <v>2006</v>
      </c>
      <c r="B37" s="863"/>
      <c r="C37" s="916" t="s">
        <v>1009</v>
      </c>
      <c r="D37" s="916"/>
      <c r="E37" s="292">
        <v>120</v>
      </c>
      <c r="G37" s="425"/>
      <c r="H37" s="469">
        <v>2</v>
      </c>
      <c r="I37" s="469">
        <v>12</v>
      </c>
      <c r="J37" s="427">
        <v>14</v>
      </c>
      <c r="K37" s="423">
        <f>G37/J37*100</f>
        <v>0</v>
      </c>
      <c r="L37" s="423">
        <f>H37/J37*100</f>
        <v>14.285714285714285</v>
      </c>
      <c r="M37" s="423">
        <f>I37/J37*100</f>
        <v>85.714285714285708</v>
      </c>
      <c r="N37" s="426">
        <f t="shared" si="3"/>
        <v>100</v>
      </c>
      <c r="O37" s="422"/>
      <c r="P37" s="423">
        <v>7.8</v>
      </c>
      <c r="Q37" s="423">
        <v>49</v>
      </c>
      <c r="R37" s="424">
        <f t="shared" si="4"/>
        <v>56.8</v>
      </c>
      <c r="S37" s="469">
        <v>2</v>
      </c>
      <c r="T37" s="838"/>
      <c r="U37" s="836"/>
      <c r="V37" s="299" t="s">
        <v>131</v>
      </c>
      <c r="W37" s="292" t="s">
        <v>98</v>
      </c>
      <c r="X37" s="292" t="s">
        <v>12</v>
      </c>
      <c r="Y37" s="300">
        <v>27.7</v>
      </c>
      <c r="Z37" s="299" t="s">
        <v>1150</v>
      </c>
      <c r="AA37" s="292" t="s">
        <v>20</v>
      </c>
      <c r="AB37" s="292" t="s">
        <v>12</v>
      </c>
      <c r="AC37" s="292">
        <v>14.2</v>
      </c>
      <c r="AD37" s="299" t="s">
        <v>1008</v>
      </c>
      <c r="AE37" s="292" t="s">
        <v>309</v>
      </c>
      <c r="AF37" s="292" t="s">
        <v>18</v>
      </c>
      <c r="AG37" s="300">
        <v>7.8</v>
      </c>
      <c r="AH37" s="292" t="s">
        <v>1010</v>
      </c>
      <c r="AI37" s="292" t="s">
        <v>937</v>
      </c>
      <c r="AJ37" s="292" t="s">
        <v>12</v>
      </c>
      <c r="AK37" s="292">
        <v>7.1</v>
      </c>
      <c r="AL37" s="299"/>
      <c r="AO37" s="300"/>
      <c r="AP37" s="299"/>
      <c r="AS37" s="300"/>
      <c r="AW37" s="300"/>
      <c r="BA37" s="301"/>
    </row>
    <row r="38" spans="1:53" s="292" customFormat="1">
      <c r="A38" s="292">
        <v>2006</v>
      </c>
      <c r="B38" s="869">
        <v>38838</v>
      </c>
      <c r="C38" s="916" t="s">
        <v>1009</v>
      </c>
      <c r="D38" s="916"/>
      <c r="E38" s="292">
        <v>78</v>
      </c>
      <c r="F38" s="314">
        <v>0</v>
      </c>
      <c r="G38" s="425"/>
      <c r="H38" s="469">
        <v>1</v>
      </c>
      <c r="I38" s="469">
        <v>13</v>
      </c>
      <c r="J38" s="427">
        <v>14</v>
      </c>
      <c r="K38" s="423">
        <f t="shared" si="0"/>
        <v>0</v>
      </c>
      <c r="L38" s="423">
        <f t="shared" si="1"/>
        <v>7.1428571428571423</v>
      </c>
      <c r="M38" s="423">
        <f t="shared" si="2"/>
        <v>92.857142857142861</v>
      </c>
      <c r="N38" s="426">
        <f t="shared" si="3"/>
        <v>100</v>
      </c>
      <c r="O38" s="422"/>
      <c r="P38" s="423">
        <v>7.8</v>
      </c>
      <c r="Q38" s="423">
        <v>49</v>
      </c>
      <c r="R38" s="424">
        <f t="shared" si="4"/>
        <v>56.8</v>
      </c>
      <c r="S38" s="469">
        <v>2</v>
      </c>
      <c r="T38" s="838"/>
      <c r="U38" s="836"/>
      <c r="V38" s="299" t="s">
        <v>131</v>
      </c>
      <c r="W38" s="292" t="s">
        <v>98</v>
      </c>
      <c r="X38" s="292" t="s">
        <v>12</v>
      </c>
      <c r="Y38" s="300">
        <v>27.7</v>
      </c>
      <c r="Z38" s="299" t="s">
        <v>1150</v>
      </c>
      <c r="AA38" s="292" t="s">
        <v>20</v>
      </c>
      <c r="AB38" s="292" t="s">
        <v>12</v>
      </c>
      <c r="AC38" s="292">
        <v>14.2</v>
      </c>
      <c r="AD38" s="299" t="s">
        <v>1008</v>
      </c>
      <c r="AE38" s="292" t="s">
        <v>309</v>
      </c>
      <c r="AF38" s="292" t="s">
        <v>18</v>
      </c>
      <c r="AG38" s="300">
        <v>7.8</v>
      </c>
      <c r="AH38" s="292" t="s">
        <v>1010</v>
      </c>
      <c r="AI38" s="292" t="s">
        <v>937</v>
      </c>
      <c r="AJ38" s="292" t="s">
        <v>12</v>
      </c>
      <c r="AK38" s="292">
        <v>7.1</v>
      </c>
      <c r="AL38" s="299"/>
      <c r="AO38" s="300"/>
      <c r="AP38" s="299"/>
      <c r="AS38" s="300"/>
      <c r="AW38" s="300"/>
      <c r="BA38" s="301"/>
    </row>
    <row r="39" spans="1:53" s="86" customFormat="1">
      <c r="A39" s="86">
        <v>2006</v>
      </c>
      <c r="B39" s="830">
        <v>38916</v>
      </c>
      <c r="C39" s="917" t="s">
        <v>1151</v>
      </c>
      <c r="D39" s="917"/>
      <c r="E39" s="86">
        <f xml:space="preserve"> 365-E38-E37</f>
        <v>167</v>
      </c>
      <c r="F39" s="86">
        <v>4</v>
      </c>
      <c r="G39" s="411">
        <v>2</v>
      </c>
      <c r="H39" s="468"/>
      <c r="I39" s="468">
        <v>12</v>
      </c>
      <c r="J39" s="413">
        <v>14</v>
      </c>
      <c r="K39" s="409">
        <f t="shared" si="0"/>
        <v>14.285714285714285</v>
      </c>
      <c r="L39" s="409">
        <f t="shared" si="1"/>
        <v>0</v>
      </c>
      <c r="M39" s="409">
        <f t="shared" si="2"/>
        <v>85.714285714285708</v>
      </c>
      <c r="N39" s="412">
        <f t="shared" si="3"/>
        <v>100</v>
      </c>
      <c r="O39" s="408">
        <v>12.8</v>
      </c>
      <c r="P39" s="409"/>
      <c r="Q39" s="409">
        <v>34</v>
      </c>
      <c r="R39" s="410">
        <f t="shared" si="4"/>
        <v>46.8</v>
      </c>
      <c r="S39" s="468">
        <v>5</v>
      </c>
      <c r="T39" s="839"/>
      <c r="U39" s="830">
        <v>38916</v>
      </c>
      <c r="V39" s="82" t="s">
        <v>1150</v>
      </c>
      <c r="W39" s="86" t="s">
        <v>20</v>
      </c>
      <c r="X39" s="86" t="s">
        <v>12</v>
      </c>
      <c r="Y39" s="83">
        <v>19.100000000000001</v>
      </c>
      <c r="Z39" s="82" t="s">
        <v>1011</v>
      </c>
      <c r="AA39" s="86" t="s">
        <v>107</v>
      </c>
      <c r="AB39" s="86" t="s">
        <v>11</v>
      </c>
      <c r="AC39" s="86">
        <v>12.8</v>
      </c>
      <c r="AD39" s="82" t="s">
        <v>125</v>
      </c>
      <c r="AE39" s="86" t="s">
        <v>330</v>
      </c>
      <c r="AF39" s="86" t="s">
        <v>12</v>
      </c>
      <c r="AG39" s="83">
        <v>7.8</v>
      </c>
      <c r="AH39" s="86" t="s">
        <v>1010</v>
      </c>
      <c r="AI39" s="86" t="s">
        <v>937</v>
      </c>
      <c r="AJ39" s="86" t="s">
        <v>12</v>
      </c>
      <c r="AK39" s="86">
        <v>7.1</v>
      </c>
      <c r="AL39" s="82"/>
      <c r="AO39" s="83"/>
      <c r="AP39" s="82"/>
      <c r="AS39" s="83"/>
      <c r="AW39" s="83"/>
      <c r="BA39" s="84"/>
    </row>
    <row r="40" spans="1:53" s="86" customFormat="1">
      <c r="A40" s="86">
        <v>2007</v>
      </c>
      <c r="B40" s="830"/>
      <c r="C40" s="917" t="s">
        <v>1151</v>
      </c>
      <c r="D40" s="917"/>
      <c r="E40" s="86">
        <v>0</v>
      </c>
      <c r="G40" s="411">
        <v>2</v>
      </c>
      <c r="H40" s="468"/>
      <c r="I40" s="468">
        <v>12</v>
      </c>
      <c r="J40" s="413">
        <v>14</v>
      </c>
      <c r="K40" s="409">
        <f t="shared" si="0"/>
        <v>14.285714285714285</v>
      </c>
      <c r="L40" s="409">
        <f t="shared" si="1"/>
        <v>0</v>
      </c>
      <c r="M40" s="409">
        <f t="shared" si="2"/>
        <v>85.714285714285708</v>
      </c>
      <c r="N40" s="412">
        <f t="shared" si="3"/>
        <v>100</v>
      </c>
      <c r="O40" s="408">
        <v>12.8</v>
      </c>
      <c r="P40" s="409"/>
      <c r="Q40" s="409">
        <v>34</v>
      </c>
      <c r="R40" s="410">
        <f t="shared" si="4"/>
        <v>46.8</v>
      </c>
      <c r="S40" s="468">
        <v>5</v>
      </c>
      <c r="T40" s="839"/>
      <c r="U40" s="852"/>
      <c r="V40" s="82" t="s">
        <v>1150</v>
      </c>
      <c r="W40" s="86" t="s">
        <v>20</v>
      </c>
      <c r="X40" s="86" t="s">
        <v>12</v>
      </c>
      <c r="Y40" s="83">
        <v>19.100000000000001</v>
      </c>
      <c r="Z40" s="82" t="s">
        <v>1011</v>
      </c>
      <c r="AA40" s="86" t="s">
        <v>107</v>
      </c>
      <c r="AB40" s="86" t="s">
        <v>11</v>
      </c>
      <c r="AC40" s="86">
        <v>12.8</v>
      </c>
      <c r="AD40" s="82" t="s">
        <v>125</v>
      </c>
      <c r="AE40" s="86" t="s">
        <v>330</v>
      </c>
      <c r="AF40" s="86" t="s">
        <v>12</v>
      </c>
      <c r="AG40" s="83">
        <v>7.8</v>
      </c>
      <c r="AH40" s="86" t="s">
        <v>1010</v>
      </c>
      <c r="AI40" s="86" t="s">
        <v>937</v>
      </c>
      <c r="AJ40" s="86" t="s">
        <v>12</v>
      </c>
      <c r="AK40" s="86">
        <v>7.1</v>
      </c>
      <c r="AL40" s="82"/>
      <c r="AO40" s="83"/>
      <c r="AP40" s="82"/>
      <c r="AS40" s="83"/>
      <c r="AW40" s="83"/>
      <c r="BA40" s="84"/>
    </row>
    <row r="41" spans="1:53" s="86" customFormat="1">
      <c r="A41" s="86">
        <v>2007</v>
      </c>
      <c r="B41" s="830"/>
      <c r="C41" s="917" t="s">
        <v>1151</v>
      </c>
      <c r="D41" s="917"/>
      <c r="E41" s="86">
        <v>365</v>
      </c>
      <c r="G41" s="411">
        <v>2</v>
      </c>
      <c r="H41" s="468"/>
      <c r="I41" s="468">
        <v>12</v>
      </c>
      <c r="J41" s="413">
        <v>14</v>
      </c>
      <c r="K41" s="409">
        <f t="shared" si="0"/>
        <v>14.285714285714285</v>
      </c>
      <c r="L41" s="409">
        <f t="shared" si="1"/>
        <v>0</v>
      </c>
      <c r="M41" s="409">
        <f t="shared" si="2"/>
        <v>85.714285714285708</v>
      </c>
      <c r="N41" s="412">
        <f t="shared" si="3"/>
        <v>100</v>
      </c>
      <c r="O41" s="408">
        <v>12.8</v>
      </c>
      <c r="P41" s="409"/>
      <c r="Q41" s="409">
        <v>34</v>
      </c>
      <c r="R41" s="410">
        <f t="shared" si="4"/>
        <v>46.8</v>
      </c>
      <c r="S41" s="468">
        <v>5</v>
      </c>
      <c r="T41" s="839"/>
      <c r="U41" s="852"/>
      <c r="V41" s="82" t="s">
        <v>1150</v>
      </c>
      <c r="W41" s="86" t="s">
        <v>20</v>
      </c>
      <c r="X41" s="86" t="s">
        <v>12</v>
      </c>
      <c r="Y41" s="83">
        <v>19.100000000000001</v>
      </c>
      <c r="Z41" s="82" t="s">
        <v>1011</v>
      </c>
      <c r="AA41" s="86" t="s">
        <v>107</v>
      </c>
      <c r="AB41" s="86" t="s">
        <v>11</v>
      </c>
      <c r="AC41" s="86">
        <v>12.8</v>
      </c>
      <c r="AD41" s="82" t="s">
        <v>125</v>
      </c>
      <c r="AE41" s="86" t="s">
        <v>330</v>
      </c>
      <c r="AF41" s="86" t="s">
        <v>12</v>
      </c>
      <c r="AG41" s="83">
        <v>7.8</v>
      </c>
      <c r="AH41" s="86" t="s">
        <v>1010</v>
      </c>
      <c r="AI41" s="86" t="s">
        <v>937</v>
      </c>
      <c r="AJ41" s="86" t="s">
        <v>12</v>
      </c>
      <c r="AK41" s="86">
        <v>7.1</v>
      </c>
      <c r="AL41" s="82"/>
      <c r="AO41" s="83"/>
      <c r="AP41" s="82"/>
      <c r="AS41" s="83"/>
      <c r="AW41" s="83"/>
      <c r="BA41" s="84"/>
    </row>
    <row r="42" spans="1:53" s="86" customFormat="1">
      <c r="A42" s="86">
        <v>2008</v>
      </c>
      <c r="B42" s="830"/>
      <c r="C42" s="917" t="s">
        <v>1151</v>
      </c>
      <c r="D42" s="917"/>
      <c r="E42" s="86">
        <v>30</v>
      </c>
      <c r="G42" s="411">
        <v>2</v>
      </c>
      <c r="H42" s="468"/>
      <c r="I42" s="468">
        <v>12</v>
      </c>
      <c r="J42" s="413">
        <v>14</v>
      </c>
      <c r="K42" s="409">
        <f>G42/J42*100</f>
        <v>14.285714285714285</v>
      </c>
      <c r="L42" s="409">
        <f>H42/J42*100</f>
        <v>0</v>
      </c>
      <c r="M42" s="409">
        <f>I42/J42*100</f>
        <v>85.714285714285708</v>
      </c>
      <c r="N42" s="412">
        <f t="shared" si="3"/>
        <v>100</v>
      </c>
      <c r="O42" s="408">
        <v>12.8</v>
      </c>
      <c r="P42" s="409"/>
      <c r="Q42" s="409">
        <v>34</v>
      </c>
      <c r="R42" s="410">
        <f t="shared" si="4"/>
        <v>46.8</v>
      </c>
      <c r="S42" s="468">
        <v>5</v>
      </c>
      <c r="T42" s="839"/>
      <c r="U42" s="852"/>
      <c r="V42" s="82" t="s">
        <v>1150</v>
      </c>
      <c r="W42" s="86" t="s">
        <v>20</v>
      </c>
      <c r="X42" s="86" t="s">
        <v>12</v>
      </c>
      <c r="Y42" s="83">
        <v>19.100000000000001</v>
      </c>
      <c r="Z42" s="82" t="s">
        <v>1011</v>
      </c>
      <c r="AA42" s="86" t="s">
        <v>107</v>
      </c>
      <c r="AB42" s="86" t="s">
        <v>11</v>
      </c>
      <c r="AC42" s="86">
        <v>12.8</v>
      </c>
      <c r="AD42" s="82" t="s">
        <v>125</v>
      </c>
      <c r="AE42" s="86" t="s">
        <v>330</v>
      </c>
      <c r="AF42" s="86" t="s">
        <v>12</v>
      </c>
      <c r="AG42" s="83">
        <v>7.8</v>
      </c>
      <c r="AH42" s="86" t="s">
        <v>1010</v>
      </c>
      <c r="AI42" s="86" t="s">
        <v>937</v>
      </c>
      <c r="AJ42" s="86" t="s">
        <v>12</v>
      </c>
      <c r="AK42" s="86">
        <v>7.1</v>
      </c>
      <c r="AL42" s="82"/>
      <c r="AO42" s="83"/>
      <c r="AP42" s="82"/>
      <c r="AS42" s="83"/>
      <c r="AW42" s="83"/>
      <c r="BA42" s="84"/>
    </row>
    <row r="43" spans="1:53" s="292" customFormat="1">
      <c r="A43" s="292">
        <v>2008</v>
      </c>
      <c r="B43" s="850">
        <v>39478</v>
      </c>
      <c r="C43" s="916" t="s">
        <v>1152</v>
      </c>
      <c r="D43" s="916"/>
      <c r="E43" s="292">
        <v>117</v>
      </c>
      <c r="F43" s="292">
        <v>7</v>
      </c>
      <c r="G43" s="425">
        <v>2</v>
      </c>
      <c r="H43" s="469">
        <v>1</v>
      </c>
      <c r="I43" s="469">
        <v>11</v>
      </c>
      <c r="J43" s="427">
        <v>14</v>
      </c>
      <c r="K43" s="423">
        <f>G43/J43*100</f>
        <v>14.285714285714285</v>
      </c>
      <c r="L43" s="423">
        <f>H43/J43*100</f>
        <v>7.1428571428571423</v>
      </c>
      <c r="M43" s="423">
        <f>I43/J43*100</f>
        <v>78.571428571428569</v>
      </c>
      <c r="N43" s="426">
        <f t="shared" si="3"/>
        <v>100</v>
      </c>
      <c r="O43" s="422">
        <v>12.8</v>
      </c>
      <c r="P43" s="423">
        <v>7.8</v>
      </c>
      <c r="Q43" s="423">
        <v>34</v>
      </c>
      <c r="R43" s="424">
        <f t="shared" si="4"/>
        <v>54.6</v>
      </c>
      <c r="S43" s="469">
        <v>2</v>
      </c>
      <c r="T43" s="838"/>
      <c r="U43" s="850">
        <v>39478</v>
      </c>
      <c r="V43" s="299" t="s">
        <v>1150</v>
      </c>
      <c r="W43" s="292" t="s">
        <v>20</v>
      </c>
      <c r="X43" s="292" t="s">
        <v>12</v>
      </c>
      <c r="Y43" s="300">
        <v>19.100000000000001</v>
      </c>
      <c r="Z43" s="299" t="s">
        <v>1011</v>
      </c>
      <c r="AA43" s="292" t="s">
        <v>107</v>
      </c>
      <c r="AB43" s="292" t="s">
        <v>11</v>
      </c>
      <c r="AC43" s="292">
        <v>12.8</v>
      </c>
      <c r="AD43" s="299" t="s">
        <v>125</v>
      </c>
      <c r="AE43" s="292" t="s">
        <v>330</v>
      </c>
      <c r="AF43" s="292" t="s">
        <v>12</v>
      </c>
      <c r="AG43" s="300">
        <v>7.8</v>
      </c>
      <c r="AH43" s="292" t="s">
        <v>1008</v>
      </c>
      <c r="AI43" s="292" t="s">
        <v>309</v>
      </c>
      <c r="AJ43" s="292" t="s">
        <v>18</v>
      </c>
      <c r="AK43" s="292">
        <v>7.8</v>
      </c>
      <c r="AL43" s="299" t="s">
        <v>1010</v>
      </c>
      <c r="AM43" s="292" t="s">
        <v>937</v>
      </c>
      <c r="AN43" s="292" t="s">
        <v>12</v>
      </c>
      <c r="AO43" s="300">
        <v>7.1</v>
      </c>
      <c r="AP43" s="299"/>
      <c r="AS43" s="300"/>
      <c r="AW43" s="300"/>
      <c r="BA43" s="301"/>
    </row>
    <row r="44" spans="1:53" s="292" customFormat="1">
      <c r="A44" s="292">
        <v>2008</v>
      </c>
      <c r="B44" s="869">
        <v>39595</v>
      </c>
      <c r="C44" s="916" t="s">
        <v>1152</v>
      </c>
      <c r="D44" s="916"/>
      <c r="E44" s="292">
        <v>218</v>
      </c>
      <c r="F44" s="314">
        <v>0</v>
      </c>
      <c r="G44" s="425">
        <v>2</v>
      </c>
      <c r="H44" s="469">
        <v>2</v>
      </c>
      <c r="I44" s="469">
        <v>10</v>
      </c>
      <c r="J44" s="427">
        <v>14</v>
      </c>
      <c r="K44" s="423">
        <f t="shared" si="0"/>
        <v>14.285714285714285</v>
      </c>
      <c r="L44" s="423">
        <f t="shared" si="1"/>
        <v>14.285714285714285</v>
      </c>
      <c r="M44" s="423">
        <f t="shared" si="2"/>
        <v>71.428571428571431</v>
      </c>
      <c r="N44" s="426">
        <f t="shared" si="3"/>
        <v>100</v>
      </c>
      <c r="O44" s="422">
        <v>12.8</v>
      </c>
      <c r="P44" s="423">
        <v>7.8</v>
      </c>
      <c r="Q44" s="423">
        <v>34</v>
      </c>
      <c r="R44" s="424">
        <f t="shared" si="4"/>
        <v>54.6</v>
      </c>
      <c r="S44" s="469">
        <v>2</v>
      </c>
      <c r="T44" s="838"/>
      <c r="U44" s="836"/>
      <c r="V44" s="299" t="s">
        <v>1150</v>
      </c>
      <c r="W44" s="292" t="s">
        <v>20</v>
      </c>
      <c r="X44" s="292" t="s">
        <v>12</v>
      </c>
      <c r="Y44" s="300">
        <v>19.100000000000001</v>
      </c>
      <c r="Z44" s="299" t="s">
        <v>1011</v>
      </c>
      <c r="AA44" s="292" t="s">
        <v>107</v>
      </c>
      <c r="AB44" s="292" t="s">
        <v>11</v>
      </c>
      <c r="AC44" s="292">
        <v>12.8</v>
      </c>
      <c r="AD44" s="299" t="s">
        <v>125</v>
      </c>
      <c r="AE44" s="292" t="s">
        <v>330</v>
      </c>
      <c r="AF44" s="292" t="s">
        <v>12</v>
      </c>
      <c r="AG44" s="300">
        <v>7.8</v>
      </c>
      <c r="AH44" s="292" t="s">
        <v>1008</v>
      </c>
      <c r="AI44" s="292" t="s">
        <v>309</v>
      </c>
      <c r="AJ44" s="292" t="s">
        <v>18</v>
      </c>
      <c r="AK44" s="292">
        <v>7.8</v>
      </c>
      <c r="AL44" s="299" t="s">
        <v>1010</v>
      </c>
      <c r="AM44" s="292" t="s">
        <v>937</v>
      </c>
      <c r="AN44" s="292" t="s">
        <v>12</v>
      </c>
      <c r="AO44" s="300">
        <v>7.1</v>
      </c>
      <c r="AP44" s="299"/>
      <c r="AS44" s="300"/>
      <c r="AW44" s="300"/>
      <c r="BA44" s="301"/>
    </row>
    <row r="45" spans="1:53" s="86" customFormat="1">
      <c r="A45" s="86">
        <v>2008</v>
      </c>
      <c r="B45" s="830">
        <v>39813</v>
      </c>
      <c r="C45" s="917" t="s">
        <v>1153</v>
      </c>
      <c r="D45" s="917"/>
      <c r="E45" s="86">
        <f xml:space="preserve"> 366-E44-E43-E42</f>
        <v>1</v>
      </c>
      <c r="F45" s="86">
        <v>1</v>
      </c>
      <c r="G45" s="411">
        <v>15</v>
      </c>
      <c r="H45" s="468"/>
      <c r="I45" s="468"/>
      <c r="J45" s="413">
        <v>15</v>
      </c>
      <c r="K45" s="409">
        <f t="shared" si="0"/>
        <v>100</v>
      </c>
      <c r="L45" s="409">
        <f t="shared" si="1"/>
        <v>0</v>
      </c>
      <c r="M45" s="409">
        <f t="shared" si="2"/>
        <v>0</v>
      </c>
      <c r="N45" s="412">
        <f t="shared" si="3"/>
        <v>100</v>
      </c>
      <c r="O45" s="408">
        <v>56.8</v>
      </c>
      <c r="P45" s="409"/>
      <c r="Q45" s="409"/>
      <c r="R45" s="410">
        <f t="shared" si="4"/>
        <v>56.8</v>
      </c>
      <c r="S45" s="468">
        <v>3</v>
      </c>
      <c r="T45" s="839">
        <v>39733</v>
      </c>
      <c r="U45" s="830">
        <v>39813</v>
      </c>
      <c r="V45" s="82" t="s">
        <v>1012</v>
      </c>
      <c r="W45" s="86" t="s">
        <v>88</v>
      </c>
      <c r="X45" s="86" t="s">
        <v>11</v>
      </c>
      <c r="Y45" s="83">
        <v>31.9</v>
      </c>
      <c r="Z45" s="86" t="s">
        <v>1013</v>
      </c>
      <c r="AA45" s="86" t="s">
        <v>118</v>
      </c>
      <c r="AB45" s="86" t="s">
        <v>11</v>
      </c>
      <c r="AC45" s="86">
        <v>11.4</v>
      </c>
      <c r="AD45" s="82" t="s">
        <v>1014</v>
      </c>
      <c r="AE45" s="86" t="s">
        <v>898</v>
      </c>
      <c r="AF45" s="86" t="s">
        <v>11</v>
      </c>
      <c r="AG45" s="83">
        <v>7.8</v>
      </c>
      <c r="AH45" s="82" t="s">
        <v>1011</v>
      </c>
      <c r="AI45" s="86" t="s">
        <v>107</v>
      </c>
      <c r="AJ45" s="86" t="s">
        <v>11</v>
      </c>
      <c r="AK45" s="86">
        <v>5.7</v>
      </c>
      <c r="AL45" s="82"/>
      <c r="AO45" s="83"/>
      <c r="AP45" s="82"/>
      <c r="AS45" s="83"/>
      <c r="AW45" s="83"/>
      <c r="BA45" s="84"/>
    </row>
    <row r="46" spans="1:53" s="86" customFormat="1">
      <c r="A46" s="86">
        <v>2009</v>
      </c>
      <c r="B46" s="830"/>
      <c r="C46" s="917" t="s">
        <v>1153</v>
      </c>
      <c r="D46" s="917"/>
      <c r="E46" s="86">
        <v>187</v>
      </c>
      <c r="G46" s="411">
        <v>15</v>
      </c>
      <c r="H46" s="468"/>
      <c r="I46" s="468"/>
      <c r="J46" s="413">
        <v>15</v>
      </c>
      <c r="K46" s="409">
        <f t="shared" si="0"/>
        <v>100</v>
      </c>
      <c r="L46" s="409">
        <f t="shared" si="1"/>
        <v>0</v>
      </c>
      <c r="M46" s="409">
        <f t="shared" si="2"/>
        <v>0</v>
      </c>
      <c r="N46" s="412">
        <f t="shared" si="3"/>
        <v>100</v>
      </c>
      <c r="O46" s="408">
        <v>56.8</v>
      </c>
      <c r="P46" s="409"/>
      <c r="Q46" s="409"/>
      <c r="R46" s="410">
        <f t="shared" si="4"/>
        <v>56.8</v>
      </c>
      <c r="S46" s="468">
        <v>3</v>
      </c>
      <c r="T46" s="839"/>
      <c r="U46" s="852"/>
      <c r="V46" s="82" t="s">
        <v>1012</v>
      </c>
      <c r="W46" s="86" t="s">
        <v>88</v>
      </c>
      <c r="X46" s="86" t="s">
        <v>11</v>
      </c>
      <c r="Y46" s="83">
        <v>31.9</v>
      </c>
      <c r="Z46" s="86" t="s">
        <v>1013</v>
      </c>
      <c r="AA46" s="86" t="s">
        <v>118</v>
      </c>
      <c r="AB46" s="86" t="s">
        <v>11</v>
      </c>
      <c r="AC46" s="86">
        <v>11.4</v>
      </c>
      <c r="AD46" s="82" t="s">
        <v>1014</v>
      </c>
      <c r="AE46" s="86" t="s">
        <v>898</v>
      </c>
      <c r="AF46" s="86" t="s">
        <v>11</v>
      </c>
      <c r="AG46" s="83">
        <v>7.8</v>
      </c>
      <c r="AH46" s="82" t="s">
        <v>1011</v>
      </c>
      <c r="AI46" s="86" t="s">
        <v>107</v>
      </c>
      <c r="AJ46" s="86" t="s">
        <v>11</v>
      </c>
      <c r="AK46" s="86">
        <v>5.7</v>
      </c>
      <c r="AL46" s="82"/>
      <c r="AO46" s="83"/>
      <c r="AP46" s="82"/>
      <c r="AS46" s="83"/>
      <c r="AW46" s="83"/>
      <c r="BA46" s="84"/>
    </row>
    <row r="47" spans="1:53" s="86" customFormat="1">
      <c r="A47" s="86">
        <v>2009</v>
      </c>
      <c r="B47" s="868">
        <v>40001</v>
      </c>
      <c r="C47" s="917" t="s">
        <v>1153</v>
      </c>
      <c r="D47" s="917"/>
      <c r="E47" s="86">
        <f xml:space="preserve"> 365-E46</f>
        <v>178</v>
      </c>
      <c r="F47" s="123">
        <v>0</v>
      </c>
      <c r="G47" s="411">
        <v>14</v>
      </c>
      <c r="H47" s="468"/>
      <c r="I47" s="468"/>
      <c r="J47" s="413">
        <v>15</v>
      </c>
      <c r="K47" s="409">
        <f t="shared" si="0"/>
        <v>93.333333333333329</v>
      </c>
      <c r="L47" s="409">
        <f t="shared" si="1"/>
        <v>0</v>
      </c>
      <c r="M47" s="409">
        <f t="shared" si="2"/>
        <v>0</v>
      </c>
      <c r="N47" s="412">
        <f t="shared" si="3"/>
        <v>93.333333333333329</v>
      </c>
      <c r="O47" s="408">
        <v>56.8</v>
      </c>
      <c r="P47" s="409"/>
      <c r="Q47" s="409"/>
      <c r="R47" s="410">
        <f t="shared" si="4"/>
        <v>56.8</v>
      </c>
      <c r="S47" s="468">
        <v>3</v>
      </c>
      <c r="T47" s="839"/>
      <c r="U47" s="852"/>
      <c r="V47" s="82" t="s">
        <v>1012</v>
      </c>
      <c r="W47" s="86" t="s">
        <v>88</v>
      </c>
      <c r="X47" s="86" t="s">
        <v>11</v>
      </c>
      <c r="Y47" s="83">
        <v>31.9</v>
      </c>
      <c r="Z47" s="86" t="s">
        <v>1013</v>
      </c>
      <c r="AA47" s="86" t="s">
        <v>118</v>
      </c>
      <c r="AB47" s="86" t="s">
        <v>11</v>
      </c>
      <c r="AC47" s="86">
        <v>11.4</v>
      </c>
      <c r="AD47" s="82" t="s">
        <v>1014</v>
      </c>
      <c r="AE47" s="86" t="s">
        <v>898</v>
      </c>
      <c r="AF47" s="86" t="s">
        <v>11</v>
      </c>
      <c r="AG47" s="83">
        <v>7.8</v>
      </c>
      <c r="AH47" s="82" t="s">
        <v>1011</v>
      </c>
      <c r="AI47" s="86" t="s">
        <v>107</v>
      </c>
      <c r="AJ47" s="86" t="s">
        <v>11</v>
      </c>
      <c r="AK47" s="86">
        <v>5.7</v>
      </c>
      <c r="AL47" s="82"/>
      <c r="AO47" s="83"/>
      <c r="AP47" s="82"/>
      <c r="AS47" s="83"/>
      <c r="AW47" s="83"/>
      <c r="BA47" s="84"/>
    </row>
    <row r="48" spans="1:53" s="86" customFormat="1">
      <c r="A48" s="86">
        <v>2010</v>
      </c>
      <c r="B48" s="830"/>
      <c r="C48" s="917" t="s">
        <v>1153</v>
      </c>
      <c r="D48" s="917"/>
      <c r="E48" s="86">
        <v>0</v>
      </c>
      <c r="G48" s="411">
        <v>14</v>
      </c>
      <c r="H48" s="468"/>
      <c r="I48" s="468"/>
      <c r="J48" s="413">
        <v>15</v>
      </c>
      <c r="K48" s="409">
        <f t="shared" si="0"/>
        <v>93.333333333333329</v>
      </c>
      <c r="L48" s="409">
        <f t="shared" si="1"/>
        <v>0</v>
      </c>
      <c r="M48" s="409">
        <f t="shared" si="2"/>
        <v>0</v>
      </c>
      <c r="N48" s="412">
        <f t="shared" si="3"/>
        <v>93.333333333333329</v>
      </c>
      <c r="O48" s="408">
        <v>56.8</v>
      </c>
      <c r="P48" s="409"/>
      <c r="Q48" s="409"/>
      <c r="R48" s="410">
        <f t="shared" si="4"/>
        <v>56.8</v>
      </c>
      <c r="S48" s="468">
        <v>3</v>
      </c>
      <c r="T48" s="839"/>
      <c r="U48" s="852"/>
      <c r="V48" s="82" t="s">
        <v>1012</v>
      </c>
      <c r="W48" s="86" t="s">
        <v>88</v>
      </c>
      <c r="X48" s="86" t="s">
        <v>11</v>
      </c>
      <c r="Y48" s="83">
        <v>31.9</v>
      </c>
      <c r="Z48" s="86" t="s">
        <v>1013</v>
      </c>
      <c r="AA48" s="86" t="s">
        <v>118</v>
      </c>
      <c r="AB48" s="86" t="s">
        <v>11</v>
      </c>
      <c r="AC48" s="86">
        <v>11.4</v>
      </c>
      <c r="AD48" s="82" t="s">
        <v>1014</v>
      </c>
      <c r="AE48" s="86" t="s">
        <v>898</v>
      </c>
      <c r="AF48" s="86" t="s">
        <v>11</v>
      </c>
      <c r="AG48" s="83">
        <v>7.8</v>
      </c>
      <c r="AH48" s="82" t="s">
        <v>1011</v>
      </c>
      <c r="AI48" s="86" t="s">
        <v>107</v>
      </c>
      <c r="AJ48" s="86" t="s">
        <v>11</v>
      </c>
      <c r="AK48" s="86">
        <v>5.7</v>
      </c>
      <c r="AL48" s="82"/>
      <c r="AO48" s="83"/>
      <c r="AP48" s="82"/>
      <c r="AS48" s="83"/>
      <c r="AW48" s="83"/>
      <c r="BA48" s="84"/>
    </row>
    <row r="49" spans="1:53" s="86" customFormat="1">
      <c r="A49" s="86">
        <v>2010</v>
      </c>
      <c r="B49" s="830"/>
      <c r="C49" s="917" t="s">
        <v>1153</v>
      </c>
      <c r="D49" s="917"/>
      <c r="E49" s="86">
        <v>365</v>
      </c>
      <c r="G49" s="411">
        <v>14</v>
      </c>
      <c r="H49" s="468"/>
      <c r="I49" s="468"/>
      <c r="J49" s="413">
        <v>15</v>
      </c>
      <c r="K49" s="409">
        <f t="shared" si="0"/>
        <v>93.333333333333329</v>
      </c>
      <c r="L49" s="409">
        <f t="shared" si="1"/>
        <v>0</v>
      </c>
      <c r="M49" s="409">
        <f t="shared" si="2"/>
        <v>0</v>
      </c>
      <c r="N49" s="412">
        <f t="shared" si="3"/>
        <v>93.333333333333329</v>
      </c>
      <c r="O49" s="408">
        <v>56.8</v>
      </c>
      <c r="P49" s="409"/>
      <c r="Q49" s="409"/>
      <c r="R49" s="410">
        <f t="shared" si="4"/>
        <v>56.8</v>
      </c>
      <c r="S49" s="468">
        <v>3</v>
      </c>
      <c r="T49" s="839"/>
      <c r="U49" s="852"/>
      <c r="V49" s="82" t="s">
        <v>1012</v>
      </c>
      <c r="W49" s="86" t="s">
        <v>88</v>
      </c>
      <c r="X49" s="86" t="s">
        <v>11</v>
      </c>
      <c r="Y49" s="83">
        <v>31.9</v>
      </c>
      <c r="Z49" s="86" t="s">
        <v>1013</v>
      </c>
      <c r="AA49" s="86" t="s">
        <v>118</v>
      </c>
      <c r="AB49" s="86" t="s">
        <v>11</v>
      </c>
      <c r="AC49" s="86">
        <v>11.4</v>
      </c>
      <c r="AD49" s="82" t="s">
        <v>1014</v>
      </c>
      <c r="AE49" s="86" t="s">
        <v>898</v>
      </c>
      <c r="AF49" s="86" t="s">
        <v>11</v>
      </c>
      <c r="AG49" s="83">
        <v>7.8</v>
      </c>
      <c r="AH49" s="82" t="s">
        <v>1011</v>
      </c>
      <c r="AI49" s="86" t="s">
        <v>107</v>
      </c>
      <c r="AJ49" s="86" t="s">
        <v>11</v>
      </c>
      <c r="AK49" s="86">
        <v>5.7</v>
      </c>
      <c r="AL49" s="82"/>
      <c r="AO49" s="83"/>
      <c r="AP49" s="82"/>
      <c r="AS49" s="83"/>
      <c r="AW49" s="83"/>
      <c r="BA49" s="84"/>
    </row>
    <row r="50" spans="1:53" s="86" customFormat="1">
      <c r="A50" s="86">
        <v>2011</v>
      </c>
      <c r="B50" s="830"/>
      <c r="C50" s="917" t="s">
        <v>1153</v>
      </c>
      <c r="D50" s="917"/>
      <c r="E50" s="86">
        <v>0</v>
      </c>
      <c r="G50" s="411">
        <v>14</v>
      </c>
      <c r="H50" s="468"/>
      <c r="I50" s="468"/>
      <c r="J50" s="413">
        <v>15</v>
      </c>
      <c r="K50" s="409">
        <f t="shared" ref="K50:K56" si="5">G50/J50*100</f>
        <v>93.333333333333329</v>
      </c>
      <c r="L50" s="409">
        <f t="shared" ref="L50:L55" si="6">H50/J50*100</f>
        <v>0</v>
      </c>
      <c r="M50" s="409">
        <f t="shared" ref="M50:M56" si="7">I50/J50*100</f>
        <v>0</v>
      </c>
      <c r="N50" s="412">
        <f t="shared" si="3"/>
        <v>93.333333333333329</v>
      </c>
      <c r="O50" s="408">
        <v>56.8</v>
      </c>
      <c r="P50" s="409"/>
      <c r="Q50" s="409"/>
      <c r="R50" s="410">
        <f t="shared" si="4"/>
        <v>56.8</v>
      </c>
      <c r="S50" s="468">
        <v>3</v>
      </c>
      <c r="T50" s="839"/>
      <c r="U50" s="852"/>
      <c r="V50" s="82" t="s">
        <v>1012</v>
      </c>
      <c r="W50" s="86" t="s">
        <v>88</v>
      </c>
      <c r="X50" s="86" t="s">
        <v>11</v>
      </c>
      <c r="Y50" s="83">
        <v>31.9</v>
      </c>
      <c r="Z50" s="86" t="s">
        <v>1013</v>
      </c>
      <c r="AA50" s="86" t="s">
        <v>118</v>
      </c>
      <c r="AB50" s="86" t="s">
        <v>11</v>
      </c>
      <c r="AC50" s="86">
        <v>11.4</v>
      </c>
      <c r="AD50" s="82" t="s">
        <v>1014</v>
      </c>
      <c r="AE50" s="86" t="s">
        <v>898</v>
      </c>
      <c r="AF50" s="86" t="s">
        <v>11</v>
      </c>
      <c r="AG50" s="83">
        <v>7.8</v>
      </c>
      <c r="AH50" s="82" t="s">
        <v>1011</v>
      </c>
      <c r="AI50" s="86" t="s">
        <v>107</v>
      </c>
      <c r="AJ50" s="86" t="s">
        <v>11</v>
      </c>
      <c r="AK50" s="86">
        <v>5.7</v>
      </c>
      <c r="AL50" s="82"/>
      <c r="AO50" s="83"/>
      <c r="AP50" s="82"/>
      <c r="AS50" s="83"/>
      <c r="AW50" s="83"/>
      <c r="BA50" s="84"/>
    </row>
    <row r="51" spans="1:53" s="287" customFormat="1">
      <c r="A51" s="287">
        <v>2011</v>
      </c>
      <c r="B51" s="830"/>
      <c r="C51" s="917" t="s">
        <v>1153</v>
      </c>
      <c r="D51" s="917"/>
      <c r="E51" s="287">
        <v>365</v>
      </c>
      <c r="G51" s="411">
        <v>14</v>
      </c>
      <c r="H51" s="468"/>
      <c r="I51" s="468"/>
      <c r="J51" s="413">
        <v>15</v>
      </c>
      <c r="K51" s="409">
        <f t="shared" si="5"/>
        <v>93.333333333333329</v>
      </c>
      <c r="L51" s="409">
        <f t="shared" si="6"/>
        <v>0</v>
      </c>
      <c r="M51" s="409">
        <f t="shared" si="7"/>
        <v>0</v>
      </c>
      <c r="N51" s="412">
        <f t="shared" si="3"/>
        <v>93.333333333333329</v>
      </c>
      <c r="O51" s="408">
        <v>56.8</v>
      </c>
      <c r="P51" s="409"/>
      <c r="Q51" s="409"/>
      <c r="R51" s="410">
        <f t="shared" si="4"/>
        <v>56.8</v>
      </c>
      <c r="S51" s="468">
        <v>3</v>
      </c>
      <c r="T51" s="839"/>
      <c r="U51" s="830"/>
      <c r="V51" s="82" t="s">
        <v>1012</v>
      </c>
      <c r="W51" s="287" t="s">
        <v>88</v>
      </c>
      <c r="X51" s="287" t="s">
        <v>11</v>
      </c>
      <c r="Y51" s="83">
        <v>31.9</v>
      </c>
      <c r="Z51" s="287" t="s">
        <v>1013</v>
      </c>
      <c r="AA51" s="287" t="s">
        <v>118</v>
      </c>
      <c r="AB51" s="287" t="s">
        <v>11</v>
      </c>
      <c r="AC51" s="287">
        <v>11.4</v>
      </c>
      <c r="AD51" s="82" t="s">
        <v>1014</v>
      </c>
      <c r="AE51" s="287" t="s">
        <v>898</v>
      </c>
      <c r="AF51" s="287" t="s">
        <v>11</v>
      </c>
      <c r="AG51" s="83">
        <v>7.8</v>
      </c>
      <c r="AH51" s="82" t="s">
        <v>1011</v>
      </c>
      <c r="AI51" s="287" t="s">
        <v>107</v>
      </c>
      <c r="AJ51" s="287" t="s">
        <v>11</v>
      </c>
      <c r="AK51" s="287">
        <v>5.7</v>
      </c>
      <c r="AL51" s="82"/>
      <c r="AO51" s="83"/>
      <c r="AP51" s="82"/>
      <c r="AS51" s="83"/>
      <c r="AW51" s="83"/>
      <c r="BA51" s="84"/>
    </row>
    <row r="52" spans="1:53" s="287" customFormat="1">
      <c r="A52" s="287">
        <v>2012</v>
      </c>
      <c r="B52" s="830"/>
      <c r="C52" s="917" t="s">
        <v>1153</v>
      </c>
      <c r="D52" s="917"/>
      <c r="E52" s="287">
        <v>346</v>
      </c>
      <c r="G52" s="411">
        <v>14</v>
      </c>
      <c r="H52" s="468"/>
      <c r="I52" s="468"/>
      <c r="J52" s="413">
        <v>15</v>
      </c>
      <c r="K52" s="409">
        <f t="shared" si="5"/>
        <v>93.333333333333329</v>
      </c>
      <c r="L52" s="409">
        <f t="shared" si="6"/>
        <v>0</v>
      </c>
      <c r="M52" s="409">
        <f t="shared" si="7"/>
        <v>0</v>
      </c>
      <c r="N52" s="412">
        <f t="shared" si="3"/>
        <v>93.333333333333329</v>
      </c>
      <c r="O52" s="408">
        <v>56.8</v>
      </c>
      <c r="P52" s="409"/>
      <c r="Q52" s="409"/>
      <c r="R52" s="410">
        <f t="shared" si="4"/>
        <v>56.8</v>
      </c>
      <c r="S52" s="468">
        <v>3</v>
      </c>
      <c r="T52" s="839"/>
      <c r="U52" s="852"/>
      <c r="V52" s="82" t="s">
        <v>1012</v>
      </c>
      <c r="W52" s="287" t="s">
        <v>88</v>
      </c>
      <c r="X52" s="287" t="s">
        <v>11</v>
      </c>
      <c r="Y52" s="83">
        <v>31.9</v>
      </c>
      <c r="Z52" s="287" t="s">
        <v>1013</v>
      </c>
      <c r="AA52" s="287" t="s">
        <v>118</v>
      </c>
      <c r="AB52" s="287" t="s">
        <v>11</v>
      </c>
      <c r="AC52" s="287">
        <v>11.4</v>
      </c>
      <c r="AD52" s="82" t="s">
        <v>1014</v>
      </c>
      <c r="AE52" s="287" t="s">
        <v>898</v>
      </c>
      <c r="AF52" s="287" t="s">
        <v>11</v>
      </c>
      <c r="AG52" s="83">
        <v>7.8</v>
      </c>
      <c r="AH52" s="82" t="s">
        <v>1011</v>
      </c>
      <c r="AI52" s="287" t="s">
        <v>107</v>
      </c>
      <c r="AJ52" s="287" t="s">
        <v>11</v>
      </c>
      <c r="AK52" s="287">
        <v>5.7</v>
      </c>
      <c r="AL52" s="82"/>
      <c r="AO52" s="83"/>
      <c r="AP52" s="82"/>
      <c r="AS52" s="83"/>
      <c r="AW52" s="83"/>
      <c r="BA52" s="84"/>
    </row>
    <row r="53" spans="1:53" s="292" customFormat="1">
      <c r="A53" s="292">
        <v>2012</v>
      </c>
      <c r="B53" s="863">
        <v>41255</v>
      </c>
      <c r="C53" s="958" t="s">
        <v>1154</v>
      </c>
      <c r="D53" s="958"/>
      <c r="E53" s="292">
        <f xml:space="preserve"> 366-E52</f>
        <v>20</v>
      </c>
      <c r="F53" s="292">
        <v>1</v>
      </c>
      <c r="G53" s="425">
        <v>2</v>
      </c>
      <c r="H53" s="469">
        <v>1</v>
      </c>
      <c r="I53" s="469">
        <v>12</v>
      </c>
      <c r="J53" s="427">
        <v>15</v>
      </c>
      <c r="K53" s="423">
        <f t="shared" si="5"/>
        <v>13.333333333333334</v>
      </c>
      <c r="L53" s="423">
        <f t="shared" si="6"/>
        <v>6.666666666666667</v>
      </c>
      <c r="M53" s="423">
        <f t="shared" si="7"/>
        <v>80</v>
      </c>
      <c r="N53" s="426">
        <f t="shared" si="3"/>
        <v>100</v>
      </c>
      <c r="O53" s="422">
        <v>7.8</v>
      </c>
      <c r="P53" s="423">
        <v>5.7</v>
      </c>
      <c r="Q53" s="423">
        <v>46.8</v>
      </c>
      <c r="R53" s="424">
        <f t="shared" si="4"/>
        <v>60.3</v>
      </c>
      <c r="S53" s="469">
        <v>3</v>
      </c>
      <c r="T53" s="838">
        <v>41210</v>
      </c>
      <c r="U53" s="863">
        <v>41255</v>
      </c>
      <c r="V53" s="299" t="s">
        <v>1150</v>
      </c>
      <c r="W53" s="292" t="s">
        <v>20</v>
      </c>
      <c r="X53" s="292" t="s">
        <v>12</v>
      </c>
      <c r="Y53" s="300">
        <v>26.2</v>
      </c>
      <c r="Z53" s="299" t="s">
        <v>131</v>
      </c>
      <c r="AA53" s="292" t="s">
        <v>98</v>
      </c>
      <c r="AB53" s="292" t="s">
        <v>12</v>
      </c>
      <c r="AC53" s="292">
        <v>20.6</v>
      </c>
      <c r="AD53" s="299" t="s">
        <v>1015</v>
      </c>
      <c r="AE53" s="292" t="s">
        <v>897</v>
      </c>
      <c r="AF53" s="292" t="s">
        <v>11</v>
      </c>
      <c r="AG53" s="300">
        <v>7.8</v>
      </c>
      <c r="AH53" s="292" t="s">
        <v>1016</v>
      </c>
      <c r="AI53" s="292" t="s">
        <v>90</v>
      </c>
      <c r="AJ53" s="292" t="s">
        <v>18</v>
      </c>
      <c r="AK53" s="292">
        <v>5.7</v>
      </c>
      <c r="AL53" s="299"/>
      <c r="AO53" s="300"/>
      <c r="AP53" s="299"/>
      <c r="AS53" s="300"/>
      <c r="AW53" s="300"/>
      <c r="BA53" s="301"/>
    </row>
    <row r="54" spans="1:53" s="292" customFormat="1">
      <c r="A54" s="292">
        <v>2013</v>
      </c>
      <c r="B54" s="863"/>
      <c r="C54" s="958" t="s">
        <v>1154</v>
      </c>
      <c r="D54" s="958"/>
      <c r="E54" s="292">
        <v>0</v>
      </c>
      <c r="G54" s="425">
        <v>2</v>
      </c>
      <c r="H54" s="469">
        <v>1</v>
      </c>
      <c r="I54" s="469">
        <v>12</v>
      </c>
      <c r="J54" s="427">
        <v>15</v>
      </c>
      <c r="K54" s="423">
        <f t="shared" si="5"/>
        <v>13.333333333333334</v>
      </c>
      <c r="L54" s="423">
        <f t="shared" si="6"/>
        <v>6.666666666666667</v>
      </c>
      <c r="M54" s="423">
        <f t="shared" si="7"/>
        <v>80</v>
      </c>
      <c r="N54" s="426">
        <f>SUM(K54:M54)</f>
        <v>100</v>
      </c>
      <c r="O54" s="422">
        <v>7.8</v>
      </c>
      <c r="P54" s="423">
        <v>5.7</v>
      </c>
      <c r="Q54" s="423">
        <v>46.8</v>
      </c>
      <c r="R54" s="424">
        <f>SUM(O54:Q54)</f>
        <v>60.3</v>
      </c>
      <c r="S54" s="469">
        <v>3</v>
      </c>
      <c r="T54" s="838"/>
      <c r="U54" s="863"/>
      <c r="V54" s="299" t="s">
        <v>1150</v>
      </c>
      <c r="W54" s="292" t="s">
        <v>20</v>
      </c>
      <c r="X54" s="292" t="s">
        <v>12</v>
      </c>
      <c r="Y54" s="300">
        <v>26.2</v>
      </c>
      <c r="Z54" s="299" t="s">
        <v>131</v>
      </c>
      <c r="AA54" s="292" t="s">
        <v>98</v>
      </c>
      <c r="AB54" s="292" t="s">
        <v>12</v>
      </c>
      <c r="AC54" s="292">
        <v>20.6</v>
      </c>
      <c r="AD54" s="299" t="s">
        <v>1015</v>
      </c>
      <c r="AE54" s="292" t="s">
        <v>897</v>
      </c>
      <c r="AF54" s="292" t="s">
        <v>11</v>
      </c>
      <c r="AG54" s="300">
        <v>7.8</v>
      </c>
      <c r="AH54" s="292" t="s">
        <v>1016</v>
      </c>
      <c r="AI54" s="292" t="s">
        <v>90</v>
      </c>
      <c r="AJ54" s="292" t="s">
        <v>18</v>
      </c>
      <c r="AK54" s="292">
        <v>5.7</v>
      </c>
      <c r="AL54" s="299"/>
      <c r="AO54" s="300"/>
      <c r="AP54" s="299"/>
      <c r="AS54" s="300"/>
      <c r="AW54" s="300"/>
      <c r="BA54" s="301"/>
    </row>
    <row r="55" spans="1:53" s="292" customFormat="1">
      <c r="A55" s="292">
        <v>2013</v>
      </c>
      <c r="B55" s="863"/>
      <c r="C55" s="958" t="s">
        <v>1154</v>
      </c>
      <c r="D55" s="958"/>
      <c r="E55" s="292">
        <v>365</v>
      </c>
      <c r="G55" s="425">
        <v>2</v>
      </c>
      <c r="H55" s="469">
        <v>1</v>
      </c>
      <c r="I55" s="469">
        <v>12</v>
      </c>
      <c r="J55" s="427">
        <v>15</v>
      </c>
      <c r="K55" s="423">
        <f t="shared" si="5"/>
        <v>13.333333333333334</v>
      </c>
      <c r="L55" s="423">
        <f t="shared" si="6"/>
        <v>6.666666666666667</v>
      </c>
      <c r="M55" s="423">
        <f t="shared" si="7"/>
        <v>80</v>
      </c>
      <c r="N55" s="426">
        <f>SUM(K55:M55)</f>
        <v>100</v>
      </c>
      <c r="O55" s="422">
        <v>7.8</v>
      </c>
      <c r="P55" s="423">
        <v>5.7</v>
      </c>
      <c r="Q55" s="423">
        <v>46.8</v>
      </c>
      <c r="R55" s="424">
        <f>SUM(O55:Q55)</f>
        <v>60.3</v>
      </c>
      <c r="S55" s="469">
        <v>3</v>
      </c>
      <c r="T55" s="838"/>
      <c r="U55" s="863"/>
      <c r="V55" s="299" t="s">
        <v>1150</v>
      </c>
      <c r="W55" s="292" t="s">
        <v>20</v>
      </c>
      <c r="X55" s="292" t="s">
        <v>12</v>
      </c>
      <c r="Y55" s="300">
        <v>26.2</v>
      </c>
      <c r="Z55" s="299" t="s">
        <v>131</v>
      </c>
      <c r="AA55" s="292" t="s">
        <v>98</v>
      </c>
      <c r="AB55" s="292" t="s">
        <v>12</v>
      </c>
      <c r="AC55" s="292">
        <v>20.6</v>
      </c>
      <c r="AD55" s="299" t="s">
        <v>1015</v>
      </c>
      <c r="AE55" s="292" t="s">
        <v>897</v>
      </c>
      <c r="AF55" s="292" t="s">
        <v>11</v>
      </c>
      <c r="AG55" s="300">
        <v>7.8</v>
      </c>
      <c r="AH55" s="292" t="s">
        <v>1016</v>
      </c>
      <c r="AI55" s="292" t="s">
        <v>90</v>
      </c>
      <c r="AJ55" s="292" t="s">
        <v>18</v>
      </c>
      <c r="AK55" s="292">
        <v>5.7</v>
      </c>
      <c r="AL55" s="299"/>
      <c r="AO55" s="300"/>
      <c r="AP55" s="299"/>
      <c r="AS55" s="300"/>
      <c r="AW55" s="300"/>
      <c r="BA55" s="301"/>
    </row>
    <row r="56" spans="1:53" s="469" customFormat="1">
      <c r="A56" s="469">
        <v>2014</v>
      </c>
      <c r="B56" s="863"/>
      <c r="C56" s="958" t="s">
        <v>1154</v>
      </c>
      <c r="D56" s="958"/>
      <c r="E56" s="469">
        <v>267</v>
      </c>
      <c r="G56" s="425">
        <v>2</v>
      </c>
      <c r="H56" s="469">
        <v>1</v>
      </c>
      <c r="I56" s="469">
        <v>12</v>
      </c>
      <c r="J56" s="427">
        <v>15</v>
      </c>
      <c r="K56" s="423">
        <f t="shared" si="5"/>
        <v>13.333333333333334</v>
      </c>
      <c r="L56" s="423">
        <f>H56/J56*100</f>
        <v>6.666666666666667</v>
      </c>
      <c r="M56" s="423">
        <f t="shared" si="7"/>
        <v>80</v>
      </c>
      <c r="N56" s="426">
        <f>SUM(K56:M56)</f>
        <v>100</v>
      </c>
      <c r="O56" s="422">
        <v>7.8</v>
      </c>
      <c r="P56" s="423">
        <v>5.7</v>
      </c>
      <c r="Q56" s="423">
        <v>46.8</v>
      </c>
      <c r="R56" s="424">
        <f>SUM(O56:Q56)</f>
        <v>60.3</v>
      </c>
      <c r="S56" s="469">
        <v>3</v>
      </c>
      <c r="T56" s="838"/>
      <c r="U56" s="863"/>
      <c r="V56" s="417" t="s">
        <v>1150</v>
      </c>
      <c r="W56" s="469" t="s">
        <v>20</v>
      </c>
      <c r="X56" s="469" t="s">
        <v>12</v>
      </c>
      <c r="Y56" s="418">
        <v>26.2</v>
      </c>
      <c r="Z56" s="417" t="s">
        <v>131</v>
      </c>
      <c r="AA56" s="469" t="s">
        <v>98</v>
      </c>
      <c r="AB56" s="469" t="s">
        <v>12</v>
      </c>
      <c r="AC56" s="469">
        <v>20.6</v>
      </c>
      <c r="AD56" s="417" t="s">
        <v>1015</v>
      </c>
      <c r="AE56" s="469" t="s">
        <v>897</v>
      </c>
      <c r="AF56" s="469" t="s">
        <v>11</v>
      </c>
      <c r="AG56" s="418">
        <v>7.8</v>
      </c>
      <c r="AH56" s="469" t="s">
        <v>1016</v>
      </c>
      <c r="AI56" s="469" t="s">
        <v>90</v>
      </c>
      <c r="AJ56" s="469" t="s">
        <v>18</v>
      </c>
      <c r="AK56" s="469">
        <v>5.7</v>
      </c>
      <c r="AL56" s="417"/>
      <c r="AO56" s="418"/>
      <c r="AP56" s="417"/>
      <c r="AS56" s="418"/>
      <c r="AW56" s="418"/>
      <c r="BA56" s="419"/>
    </row>
    <row r="57" spans="1:53" s="607" customFormat="1">
      <c r="A57" s="607">
        <v>2014</v>
      </c>
      <c r="B57" s="830">
        <v>41907</v>
      </c>
      <c r="C57" s="917" t="s">
        <v>1298</v>
      </c>
      <c r="D57" s="917"/>
      <c r="E57" s="607">
        <v>98</v>
      </c>
      <c r="F57" s="607">
        <v>4</v>
      </c>
      <c r="G57" s="498">
        <v>2</v>
      </c>
      <c r="I57" s="607">
        <v>13</v>
      </c>
      <c r="J57" s="500">
        <v>15</v>
      </c>
      <c r="K57" s="496">
        <f t="shared" ref="K57:K61" si="8">G57/J57*100</f>
        <v>13.333333333333334</v>
      </c>
      <c r="L57" s="496">
        <f t="shared" ref="L57:L61" si="9">H57/J57*100</f>
        <v>0</v>
      </c>
      <c r="M57" s="496">
        <f t="shared" ref="M57:M61" si="10">I57/J57*100</f>
        <v>86.666666666666671</v>
      </c>
      <c r="N57" s="499">
        <f t="shared" ref="N57:N61" si="11">SUM(K57:M57)</f>
        <v>100</v>
      </c>
      <c r="O57" s="495">
        <v>8.6</v>
      </c>
      <c r="P57" s="496"/>
      <c r="Q57" s="496">
        <v>47.8</v>
      </c>
      <c r="R57" s="497">
        <f>SUM(O57:Q57)</f>
        <v>56.4</v>
      </c>
      <c r="S57" s="607">
        <v>2</v>
      </c>
      <c r="T57" s="839"/>
      <c r="U57" s="830">
        <v>41907</v>
      </c>
      <c r="V57" s="492" t="s">
        <v>1150</v>
      </c>
      <c r="W57" s="607" t="s">
        <v>20</v>
      </c>
      <c r="X57" s="607" t="s">
        <v>12</v>
      </c>
      <c r="Y57" s="493">
        <v>27.1</v>
      </c>
      <c r="Z57" s="607" t="s">
        <v>131</v>
      </c>
      <c r="AA57" s="607" t="s">
        <v>98</v>
      </c>
      <c r="AB57" s="607" t="s">
        <v>12</v>
      </c>
      <c r="AC57" s="607">
        <v>20.7</v>
      </c>
      <c r="AD57" s="492" t="s">
        <v>1015</v>
      </c>
      <c r="AE57" s="607" t="s">
        <v>897</v>
      </c>
      <c r="AF57" s="607" t="s">
        <v>11</v>
      </c>
      <c r="AG57" s="493">
        <v>8.6</v>
      </c>
      <c r="AH57" s="492"/>
      <c r="AL57" s="492"/>
      <c r="AO57" s="493"/>
      <c r="AP57" s="492"/>
      <c r="AS57" s="493"/>
      <c r="AW57" s="493"/>
      <c r="BA57" s="494"/>
    </row>
    <row r="58" spans="1:53" s="607" customFormat="1">
      <c r="A58" s="607">
        <v>2015</v>
      </c>
      <c r="B58" s="830"/>
      <c r="C58" s="917" t="s">
        <v>1298</v>
      </c>
      <c r="D58" s="917"/>
      <c r="E58" s="607">
        <v>0</v>
      </c>
      <c r="G58" s="498">
        <v>2</v>
      </c>
      <c r="I58" s="607">
        <v>13</v>
      </c>
      <c r="J58" s="500">
        <v>15</v>
      </c>
      <c r="K58" s="496">
        <f t="shared" si="8"/>
        <v>13.333333333333334</v>
      </c>
      <c r="L58" s="496">
        <f t="shared" si="9"/>
        <v>0</v>
      </c>
      <c r="M58" s="496">
        <f t="shared" si="10"/>
        <v>86.666666666666671</v>
      </c>
      <c r="N58" s="499">
        <f t="shared" si="11"/>
        <v>100</v>
      </c>
      <c r="O58" s="495">
        <v>8.6</v>
      </c>
      <c r="P58" s="496"/>
      <c r="Q58" s="496">
        <v>47.8</v>
      </c>
      <c r="R58" s="497">
        <f t="shared" ref="R58:R61" si="12">SUM(O58:Q58)</f>
        <v>56.4</v>
      </c>
      <c r="S58" s="607">
        <v>2</v>
      </c>
      <c r="T58" s="839"/>
      <c r="U58" s="830"/>
      <c r="V58" s="492" t="s">
        <v>1150</v>
      </c>
      <c r="W58" s="607" t="s">
        <v>20</v>
      </c>
      <c r="X58" s="607" t="s">
        <v>12</v>
      </c>
      <c r="Y58" s="493">
        <v>27.1</v>
      </c>
      <c r="Z58" s="607" t="s">
        <v>131</v>
      </c>
      <c r="AA58" s="607" t="s">
        <v>98</v>
      </c>
      <c r="AB58" s="607" t="s">
        <v>12</v>
      </c>
      <c r="AC58" s="607">
        <v>20.7</v>
      </c>
      <c r="AD58" s="492" t="s">
        <v>1015</v>
      </c>
      <c r="AE58" s="607" t="s">
        <v>897</v>
      </c>
      <c r="AF58" s="607" t="s">
        <v>11</v>
      </c>
      <c r="AG58" s="493">
        <v>8.6</v>
      </c>
      <c r="AH58" s="492"/>
      <c r="AL58" s="492"/>
      <c r="AO58" s="493"/>
      <c r="AP58" s="492"/>
      <c r="AS58" s="493"/>
      <c r="AW58" s="493"/>
      <c r="BA58" s="494"/>
    </row>
    <row r="59" spans="1:53" s="607" customFormat="1">
      <c r="A59" s="607">
        <v>2015</v>
      </c>
      <c r="B59" s="830"/>
      <c r="C59" s="917" t="s">
        <v>1298</v>
      </c>
      <c r="D59" s="917"/>
      <c r="E59" s="607">
        <v>365</v>
      </c>
      <c r="G59" s="498">
        <v>2</v>
      </c>
      <c r="I59" s="607">
        <v>13</v>
      </c>
      <c r="J59" s="500">
        <v>15</v>
      </c>
      <c r="K59" s="496">
        <f t="shared" si="8"/>
        <v>13.333333333333334</v>
      </c>
      <c r="L59" s="496">
        <f t="shared" si="9"/>
        <v>0</v>
      </c>
      <c r="M59" s="496">
        <f t="shared" si="10"/>
        <v>86.666666666666671</v>
      </c>
      <c r="N59" s="499">
        <f t="shared" si="11"/>
        <v>100</v>
      </c>
      <c r="O59" s="495">
        <v>8.6</v>
      </c>
      <c r="P59" s="496"/>
      <c r="Q59" s="496">
        <v>47.8</v>
      </c>
      <c r="R59" s="497">
        <f t="shared" si="12"/>
        <v>56.4</v>
      </c>
      <c r="S59" s="607">
        <v>2</v>
      </c>
      <c r="T59" s="839"/>
      <c r="U59" s="852"/>
      <c r="V59" s="492" t="s">
        <v>1150</v>
      </c>
      <c r="W59" s="607" t="s">
        <v>20</v>
      </c>
      <c r="X59" s="607" t="s">
        <v>12</v>
      </c>
      <c r="Y59" s="493">
        <v>27.1</v>
      </c>
      <c r="Z59" s="607" t="s">
        <v>131</v>
      </c>
      <c r="AA59" s="607" t="s">
        <v>98</v>
      </c>
      <c r="AB59" s="607" t="s">
        <v>12</v>
      </c>
      <c r="AC59" s="607">
        <v>20.7</v>
      </c>
      <c r="AD59" s="492" t="s">
        <v>1015</v>
      </c>
      <c r="AE59" s="607" t="s">
        <v>897</v>
      </c>
      <c r="AF59" s="607" t="s">
        <v>11</v>
      </c>
      <c r="AG59" s="493">
        <v>8.6</v>
      </c>
      <c r="AH59" s="492"/>
      <c r="AL59" s="492"/>
      <c r="AO59" s="493"/>
      <c r="AP59" s="492"/>
      <c r="AS59" s="493"/>
      <c r="AW59" s="493"/>
      <c r="BA59" s="494"/>
    </row>
    <row r="60" spans="1:53" s="678" customFormat="1">
      <c r="A60" s="678">
        <v>2016</v>
      </c>
      <c r="B60" s="830"/>
      <c r="C60" s="917" t="s">
        <v>1298</v>
      </c>
      <c r="D60" s="917"/>
      <c r="E60" s="678">
        <v>347</v>
      </c>
      <c r="G60" s="498">
        <v>2</v>
      </c>
      <c r="I60" s="678">
        <v>13</v>
      </c>
      <c r="J60" s="500">
        <v>15</v>
      </c>
      <c r="K60" s="496">
        <f t="shared" si="8"/>
        <v>13.333333333333334</v>
      </c>
      <c r="L60" s="496">
        <f t="shared" si="9"/>
        <v>0</v>
      </c>
      <c r="M60" s="496">
        <f t="shared" si="10"/>
        <v>86.666666666666671</v>
      </c>
      <c r="N60" s="499">
        <f t="shared" si="11"/>
        <v>100</v>
      </c>
      <c r="O60" s="495">
        <v>8.6</v>
      </c>
      <c r="P60" s="496"/>
      <c r="Q60" s="496">
        <v>47.8</v>
      </c>
      <c r="R60" s="497">
        <f t="shared" si="12"/>
        <v>56.4</v>
      </c>
      <c r="S60" s="678">
        <v>2</v>
      </c>
      <c r="T60" s="839"/>
      <c r="U60" s="852"/>
      <c r="V60" s="492" t="s">
        <v>1150</v>
      </c>
      <c r="W60" s="678" t="s">
        <v>20</v>
      </c>
      <c r="X60" s="678" t="s">
        <v>12</v>
      </c>
      <c r="Y60" s="493">
        <v>27.1</v>
      </c>
      <c r="Z60" s="678" t="s">
        <v>131</v>
      </c>
      <c r="AA60" s="678" t="s">
        <v>98</v>
      </c>
      <c r="AB60" s="678" t="s">
        <v>12</v>
      </c>
      <c r="AC60" s="678">
        <v>20.7</v>
      </c>
      <c r="AD60" s="492" t="s">
        <v>1015</v>
      </c>
      <c r="AE60" s="678" t="s">
        <v>897</v>
      </c>
      <c r="AF60" s="678" t="s">
        <v>11</v>
      </c>
      <c r="AG60" s="493">
        <v>8.6</v>
      </c>
      <c r="AH60" s="492"/>
      <c r="AL60" s="492"/>
      <c r="AO60" s="493"/>
      <c r="AP60" s="492"/>
      <c r="AS60" s="493"/>
      <c r="AW60" s="493"/>
      <c r="BA60" s="494"/>
    </row>
    <row r="61" spans="1:53" s="702" customFormat="1">
      <c r="A61" s="702">
        <v>2016</v>
      </c>
      <c r="B61" s="863">
        <v>42717</v>
      </c>
      <c r="C61" s="916" t="s">
        <v>1351</v>
      </c>
      <c r="D61" s="916"/>
      <c r="E61" s="702">
        <v>19</v>
      </c>
      <c r="F61" s="702">
        <v>1</v>
      </c>
      <c r="G61" s="539"/>
      <c r="I61" s="702">
        <v>15</v>
      </c>
      <c r="J61" s="541">
        <v>15</v>
      </c>
      <c r="K61" s="537">
        <f t="shared" si="8"/>
        <v>0</v>
      </c>
      <c r="L61" s="537">
        <f t="shared" si="9"/>
        <v>0</v>
      </c>
      <c r="M61" s="537">
        <f t="shared" si="10"/>
        <v>100</v>
      </c>
      <c r="N61" s="540">
        <f t="shared" si="11"/>
        <v>100</v>
      </c>
      <c r="O61" s="536"/>
      <c r="P61" s="537"/>
      <c r="Q61" s="537">
        <v>51.8</v>
      </c>
      <c r="R61" s="538">
        <f t="shared" si="12"/>
        <v>51.8</v>
      </c>
      <c r="S61" s="702">
        <v>2</v>
      </c>
      <c r="T61" s="838">
        <v>42666</v>
      </c>
      <c r="U61" s="836">
        <v>42717</v>
      </c>
      <c r="V61" s="532" t="s">
        <v>1352</v>
      </c>
      <c r="W61" s="702" t="s">
        <v>937</v>
      </c>
      <c r="X61" s="702" t="s">
        <v>12</v>
      </c>
      <c r="Y61" s="533">
        <v>39.700000000000003</v>
      </c>
      <c r="Z61" s="803" t="s">
        <v>1150</v>
      </c>
      <c r="AA61" s="803" t="s">
        <v>20</v>
      </c>
      <c r="AB61" s="803" t="s">
        <v>12</v>
      </c>
      <c r="AC61" s="702">
        <v>12.1</v>
      </c>
      <c r="AD61" s="532"/>
      <c r="AG61" s="533"/>
      <c r="AH61" s="532"/>
      <c r="AL61" s="532"/>
      <c r="AO61" s="533"/>
      <c r="AP61" s="532"/>
      <c r="AS61" s="533"/>
      <c r="AW61" s="533"/>
      <c r="BA61" s="534"/>
    </row>
    <row r="62" spans="1:53" s="726" customFormat="1">
      <c r="A62" s="726">
        <v>2017</v>
      </c>
      <c r="B62" s="863"/>
      <c r="C62" s="916" t="s">
        <v>1351</v>
      </c>
      <c r="D62" s="916"/>
      <c r="E62" s="726">
        <v>267</v>
      </c>
      <c r="G62" s="539"/>
      <c r="I62" s="726">
        <v>15</v>
      </c>
      <c r="J62" s="541">
        <v>15</v>
      </c>
      <c r="K62" s="537">
        <f t="shared" ref="K62:K63" si="13">G62/J62*100</f>
        <v>0</v>
      </c>
      <c r="L62" s="537">
        <f t="shared" ref="L62:L63" si="14">H62/J62*100</f>
        <v>0</v>
      </c>
      <c r="M62" s="537">
        <f t="shared" ref="M62:M63" si="15">I62/J62*100</f>
        <v>100</v>
      </c>
      <c r="N62" s="540">
        <f t="shared" ref="N62:N63" si="16">SUM(K62:M62)</f>
        <v>100</v>
      </c>
      <c r="O62" s="536"/>
      <c r="P62" s="537"/>
      <c r="Q62" s="537">
        <v>51.8</v>
      </c>
      <c r="R62" s="538">
        <f t="shared" ref="R62:R63" si="17">SUM(O62:Q62)</f>
        <v>51.8</v>
      </c>
      <c r="S62" s="726">
        <v>2</v>
      </c>
      <c r="T62" s="838"/>
      <c r="U62" s="836"/>
      <c r="V62" s="532" t="s">
        <v>1352</v>
      </c>
      <c r="W62" s="726" t="s">
        <v>937</v>
      </c>
      <c r="X62" s="726" t="s">
        <v>12</v>
      </c>
      <c r="Y62" s="533">
        <v>39.700000000000003</v>
      </c>
      <c r="Z62" s="803" t="s">
        <v>1150</v>
      </c>
      <c r="AA62" s="803" t="s">
        <v>20</v>
      </c>
      <c r="AB62" s="803" t="s">
        <v>12</v>
      </c>
      <c r="AC62" s="726">
        <v>12.1</v>
      </c>
      <c r="AD62" s="532"/>
      <c r="AG62" s="533"/>
      <c r="AH62" s="532"/>
      <c r="AL62" s="532"/>
      <c r="AO62" s="533"/>
      <c r="AP62" s="532"/>
      <c r="AS62" s="533"/>
      <c r="AW62" s="533"/>
      <c r="BA62" s="534"/>
    </row>
    <row r="63" spans="1:53" s="726" customFormat="1">
      <c r="A63" s="726">
        <v>2017</v>
      </c>
      <c r="B63" s="869">
        <v>43003</v>
      </c>
      <c r="C63" s="916" t="s">
        <v>1351</v>
      </c>
      <c r="D63" s="916"/>
      <c r="E63" s="726">
        <v>98</v>
      </c>
      <c r="F63" s="421">
        <v>0</v>
      </c>
      <c r="G63" s="539"/>
      <c r="I63" s="726">
        <v>15</v>
      </c>
      <c r="J63" s="541">
        <v>15</v>
      </c>
      <c r="K63" s="537">
        <f t="shared" si="13"/>
        <v>0</v>
      </c>
      <c r="L63" s="537">
        <f t="shared" si="14"/>
        <v>0</v>
      </c>
      <c r="M63" s="537">
        <f t="shared" si="15"/>
        <v>100</v>
      </c>
      <c r="N63" s="540">
        <f t="shared" si="16"/>
        <v>100</v>
      </c>
      <c r="O63" s="536"/>
      <c r="P63" s="537"/>
      <c r="Q63" s="537">
        <v>48.9</v>
      </c>
      <c r="R63" s="538">
        <f t="shared" si="17"/>
        <v>48.9</v>
      </c>
      <c r="S63" s="726">
        <v>5</v>
      </c>
      <c r="T63" s="838"/>
      <c r="U63" s="836"/>
      <c r="V63" s="532" t="s">
        <v>1352</v>
      </c>
      <c r="W63" s="726" t="s">
        <v>937</v>
      </c>
      <c r="X63" s="726" t="s">
        <v>12</v>
      </c>
      <c r="Y63" s="533">
        <v>39.700000000000003</v>
      </c>
      <c r="Z63" s="726" t="s">
        <v>1431</v>
      </c>
      <c r="AA63" s="726" t="s">
        <v>307</v>
      </c>
      <c r="AB63" s="726" t="s">
        <v>12</v>
      </c>
      <c r="AC63" s="726">
        <v>9.1999999999999993</v>
      </c>
      <c r="AD63" s="532"/>
      <c r="AG63" s="533"/>
      <c r="AH63" s="532"/>
      <c r="AL63" s="532"/>
      <c r="AO63" s="533"/>
      <c r="AP63" s="532"/>
      <c r="AS63" s="533"/>
      <c r="AW63" s="533"/>
      <c r="BA63" s="534"/>
    </row>
    <row r="64" spans="1:53" s="770" customFormat="1">
      <c r="A64" s="770">
        <v>2018</v>
      </c>
      <c r="B64" s="869"/>
      <c r="C64" s="916" t="s">
        <v>1351</v>
      </c>
      <c r="D64" s="916"/>
      <c r="E64" s="770">
        <v>0</v>
      </c>
      <c r="F64" s="421"/>
      <c r="G64" s="539"/>
      <c r="I64" s="770">
        <v>15</v>
      </c>
      <c r="J64" s="541">
        <v>15</v>
      </c>
      <c r="K64" s="537">
        <f t="shared" ref="K64" si="18">G64/J64*100</f>
        <v>0</v>
      </c>
      <c r="L64" s="537">
        <f t="shared" ref="L64" si="19">H64/J64*100</f>
        <v>0</v>
      </c>
      <c r="M64" s="537">
        <f t="shared" ref="M64" si="20">I64/J64*100</f>
        <v>100</v>
      </c>
      <c r="N64" s="540">
        <f t="shared" ref="N64" si="21">SUM(K64:M64)</f>
        <v>100</v>
      </c>
      <c r="O64" s="536"/>
      <c r="P64" s="537"/>
      <c r="Q64" s="537">
        <v>48.9</v>
      </c>
      <c r="R64" s="538">
        <f t="shared" ref="R64" si="22">SUM(O64:Q64)</f>
        <v>48.9</v>
      </c>
      <c r="S64" s="770">
        <v>5</v>
      </c>
      <c r="T64" s="838"/>
      <c r="U64" s="836"/>
      <c r="V64" s="532" t="s">
        <v>1352</v>
      </c>
      <c r="W64" s="770" t="s">
        <v>937</v>
      </c>
      <c r="X64" s="770" t="s">
        <v>12</v>
      </c>
      <c r="Y64" s="533">
        <v>39.700000000000003</v>
      </c>
      <c r="Z64" s="803" t="s">
        <v>1431</v>
      </c>
      <c r="AA64" s="803" t="s">
        <v>307</v>
      </c>
      <c r="AB64" s="803" t="s">
        <v>12</v>
      </c>
      <c r="AC64" s="809">
        <v>9.1999999999999993</v>
      </c>
      <c r="AD64" s="532"/>
      <c r="AG64" s="533"/>
      <c r="AH64" s="532"/>
      <c r="AL64" s="532"/>
      <c r="AO64" s="533"/>
      <c r="AP64" s="532"/>
      <c r="AS64" s="533"/>
      <c r="AW64" s="533"/>
      <c r="BA64" s="534"/>
    </row>
    <row r="65" spans="1:53" s="770" customFormat="1">
      <c r="A65" s="770">
        <v>2018</v>
      </c>
      <c r="B65" s="869"/>
      <c r="C65" s="916" t="s">
        <v>1351</v>
      </c>
      <c r="D65" s="916"/>
      <c r="E65" s="800">
        <v>365</v>
      </c>
      <c r="F65" s="421"/>
      <c r="G65" s="539"/>
      <c r="H65" s="800"/>
      <c r="I65" s="800">
        <v>15</v>
      </c>
      <c r="J65" s="541">
        <v>15</v>
      </c>
      <c r="K65" s="537">
        <f t="shared" ref="K65" si="23">G65/J65*100</f>
        <v>0</v>
      </c>
      <c r="L65" s="537">
        <f t="shared" ref="L65" si="24">H65/J65*100</f>
        <v>0</v>
      </c>
      <c r="M65" s="537">
        <f t="shared" ref="M65" si="25">I65/J65*100</f>
        <v>100</v>
      </c>
      <c r="N65" s="540">
        <f t="shared" ref="N65" si="26">SUM(K65:M65)</f>
        <v>100</v>
      </c>
      <c r="O65" s="536"/>
      <c r="P65" s="537"/>
      <c r="Q65" s="537">
        <v>48.9</v>
      </c>
      <c r="R65" s="538">
        <f t="shared" ref="R65" si="27">SUM(O65:Q65)</f>
        <v>48.9</v>
      </c>
      <c r="S65" s="800">
        <v>5</v>
      </c>
      <c r="T65" s="838"/>
      <c r="U65" s="836"/>
      <c r="V65" s="532" t="s">
        <v>1352</v>
      </c>
      <c r="W65" s="800" t="s">
        <v>937</v>
      </c>
      <c r="X65" s="800" t="s">
        <v>12</v>
      </c>
      <c r="Y65" s="533">
        <v>39.700000000000003</v>
      </c>
      <c r="Z65" s="803" t="s">
        <v>1431</v>
      </c>
      <c r="AA65" s="803" t="s">
        <v>307</v>
      </c>
      <c r="AB65" s="803" t="s">
        <v>12</v>
      </c>
      <c r="AC65" s="809">
        <v>9.1999999999999993</v>
      </c>
      <c r="AD65" s="532"/>
      <c r="AG65" s="533"/>
      <c r="AH65" s="532"/>
      <c r="AL65" s="532"/>
      <c r="AO65" s="533"/>
      <c r="AP65" s="532"/>
      <c r="AS65" s="533"/>
      <c r="AW65" s="533"/>
      <c r="BA65" s="534"/>
    </row>
    <row r="66" spans="1:53" s="800" customFormat="1">
      <c r="A66" s="800">
        <v>2019</v>
      </c>
      <c r="B66" s="869"/>
      <c r="C66" s="916" t="s">
        <v>1351</v>
      </c>
      <c r="D66" s="916"/>
      <c r="E66" s="800">
        <v>218</v>
      </c>
      <c r="F66" s="421"/>
      <c r="G66" s="539"/>
      <c r="I66" s="800">
        <v>15</v>
      </c>
      <c r="J66" s="541">
        <v>15</v>
      </c>
      <c r="K66" s="537">
        <f t="shared" ref="K66" si="28">G66/J66*100</f>
        <v>0</v>
      </c>
      <c r="L66" s="537">
        <f t="shared" ref="L66" si="29">H66/J66*100</f>
        <v>0</v>
      </c>
      <c r="M66" s="537">
        <f t="shared" ref="M66" si="30">I66/J66*100</f>
        <v>100</v>
      </c>
      <c r="N66" s="540">
        <f t="shared" ref="N66" si="31">SUM(K66:M66)</f>
        <v>100</v>
      </c>
      <c r="O66" s="536"/>
      <c r="P66" s="537"/>
      <c r="Q66" s="537">
        <v>48.9</v>
      </c>
      <c r="R66" s="538">
        <f t="shared" ref="R66" si="32">SUM(O66:Q66)</f>
        <v>48.9</v>
      </c>
      <c r="S66" s="800">
        <v>5</v>
      </c>
      <c r="T66" s="838"/>
      <c r="U66" s="836"/>
      <c r="V66" s="532" t="s">
        <v>1352</v>
      </c>
      <c r="W66" s="800" t="s">
        <v>937</v>
      </c>
      <c r="X66" s="800" t="s">
        <v>12</v>
      </c>
      <c r="Y66" s="533">
        <v>39.700000000000003</v>
      </c>
      <c r="Z66" s="803" t="s">
        <v>1431</v>
      </c>
      <c r="AA66" s="803" t="s">
        <v>307</v>
      </c>
      <c r="AB66" s="803" t="s">
        <v>12</v>
      </c>
      <c r="AC66" s="809">
        <v>9.1999999999999993</v>
      </c>
      <c r="AD66" s="532"/>
      <c r="AH66" s="532"/>
      <c r="AL66" s="532"/>
    </row>
    <row r="67" spans="1:53" s="800" customFormat="1">
      <c r="A67" s="800">
        <v>2019</v>
      </c>
      <c r="B67" s="863">
        <v>43684</v>
      </c>
      <c r="C67" s="916" t="s">
        <v>1351</v>
      </c>
      <c r="D67" s="916"/>
      <c r="E67" s="800">
        <v>147</v>
      </c>
      <c r="F67" s="462">
        <v>7</v>
      </c>
      <c r="G67" s="539"/>
      <c r="H67" s="800">
        <v>2</v>
      </c>
      <c r="I67" s="800">
        <v>13</v>
      </c>
      <c r="J67" s="541">
        <v>15</v>
      </c>
      <c r="K67" s="537">
        <f t="shared" ref="K67" si="33">G67/J67*100</f>
        <v>0</v>
      </c>
      <c r="L67" s="537">
        <f t="shared" ref="L67" si="34">H67/J67*100</f>
        <v>13.333333333333334</v>
      </c>
      <c r="M67" s="537">
        <f t="shared" ref="M67" si="35">I67/J67*100</f>
        <v>86.666666666666671</v>
      </c>
      <c r="N67" s="540">
        <f t="shared" ref="N67" si="36">SUM(K67:M67)</f>
        <v>100</v>
      </c>
      <c r="O67" s="536"/>
      <c r="P67" s="537">
        <v>5.7</v>
      </c>
      <c r="Q67" s="537">
        <v>48.9</v>
      </c>
      <c r="R67" s="538">
        <f t="shared" ref="R67" si="37">SUM(O67:Q67)</f>
        <v>54.6</v>
      </c>
      <c r="S67" s="803">
        <v>2</v>
      </c>
      <c r="T67" s="838"/>
      <c r="U67" s="836"/>
      <c r="V67" s="532" t="s">
        <v>1352</v>
      </c>
      <c r="W67" s="800" t="s">
        <v>937</v>
      </c>
      <c r="X67" s="800" t="s">
        <v>12</v>
      </c>
      <c r="Y67" s="533">
        <v>39.700000000000003</v>
      </c>
      <c r="Z67" s="803" t="s">
        <v>1431</v>
      </c>
      <c r="AA67" s="803" t="s">
        <v>307</v>
      </c>
      <c r="AB67" s="803" t="s">
        <v>12</v>
      </c>
      <c r="AC67" s="809">
        <v>9.1999999999999993</v>
      </c>
      <c r="AD67" s="532" t="s">
        <v>1016</v>
      </c>
      <c r="AE67" s="800" t="s">
        <v>90</v>
      </c>
      <c r="AF67" s="800" t="s">
        <v>18</v>
      </c>
      <c r="AG67" s="800">
        <v>5.7</v>
      </c>
      <c r="AH67" s="532"/>
      <c r="AL67" s="532"/>
    </row>
    <row r="68" spans="1:53">
      <c r="B68" s="2"/>
      <c r="C68" s="2"/>
      <c r="D68" s="2"/>
      <c r="E68" s="2"/>
      <c r="F68" s="2"/>
      <c r="G68" s="2"/>
      <c r="H68" s="2"/>
      <c r="I68" s="2"/>
      <c r="J68" s="2"/>
      <c r="K68" s="2"/>
      <c r="L68" s="2"/>
      <c r="M68" s="2"/>
      <c r="N68" s="2"/>
    </row>
    <row r="69" spans="1:53" s="2" customFormat="1" ht="18" customHeight="1">
      <c r="B69" s="22" t="s">
        <v>1269</v>
      </c>
    </row>
    <row r="70" spans="1:53" s="2" customFormat="1" ht="9" customHeight="1"/>
    <row r="71" spans="1:53" s="317" customFormat="1" ht="9" customHeight="1">
      <c r="A71" s="315"/>
      <c r="B71" s="316" t="s">
        <v>1220</v>
      </c>
      <c r="C71" s="316"/>
      <c r="D71" s="316"/>
      <c r="E71" s="316"/>
      <c r="F71" s="316"/>
      <c r="G71" s="316" t="s">
        <v>1221</v>
      </c>
      <c r="H71" s="316"/>
      <c r="I71" s="316"/>
      <c r="J71" s="316"/>
      <c r="K71" s="316"/>
      <c r="L71" s="316"/>
      <c r="M71" s="316"/>
      <c r="N71" s="316"/>
      <c r="R71" s="895" t="s">
        <v>1222</v>
      </c>
      <c r="S71" s="895"/>
      <c r="T71" s="895"/>
      <c r="U71" s="895"/>
      <c r="V71" s="895"/>
      <c r="W71" s="895"/>
      <c r="X71" s="318"/>
      <c r="Y71" s="318"/>
      <c r="AA71" s="318"/>
      <c r="AB71" s="318"/>
      <c r="AC71" s="318"/>
      <c r="AD71" s="318"/>
    </row>
    <row r="72" spans="1:53" s="322" customFormat="1" ht="9" customHeight="1">
      <c r="A72" s="319"/>
      <c r="B72" s="320" t="s">
        <v>1224</v>
      </c>
      <c r="C72" s="321"/>
      <c r="D72" s="321"/>
      <c r="E72" s="321"/>
      <c r="F72" s="321"/>
      <c r="G72" s="320" t="s">
        <v>1223</v>
      </c>
      <c r="H72" s="321"/>
      <c r="I72" s="321"/>
      <c r="J72" s="321"/>
      <c r="K72" s="321"/>
      <c r="L72" s="321"/>
      <c r="M72" s="321"/>
      <c r="N72" s="321"/>
      <c r="R72" s="323" t="s">
        <v>1225</v>
      </c>
      <c r="S72" s="324"/>
      <c r="T72" s="325"/>
      <c r="U72" s="325"/>
      <c r="V72" s="325"/>
      <c r="W72" s="323" t="s">
        <v>1226</v>
      </c>
      <c r="X72" s="325"/>
      <c r="Y72" s="325"/>
      <c r="AA72" s="325"/>
      <c r="AB72" s="325"/>
      <c r="AC72" s="325"/>
      <c r="AD72" s="325"/>
    </row>
    <row r="73" spans="1:53" s="307" customFormat="1" ht="12" customHeight="1">
      <c r="A73" s="326" t="s">
        <v>3</v>
      </c>
      <c r="B73" s="327" t="s">
        <v>8</v>
      </c>
      <c r="C73" s="327" t="s">
        <v>9</v>
      </c>
      <c r="D73" s="327" t="s">
        <v>10</v>
      </c>
      <c r="E73" s="328" t="s">
        <v>1200</v>
      </c>
      <c r="F73" s="327"/>
      <c r="G73" s="307" t="s">
        <v>3</v>
      </c>
      <c r="H73" s="896" t="s">
        <v>0</v>
      </c>
      <c r="I73" s="896"/>
      <c r="J73" s="896" t="s">
        <v>1</v>
      </c>
      <c r="K73" s="896"/>
      <c r="L73" s="896" t="s">
        <v>2</v>
      </c>
      <c r="M73" s="896"/>
      <c r="N73" s="897" t="s">
        <v>1200</v>
      </c>
      <c r="O73" s="897"/>
      <c r="P73" s="329"/>
      <c r="Q73" s="329"/>
      <c r="R73" s="330" t="s">
        <v>3</v>
      </c>
      <c r="S73" s="331" t="s">
        <v>136</v>
      </c>
      <c r="T73" s="329" t="s">
        <v>134</v>
      </c>
      <c r="U73" s="327" t="s">
        <v>135</v>
      </c>
      <c r="V73" s="329"/>
      <c r="W73" s="332" t="s">
        <v>26</v>
      </c>
    </row>
    <row r="74" spans="1:53" s="16" customFormat="1" ht="9" customHeight="1">
      <c r="A74" s="44">
        <v>1990</v>
      </c>
      <c r="B74" s="175"/>
      <c r="C74" s="175"/>
      <c r="D74" s="175"/>
      <c r="E74" s="70"/>
      <c r="F74" s="175"/>
      <c r="G74" s="16">
        <v>1990</v>
      </c>
      <c r="H74" s="175"/>
      <c r="I74" s="175"/>
      <c r="J74" s="175"/>
      <c r="K74" s="175"/>
      <c r="L74" s="175"/>
      <c r="M74" s="175"/>
      <c r="N74" s="70"/>
      <c r="O74" s="70"/>
      <c r="P74" s="176"/>
      <c r="Q74" s="176"/>
      <c r="R74" s="182">
        <v>1990</v>
      </c>
      <c r="S74" s="176"/>
      <c r="T74" s="176"/>
      <c r="U74" s="175"/>
      <c r="V74" s="176"/>
      <c r="W74" s="177"/>
    </row>
    <row r="75" spans="1:53" s="16" customFormat="1" ht="9" customHeight="1">
      <c r="A75" s="44">
        <v>1991</v>
      </c>
      <c r="B75" s="175"/>
      <c r="C75" s="175"/>
      <c r="D75" s="175"/>
      <c r="E75" s="70"/>
      <c r="F75" s="175"/>
      <c r="G75" s="16">
        <v>1991</v>
      </c>
      <c r="H75" s="175"/>
      <c r="I75" s="175"/>
      <c r="J75" s="175"/>
      <c r="K75" s="175"/>
      <c r="L75" s="175"/>
      <c r="M75" s="175"/>
      <c r="N75" s="70"/>
      <c r="O75" s="70"/>
      <c r="P75" s="176"/>
      <c r="Q75" s="176"/>
      <c r="R75" s="182">
        <v>1991</v>
      </c>
      <c r="S75" s="176"/>
      <c r="T75" s="176"/>
      <c r="U75" s="175"/>
      <c r="V75" s="176"/>
      <c r="W75" s="177"/>
    </row>
    <row r="76" spans="1:53" ht="9" customHeight="1">
      <c r="A76" s="1">
        <v>1992</v>
      </c>
      <c r="B76" s="8">
        <f>(K7*($E7/22))</f>
        <v>0</v>
      </c>
      <c r="C76" s="8">
        <f>(L7*($E7/22))</f>
        <v>0</v>
      </c>
      <c r="D76" s="8">
        <f>(M7*($E7/22))</f>
        <v>100</v>
      </c>
      <c r="E76" s="52">
        <f t="shared" ref="E76:E96" si="38">SUM(B76:D76)</f>
        <v>100</v>
      </c>
      <c r="G76" s="1">
        <v>1992</v>
      </c>
      <c r="H76" s="918">
        <f>(O7/$R7*100*($E7/22))</f>
        <v>0</v>
      </c>
      <c r="I76" s="918"/>
      <c r="J76" s="918">
        <f>(P7/$R7*100*($E7/22))</f>
        <v>0</v>
      </c>
      <c r="K76" s="918"/>
      <c r="L76" s="918">
        <f>(Q7/$R7*100*($E7/22))</f>
        <v>100</v>
      </c>
      <c r="M76" s="918"/>
      <c r="N76" s="939">
        <f t="shared" ref="N76:N96" si="39">H76+J76+L76</f>
        <v>100</v>
      </c>
      <c r="O76" s="939"/>
      <c r="R76" s="1">
        <v>1992</v>
      </c>
      <c r="S76" s="8">
        <f>(O7*($E7/22))</f>
        <v>0</v>
      </c>
      <c r="T76" s="8">
        <f>(P7*($E7/22))</f>
        <v>0</v>
      </c>
      <c r="U76" s="8">
        <f>(Q7*($E7/22))</f>
        <v>51.8</v>
      </c>
      <c r="W76" s="7">
        <f t="shared" ref="W76:W96" si="40">S76+T76+U76</f>
        <v>51.8</v>
      </c>
      <c r="X76" s="66"/>
      <c r="Y76" s="71" t="s">
        <v>1230</v>
      </c>
      <c r="Z76" s="66"/>
      <c r="AA76" s="66"/>
      <c r="AB76" s="67"/>
    </row>
    <row r="77" spans="1:53" ht="9" customHeight="1">
      <c r="A77" s="1">
        <v>1993</v>
      </c>
      <c r="B77" s="8">
        <f>(K8*($E8/365))+(K9*($E9/365))</f>
        <v>0</v>
      </c>
      <c r="C77" s="8">
        <f>(L8*($E8/365))+(L9*($E9/365))</f>
        <v>0</v>
      </c>
      <c r="D77" s="8">
        <f>(M8*($E8/365))+(M9*($E9/365))</f>
        <v>100</v>
      </c>
      <c r="E77" s="52">
        <f t="shared" si="38"/>
        <v>100</v>
      </c>
      <c r="G77" s="1">
        <v>1993</v>
      </c>
      <c r="H77" s="928">
        <f>(O8/$R8*100*($E8/365))+(O9/$R9*100*($E9/365))</f>
        <v>0</v>
      </c>
      <c r="I77" s="928"/>
      <c r="J77" s="928">
        <f>(P8/$R8*100*($E8/365))+(P9/$R9*100*($E9/365))</f>
        <v>0</v>
      </c>
      <c r="K77" s="928"/>
      <c r="L77" s="928">
        <f>(Q8/$R8*100*($E8/365))+(Q9/$R9*100*($E9/365))</f>
        <v>100</v>
      </c>
      <c r="M77" s="928"/>
      <c r="N77" s="939">
        <f t="shared" si="39"/>
        <v>100</v>
      </c>
      <c r="O77" s="939"/>
      <c r="R77" s="1">
        <v>1993</v>
      </c>
      <c r="S77" s="8">
        <f>(O8*($E8/365))+(O9*($E9/365))</f>
        <v>0</v>
      </c>
      <c r="T77" s="8">
        <f>(P8*($E8/365))+(P9*($E9/365))</f>
        <v>0</v>
      </c>
      <c r="U77" s="8">
        <f>(Q8*($E8/365))+(Q9*($E9/365))</f>
        <v>51.79999999999999</v>
      </c>
      <c r="W77" s="7">
        <f t="shared" si="40"/>
        <v>51.79999999999999</v>
      </c>
    </row>
    <row r="78" spans="1:53" ht="9" customHeight="1">
      <c r="A78" s="1">
        <v>1994</v>
      </c>
      <c r="B78" s="8">
        <f>(K10*($E10/365))+(K11*($E11/365))</f>
        <v>0</v>
      </c>
      <c r="C78" s="8">
        <f>(L10*($E10/365))+(L11*($E11/365))</f>
        <v>0</v>
      </c>
      <c r="D78" s="8">
        <f>(M10*($E10/365))+(M11*($E11/365))</f>
        <v>100</v>
      </c>
      <c r="E78" s="52">
        <f t="shared" si="38"/>
        <v>100</v>
      </c>
      <c r="G78" s="1">
        <v>1994</v>
      </c>
      <c r="H78" s="928">
        <f>(O10/$R10*100*($E10/365))+(O11/$R11*100*($E11/365))</f>
        <v>0</v>
      </c>
      <c r="I78" s="928"/>
      <c r="J78" s="928">
        <f>(P10/$R10*100*($E10/365))+(P11/$R11*100*($E11/365))</f>
        <v>0</v>
      </c>
      <c r="K78" s="928"/>
      <c r="L78" s="928">
        <f>(Q10/$R10*100*($E10/365))+(Q11/$R11*100*($E11/365))</f>
        <v>100</v>
      </c>
      <c r="M78" s="928"/>
      <c r="N78" s="939">
        <f t="shared" si="39"/>
        <v>100</v>
      </c>
      <c r="O78" s="939"/>
      <c r="R78" s="1">
        <v>1994</v>
      </c>
      <c r="S78" s="8">
        <f>(O10*($E10/365))+(O11*($E11/365))</f>
        <v>0</v>
      </c>
      <c r="T78" s="8">
        <f>(P10*($E10/365))+(P11*($E11/365))</f>
        <v>0</v>
      </c>
      <c r="U78" s="8">
        <f>(Q10*($E10/365))+(Q11*($E11/365))</f>
        <v>51.8</v>
      </c>
      <c r="W78" s="7">
        <f t="shared" si="40"/>
        <v>51.8</v>
      </c>
    </row>
    <row r="79" spans="1:53" ht="9" customHeight="1">
      <c r="A79" s="1">
        <v>1995</v>
      </c>
      <c r="B79" s="8">
        <f>(K12*($E12/365))+(K13*($E13/365))</f>
        <v>0</v>
      </c>
      <c r="C79" s="8">
        <f>(L12*($E12/365))+(L13*($E13/365))</f>
        <v>0</v>
      </c>
      <c r="D79" s="8">
        <f>(M12*($E12/365))+(M13*($E13/365))</f>
        <v>100</v>
      </c>
      <c r="E79" s="52">
        <f t="shared" si="38"/>
        <v>100</v>
      </c>
      <c r="G79" s="1">
        <v>1995</v>
      </c>
      <c r="H79" s="928">
        <f>(O12/$R12*100*($E12/365))+(O13/$R13*100*($E13/365))</f>
        <v>0</v>
      </c>
      <c r="I79" s="928"/>
      <c r="J79" s="928">
        <f>(P12/$R12*100*($E12/365))+(P13/$R13*100*($E13/365))</f>
        <v>0</v>
      </c>
      <c r="K79" s="928"/>
      <c r="L79" s="928">
        <f>(Q12/$R12*100*($E12/365))+(Q13/$R13*100*($E13/365))</f>
        <v>100</v>
      </c>
      <c r="M79" s="928"/>
      <c r="N79" s="939">
        <f t="shared" si="39"/>
        <v>100</v>
      </c>
      <c r="O79" s="939"/>
      <c r="R79" s="1">
        <v>1995</v>
      </c>
      <c r="S79" s="8">
        <f>(O12*($E12/365))+(O13*($E13/365))</f>
        <v>0</v>
      </c>
      <c r="T79" s="8">
        <f>(P12*($E12/365))+(P13*($E13/365))</f>
        <v>0</v>
      </c>
      <c r="U79" s="8">
        <f>(Q12*($E12/365))+(Q13*($E13/365))</f>
        <v>51.8</v>
      </c>
      <c r="W79" s="7">
        <f t="shared" si="40"/>
        <v>51.8</v>
      </c>
    </row>
    <row r="80" spans="1:53" ht="9" customHeight="1">
      <c r="A80" s="1">
        <v>1996</v>
      </c>
      <c r="B80" s="8">
        <f>(K14*($E14/366))+(K15*($E15/366))+(K16*($E16/366))</f>
        <v>7.3127611700417869</v>
      </c>
      <c r="C80" s="8">
        <f>(L14*($E14/366))+(L15*($E15/366))+(L16*($E16/366))</f>
        <v>1.6875602700096433</v>
      </c>
      <c r="D80" s="8">
        <f>(M14*($E14/366))+(M15*($E15/366))+(M16*($E16/366))</f>
        <v>90.437158469945345</v>
      </c>
      <c r="E80" s="52">
        <f t="shared" si="38"/>
        <v>99.437479909996767</v>
      </c>
      <c r="G80" s="1">
        <v>1996</v>
      </c>
      <c r="H80" s="928">
        <f>(O14/$R14*100*($E14/366))+(O15/$R15*100*($E15/366))+(O16/$R16*100*($E16/366))</f>
        <v>8.0153277554814863</v>
      </c>
      <c r="I80" s="928"/>
      <c r="J80" s="928">
        <f>(P14/$R14*100*($E14/366))+(P15/$R15*100*($E15/366))+(P16/$R16*100*($E16/366))</f>
        <v>1.5475137745731582</v>
      </c>
      <c r="K80" s="928"/>
      <c r="L80" s="928">
        <f>(Q14/$R14*100*($E14/366))+(Q15/$R15*100*($E15/366))+(Q16/$R16*100*($E16/366))</f>
        <v>90.437158469945345</v>
      </c>
      <c r="M80" s="928"/>
      <c r="N80" s="939">
        <f t="shared" si="39"/>
        <v>99.999999999999986</v>
      </c>
      <c r="O80" s="939"/>
      <c r="R80" s="1">
        <v>1996</v>
      </c>
      <c r="S80" s="8">
        <f>(O14*($E14/366))+(O15*($E15/366))+(O16*($E16/366))</f>
        <v>5.7950819672131146</v>
      </c>
      <c r="T80" s="8">
        <f>(P14*($E14/366))+(P15*($E15/366))+(P16*($E16/366))</f>
        <v>1.1188524590163933</v>
      </c>
      <c r="U80" s="8">
        <f>(Q14*($E14/366))+(Q15*($E15/366))+(Q16*($E16/366))</f>
        <v>46.846448087431689</v>
      </c>
      <c r="W80" s="7">
        <f t="shared" si="40"/>
        <v>53.760382513661199</v>
      </c>
    </row>
    <row r="81" spans="1:23" ht="9" customHeight="1">
      <c r="A81" s="1">
        <v>1997</v>
      </c>
      <c r="B81" s="8">
        <f>(K17*($E17/365))+(K18*($E18/365))</f>
        <v>76.470588235294116</v>
      </c>
      <c r="C81" s="8">
        <f>(L17*($E17/365))+(L18*($E18/365))</f>
        <v>17.647058823529413</v>
      </c>
      <c r="D81" s="8">
        <f>(M17*($E17/365))+(M18*($E18/365))</f>
        <v>0</v>
      </c>
      <c r="E81" s="52">
        <f t="shared" si="38"/>
        <v>94.117647058823536</v>
      </c>
      <c r="G81" s="1">
        <v>1997</v>
      </c>
      <c r="H81" s="928">
        <f>(O17/$R17*100*($E17/365))+(O18/$R18*100*($E18/365))</f>
        <v>83.817427385892117</v>
      </c>
      <c r="I81" s="928"/>
      <c r="J81" s="928">
        <f>(P17/$R17*100*($E17/365))+(P18/$R18*100*($E18/365))</f>
        <v>16.182572614107883</v>
      </c>
      <c r="K81" s="928"/>
      <c r="L81" s="928">
        <f>(Q17/$R17*100*($E17/365))+(Q18/$R18*100*($E18/365))</f>
        <v>0</v>
      </c>
      <c r="M81" s="928"/>
      <c r="N81" s="939">
        <f t="shared" si="39"/>
        <v>100</v>
      </c>
      <c r="O81" s="939"/>
      <c r="R81" s="1">
        <v>1997</v>
      </c>
      <c r="S81" s="8">
        <f>(O17*($E17/365))+(O18*($E18/365))</f>
        <v>60.6</v>
      </c>
      <c r="T81" s="8">
        <f>(P17*($E17/365))+(P18*($E18/365))</f>
        <v>11.7</v>
      </c>
      <c r="U81" s="8">
        <f>(Q17*($E17/365))+(Q18*($E18/365))</f>
        <v>0</v>
      </c>
      <c r="W81" s="7">
        <f t="shared" si="40"/>
        <v>72.3</v>
      </c>
    </row>
    <row r="82" spans="1:23" ht="9" customHeight="1">
      <c r="A82" s="1">
        <v>1998</v>
      </c>
      <c r="B82" s="8">
        <f>(K19*($E19/365))+(K20*($E20/365))</f>
        <v>68.89605157131345</v>
      </c>
      <c r="C82" s="8">
        <f>(L19*($E19/365))+(L20*($E20/365))</f>
        <v>14.314262691377921</v>
      </c>
      <c r="D82" s="8">
        <f>(M19*($E19/365))+(M20*($E20/365))</f>
        <v>0</v>
      </c>
      <c r="E82" s="52">
        <f t="shared" si="38"/>
        <v>83.210314262691369</v>
      </c>
      <c r="G82" s="1">
        <v>1998</v>
      </c>
      <c r="H82" s="928">
        <f>(O19/$R19*100*($E19/365))+(O20/$R20*100*($E20/365))</f>
        <v>83.817427385892131</v>
      </c>
      <c r="I82" s="928"/>
      <c r="J82" s="928">
        <f>(P19/$R19*100*($E19/365))+(P20/$R20*100*($E20/365))</f>
        <v>16.182572614107883</v>
      </c>
      <c r="K82" s="928"/>
      <c r="L82" s="928">
        <f>(Q19/$R19*100*($E19/365))+(Q20/$R20*100*($E20/365))</f>
        <v>0</v>
      </c>
      <c r="M82" s="928"/>
      <c r="N82" s="939">
        <f t="shared" si="39"/>
        <v>100.00000000000001</v>
      </c>
      <c r="O82" s="939"/>
      <c r="R82" s="1">
        <v>1998</v>
      </c>
      <c r="S82" s="8">
        <f>(O19*($E19/365))+(O20*($E20/365))</f>
        <v>60.600000000000009</v>
      </c>
      <c r="T82" s="8">
        <f>(P19*($E19/365))+(P20*($E20/365))</f>
        <v>11.7</v>
      </c>
      <c r="U82" s="8">
        <f>(Q19*($E19/365))+(Q20*($E20/365))</f>
        <v>0</v>
      </c>
      <c r="W82" s="7">
        <f t="shared" si="40"/>
        <v>72.300000000000011</v>
      </c>
    </row>
    <row r="83" spans="1:23" ht="9" customHeight="1">
      <c r="A83" s="1">
        <v>1999</v>
      </c>
      <c r="B83" s="8">
        <f>(K21*($E21/365))+(K22*($E22/365))+(K23*($E23/365))</f>
        <v>59.465101108936722</v>
      </c>
      <c r="C83" s="8">
        <f>(L21*($E21/365))+(L22*($E22/365))+(L23*($E23/365))</f>
        <v>13.928245270711024</v>
      </c>
      <c r="D83" s="8">
        <f>(M21*($E21/365))+(M22*($E22/365))+(M23*($E23/365))</f>
        <v>0</v>
      </c>
      <c r="E83" s="52">
        <f t="shared" si="38"/>
        <v>73.393346379647738</v>
      </c>
      <c r="G83" s="1">
        <v>1999</v>
      </c>
      <c r="H83" s="928">
        <f>(O21/$R21*100*($E21/365))+(O22/$R22*100*($E22/365))+(O23/$R23*100*($E23/365))</f>
        <v>83.817427385892117</v>
      </c>
      <c r="I83" s="928"/>
      <c r="J83" s="928">
        <f>(P21/$R21*100*($E21/365))+(P22/$R22*100*($E22/365))+(P23/$R23*100*($E23/365))</f>
        <v>16.182572614107883</v>
      </c>
      <c r="K83" s="928"/>
      <c r="L83" s="928">
        <f>(Q21/$R21*100*($E21/365))+(Q22/$R22*100*($E22/365))+(Q23/$R23*100*($E23/365))</f>
        <v>0</v>
      </c>
      <c r="M83" s="928"/>
      <c r="N83" s="939">
        <f t="shared" si="39"/>
        <v>100</v>
      </c>
      <c r="O83" s="939"/>
      <c r="R83" s="1">
        <v>1999</v>
      </c>
      <c r="S83" s="8">
        <f>(O21*($E21/365))+(O22*($E22/365))+(O23*($E23/365))</f>
        <v>60.599999999999994</v>
      </c>
      <c r="T83" s="8">
        <f>(P21*($E21/365))+(P22*($E22/365))+(P23*($E23/365))</f>
        <v>11.7</v>
      </c>
      <c r="U83" s="8">
        <f>(Q21*($E21/365))+(Q22*($E22/365))+(Q23*($E23/365))</f>
        <v>0</v>
      </c>
      <c r="W83" s="7">
        <f t="shared" si="40"/>
        <v>72.3</v>
      </c>
    </row>
    <row r="84" spans="1:23" ht="9" customHeight="1">
      <c r="A84" s="1">
        <v>2000</v>
      </c>
      <c r="B84" s="8">
        <f>(K24*($E24/366))+(K25*($E25/366))</f>
        <v>50</v>
      </c>
      <c r="C84" s="8">
        <f>(L24*($E24/366))+(L25*($E25/366))</f>
        <v>19.437939110070257</v>
      </c>
      <c r="D84" s="8">
        <f>(M24*($E24/366))+(M25*($E25/366))</f>
        <v>0</v>
      </c>
      <c r="E84" s="52">
        <f t="shared" si="38"/>
        <v>69.437939110070261</v>
      </c>
      <c r="G84" s="1">
        <v>2000</v>
      </c>
      <c r="H84" s="928">
        <f>(O24/$R24*100*($E24/366))+(O25/$R25*100*($E25/366))</f>
        <v>78.448010559367148</v>
      </c>
      <c r="I84" s="928"/>
      <c r="J84" s="928">
        <f>(P24/$R24*100*($E24/366))+(P25/$R25*100*($E25/366))</f>
        <v>21.551989440632859</v>
      </c>
      <c r="K84" s="928"/>
      <c r="L84" s="928">
        <f>(Q24/$R24*100*($E24/366))+(Q25/$R25*100*($E25/366))</f>
        <v>0</v>
      </c>
      <c r="M84" s="928"/>
      <c r="N84" s="939">
        <f t="shared" si="39"/>
        <v>100</v>
      </c>
      <c r="O84" s="939"/>
      <c r="R84" s="1">
        <v>2000</v>
      </c>
      <c r="S84" s="8">
        <f>(O24*($E24/366))+(O25*($E25/366))</f>
        <v>53.891803278688528</v>
      </c>
      <c r="T84" s="8">
        <f>(P24*($E24/366))+(P25*($E25/366))</f>
        <v>13.178688524590164</v>
      </c>
      <c r="U84" s="8">
        <f>(Q24*($E24/366))+(Q25*($E25/366))</f>
        <v>0</v>
      </c>
      <c r="W84" s="7">
        <f t="shared" si="40"/>
        <v>67.070491803278685</v>
      </c>
    </row>
    <row r="85" spans="1:23" ht="9" customHeight="1">
      <c r="A85" s="1">
        <v>2001</v>
      </c>
      <c r="B85" s="8">
        <f xml:space="preserve"> (K26*($E26/365))+(K27*($E27/365))</f>
        <v>25.342465753424658</v>
      </c>
      <c r="C85" s="8">
        <f xml:space="preserve"> (L26*($E26/365))+(L27*($E27/365))</f>
        <v>42.857142857142854</v>
      </c>
      <c r="D85" s="8">
        <f xml:space="preserve"> (M26*($E26/365))+(M27*($E27/365))</f>
        <v>14.090019569471622</v>
      </c>
      <c r="E85" s="52">
        <f t="shared" si="38"/>
        <v>82.289628180039131</v>
      </c>
      <c r="G85" s="1">
        <v>2001</v>
      </c>
      <c r="H85" s="928">
        <f>(O26/$R26*100*($E26/365))+(O27/$R27*100*($E27/365))</f>
        <v>27.390932962131039</v>
      </c>
      <c r="I85" s="928"/>
      <c r="J85" s="928">
        <f>(P26/$R26*100*($E26/365))+(P27/$R27*100*($E27/365))</f>
        <v>41.501231624749792</v>
      </c>
      <c r="K85" s="928"/>
      <c r="L85" s="928">
        <f>(Q26/$R26*100*($E26/365))+(Q27/$R27*100*($E27/365))</f>
        <v>31.107835413119169</v>
      </c>
      <c r="M85" s="928"/>
      <c r="N85" s="939">
        <f t="shared" si="39"/>
        <v>100</v>
      </c>
      <c r="O85" s="939"/>
      <c r="R85" s="1">
        <v>2001</v>
      </c>
      <c r="S85" s="8">
        <f xml:space="preserve"> (O26*($E26/365))+(O27*($E27/365))</f>
        <v>11.860273972602739</v>
      </c>
      <c r="T85" s="8">
        <f xml:space="preserve"> (P26*($E26/365))+(P27*($E27/365))</f>
        <v>19.899999999999999</v>
      </c>
      <c r="U85" s="8">
        <f xml:space="preserve"> (Q26*($E26/365))+(Q27*($E27/365))</f>
        <v>16.767123287671232</v>
      </c>
      <c r="W85" s="7">
        <f t="shared" si="40"/>
        <v>48.527397260273972</v>
      </c>
    </row>
    <row r="86" spans="1:23" ht="9" customHeight="1">
      <c r="A86" s="1">
        <v>2002</v>
      </c>
      <c r="B86" s="8">
        <f xml:space="preserve"> (K28*($E28/365))+(K29*($E29/365))</f>
        <v>0</v>
      </c>
      <c r="C86" s="8">
        <f xml:space="preserve"> (L28*($E28/365))+(L29*($E29/365))</f>
        <v>42.857142857142854</v>
      </c>
      <c r="D86" s="8">
        <f xml:space="preserve"> (M28*($E28/365))+(M29*($E29/365))</f>
        <v>28.571428571428569</v>
      </c>
      <c r="E86" s="52">
        <f t="shared" si="38"/>
        <v>71.428571428571416</v>
      </c>
      <c r="G86" s="1">
        <v>2002</v>
      </c>
      <c r="H86" s="928">
        <f>(O28/$R28*100*($E28/365))+(O29/$R29*100*($E29/365))</f>
        <v>0</v>
      </c>
      <c r="I86" s="928"/>
      <c r="J86" s="928">
        <f>(P28/$R28*100*($E28/365))+(P29/$R29*100*($E29/365))</f>
        <v>36.920222634508349</v>
      </c>
      <c r="K86" s="928"/>
      <c r="L86" s="928">
        <f>(Q28/$R28*100*($E28/365))+(Q29/$R29*100*($E29/365))</f>
        <v>63.079777365491651</v>
      </c>
      <c r="M86" s="928"/>
      <c r="N86" s="939">
        <f t="shared" si="39"/>
        <v>100</v>
      </c>
      <c r="O86" s="939"/>
      <c r="R86" s="1">
        <v>2002</v>
      </c>
      <c r="S86" s="8">
        <f xml:space="preserve"> (O28*($E28/365))+(O29*($E29/365))</f>
        <v>0</v>
      </c>
      <c r="T86" s="8">
        <f xml:space="preserve"> (P28*($E28/365))+(P29*($E29/365))</f>
        <v>19.899999999999999</v>
      </c>
      <c r="U86" s="8">
        <f xml:space="preserve"> (Q28*($E28/365))+(Q29*($E29/365))</f>
        <v>34</v>
      </c>
      <c r="W86" s="7">
        <f t="shared" si="40"/>
        <v>53.9</v>
      </c>
    </row>
    <row r="87" spans="1:23" ht="9" customHeight="1">
      <c r="A87" s="1">
        <v>2003</v>
      </c>
      <c r="B87" s="8">
        <f xml:space="preserve"> (K30*($E30/365))+(K31*($E31/365))</f>
        <v>0</v>
      </c>
      <c r="C87" s="8">
        <f xml:space="preserve"> (L30*($E30/365))+(L31*($E31/365))</f>
        <v>36.966731898238748</v>
      </c>
      <c r="D87" s="8">
        <f xml:space="preserve"> (M30*($E30/365))+(M31*($E31/365))</f>
        <v>34.461839530332682</v>
      </c>
      <c r="E87" s="52">
        <f t="shared" si="38"/>
        <v>71.428571428571431</v>
      </c>
      <c r="G87" s="1">
        <v>2003</v>
      </c>
      <c r="H87" s="928">
        <f>(O30/$R30*100*($E30/365))+(O31/$R31*100*($E31/365))</f>
        <v>0</v>
      </c>
      <c r="I87" s="928"/>
      <c r="J87" s="928">
        <f>(P30/$R30*100*($E30/365))+(P31/$R31*100*($E31/365))</f>
        <v>36.920222634508349</v>
      </c>
      <c r="K87" s="928"/>
      <c r="L87" s="928">
        <f>(Q30/$R30*100*($E30/365))+(Q31/$R31*100*($E31/365))</f>
        <v>63.079777365491658</v>
      </c>
      <c r="M87" s="928"/>
      <c r="N87" s="939">
        <f t="shared" si="39"/>
        <v>100</v>
      </c>
      <c r="O87" s="939"/>
      <c r="R87" s="1">
        <v>2003</v>
      </c>
      <c r="S87" s="8">
        <f xml:space="preserve"> (O30*($E30/365))+(O31*($E31/365))</f>
        <v>0</v>
      </c>
      <c r="T87" s="8">
        <f xml:space="preserve"> (P30*($E30/365))+(P31*($E31/365))</f>
        <v>19.900000000000002</v>
      </c>
      <c r="U87" s="8">
        <f xml:space="preserve"> (Q30*($E30/365))+(Q31*($E31/365))</f>
        <v>34</v>
      </c>
      <c r="W87" s="7">
        <f t="shared" si="40"/>
        <v>53.900000000000006</v>
      </c>
    </row>
    <row r="88" spans="1:23" ht="9" customHeight="1">
      <c r="A88" s="1">
        <v>2004</v>
      </c>
      <c r="B88" s="8">
        <f xml:space="preserve"> (K32*($E32/366))+(K33*($E33/366))+(K34*($E34/366))</f>
        <v>0</v>
      </c>
      <c r="C88" s="8">
        <f xml:space="preserve"> (L32*($E32/366))+(L33*($E33/366))+(L34*($E34/366))</f>
        <v>34.660421545667447</v>
      </c>
      <c r="D88" s="8">
        <f xml:space="preserve"> (M32*($E32/366))+(M33*($E33/366))+(M34*($E34/366))</f>
        <v>42.544886807181889</v>
      </c>
      <c r="E88" s="52">
        <f t="shared" si="38"/>
        <v>77.205308352849329</v>
      </c>
      <c r="G88" s="1">
        <v>2004</v>
      </c>
      <c r="H88" s="928">
        <f>(O32/$R32*100*($E32/366))+(O33/$R33*100*($E33/366))+(O34/$R34*100*($E34/366))</f>
        <v>0</v>
      </c>
      <c r="I88" s="928"/>
      <c r="J88" s="928">
        <f>(P32/$R32*100*($E32/366))+(P33/$R33*100*($E33/366))+(P34/$R34*100*($E34/366))</f>
        <v>35.779837637706159</v>
      </c>
      <c r="K88" s="928"/>
      <c r="L88" s="928">
        <f>(Q32/$R32*100*($E32/366))+(Q33/$R33*100*($E33/366))+(Q34/$R34*100*($E34/366))</f>
        <v>64.220162362293848</v>
      </c>
      <c r="M88" s="928"/>
      <c r="N88" s="939">
        <f t="shared" si="39"/>
        <v>100</v>
      </c>
      <c r="O88" s="939"/>
      <c r="R88" s="1">
        <v>2004</v>
      </c>
      <c r="S88" s="8">
        <f xml:space="preserve"> (O32*($E32/366))+(O33*($E33/366))+(O34*($E34/366))</f>
        <v>0</v>
      </c>
      <c r="T88" s="8">
        <f xml:space="preserve"> (P32*($E32/366))+(P33*($E33/366))+(P34*($E34/366))</f>
        <v>19.304918032786883</v>
      </c>
      <c r="U88" s="8">
        <f xml:space="preserve"> (Q32*($E32/366))+(Q33*($E33/366))+(Q34*($E34/366))</f>
        <v>34.73770491803279</v>
      </c>
      <c r="W88" s="7">
        <f t="shared" si="40"/>
        <v>54.042622950819677</v>
      </c>
    </row>
    <row r="89" spans="1:23" ht="9" customHeight="1">
      <c r="A89" s="1">
        <v>2005</v>
      </c>
      <c r="B89" s="8">
        <f xml:space="preserve"> (K35*($E35/365))+(K36*($E36/365))</f>
        <v>0</v>
      </c>
      <c r="C89" s="8">
        <f xml:space="preserve"> (L35*($E35/365))+(L36*($E36/365))</f>
        <v>14.285714285714285</v>
      </c>
      <c r="D89" s="8">
        <f xml:space="preserve"> (M35*($E35/365))+(M36*($E36/365))</f>
        <v>85.714285714285708</v>
      </c>
      <c r="E89" s="52">
        <f t="shared" si="38"/>
        <v>100</v>
      </c>
      <c r="G89" s="1">
        <v>2005</v>
      </c>
      <c r="H89" s="928">
        <f>(O35/$R35*100*($E35/365))+(O36/$R36*100*($E36/365))</f>
        <v>0</v>
      </c>
      <c r="I89" s="928"/>
      <c r="J89" s="928">
        <f>(P35/$R35*100*($E35/365))+(P36/$R36*100*($E36/365))</f>
        <v>13.732394366197184</v>
      </c>
      <c r="K89" s="928"/>
      <c r="L89" s="928">
        <f>(Q35/$R35*100*($E35/365))+(Q36/$R36*100*($E36/365))</f>
        <v>86.26760563380283</v>
      </c>
      <c r="M89" s="928"/>
      <c r="N89" s="939">
        <f t="shared" si="39"/>
        <v>100.00000000000001</v>
      </c>
      <c r="O89" s="939"/>
      <c r="R89" s="1">
        <v>2005</v>
      </c>
      <c r="S89" s="8">
        <f xml:space="preserve"> (O35*($E35/365))+(O36*($E36/365))</f>
        <v>0</v>
      </c>
      <c r="T89" s="8">
        <f xml:space="preserve"> (P35*($E35/365))+(P36*($E36/365))</f>
        <v>7.8</v>
      </c>
      <c r="U89" s="8">
        <f xml:space="preserve"> (Q35*($E35/365))+(Q36*($E36/365))</f>
        <v>49</v>
      </c>
      <c r="W89" s="7">
        <f t="shared" si="40"/>
        <v>56.8</v>
      </c>
    </row>
    <row r="90" spans="1:23" ht="9" customHeight="1">
      <c r="A90" s="1">
        <v>2006</v>
      </c>
      <c r="B90" s="8">
        <f xml:space="preserve"> (K37*($E37/365))+(K38*($E38/365))+(K39*($E39/365))</f>
        <v>6.5362035225048922</v>
      </c>
      <c r="C90" s="8">
        <f xml:space="preserve"> (L37*($E37/365))+(L38*($E38/365))+(L39*($E39/365))</f>
        <v>6.2230919765166339</v>
      </c>
      <c r="D90" s="8">
        <f xml:space="preserve"> (M37*($E37/365))+(M38*($E38/365))+(M39*($E39/365))</f>
        <v>87.240704500978467</v>
      </c>
      <c r="E90" s="52">
        <f t="shared" si="38"/>
        <v>100</v>
      </c>
      <c r="G90" s="1">
        <v>2006</v>
      </c>
      <c r="H90" s="928">
        <f>(O37/$R37*100*($E37/365))+(O38/$R38*100*($E38/365))+(O39/$R39*100*($E39/365))</f>
        <v>12.513757171291418</v>
      </c>
      <c r="I90" s="928"/>
      <c r="J90" s="928">
        <f>(P37/$R37*100*($E37/365))+(P38/$R38*100*($E38/365))+(P39/$R39*100*($E39/365))</f>
        <v>7.4493536561836775</v>
      </c>
      <c r="K90" s="928"/>
      <c r="L90" s="928">
        <f>(Q37/$R37*100*($E37/365))+(Q38/$R38*100*($E38/365))+(Q39/$R39*100*($E39/365))</f>
        <v>80.036889172524923</v>
      </c>
      <c r="M90" s="928"/>
      <c r="N90" s="939">
        <f t="shared" si="39"/>
        <v>100.00000000000001</v>
      </c>
      <c r="O90" s="939"/>
      <c r="R90" s="1">
        <v>2006</v>
      </c>
      <c r="S90" s="8">
        <f xml:space="preserve"> (O37*($E37/365))+(O38*($E38/365))+(O39*($E39/365))</f>
        <v>5.856438356164384</v>
      </c>
      <c r="T90" s="8">
        <f xml:space="preserve"> (P37*($E37/365))+(P38*($E38/365))+(P39*($E39/365))</f>
        <v>4.231232876712328</v>
      </c>
      <c r="U90" s="8">
        <f xml:space="preserve"> (Q37*($E37/365))+(Q38*($E38/365))+(Q39*($E39/365))</f>
        <v>42.136986301369866</v>
      </c>
      <c r="W90" s="7">
        <f t="shared" si="40"/>
        <v>52.224657534246575</v>
      </c>
    </row>
    <row r="91" spans="1:23" ht="9" customHeight="1">
      <c r="A91" s="1">
        <v>2007</v>
      </c>
      <c r="B91" s="8">
        <f xml:space="preserve"> (K40*($E40/365))+(K41*($E41/365))</f>
        <v>14.285714285714285</v>
      </c>
      <c r="C91" s="8">
        <f xml:space="preserve"> (L40*($E40/365))+(L41*($E41/365))</f>
        <v>0</v>
      </c>
      <c r="D91" s="8">
        <f xml:space="preserve"> (M40*($E40/365))+(M41*($E41/365))</f>
        <v>85.714285714285708</v>
      </c>
      <c r="E91" s="52">
        <f t="shared" si="38"/>
        <v>100</v>
      </c>
      <c r="G91" s="1">
        <v>2007</v>
      </c>
      <c r="H91" s="928">
        <f>(O40/$R40*100*($E40/365))+(O41/$R41*100*($E41/365))</f>
        <v>27.350427350427353</v>
      </c>
      <c r="I91" s="928"/>
      <c r="J91" s="928">
        <f>(P40/$R40*100*($E40/365))+(P41/$R41*100*($E41/365))</f>
        <v>0</v>
      </c>
      <c r="K91" s="928"/>
      <c r="L91" s="928">
        <f>(Q40/$R40*100*($E40/365))+(Q41/$R41*100*($E41/365))</f>
        <v>72.649572649572661</v>
      </c>
      <c r="M91" s="928"/>
      <c r="N91" s="939">
        <f t="shared" si="39"/>
        <v>100.00000000000001</v>
      </c>
      <c r="O91" s="939"/>
      <c r="R91" s="1">
        <v>2007</v>
      </c>
      <c r="S91" s="8">
        <f xml:space="preserve"> (O40*($E40/365))+(O41*($E41/365))</f>
        <v>12.8</v>
      </c>
      <c r="T91" s="8">
        <f xml:space="preserve"> (P40*($E40/365))+(P41*($E41/365))</f>
        <v>0</v>
      </c>
      <c r="U91" s="8">
        <f xml:space="preserve"> (Q40*($E40/365))+(Q41*($E41/365))</f>
        <v>34</v>
      </c>
      <c r="W91" s="7">
        <f t="shared" si="40"/>
        <v>46.8</v>
      </c>
    </row>
    <row r="92" spans="1:23" ht="9" customHeight="1">
      <c r="A92" s="1">
        <v>2008</v>
      </c>
      <c r="B92" s="8">
        <f xml:space="preserve"> (K42*($E42/366))+(K43*($E43/366))+(K44*($E44/366))+(K45*($E45/366))</f>
        <v>14.519906323185012</v>
      </c>
      <c r="C92" s="8">
        <f xml:space="preserve"> (L42*($E42/366))+(L43*($E43/366))+(L44*($E44/366))+(L45*($E45/366))</f>
        <v>10.792349726775956</v>
      </c>
      <c r="D92" s="8">
        <f xml:space="preserve"> (M42*($E42/366))+(M43*($E43/366))+(M44*($E44/366))+(M45*($E45/366))</f>
        <v>74.687743950039021</v>
      </c>
      <c r="E92" s="52">
        <f t="shared" si="38"/>
        <v>99.999999999999986</v>
      </c>
      <c r="G92" s="1">
        <v>2008</v>
      </c>
      <c r="H92" s="928">
        <f>(O42/$R42*100*($E42/366))+(O43/$R43*100*($E43/366))+(O44/$R44*100*($E44/366))+(O45/$R45*100*($E45/366))</f>
        <v>23.972657579214957</v>
      </c>
      <c r="I92" s="928"/>
      <c r="J92" s="928">
        <f>(P42/$R42*100*($E42/366))+(P43/$R43*100*($E43/366))+(P44/$R44*100*($E44/366))+(P45/$R45*100*($E45/366))</f>
        <v>13.075722092115534</v>
      </c>
      <c r="K92" s="928"/>
      <c r="L92" s="928">
        <f>(Q42/$R42*100*($E42/366))+(Q43/$R43*100*($E43/366))+(Q44/$R44*100*($E44/366))+(Q45/$R45*100*($E45/366))</f>
        <v>62.951620328669506</v>
      </c>
      <c r="M92" s="928"/>
      <c r="N92" s="939">
        <f t="shared" si="39"/>
        <v>100</v>
      </c>
      <c r="O92" s="939"/>
      <c r="R92" s="1">
        <v>2008</v>
      </c>
      <c r="S92" s="8">
        <f xml:space="preserve"> (O42*($E42/366))+(O43*($E43/366))+(O44*($E44/366))+(O45*($E45/366))</f>
        <v>12.920218579234973</v>
      </c>
      <c r="T92" s="8">
        <f xml:space="preserve"> (P42*($E42/366))+(P43*($E43/366))+(P44*($E44/366))+(P45*($E45/366))</f>
        <v>7.139344262295082</v>
      </c>
      <c r="U92" s="8">
        <f xml:space="preserve"> (Q42*($E42/366))+(Q43*($E43/366))+(Q44*($E44/366))+(Q45*($E45/366))</f>
        <v>33.907103825136616</v>
      </c>
      <c r="W92" s="7">
        <f t="shared" si="40"/>
        <v>53.966666666666669</v>
      </c>
    </row>
    <row r="93" spans="1:23" ht="9" customHeight="1">
      <c r="A93" s="1">
        <v>2009</v>
      </c>
      <c r="B93" s="8">
        <f xml:space="preserve"> (K46*($E46/365))+(K47*($E47/365))</f>
        <v>96.748858447488573</v>
      </c>
      <c r="C93" s="8">
        <f xml:space="preserve"> (L46*($E46/365))+(L47*($E47/365))</f>
        <v>0</v>
      </c>
      <c r="D93" s="8">
        <f xml:space="preserve"> (M46*($E46/365))+(M47*($E47/365))</f>
        <v>0</v>
      </c>
      <c r="E93" s="52">
        <f t="shared" si="38"/>
        <v>96.748858447488573</v>
      </c>
      <c r="G93" s="1">
        <v>2009</v>
      </c>
      <c r="H93" s="928">
        <f>(O46/$R46*100*($E46/365))+(O47/$R47*100*($E47/365))</f>
        <v>100</v>
      </c>
      <c r="I93" s="928"/>
      <c r="J93" s="928">
        <f>(P46/$R46*100*($E46/365))+(P47/$R47*100*($E47/365))</f>
        <v>0</v>
      </c>
      <c r="K93" s="928"/>
      <c r="L93" s="928">
        <f>(Q46/$R46*100*($E46/365))+(Q47/$R47*100*($E47/365))</f>
        <v>0</v>
      </c>
      <c r="M93" s="928"/>
      <c r="N93" s="939">
        <f t="shared" si="39"/>
        <v>100</v>
      </c>
      <c r="O93" s="939"/>
      <c r="R93" s="1">
        <v>2009</v>
      </c>
      <c r="S93" s="8">
        <f xml:space="preserve"> (O46*($E46/365))+(O47*($E47/365))</f>
        <v>56.8</v>
      </c>
      <c r="T93" s="8">
        <f xml:space="preserve"> (P46*($E46/365))+(P47*($E47/365))</f>
        <v>0</v>
      </c>
      <c r="U93" s="8">
        <f xml:space="preserve"> (Q46*($E46/365))+(Q47*($E47/365))</f>
        <v>0</v>
      </c>
      <c r="W93" s="7">
        <f t="shared" si="40"/>
        <v>56.8</v>
      </c>
    </row>
    <row r="94" spans="1:23" ht="9" customHeight="1">
      <c r="A94" s="1">
        <v>2010</v>
      </c>
      <c r="B94" s="8">
        <f xml:space="preserve"> (K48*($E48/365))+(K49*($E49/365))</f>
        <v>93.333333333333329</v>
      </c>
      <c r="C94" s="8">
        <f xml:space="preserve"> (L48*($E48/365))+(L49*($E49/365))</f>
        <v>0</v>
      </c>
      <c r="D94" s="8">
        <f xml:space="preserve"> (M48*($E48/365))+(M49*($E49/365))</f>
        <v>0</v>
      </c>
      <c r="E94" s="52">
        <f t="shared" si="38"/>
        <v>93.333333333333329</v>
      </c>
      <c r="G94" s="1">
        <v>2010</v>
      </c>
      <c r="H94" s="928">
        <f>(O48/$R48*100*($E48/365))+(O49/$R49*100*($E49/365))</f>
        <v>100</v>
      </c>
      <c r="I94" s="928"/>
      <c r="J94" s="928">
        <f>(P48/$R48*100*($E48/365))+(P49/$R49*100*($E49/365))</f>
        <v>0</v>
      </c>
      <c r="K94" s="928"/>
      <c r="L94" s="928">
        <f>(Q48/$R48*100*($E48/365))+(Q49/$R49*100*($E49/365))</f>
        <v>0</v>
      </c>
      <c r="M94" s="928"/>
      <c r="N94" s="939">
        <f t="shared" si="39"/>
        <v>100</v>
      </c>
      <c r="O94" s="939"/>
      <c r="R94" s="1">
        <v>2010</v>
      </c>
      <c r="S94" s="8">
        <f xml:space="preserve"> (O48*($E48/365))+(O49*($E49/365))</f>
        <v>56.8</v>
      </c>
      <c r="T94" s="8">
        <f xml:space="preserve"> (P48*($E48/365))+(P49*($E49/365))</f>
        <v>0</v>
      </c>
      <c r="U94" s="8">
        <f xml:space="preserve"> (Q48*($E48/365))+(Q49*($E49/365))</f>
        <v>0</v>
      </c>
      <c r="W94" s="7">
        <f t="shared" si="40"/>
        <v>56.8</v>
      </c>
    </row>
    <row r="95" spans="1:23" ht="9" customHeight="1">
      <c r="A95" s="1">
        <v>2011</v>
      </c>
      <c r="B95" s="8">
        <f xml:space="preserve"> (K50*($E50/365))+(K51*($E51/365))</f>
        <v>93.333333333333329</v>
      </c>
      <c r="C95" s="8">
        <f xml:space="preserve"> (L50*($E50/365))+(L51*($E51/365))</f>
        <v>0</v>
      </c>
      <c r="D95" s="8">
        <f xml:space="preserve"> (M50*($E50/365))+(M51*($E51/365))</f>
        <v>0</v>
      </c>
      <c r="E95" s="52">
        <f t="shared" si="38"/>
        <v>93.333333333333329</v>
      </c>
      <c r="G95" s="1">
        <v>2011</v>
      </c>
      <c r="H95" s="928">
        <f>(O50/$R50*100*($E50/365))+(O51/$R51*100*($E51/365))</f>
        <v>100</v>
      </c>
      <c r="I95" s="928"/>
      <c r="J95" s="928">
        <f>(P50/$R50*100*($E50/365))+(P51/$R51*100*($E51/365))</f>
        <v>0</v>
      </c>
      <c r="K95" s="928"/>
      <c r="L95" s="928">
        <f>(Q50/$R50*100*($E50/365))+(Q51/$R51*100*($E51/365))</f>
        <v>0</v>
      </c>
      <c r="M95" s="928"/>
      <c r="N95" s="939">
        <f t="shared" si="39"/>
        <v>100</v>
      </c>
      <c r="O95" s="939"/>
      <c r="R95" s="1">
        <v>2011</v>
      </c>
      <c r="S95" s="8">
        <f xml:space="preserve"> (O50*($E50/365))+(O51*($E51/365))</f>
        <v>56.8</v>
      </c>
      <c r="T95" s="8">
        <f xml:space="preserve"> (P50*($E50/365))+(P51*($E51/365))</f>
        <v>0</v>
      </c>
      <c r="U95" s="8">
        <f xml:space="preserve"> (Q50*($E50/365))+(Q51*($E51/365))</f>
        <v>0</v>
      </c>
      <c r="W95" s="7">
        <f t="shared" si="40"/>
        <v>56.8</v>
      </c>
    </row>
    <row r="96" spans="1:23" ht="9" customHeight="1">
      <c r="A96" s="1">
        <v>2012</v>
      </c>
      <c r="B96" s="8">
        <f xml:space="preserve"> (K52*($E52/366))+(K53*($E53/366))</f>
        <v>88.961748633879793</v>
      </c>
      <c r="C96" s="8">
        <f xml:space="preserve"> (L52*($E52/366))+(L53*($E53/366))</f>
        <v>0.36429872495446264</v>
      </c>
      <c r="D96" s="8">
        <f xml:space="preserve"> (M52*($E52/366))+(M53*($E53/366))</f>
        <v>4.3715846994535514</v>
      </c>
      <c r="E96" s="52">
        <f t="shared" si="38"/>
        <v>93.697632058287809</v>
      </c>
      <c r="G96" s="1">
        <v>2012</v>
      </c>
      <c r="H96" s="928">
        <f>(O52/$R52*100*($E52/366))+(O53/$R53*100*($E53/366))</f>
        <v>95.242367397982775</v>
      </c>
      <c r="I96" s="928"/>
      <c r="J96" s="928">
        <f>(P52/$R52*100*($E52/366))+(P53/$R53*100*($E53/366))</f>
        <v>0.51654296821901424</v>
      </c>
      <c r="K96" s="928"/>
      <c r="L96" s="928">
        <f>(Q52/$R52*100*($E52/366))+(Q53/$R53*100*($E53/366))</f>
        <v>4.2410896337982216</v>
      </c>
      <c r="M96" s="928"/>
      <c r="N96" s="939">
        <f t="shared" si="39"/>
        <v>100.00000000000001</v>
      </c>
      <c r="O96" s="939"/>
      <c r="R96" s="1">
        <v>2012</v>
      </c>
      <c r="S96" s="8">
        <f xml:space="preserve"> (O52*($E52/366))+(O53*($E53/366))</f>
        <v>54.1224043715847</v>
      </c>
      <c r="T96" s="8">
        <f xml:space="preserve"> (P52*($E52/366))+(P53*($E53/366))</f>
        <v>0.31147540983606559</v>
      </c>
      <c r="U96" s="8">
        <f xml:space="preserve"> (Q52*($E52/366))+(Q53*($E53/366))</f>
        <v>2.5573770491803276</v>
      </c>
      <c r="W96" s="7">
        <f t="shared" si="40"/>
        <v>56.991256830601088</v>
      </c>
    </row>
    <row r="97" spans="1:23" ht="9" customHeight="1">
      <c r="A97" s="1">
        <v>2013</v>
      </c>
      <c r="B97" s="8">
        <f xml:space="preserve"> (K54*($E54/365))+(K55*($E55/365))</f>
        <v>13.333333333333334</v>
      </c>
      <c r="C97" s="8">
        <f xml:space="preserve"> (L54*($E54/365))+(L55*($E55/365))</f>
        <v>6.666666666666667</v>
      </c>
      <c r="D97" s="8">
        <f xml:space="preserve"> (M54*($E54/365))+(M55*($E55/365))</f>
        <v>80</v>
      </c>
      <c r="E97" s="52">
        <f>SUM(B97:D97)</f>
        <v>100</v>
      </c>
      <c r="G97" s="1">
        <v>2013</v>
      </c>
      <c r="H97" s="928">
        <f>(O54/$R54*100*($E54/365))+(O55/$R55*100*($E55/365))</f>
        <v>12.935323383084576</v>
      </c>
      <c r="I97" s="928"/>
      <c r="J97" s="928">
        <f>(P54/$R54*100*($E54/365))+(P55/$R55*100*($E55/365))</f>
        <v>9.4527363184079611</v>
      </c>
      <c r="K97" s="928"/>
      <c r="L97" s="928">
        <f>(Q54/$R54*100*($E54/365))+(Q55/$R55*100*($E55/365))</f>
        <v>77.611940298507463</v>
      </c>
      <c r="M97" s="928"/>
      <c r="N97" s="939">
        <f>H97+J97+L97</f>
        <v>100</v>
      </c>
      <c r="O97" s="939"/>
      <c r="R97" s="1">
        <v>2013</v>
      </c>
      <c r="S97" s="8">
        <f xml:space="preserve"> (O54*($E54/365))+(O55*($E55/365))</f>
        <v>7.8</v>
      </c>
      <c r="T97" s="8">
        <f xml:space="preserve"> (P54*($E54/365))+(P55*($E55/365))</f>
        <v>5.7</v>
      </c>
      <c r="U97" s="8">
        <f xml:space="preserve"> (Q54*($E54/365))+(Q55*($E55/365))</f>
        <v>46.8</v>
      </c>
      <c r="W97" s="7">
        <f>S97+T97+U97</f>
        <v>60.3</v>
      </c>
    </row>
    <row r="98" spans="1:23" ht="9" customHeight="1">
      <c r="A98" s="1">
        <v>2014</v>
      </c>
      <c r="B98" s="8">
        <f xml:space="preserve"> (K56*($E56/365))+(K57*($E57/365))</f>
        <v>13.333333333333334</v>
      </c>
      <c r="C98" s="8">
        <f xml:space="preserve"> (L56*($E56/365))+(L57*($E57/365))</f>
        <v>4.8767123287671232</v>
      </c>
      <c r="D98" s="8">
        <f xml:space="preserve"> (M56*($E56/365))+(M57*($E57/365))</f>
        <v>81.789954337899545</v>
      </c>
      <c r="E98" s="52">
        <f>SUM(B98:D98)</f>
        <v>100</v>
      </c>
      <c r="G98" s="1">
        <v>2014</v>
      </c>
      <c r="H98" s="928">
        <f>(O56/$R56*100*($E56/365))+(O57/$R57*100*($E57/365))</f>
        <v>13.556322149091324</v>
      </c>
      <c r="I98" s="928"/>
      <c r="J98" s="928">
        <f>(P56/$R56*100*($E56/365))+(P57/$R57*100*($E57/365))</f>
        <v>6.9147413616847277</v>
      </c>
      <c r="K98" s="928"/>
      <c r="L98" s="928">
        <f>(Q56/$R56*100*($E56/365))+(Q57/$R57*100*($E57/365))</f>
        <v>79.528936489223952</v>
      </c>
      <c r="M98" s="928"/>
      <c r="N98" s="939">
        <f>H98+J98+L98</f>
        <v>100</v>
      </c>
      <c r="O98" s="939"/>
      <c r="R98" s="1">
        <v>2014</v>
      </c>
      <c r="S98" s="8">
        <f xml:space="preserve"> (O56*($E56/365))+(O57*($E57/365))</f>
        <v>8.0147945205479445</v>
      </c>
      <c r="T98" s="8">
        <f xml:space="preserve"> (P56*($E56/365))+(P57*($E57/365))</f>
        <v>4.1695890410958905</v>
      </c>
      <c r="U98" s="8">
        <f xml:space="preserve"> (Q56*($E56/365))+(Q57*($E57/365))</f>
        <v>47.06849315068493</v>
      </c>
      <c r="W98" s="7">
        <f>S98+T98+U98</f>
        <v>59.252876712328764</v>
      </c>
    </row>
    <row r="99" spans="1:23" s="611" customFormat="1" ht="9" customHeight="1">
      <c r="A99" s="611">
        <v>2015</v>
      </c>
      <c r="B99" s="605">
        <f xml:space="preserve"> (K58*($E58/365))+(K59*($E59/365))</f>
        <v>13.333333333333334</v>
      </c>
      <c r="C99" s="605">
        <f xml:space="preserve"> (L58*($E58/365))+(L59*($E59/365))</f>
        <v>0</v>
      </c>
      <c r="D99" s="605">
        <f xml:space="preserve"> (M58*($E58/365))+(M59*($E59/365))</f>
        <v>86.666666666666671</v>
      </c>
      <c r="E99" s="52">
        <f>SUM(B99:D99)</f>
        <v>100</v>
      </c>
      <c r="G99" s="611">
        <v>2015</v>
      </c>
      <c r="H99" s="928">
        <f>(O58/$R58*100*($E58/365))+(O59/$R59*100*($E59/365))</f>
        <v>15.24822695035461</v>
      </c>
      <c r="I99" s="928"/>
      <c r="J99" s="928">
        <f>(P58/$R58*100*($E58/365))+(P59/$R59*100*($E59/365))</f>
        <v>0</v>
      </c>
      <c r="K99" s="928"/>
      <c r="L99" s="928">
        <f>(Q58/$R58*100*($E58/365))+(Q59/$R59*100*($E59/365))</f>
        <v>84.751773049645379</v>
      </c>
      <c r="M99" s="928"/>
      <c r="N99" s="939">
        <f>H99+J99+L99</f>
        <v>99.999999999999986</v>
      </c>
      <c r="O99" s="939"/>
      <c r="R99" s="611">
        <v>2015</v>
      </c>
      <c r="S99" s="605">
        <f xml:space="preserve"> (O58*($E58/365))+(O59*($E59/365))</f>
        <v>8.6</v>
      </c>
      <c r="T99" s="605">
        <f xml:space="preserve"> (P58*($E58/365))+(P59*($E59/365))</f>
        <v>0</v>
      </c>
      <c r="U99" s="605">
        <f xml:space="preserve"> (Q58*($E58/365))+(Q59*($E59/365))</f>
        <v>47.8</v>
      </c>
      <c r="W99" s="610">
        <f>S99+T99+U99</f>
        <v>56.4</v>
      </c>
    </row>
    <row r="100" spans="1:23" s="611" customFormat="1" ht="9" customHeight="1">
      <c r="A100" s="682">
        <v>2016</v>
      </c>
      <c r="B100" s="679">
        <f xml:space="preserve"> (K60*($E60/366))+(K61*($E61/366))</f>
        <v>12.641165755919856</v>
      </c>
      <c r="C100" s="679">
        <f xml:space="preserve"> (L60*($E60/366))+(L61*($E61/366))</f>
        <v>0</v>
      </c>
      <c r="D100" s="679">
        <f xml:space="preserve"> (M60*($E60/366))+(M61*($E61/366))</f>
        <v>87.358834244080157</v>
      </c>
      <c r="E100" s="52">
        <f>SUM(B100:D100)</f>
        <v>100.00000000000001</v>
      </c>
      <c r="F100" s="682"/>
      <c r="G100" s="682">
        <v>2016</v>
      </c>
      <c r="H100" s="928">
        <f>(O60/$R60*100*($E60/366))+(O61/$R61*100*($E61/366))</f>
        <v>14.45665232724877</v>
      </c>
      <c r="I100" s="928"/>
      <c r="J100" s="928">
        <f>(P60/$R60*100*($E60/366))+(P61/$R61*100*($E61/366))</f>
        <v>0</v>
      </c>
      <c r="K100" s="928"/>
      <c r="L100" s="928">
        <f>(Q60/$R60*100*($E60/366))+(Q61/$R61*100*($E61/366))</f>
        <v>85.543347672751224</v>
      </c>
      <c r="M100" s="928"/>
      <c r="N100" s="939">
        <f>H100+J100+L100</f>
        <v>100</v>
      </c>
      <c r="O100" s="939"/>
      <c r="P100" s="682"/>
      <c r="Q100" s="682"/>
      <c r="R100" s="682">
        <v>2016</v>
      </c>
      <c r="S100" s="679">
        <f xml:space="preserve"> (O60*($E60/366))+(O61*($E61/366))</f>
        <v>8.1535519125683056</v>
      </c>
      <c r="T100" s="679">
        <f xml:space="preserve"> (P60*($E60/366))+(P61*($E61/366))</f>
        <v>0</v>
      </c>
      <c r="U100" s="679">
        <f xml:space="preserve"> (Q60*($E60/366))+(Q61*($E61/366))</f>
        <v>48.007650273224037</v>
      </c>
      <c r="V100" s="682"/>
      <c r="W100" s="681">
        <f>S100+T100+U100</f>
        <v>56.161202185792341</v>
      </c>
    </row>
    <row r="101" spans="1:23" s="749" customFormat="1">
      <c r="A101" s="749">
        <v>2017</v>
      </c>
      <c r="B101" s="744">
        <f xml:space="preserve"> (K62*($E62/365))+(K63*($E63/365))</f>
        <v>0</v>
      </c>
      <c r="C101" s="744">
        <f xml:space="preserve"> (L62*($E62/365))+(L63*($E63/365))</f>
        <v>0</v>
      </c>
      <c r="D101" s="744">
        <f xml:space="preserve"> (M62*($E62/365))+(M63*($E63/365))</f>
        <v>100</v>
      </c>
      <c r="E101" s="52">
        <f>SUM(B101:D101)</f>
        <v>100</v>
      </c>
      <c r="G101" s="749">
        <v>2017</v>
      </c>
      <c r="H101" s="928">
        <f>(O62/$R62*100*($E62/365))+(O63/$R63*100*($E63/365))</f>
        <v>0</v>
      </c>
      <c r="I101" s="928"/>
      <c r="J101" s="928">
        <f>(P62/$R62*100*($E62/365))+(P63/$R63*100*($E63/365))</f>
        <v>0</v>
      </c>
      <c r="K101" s="928"/>
      <c r="L101" s="928">
        <f>(Q62/$R62*100*($E62/365))+(Q63/$R63*100*($E63/365))</f>
        <v>100</v>
      </c>
      <c r="M101" s="928"/>
      <c r="N101" s="939">
        <f>H101+J101+L101</f>
        <v>100</v>
      </c>
      <c r="O101" s="939"/>
      <c r="R101" s="749">
        <v>2017</v>
      </c>
      <c r="S101" s="744">
        <f xml:space="preserve"> (O62*($E62/365))+(O63*($E63/365))</f>
        <v>0</v>
      </c>
      <c r="T101" s="744">
        <f xml:space="preserve"> (P62*($E62/365))+(P63*($E63/365))</f>
        <v>0</v>
      </c>
      <c r="U101" s="744">
        <f xml:space="preserve"> (Q62*($E62/365))+(Q63*($E63/365))</f>
        <v>51.021369863013696</v>
      </c>
      <c r="W101" s="746">
        <f>S101+T101+U101</f>
        <v>51.021369863013696</v>
      </c>
    </row>
    <row r="102" spans="1:23">
      <c r="A102" s="775">
        <v>2018</v>
      </c>
      <c r="B102" s="772">
        <f xml:space="preserve"> (K64*($E64/365))+(K65*($E65/365))</f>
        <v>0</v>
      </c>
      <c r="C102" s="772">
        <f xml:space="preserve"> (L64*($E64/365))+(L65*($E65/365))</f>
        <v>0</v>
      </c>
      <c r="D102" s="772">
        <f xml:space="preserve"> (M64*($E64/365))+(M65*($E65/365))</f>
        <v>100</v>
      </c>
      <c r="E102" s="52">
        <f t="shared" ref="E102" si="41">SUM(B102:D102)</f>
        <v>100</v>
      </c>
      <c r="F102" s="775"/>
      <c r="G102" s="775">
        <v>2018</v>
      </c>
      <c r="H102" s="928">
        <f>(O64/$R64*100*($E64/365))+(O65/$R65*100*($E65/365))</f>
        <v>0</v>
      </c>
      <c r="I102" s="928"/>
      <c r="J102" s="928">
        <f>(P64/$R64*100*($E64/365))+(P65/$R65*100*($E65/365))</f>
        <v>0</v>
      </c>
      <c r="K102" s="928"/>
      <c r="L102" s="928">
        <f>(Q64/$R64*100*($E64/365))+(Q65/$R65*100*($E65/365))</f>
        <v>100</v>
      </c>
      <c r="M102" s="928"/>
      <c r="N102" s="939">
        <f t="shared" ref="N102" si="42">H102+J102+L102</f>
        <v>100</v>
      </c>
      <c r="O102" s="939"/>
      <c r="P102" s="775"/>
      <c r="Q102" s="775"/>
      <c r="R102" s="775">
        <v>2018</v>
      </c>
      <c r="S102" s="772">
        <f xml:space="preserve"> (O64*($E64/365))+(O65*($E65/365))</f>
        <v>0</v>
      </c>
      <c r="T102" s="772">
        <f xml:space="preserve"> (P64*($E64/365))+(P65*($E65/365))</f>
        <v>0</v>
      </c>
      <c r="U102" s="772">
        <f xml:space="preserve"> (Q64*($E64/365))+(Q65*($E65/365))</f>
        <v>48.9</v>
      </c>
      <c r="V102" s="775"/>
      <c r="W102" s="774">
        <f t="shared" ref="W102" si="43">S102+T102+U102</f>
        <v>48.9</v>
      </c>
    </row>
    <row r="103" spans="1:23">
      <c r="A103" s="802">
        <v>2019</v>
      </c>
      <c r="B103" s="798">
        <f xml:space="preserve"> (K66*($E66/365))+(K67*($E67/365))</f>
        <v>0</v>
      </c>
      <c r="C103" s="798">
        <f xml:space="preserve"> (L66*($E66/365))+(L67*($E67/365))</f>
        <v>5.3698630136986303</v>
      </c>
      <c r="D103" s="798">
        <f xml:space="preserve"> (M66*($E66/365))+(M67*($E67/365))</f>
        <v>94.63013698630138</v>
      </c>
      <c r="E103" s="52">
        <f t="shared" ref="E103" si="44">SUM(B103:D103)</f>
        <v>100.00000000000001</v>
      </c>
      <c r="F103" s="802"/>
      <c r="G103" s="802">
        <v>2019</v>
      </c>
      <c r="H103" s="928">
        <f>(O66/$R66*100*($E66/365))+(O67/$R67*100*($E67/365))</f>
        <v>0</v>
      </c>
      <c r="I103" s="928"/>
      <c r="J103" s="928">
        <f>(P66/$R66*100*($E66/365))+(P67/$R67*100*($E67/365))</f>
        <v>4.204425711275027</v>
      </c>
      <c r="K103" s="928"/>
      <c r="L103" s="928">
        <f>(Q66/$R66*100*($E66/365))+(Q67/$R67*100*($E67/365))</f>
        <v>95.795574288724964</v>
      </c>
      <c r="M103" s="928"/>
      <c r="N103" s="939">
        <f t="shared" ref="N103" si="45">H103+J103+L103</f>
        <v>99.999999999999986</v>
      </c>
      <c r="O103" s="939"/>
      <c r="P103" s="802"/>
      <c r="Q103" s="802"/>
      <c r="R103" s="802">
        <v>2019</v>
      </c>
      <c r="S103" s="798">
        <f xml:space="preserve"> (O66*($E66/365))+(O67*($E67/365))</f>
        <v>0</v>
      </c>
      <c r="T103" s="798">
        <f xml:space="preserve"> (P66*($E66/365))+(P67*($E67/365))</f>
        <v>2.2956164383561646</v>
      </c>
      <c r="U103" s="798">
        <f xml:space="preserve"> (Q66*($E66/365))+(Q67*($E67/365))</f>
        <v>48.9</v>
      </c>
      <c r="V103" s="802"/>
      <c r="W103" s="801">
        <f t="shared" ref="W103" si="46">S103+T103+U103</f>
        <v>51.195616438356161</v>
      </c>
    </row>
    <row r="104" spans="1:23">
      <c r="A104" s="802"/>
      <c r="F104" s="802"/>
      <c r="G104" s="802"/>
      <c r="P104" s="802"/>
      <c r="Q104" s="802"/>
      <c r="R104" s="802"/>
    </row>
  </sheetData>
  <mergeCells count="200">
    <mergeCell ref="H103:I103"/>
    <mergeCell ref="J103:K103"/>
    <mergeCell ref="L103:M103"/>
    <mergeCell ref="N103:O103"/>
    <mergeCell ref="N101:O101"/>
    <mergeCell ref="N99:O99"/>
    <mergeCell ref="L98:M98"/>
    <mergeCell ref="N98:O98"/>
    <mergeCell ref="H94:I94"/>
    <mergeCell ref="H95:I95"/>
    <mergeCell ref="H96:I96"/>
    <mergeCell ref="N96:O96"/>
    <mergeCell ref="H97:I97"/>
    <mergeCell ref="J97:K97"/>
    <mergeCell ref="L97:M97"/>
    <mergeCell ref="N97:O97"/>
    <mergeCell ref="H98:I98"/>
    <mergeCell ref="J98:K98"/>
    <mergeCell ref="J95:K95"/>
    <mergeCell ref="L96:M96"/>
    <mergeCell ref="N94:O94"/>
    <mergeCell ref="J96:K96"/>
    <mergeCell ref="J94:K94"/>
    <mergeCell ref="N95:O95"/>
    <mergeCell ref="L94:M94"/>
    <mergeCell ref="H99:I99"/>
    <mergeCell ref="J99:K99"/>
    <mergeCell ref="L99:M99"/>
    <mergeCell ref="L89:M89"/>
    <mergeCell ref="L83:M83"/>
    <mergeCell ref="H101:I101"/>
    <mergeCell ref="J101:K101"/>
    <mergeCell ref="L101:M101"/>
    <mergeCell ref="H93:I93"/>
    <mergeCell ref="J93:K93"/>
    <mergeCell ref="L95:M95"/>
    <mergeCell ref="H87:I87"/>
    <mergeCell ref="H91:I91"/>
    <mergeCell ref="J90:K90"/>
    <mergeCell ref="J85:K85"/>
    <mergeCell ref="J86:K86"/>
    <mergeCell ref="J83:K83"/>
    <mergeCell ref="H83:I83"/>
    <mergeCell ref="H84:I84"/>
    <mergeCell ref="H85:I85"/>
    <mergeCell ref="N84:O84"/>
    <mergeCell ref="H81:I81"/>
    <mergeCell ref="N90:O90"/>
    <mergeCell ref="N87:O87"/>
    <mergeCell ref="N88:O88"/>
    <mergeCell ref="N89:O89"/>
    <mergeCell ref="N91:O91"/>
    <mergeCell ref="L93:M93"/>
    <mergeCell ref="H92:I92"/>
    <mergeCell ref="N93:O93"/>
    <mergeCell ref="N92:O92"/>
    <mergeCell ref="L92:M92"/>
    <mergeCell ref="J91:K91"/>
    <mergeCell ref="J87:K87"/>
    <mergeCell ref="L91:M91"/>
    <mergeCell ref="L88:M88"/>
    <mergeCell ref="J89:K89"/>
    <mergeCell ref="L90:M90"/>
    <mergeCell ref="J88:K88"/>
    <mergeCell ref="L87:M87"/>
    <mergeCell ref="H88:I88"/>
    <mergeCell ref="H89:I89"/>
    <mergeCell ref="J92:K92"/>
    <mergeCell ref="H90:I90"/>
    <mergeCell ref="H77:I77"/>
    <mergeCell ref="H86:I86"/>
    <mergeCell ref="H78:I78"/>
    <mergeCell ref="H79:I79"/>
    <mergeCell ref="L81:M81"/>
    <mergeCell ref="C53:D53"/>
    <mergeCell ref="J78:K78"/>
    <mergeCell ref="J79:K79"/>
    <mergeCell ref="J77:K77"/>
    <mergeCell ref="L85:M85"/>
    <mergeCell ref="C66:D66"/>
    <mergeCell ref="C67:D67"/>
    <mergeCell ref="C46:D46"/>
    <mergeCell ref="C47:D47"/>
    <mergeCell ref="C48:D48"/>
    <mergeCell ref="C49:D49"/>
    <mergeCell ref="C50:D50"/>
    <mergeCell ref="C51:D51"/>
    <mergeCell ref="C55:D55"/>
    <mergeCell ref="C56:D56"/>
    <mergeCell ref="J76:K76"/>
    <mergeCell ref="C58:D58"/>
    <mergeCell ref="C62:D62"/>
    <mergeCell ref="C54:D54"/>
    <mergeCell ref="H76:I76"/>
    <mergeCell ref="C36:D36"/>
    <mergeCell ref="C42:D42"/>
    <mergeCell ref="C43:D43"/>
    <mergeCell ref="C38:D38"/>
    <mergeCell ref="C22:D22"/>
    <mergeCell ref="C24:D24"/>
    <mergeCell ref="C23:D23"/>
    <mergeCell ref="C57:D57"/>
    <mergeCell ref="L82:M82"/>
    <mergeCell ref="C40:D40"/>
    <mergeCell ref="C41:D41"/>
    <mergeCell ref="C44:D44"/>
    <mergeCell ref="C45:D45"/>
    <mergeCell ref="C31:D31"/>
    <mergeCell ref="C33:D33"/>
    <mergeCell ref="C34:D34"/>
    <mergeCell ref="C35:D35"/>
    <mergeCell ref="C60:D60"/>
    <mergeCell ref="C61:D61"/>
    <mergeCell ref="C63:D63"/>
    <mergeCell ref="C59:D59"/>
    <mergeCell ref="C64:D64"/>
    <mergeCell ref="C65:D65"/>
    <mergeCell ref="C52:D52"/>
    <mergeCell ref="G3:M3"/>
    <mergeCell ref="O3:Q3"/>
    <mergeCell ref="H73:I73"/>
    <mergeCell ref="J73:K73"/>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A4:A5"/>
    <mergeCell ref="B4:B5"/>
    <mergeCell ref="C4:D5"/>
    <mergeCell ref="E4:E5"/>
    <mergeCell ref="C9:D9"/>
    <mergeCell ref="C10:D10"/>
    <mergeCell ref="K4:N4"/>
    <mergeCell ref="F4:F5"/>
    <mergeCell ref="G4:J4"/>
    <mergeCell ref="C6:D6"/>
    <mergeCell ref="C7:D7"/>
    <mergeCell ref="C8:D8"/>
    <mergeCell ref="AX4:BA4"/>
    <mergeCell ref="L78:M78"/>
    <mergeCell ref="L79:M79"/>
    <mergeCell ref="AL4:AO4"/>
    <mergeCell ref="AP4:AS4"/>
    <mergeCell ref="N78:O78"/>
    <mergeCell ref="N79:O79"/>
    <mergeCell ref="S4:S5"/>
    <mergeCell ref="T4:T5"/>
    <mergeCell ref="L76:M76"/>
    <mergeCell ref="L77:M77"/>
    <mergeCell ref="AH4:AK4"/>
    <mergeCell ref="Z4:AC4"/>
    <mergeCell ref="AD4:AG4"/>
    <mergeCell ref="R71:W71"/>
    <mergeCell ref="L73:M73"/>
    <mergeCell ref="U4:U5"/>
    <mergeCell ref="V4:Y4"/>
    <mergeCell ref="O4:R4"/>
    <mergeCell ref="N76:O76"/>
    <mergeCell ref="N77:O77"/>
    <mergeCell ref="N73:O73"/>
    <mergeCell ref="H102:I102"/>
    <mergeCell ref="J102:K102"/>
    <mergeCell ref="L102:M102"/>
    <mergeCell ref="N102:O102"/>
    <mergeCell ref="H100:I100"/>
    <mergeCell ref="J100:K100"/>
    <mergeCell ref="L100:M100"/>
    <mergeCell ref="N100:O100"/>
    <mergeCell ref="AT4:AW4"/>
    <mergeCell ref="N80:O80"/>
    <mergeCell ref="L80:M80"/>
    <mergeCell ref="J80:K80"/>
    <mergeCell ref="N86:O86"/>
    <mergeCell ref="J84:K84"/>
    <mergeCell ref="J81:K81"/>
    <mergeCell ref="J82:K82"/>
    <mergeCell ref="H80:I80"/>
    <mergeCell ref="N81:O81"/>
    <mergeCell ref="N82:O82"/>
    <mergeCell ref="N83:O83"/>
    <mergeCell ref="L84:M84"/>
    <mergeCell ref="N85:O85"/>
    <mergeCell ref="L86:M86"/>
    <mergeCell ref="H82:I82"/>
  </mergeCells>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A195"/>
  <sheetViews>
    <sheetView zoomScale="174" zoomScaleNormal="120" workbookViewId="0">
      <pane xSplit="1" ySplit="5" topLeftCell="B83" activePane="bottomRight" state="frozen"/>
      <selection pane="topRight" activeCell="B1" sqref="B1"/>
      <selection pane="bottomLeft" activeCell="A6" sqref="A6"/>
      <selection pane="bottomRight" activeCell="T127" sqref="T6:U12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29" width="5.6640625" style="1" customWidth="1"/>
    <col min="30" max="30" width="6.1640625" style="1" customWidth="1"/>
    <col min="31" max="53" width="5.6640625" style="1" customWidth="1"/>
    <col min="54" max="16384" width="10.6640625" style="1"/>
  </cols>
  <sheetData>
    <row r="1" spans="1:53" s="2" customFormat="1" ht="15" customHeight="1">
      <c r="B1" s="22" t="s">
        <v>14</v>
      </c>
    </row>
    <row r="2" spans="1:53" s="2" customFormat="1" ht="15" customHeight="1">
      <c r="B2" s="22" t="s">
        <v>61</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1237</v>
      </c>
      <c r="D6" s="925"/>
      <c r="E6" s="227">
        <v>55</v>
      </c>
      <c r="G6" s="235"/>
      <c r="H6" s="227">
        <v>4</v>
      </c>
      <c r="I6" s="227">
        <v>4</v>
      </c>
      <c r="J6" s="242">
        <v>8</v>
      </c>
      <c r="K6" s="218">
        <f t="shared" ref="K6:M8" si="0">G6/$J6*100</f>
        <v>0</v>
      </c>
      <c r="L6" s="218">
        <f t="shared" si="0"/>
        <v>50</v>
      </c>
      <c r="M6" s="218">
        <f t="shared" si="0"/>
        <v>50</v>
      </c>
      <c r="N6" s="237">
        <f>K6+L6+M6</f>
        <v>100</v>
      </c>
      <c r="O6" s="217"/>
      <c r="P6" s="218">
        <v>50</v>
      </c>
      <c r="Q6" s="218">
        <v>23.7</v>
      </c>
      <c r="R6" s="219">
        <f>O6+P6+Q6</f>
        <v>73.7</v>
      </c>
      <c r="S6" s="227">
        <v>2</v>
      </c>
      <c r="T6" s="870"/>
      <c r="U6" s="853"/>
      <c r="V6" s="226" t="s">
        <v>495</v>
      </c>
      <c r="W6" s="227" t="s">
        <v>17</v>
      </c>
      <c r="X6" s="227" t="s">
        <v>326</v>
      </c>
      <c r="Y6" s="228">
        <v>50</v>
      </c>
      <c r="Z6" s="227" t="s">
        <v>496</v>
      </c>
      <c r="AA6" s="227" t="s">
        <v>20</v>
      </c>
      <c r="AB6" s="227" t="s">
        <v>12</v>
      </c>
      <c r="AC6" s="227">
        <v>32.700000000000003</v>
      </c>
      <c r="AD6" s="226"/>
      <c r="AG6" s="228"/>
      <c r="AL6" s="226"/>
      <c r="AO6" s="228"/>
      <c r="AP6" s="226"/>
      <c r="AS6" s="228"/>
      <c r="AW6" s="228"/>
      <c r="BA6" s="229"/>
    </row>
    <row r="7" spans="1:53" s="227" customFormat="1">
      <c r="A7" s="233">
        <v>1959</v>
      </c>
      <c r="B7" s="853">
        <v>21606</v>
      </c>
      <c r="C7" s="925" t="s">
        <v>674</v>
      </c>
      <c r="D7" s="925"/>
      <c r="E7" s="227">
        <f xml:space="preserve"> 365-55</f>
        <v>310</v>
      </c>
      <c r="F7" s="227">
        <v>4</v>
      </c>
      <c r="G7" s="235">
        <v>3</v>
      </c>
      <c r="H7" s="227">
        <v>4</v>
      </c>
      <c r="J7" s="242">
        <v>7</v>
      </c>
      <c r="K7" s="218">
        <f t="shared" si="0"/>
        <v>42.857142857142854</v>
      </c>
      <c r="L7" s="218">
        <f t="shared" si="0"/>
        <v>57.142857142857139</v>
      </c>
      <c r="M7" s="218">
        <f t="shared" si="0"/>
        <v>0</v>
      </c>
      <c r="N7" s="237">
        <f>K7+L7+M7</f>
        <v>100</v>
      </c>
      <c r="O7" s="217">
        <v>21.2</v>
      </c>
      <c r="P7" s="218">
        <v>40.4</v>
      </c>
      <c r="Q7" s="218"/>
      <c r="R7" s="219">
        <f>O7+P7+Q7</f>
        <v>61.599999999999994</v>
      </c>
      <c r="S7" s="227">
        <v>2</v>
      </c>
      <c r="T7" s="870"/>
      <c r="U7" s="853">
        <v>21606</v>
      </c>
      <c r="V7" s="226" t="s">
        <v>495</v>
      </c>
      <c r="W7" s="227" t="s">
        <v>17</v>
      </c>
      <c r="X7" s="227" t="s">
        <v>326</v>
      </c>
      <c r="Y7" s="228">
        <v>40.4</v>
      </c>
      <c r="Z7" s="227" t="s">
        <v>131</v>
      </c>
      <c r="AA7" s="227" t="s">
        <v>22</v>
      </c>
      <c r="AB7" s="227" t="s">
        <v>11</v>
      </c>
      <c r="AC7" s="227">
        <v>21.2</v>
      </c>
      <c r="AD7" s="226"/>
      <c r="AG7" s="228"/>
      <c r="AL7" s="226"/>
      <c r="AO7" s="228"/>
      <c r="AP7" s="226"/>
      <c r="AS7" s="228"/>
      <c r="AW7" s="228"/>
      <c r="BA7" s="229"/>
    </row>
    <row r="8" spans="1:53" s="185" customFormat="1">
      <c r="A8" s="101">
        <v>1960</v>
      </c>
      <c r="B8" s="852"/>
      <c r="C8" s="917" t="s">
        <v>674</v>
      </c>
      <c r="D8" s="917"/>
      <c r="E8" s="185">
        <v>0</v>
      </c>
      <c r="G8" s="119">
        <v>3</v>
      </c>
      <c r="H8" s="185">
        <v>4</v>
      </c>
      <c r="J8" s="126">
        <v>7</v>
      </c>
      <c r="K8" s="92">
        <f t="shared" si="0"/>
        <v>42.857142857142854</v>
      </c>
      <c r="L8" s="92">
        <f t="shared" si="0"/>
        <v>57.142857142857139</v>
      </c>
      <c r="M8" s="92">
        <f t="shared" si="0"/>
        <v>0</v>
      </c>
      <c r="N8" s="121">
        <f>K8+L8+M8</f>
        <v>100</v>
      </c>
      <c r="O8" s="91">
        <v>21.2</v>
      </c>
      <c r="P8" s="92">
        <v>40.4</v>
      </c>
      <c r="Q8" s="92"/>
      <c r="R8" s="93">
        <f>O8+P8+Q8</f>
        <v>61.599999999999994</v>
      </c>
      <c r="S8" s="185">
        <v>2</v>
      </c>
      <c r="T8" s="839"/>
      <c r="U8" s="852"/>
      <c r="V8" s="82" t="s">
        <v>495</v>
      </c>
      <c r="W8" s="185" t="s">
        <v>17</v>
      </c>
      <c r="X8" s="185" t="s">
        <v>326</v>
      </c>
      <c r="Y8" s="83">
        <v>40.4</v>
      </c>
      <c r="Z8" s="185" t="s">
        <v>131</v>
      </c>
      <c r="AA8" s="185" t="s">
        <v>22</v>
      </c>
      <c r="AB8" s="185" t="s">
        <v>11</v>
      </c>
      <c r="AC8" s="185">
        <v>21.2</v>
      </c>
      <c r="AD8" s="82"/>
      <c r="AG8" s="83"/>
      <c r="AL8" s="82"/>
      <c r="AO8" s="83"/>
      <c r="AP8" s="82"/>
      <c r="AS8" s="83"/>
      <c r="AW8" s="83"/>
      <c r="BA8" s="84"/>
    </row>
    <row r="9" spans="1:53" s="185" customFormat="1">
      <c r="A9" s="101">
        <v>1960</v>
      </c>
      <c r="B9" s="852"/>
      <c r="C9" s="917" t="s">
        <v>674</v>
      </c>
      <c r="D9" s="917"/>
      <c r="E9" s="185">
        <v>366</v>
      </c>
      <c r="G9" s="119">
        <v>3</v>
      </c>
      <c r="H9" s="185">
        <v>4</v>
      </c>
      <c r="J9" s="126">
        <v>7</v>
      </c>
      <c r="K9" s="92">
        <f t="shared" ref="K9:M72" si="1">G9/$J9*100</f>
        <v>42.857142857142854</v>
      </c>
      <c r="L9" s="92">
        <f t="shared" si="1"/>
        <v>57.142857142857139</v>
      </c>
      <c r="M9" s="92">
        <f t="shared" si="1"/>
        <v>0</v>
      </c>
      <c r="N9" s="121">
        <f t="shared" ref="N9:N72" si="2">K9+L9+M9</f>
        <v>100</v>
      </c>
      <c r="O9" s="91">
        <v>21.2</v>
      </c>
      <c r="P9" s="92">
        <v>40.4</v>
      </c>
      <c r="Q9" s="92"/>
      <c r="R9" s="93">
        <f t="shared" ref="R9:R72" si="3">O9+P9+Q9</f>
        <v>61.599999999999994</v>
      </c>
      <c r="S9" s="185">
        <v>2</v>
      </c>
      <c r="T9" s="839"/>
      <c r="U9" s="852"/>
      <c r="V9" s="82" t="s">
        <v>495</v>
      </c>
      <c r="W9" s="185" t="s">
        <v>17</v>
      </c>
      <c r="X9" s="185" t="s">
        <v>326</v>
      </c>
      <c r="Y9" s="83">
        <v>40.4</v>
      </c>
      <c r="Z9" s="185" t="s">
        <v>131</v>
      </c>
      <c r="AA9" s="185" t="s">
        <v>22</v>
      </c>
      <c r="AB9" s="185" t="s">
        <v>11</v>
      </c>
      <c r="AC9" s="185">
        <v>21.2</v>
      </c>
      <c r="AD9" s="82"/>
      <c r="AG9" s="83"/>
      <c r="AL9" s="82"/>
      <c r="AO9" s="83"/>
      <c r="AP9" s="82"/>
      <c r="AS9" s="83"/>
      <c r="AW9" s="83"/>
      <c r="BA9" s="84"/>
    </row>
    <row r="10" spans="1:53" s="185" customFormat="1">
      <c r="A10" s="101">
        <v>1961</v>
      </c>
      <c r="B10" s="852"/>
      <c r="C10" s="917" t="s">
        <v>674</v>
      </c>
      <c r="D10" s="917"/>
      <c r="E10" s="185">
        <v>0</v>
      </c>
      <c r="G10" s="119">
        <v>3</v>
      </c>
      <c r="H10" s="185">
        <v>4</v>
      </c>
      <c r="J10" s="126">
        <v>7</v>
      </c>
      <c r="K10" s="92">
        <f t="shared" si="1"/>
        <v>42.857142857142854</v>
      </c>
      <c r="L10" s="92">
        <f t="shared" si="1"/>
        <v>57.142857142857139</v>
      </c>
      <c r="M10" s="92">
        <f t="shared" si="1"/>
        <v>0</v>
      </c>
      <c r="N10" s="121">
        <f t="shared" si="2"/>
        <v>100</v>
      </c>
      <c r="O10" s="91">
        <v>21.2</v>
      </c>
      <c r="P10" s="92">
        <v>40.4</v>
      </c>
      <c r="Q10" s="92"/>
      <c r="R10" s="93">
        <f t="shared" si="3"/>
        <v>61.599999999999994</v>
      </c>
      <c r="S10" s="185">
        <v>2</v>
      </c>
      <c r="T10" s="839"/>
      <c r="U10" s="852"/>
      <c r="V10" s="82" t="s">
        <v>495</v>
      </c>
      <c r="W10" s="185" t="s">
        <v>17</v>
      </c>
      <c r="X10" s="185" t="s">
        <v>326</v>
      </c>
      <c r="Y10" s="83">
        <v>40.4</v>
      </c>
      <c r="Z10" s="185" t="s">
        <v>131</v>
      </c>
      <c r="AA10" s="185" t="s">
        <v>22</v>
      </c>
      <c r="AB10" s="185" t="s">
        <v>11</v>
      </c>
      <c r="AC10" s="185">
        <v>21.2</v>
      </c>
      <c r="AD10" s="82"/>
      <c r="AG10" s="83"/>
      <c r="AL10" s="82"/>
      <c r="AO10" s="83"/>
      <c r="AP10" s="82"/>
      <c r="AS10" s="83"/>
      <c r="AW10" s="83"/>
      <c r="BA10" s="84"/>
    </row>
    <row r="11" spans="1:53" s="185" customFormat="1">
      <c r="A11" s="101">
        <v>1961</v>
      </c>
      <c r="B11" s="852"/>
      <c r="C11" s="917" t="s">
        <v>674</v>
      </c>
      <c r="D11" s="917"/>
      <c r="E11" s="185">
        <v>365</v>
      </c>
      <c r="G11" s="119">
        <v>3</v>
      </c>
      <c r="H11" s="185">
        <v>4</v>
      </c>
      <c r="J11" s="126">
        <v>7</v>
      </c>
      <c r="K11" s="92">
        <f t="shared" si="1"/>
        <v>42.857142857142854</v>
      </c>
      <c r="L11" s="92">
        <f t="shared" si="1"/>
        <v>57.142857142857139</v>
      </c>
      <c r="M11" s="92">
        <f t="shared" si="1"/>
        <v>0</v>
      </c>
      <c r="N11" s="121">
        <f t="shared" si="2"/>
        <v>100</v>
      </c>
      <c r="O11" s="91">
        <v>21.2</v>
      </c>
      <c r="P11" s="92">
        <v>40.4</v>
      </c>
      <c r="Q11" s="92"/>
      <c r="R11" s="93">
        <f t="shared" si="3"/>
        <v>61.599999999999994</v>
      </c>
      <c r="S11" s="185">
        <v>2</v>
      </c>
      <c r="T11" s="839"/>
      <c r="U11" s="852"/>
      <c r="V11" s="82" t="s">
        <v>495</v>
      </c>
      <c r="W11" s="185" t="s">
        <v>17</v>
      </c>
      <c r="X11" s="185" t="s">
        <v>326</v>
      </c>
      <c r="Y11" s="83">
        <v>40.4</v>
      </c>
      <c r="Z11" s="185" t="s">
        <v>131</v>
      </c>
      <c r="AA11" s="185" t="s">
        <v>22</v>
      </c>
      <c r="AB11" s="185" t="s">
        <v>11</v>
      </c>
      <c r="AC11" s="185">
        <v>21.2</v>
      </c>
      <c r="AD11" s="82"/>
      <c r="AG11" s="83"/>
      <c r="AL11" s="82"/>
      <c r="AO11" s="83"/>
      <c r="AP11" s="82"/>
      <c r="AS11" s="83"/>
      <c r="AW11" s="83"/>
      <c r="BA11" s="84"/>
    </row>
    <row r="12" spans="1:53" s="185" customFormat="1">
      <c r="A12" s="101">
        <v>1962</v>
      </c>
      <c r="B12" s="852"/>
      <c r="C12" s="917" t="s">
        <v>674</v>
      </c>
      <c r="D12" s="917"/>
      <c r="E12" s="185">
        <v>0</v>
      </c>
      <c r="G12" s="119">
        <v>3</v>
      </c>
      <c r="H12" s="185">
        <v>4</v>
      </c>
      <c r="J12" s="126">
        <v>7</v>
      </c>
      <c r="K12" s="92">
        <f t="shared" si="1"/>
        <v>42.857142857142854</v>
      </c>
      <c r="L12" s="92">
        <f t="shared" si="1"/>
        <v>57.142857142857139</v>
      </c>
      <c r="M12" s="92">
        <f t="shared" si="1"/>
        <v>0</v>
      </c>
      <c r="N12" s="121">
        <f t="shared" si="2"/>
        <v>100</v>
      </c>
      <c r="O12" s="91">
        <v>21.2</v>
      </c>
      <c r="P12" s="92">
        <v>40.4</v>
      </c>
      <c r="Q12" s="92"/>
      <c r="R12" s="93">
        <f t="shared" si="3"/>
        <v>61.599999999999994</v>
      </c>
      <c r="S12" s="185">
        <v>2</v>
      </c>
      <c r="T12" s="839"/>
      <c r="U12" s="852"/>
      <c r="V12" s="82" t="s">
        <v>495</v>
      </c>
      <c r="W12" s="185" t="s">
        <v>17</v>
      </c>
      <c r="X12" s="185" t="s">
        <v>326</v>
      </c>
      <c r="Y12" s="83">
        <v>40.4</v>
      </c>
      <c r="Z12" s="185" t="s">
        <v>131</v>
      </c>
      <c r="AA12" s="185" t="s">
        <v>22</v>
      </c>
      <c r="AB12" s="185" t="s">
        <v>11</v>
      </c>
      <c r="AC12" s="185">
        <v>21.2</v>
      </c>
      <c r="AD12" s="82"/>
      <c r="AG12" s="83"/>
      <c r="AL12" s="82"/>
      <c r="AO12" s="83"/>
      <c r="AP12" s="82"/>
      <c r="AS12" s="83"/>
      <c r="AW12" s="83"/>
      <c r="BA12" s="84"/>
    </row>
    <row r="13" spans="1:53" s="185" customFormat="1">
      <c r="A13" s="101">
        <v>1962</v>
      </c>
      <c r="B13" s="852"/>
      <c r="C13" s="917" t="s">
        <v>674</v>
      </c>
      <c r="D13" s="917"/>
      <c r="E13" s="185">
        <v>365</v>
      </c>
      <c r="G13" s="119">
        <v>3</v>
      </c>
      <c r="H13" s="185">
        <v>4</v>
      </c>
      <c r="J13" s="126">
        <v>7</v>
      </c>
      <c r="K13" s="92">
        <f t="shared" si="1"/>
        <v>42.857142857142854</v>
      </c>
      <c r="L13" s="92">
        <f t="shared" si="1"/>
        <v>57.142857142857139</v>
      </c>
      <c r="M13" s="92">
        <f t="shared" si="1"/>
        <v>0</v>
      </c>
      <c r="N13" s="121">
        <f t="shared" si="2"/>
        <v>100</v>
      </c>
      <c r="O13" s="91">
        <v>21.2</v>
      </c>
      <c r="P13" s="92">
        <v>40.4</v>
      </c>
      <c r="Q13" s="92"/>
      <c r="R13" s="93">
        <f t="shared" si="3"/>
        <v>61.599999999999994</v>
      </c>
      <c r="S13" s="185">
        <v>2</v>
      </c>
      <c r="T13" s="839"/>
      <c r="U13" s="852"/>
      <c r="V13" s="82" t="s">
        <v>495</v>
      </c>
      <c r="W13" s="185" t="s">
        <v>17</v>
      </c>
      <c r="X13" s="185" t="s">
        <v>326</v>
      </c>
      <c r="Y13" s="83">
        <v>40.4</v>
      </c>
      <c r="Z13" s="185" t="s">
        <v>131</v>
      </c>
      <c r="AA13" s="185" t="s">
        <v>22</v>
      </c>
      <c r="AB13" s="185" t="s">
        <v>11</v>
      </c>
      <c r="AC13" s="185">
        <v>21.2</v>
      </c>
      <c r="AD13" s="82"/>
      <c r="AG13" s="83"/>
      <c r="AL13" s="82"/>
      <c r="AO13" s="83"/>
      <c r="AP13" s="82"/>
      <c r="AS13" s="83"/>
      <c r="AW13" s="83"/>
      <c r="BA13" s="84"/>
    </row>
    <row r="14" spans="1:53" s="185" customFormat="1">
      <c r="A14" s="101">
        <v>1962.6</v>
      </c>
      <c r="B14" s="852"/>
      <c r="C14" s="917" t="s">
        <v>674</v>
      </c>
      <c r="D14" s="917"/>
      <c r="E14" s="185">
        <v>0</v>
      </c>
      <c r="G14" s="119">
        <v>3</v>
      </c>
      <c r="H14" s="185">
        <v>4</v>
      </c>
      <c r="J14" s="126">
        <v>7</v>
      </c>
      <c r="K14" s="92">
        <f t="shared" si="1"/>
        <v>42.857142857142854</v>
      </c>
      <c r="L14" s="92">
        <f t="shared" si="1"/>
        <v>57.142857142857139</v>
      </c>
      <c r="M14" s="92">
        <f t="shared" si="1"/>
        <v>0</v>
      </c>
      <c r="N14" s="121">
        <f t="shared" si="2"/>
        <v>100</v>
      </c>
      <c r="O14" s="91">
        <v>21.2</v>
      </c>
      <c r="P14" s="92">
        <v>40.4</v>
      </c>
      <c r="Q14" s="92"/>
      <c r="R14" s="93">
        <f t="shared" si="3"/>
        <v>61.599999999999994</v>
      </c>
      <c r="S14" s="185">
        <v>2</v>
      </c>
      <c r="T14" s="839"/>
      <c r="U14" s="852"/>
      <c r="V14" s="82" t="s">
        <v>495</v>
      </c>
      <c r="W14" s="185" t="s">
        <v>17</v>
      </c>
      <c r="X14" s="185" t="s">
        <v>326</v>
      </c>
      <c r="Y14" s="83">
        <v>40.4</v>
      </c>
      <c r="Z14" s="185" t="s">
        <v>131</v>
      </c>
      <c r="AA14" s="185" t="s">
        <v>22</v>
      </c>
      <c r="AB14" s="185" t="s">
        <v>11</v>
      </c>
      <c r="AC14" s="185">
        <v>21.2</v>
      </c>
      <c r="AD14" s="82"/>
      <c r="AG14" s="83"/>
      <c r="AL14" s="82"/>
      <c r="AO14" s="83"/>
      <c r="AP14" s="82"/>
      <c r="AS14" s="83"/>
      <c r="AW14" s="83"/>
      <c r="BA14" s="84"/>
    </row>
    <row r="15" spans="1:53" s="185" customFormat="1">
      <c r="A15" s="101">
        <v>1963.05714285714</v>
      </c>
      <c r="B15" s="852"/>
      <c r="C15" s="917" t="s">
        <v>674</v>
      </c>
      <c r="D15" s="917"/>
      <c r="E15" s="185">
        <v>365</v>
      </c>
      <c r="G15" s="119">
        <v>3</v>
      </c>
      <c r="H15" s="185">
        <v>4</v>
      </c>
      <c r="J15" s="126">
        <v>7</v>
      </c>
      <c r="K15" s="92">
        <f t="shared" si="1"/>
        <v>42.857142857142854</v>
      </c>
      <c r="L15" s="92">
        <f t="shared" si="1"/>
        <v>57.142857142857139</v>
      </c>
      <c r="M15" s="92">
        <f t="shared" si="1"/>
        <v>0</v>
      </c>
      <c r="N15" s="121">
        <f t="shared" si="2"/>
        <v>100</v>
      </c>
      <c r="O15" s="91">
        <v>21.2</v>
      </c>
      <c r="P15" s="92">
        <v>40.4</v>
      </c>
      <c r="Q15" s="92"/>
      <c r="R15" s="93">
        <f t="shared" si="3"/>
        <v>61.599999999999994</v>
      </c>
      <c r="S15" s="185">
        <v>2</v>
      </c>
      <c r="T15" s="839"/>
      <c r="U15" s="852"/>
      <c r="V15" s="82" t="s">
        <v>495</v>
      </c>
      <c r="W15" s="185" t="s">
        <v>17</v>
      </c>
      <c r="X15" s="185" t="s">
        <v>326</v>
      </c>
      <c r="Y15" s="83">
        <v>40.4</v>
      </c>
      <c r="Z15" s="185" t="s">
        <v>131</v>
      </c>
      <c r="AA15" s="185" t="s">
        <v>22</v>
      </c>
      <c r="AB15" s="185" t="s">
        <v>11</v>
      </c>
      <c r="AC15" s="185">
        <v>21.2</v>
      </c>
      <c r="AD15" s="82"/>
      <c r="AG15" s="83"/>
      <c r="AL15" s="82"/>
      <c r="AO15" s="83"/>
      <c r="AP15" s="82"/>
      <c r="AS15" s="83"/>
      <c r="AW15" s="83"/>
      <c r="BA15" s="84"/>
    </row>
    <row r="16" spans="1:53" s="185" customFormat="1">
      <c r="A16" s="101">
        <v>1963.5142857142901</v>
      </c>
      <c r="B16" s="852"/>
      <c r="C16" s="917" t="s">
        <v>674</v>
      </c>
      <c r="D16" s="917"/>
      <c r="E16" s="185">
        <v>199</v>
      </c>
      <c r="G16" s="119">
        <v>3</v>
      </c>
      <c r="H16" s="185">
        <v>4</v>
      </c>
      <c r="J16" s="126">
        <v>7</v>
      </c>
      <c r="K16" s="92">
        <f t="shared" si="1"/>
        <v>42.857142857142854</v>
      </c>
      <c r="L16" s="92">
        <f t="shared" si="1"/>
        <v>57.142857142857139</v>
      </c>
      <c r="M16" s="92">
        <f t="shared" si="1"/>
        <v>0</v>
      </c>
      <c r="N16" s="121">
        <f t="shared" si="2"/>
        <v>100</v>
      </c>
      <c r="O16" s="91">
        <v>21.2</v>
      </c>
      <c r="P16" s="92">
        <v>40.4</v>
      </c>
      <c r="Q16" s="92"/>
      <c r="R16" s="93">
        <f t="shared" si="3"/>
        <v>61.599999999999994</v>
      </c>
      <c r="S16" s="185">
        <v>2</v>
      </c>
      <c r="T16" s="839"/>
      <c r="U16" s="852"/>
      <c r="V16" s="82" t="s">
        <v>495</v>
      </c>
      <c r="W16" s="185" t="s">
        <v>17</v>
      </c>
      <c r="X16" s="185" t="s">
        <v>326</v>
      </c>
      <c r="Y16" s="83">
        <v>40.4</v>
      </c>
      <c r="Z16" s="185" t="s">
        <v>131</v>
      </c>
      <c r="AA16" s="185" t="s">
        <v>22</v>
      </c>
      <c r="AB16" s="185" t="s">
        <v>11</v>
      </c>
      <c r="AC16" s="185">
        <v>21.2</v>
      </c>
      <c r="AD16" s="82"/>
      <c r="AG16" s="83"/>
      <c r="AL16" s="82"/>
      <c r="AO16" s="83"/>
      <c r="AP16" s="82"/>
      <c r="AS16" s="83"/>
      <c r="AW16" s="83"/>
      <c r="BA16" s="84"/>
    </row>
    <row r="17" spans="1:53" s="292" customFormat="1">
      <c r="A17" s="338">
        <v>1963.9714285714299</v>
      </c>
      <c r="B17" s="836">
        <v>23576</v>
      </c>
      <c r="C17" s="916" t="s">
        <v>675</v>
      </c>
      <c r="D17" s="916"/>
      <c r="E17" s="292">
        <f>366-E16</f>
        <v>167</v>
      </c>
      <c r="F17" s="292">
        <v>1</v>
      </c>
      <c r="G17" s="366"/>
      <c r="H17" s="292">
        <v>4</v>
      </c>
      <c r="I17" s="292">
        <v>4</v>
      </c>
      <c r="J17" s="377">
        <v>8</v>
      </c>
      <c r="K17" s="336">
        <f t="shared" si="1"/>
        <v>0</v>
      </c>
      <c r="L17" s="336">
        <f t="shared" si="1"/>
        <v>50</v>
      </c>
      <c r="M17" s="336">
        <f t="shared" si="1"/>
        <v>50</v>
      </c>
      <c r="N17" s="368">
        <f t="shared" si="2"/>
        <v>100</v>
      </c>
      <c r="O17" s="335"/>
      <c r="P17" s="336">
        <v>39.299999999999997</v>
      </c>
      <c r="Q17" s="336">
        <v>37.5</v>
      </c>
      <c r="R17" s="337">
        <f t="shared" si="3"/>
        <v>76.8</v>
      </c>
      <c r="S17" s="292">
        <v>2</v>
      </c>
      <c r="T17" s="838">
        <v>23535</v>
      </c>
      <c r="U17" s="836">
        <v>23576</v>
      </c>
      <c r="V17" s="299" t="s">
        <v>495</v>
      </c>
      <c r="W17" s="292" t="s">
        <v>17</v>
      </c>
      <c r="X17" s="292" t="s">
        <v>326</v>
      </c>
      <c r="Y17" s="300">
        <v>39.299999999999997</v>
      </c>
      <c r="Z17" s="292" t="s">
        <v>496</v>
      </c>
      <c r="AA17" s="292" t="s">
        <v>20</v>
      </c>
      <c r="AB17" s="292" t="s">
        <v>12</v>
      </c>
      <c r="AC17" s="292">
        <v>37.5</v>
      </c>
      <c r="AD17" s="299"/>
      <c r="AG17" s="300"/>
      <c r="AL17" s="299"/>
      <c r="AO17" s="300"/>
      <c r="AP17" s="299"/>
      <c r="AS17" s="300"/>
      <c r="AW17" s="300"/>
      <c r="BA17" s="301"/>
    </row>
    <row r="18" spans="1:53" s="292" customFormat="1">
      <c r="A18" s="338">
        <v>1965</v>
      </c>
      <c r="B18" s="836"/>
      <c r="C18" s="916" t="s">
        <v>675</v>
      </c>
      <c r="D18" s="916"/>
      <c r="E18" s="292">
        <v>0</v>
      </c>
      <c r="G18" s="366"/>
      <c r="H18" s="292">
        <v>4</v>
      </c>
      <c r="I18" s="292">
        <v>4</v>
      </c>
      <c r="J18" s="377">
        <v>8</v>
      </c>
      <c r="K18" s="336">
        <f t="shared" si="1"/>
        <v>0</v>
      </c>
      <c r="L18" s="336">
        <f t="shared" si="1"/>
        <v>50</v>
      </c>
      <c r="M18" s="336">
        <f t="shared" si="1"/>
        <v>50</v>
      </c>
      <c r="N18" s="368">
        <f t="shared" si="2"/>
        <v>100</v>
      </c>
      <c r="O18" s="335"/>
      <c r="P18" s="336">
        <v>39.299999999999997</v>
      </c>
      <c r="Q18" s="336">
        <v>37.5</v>
      </c>
      <c r="R18" s="337">
        <f t="shared" si="3"/>
        <v>76.8</v>
      </c>
      <c r="S18" s="292">
        <v>2</v>
      </c>
      <c r="T18" s="838"/>
      <c r="U18" s="836"/>
      <c r="V18" s="299" t="s">
        <v>495</v>
      </c>
      <c r="W18" s="292" t="s">
        <v>17</v>
      </c>
      <c r="X18" s="292" t="s">
        <v>326</v>
      </c>
      <c r="Y18" s="300">
        <v>39.299999999999997</v>
      </c>
      <c r="Z18" s="292" t="s">
        <v>496</v>
      </c>
      <c r="AA18" s="292" t="s">
        <v>20</v>
      </c>
      <c r="AB18" s="292" t="s">
        <v>12</v>
      </c>
      <c r="AC18" s="292">
        <v>37.5</v>
      </c>
      <c r="AD18" s="299"/>
      <c r="AG18" s="300"/>
      <c r="AL18" s="299"/>
      <c r="AO18" s="300"/>
      <c r="AP18" s="299"/>
      <c r="AS18" s="300"/>
      <c r="AW18" s="300"/>
      <c r="BA18" s="301"/>
    </row>
    <row r="19" spans="1:53" s="292" customFormat="1">
      <c r="A19" s="338">
        <v>1964.88571428572</v>
      </c>
      <c r="B19" s="836"/>
      <c r="C19" s="916" t="s">
        <v>675</v>
      </c>
      <c r="D19" s="916"/>
      <c r="E19" s="292">
        <v>365</v>
      </c>
      <c r="G19" s="366"/>
      <c r="H19" s="292">
        <v>4</v>
      </c>
      <c r="I19" s="292">
        <v>4</v>
      </c>
      <c r="J19" s="377">
        <v>8</v>
      </c>
      <c r="K19" s="336">
        <f t="shared" si="1"/>
        <v>0</v>
      </c>
      <c r="L19" s="336">
        <f t="shared" si="1"/>
        <v>50</v>
      </c>
      <c r="M19" s="336">
        <f t="shared" si="1"/>
        <v>50</v>
      </c>
      <c r="N19" s="368">
        <f t="shared" si="2"/>
        <v>100</v>
      </c>
      <c r="O19" s="335"/>
      <c r="P19" s="336">
        <v>39.299999999999997</v>
      </c>
      <c r="Q19" s="336">
        <v>37.5</v>
      </c>
      <c r="R19" s="337">
        <f t="shared" si="3"/>
        <v>76.8</v>
      </c>
      <c r="S19" s="292">
        <v>2</v>
      </c>
      <c r="T19" s="838"/>
      <c r="U19" s="836"/>
      <c r="V19" s="299" t="s">
        <v>495</v>
      </c>
      <c r="W19" s="292" t="s">
        <v>17</v>
      </c>
      <c r="X19" s="292" t="s">
        <v>326</v>
      </c>
      <c r="Y19" s="300">
        <v>39.299999999999997</v>
      </c>
      <c r="Z19" s="292" t="s">
        <v>496</v>
      </c>
      <c r="AA19" s="292" t="s">
        <v>20</v>
      </c>
      <c r="AB19" s="292" t="s">
        <v>12</v>
      </c>
      <c r="AC19" s="292">
        <v>37.5</v>
      </c>
      <c r="AD19" s="299"/>
      <c r="AG19" s="300"/>
      <c r="AL19" s="299"/>
      <c r="AO19" s="300"/>
      <c r="AP19" s="299"/>
      <c r="AS19" s="300"/>
      <c r="AW19" s="300"/>
      <c r="BA19" s="301"/>
    </row>
    <row r="20" spans="1:53" s="292" customFormat="1">
      <c r="A20" s="338">
        <v>1966</v>
      </c>
      <c r="B20" s="836"/>
      <c r="C20" s="916" t="s">
        <v>675</v>
      </c>
      <c r="D20" s="916"/>
      <c r="E20" s="292">
        <v>0</v>
      </c>
      <c r="G20" s="366"/>
      <c r="H20" s="292">
        <v>4</v>
      </c>
      <c r="I20" s="292">
        <v>4</v>
      </c>
      <c r="J20" s="377">
        <v>8</v>
      </c>
      <c r="K20" s="336">
        <f t="shared" si="1"/>
        <v>0</v>
      </c>
      <c r="L20" s="336">
        <f t="shared" si="1"/>
        <v>50</v>
      </c>
      <c r="M20" s="336">
        <f t="shared" si="1"/>
        <v>50</v>
      </c>
      <c r="N20" s="368">
        <f t="shared" si="2"/>
        <v>100</v>
      </c>
      <c r="O20" s="335"/>
      <c r="P20" s="336">
        <v>39.299999999999997</v>
      </c>
      <c r="Q20" s="336">
        <v>37.5</v>
      </c>
      <c r="R20" s="337">
        <f t="shared" si="3"/>
        <v>76.8</v>
      </c>
      <c r="S20" s="292">
        <v>2</v>
      </c>
      <c r="T20" s="838"/>
      <c r="U20" s="836"/>
      <c r="V20" s="299" t="s">
        <v>495</v>
      </c>
      <c r="W20" s="292" t="s">
        <v>17</v>
      </c>
      <c r="X20" s="292" t="s">
        <v>326</v>
      </c>
      <c r="Y20" s="300">
        <v>39.299999999999997</v>
      </c>
      <c r="Z20" s="292" t="s">
        <v>496</v>
      </c>
      <c r="AA20" s="292" t="s">
        <v>20</v>
      </c>
      <c r="AB20" s="292" t="s">
        <v>12</v>
      </c>
      <c r="AC20" s="292">
        <v>37.5</v>
      </c>
      <c r="AD20" s="299"/>
      <c r="AG20" s="300"/>
      <c r="AL20" s="299"/>
      <c r="AO20" s="300"/>
      <c r="AP20" s="299"/>
      <c r="AS20" s="300"/>
      <c r="AW20" s="300"/>
      <c r="BA20" s="301"/>
    </row>
    <row r="21" spans="1:53" s="292" customFormat="1">
      <c r="A21" s="338">
        <v>1965.8</v>
      </c>
      <c r="B21" s="836"/>
      <c r="C21" s="916" t="s">
        <v>675</v>
      </c>
      <c r="D21" s="916"/>
      <c r="E21" s="292">
        <v>365</v>
      </c>
      <c r="G21" s="366"/>
      <c r="H21" s="292">
        <v>4</v>
      </c>
      <c r="I21" s="292">
        <v>4</v>
      </c>
      <c r="J21" s="377">
        <v>8</v>
      </c>
      <c r="K21" s="336">
        <f t="shared" si="1"/>
        <v>0</v>
      </c>
      <c r="L21" s="336">
        <f t="shared" si="1"/>
        <v>50</v>
      </c>
      <c r="M21" s="336">
        <f t="shared" si="1"/>
        <v>50</v>
      </c>
      <c r="N21" s="368">
        <f t="shared" si="2"/>
        <v>100</v>
      </c>
      <c r="O21" s="335"/>
      <c r="P21" s="336">
        <v>39.299999999999997</v>
      </c>
      <c r="Q21" s="336">
        <v>37.5</v>
      </c>
      <c r="R21" s="337">
        <f t="shared" si="3"/>
        <v>76.8</v>
      </c>
      <c r="S21" s="292">
        <v>2</v>
      </c>
      <c r="T21" s="838"/>
      <c r="U21" s="836"/>
      <c r="V21" s="299" t="s">
        <v>495</v>
      </c>
      <c r="W21" s="292" t="s">
        <v>17</v>
      </c>
      <c r="X21" s="292" t="s">
        <v>326</v>
      </c>
      <c r="Y21" s="300">
        <v>39.299999999999997</v>
      </c>
      <c r="Z21" s="292" t="s">
        <v>496</v>
      </c>
      <c r="AA21" s="292" t="s">
        <v>20</v>
      </c>
      <c r="AB21" s="292" t="s">
        <v>12</v>
      </c>
      <c r="AC21" s="292">
        <v>37.5</v>
      </c>
      <c r="AD21" s="299"/>
      <c r="AG21" s="300"/>
      <c r="AL21" s="299"/>
      <c r="AO21" s="300"/>
      <c r="AP21" s="299"/>
      <c r="AS21" s="300"/>
      <c r="AW21" s="300"/>
      <c r="BA21" s="301"/>
    </row>
    <row r="22" spans="1:53" s="292" customFormat="1">
      <c r="A22" s="338">
        <v>1967</v>
      </c>
      <c r="B22" s="836"/>
      <c r="C22" s="916" t="s">
        <v>675</v>
      </c>
      <c r="D22" s="916"/>
      <c r="E22" s="292">
        <v>3</v>
      </c>
      <c r="G22" s="366"/>
      <c r="H22" s="292">
        <v>4</v>
      </c>
      <c r="I22" s="292">
        <v>4</v>
      </c>
      <c r="J22" s="377">
        <v>8</v>
      </c>
      <c r="K22" s="336">
        <f t="shared" si="1"/>
        <v>0</v>
      </c>
      <c r="L22" s="336">
        <f t="shared" si="1"/>
        <v>50</v>
      </c>
      <c r="M22" s="336">
        <f t="shared" si="1"/>
        <v>50</v>
      </c>
      <c r="N22" s="368">
        <f t="shared" si="2"/>
        <v>100</v>
      </c>
      <c r="O22" s="335"/>
      <c r="P22" s="336">
        <v>39.299999999999997</v>
      </c>
      <c r="Q22" s="336">
        <v>37.5</v>
      </c>
      <c r="R22" s="337">
        <f t="shared" si="3"/>
        <v>76.8</v>
      </c>
      <c r="S22" s="292">
        <v>2</v>
      </c>
      <c r="T22" s="838"/>
      <c r="U22" s="836"/>
      <c r="V22" s="299" t="s">
        <v>495</v>
      </c>
      <c r="W22" s="292" t="s">
        <v>17</v>
      </c>
      <c r="X22" s="292" t="s">
        <v>326</v>
      </c>
      <c r="Y22" s="300">
        <v>39.299999999999997</v>
      </c>
      <c r="Z22" s="292" t="s">
        <v>496</v>
      </c>
      <c r="AA22" s="292" t="s">
        <v>20</v>
      </c>
      <c r="AB22" s="292" t="s">
        <v>12</v>
      </c>
      <c r="AC22" s="292">
        <v>37.5</v>
      </c>
      <c r="AD22" s="299"/>
      <c r="AG22" s="300"/>
      <c r="AL22" s="299"/>
      <c r="AO22" s="300"/>
      <c r="AP22" s="299"/>
      <c r="AS22" s="300"/>
      <c r="AW22" s="300"/>
      <c r="BA22" s="301"/>
    </row>
    <row r="23" spans="1:53" s="185" customFormat="1">
      <c r="A23" s="101">
        <v>1966.7142857142901</v>
      </c>
      <c r="B23" s="852">
        <v>24476</v>
      </c>
      <c r="C23" s="917" t="s">
        <v>676</v>
      </c>
      <c r="D23" s="917"/>
      <c r="E23" s="185">
        <f>365-E22</f>
        <v>362</v>
      </c>
      <c r="F23" s="185">
        <v>5</v>
      </c>
      <c r="G23" s="119"/>
      <c r="H23" s="185">
        <v>4</v>
      </c>
      <c r="I23" s="185">
        <v>4</v>
      </c>
      <c r="J23" s="126">
        <v>8</v>
      </c>
      <c r="K23" s="92">
        <f t="shared" si="1"/>
        <v>0</v>
      </c>
      <c r="L23" s="92">
        <f t="shared" si="1"/>
        <v>50</v>
      </c>
      <c r="M23" s="92">
        <f t="shared" si="1"/>
        <v>50</v>
      </c>
      <c r="N23" s="121">
        <f t="shared" si="2"/>
        <v>100</v>
      </c>
      <c r="O23" s="91"/>
      <c r="P23" s="92">
        <v>39.299999999999997</v>
      </c>
      <c r="Q23" s="92">
        <v>37.5</v>
      </c>
      <c r="R23" s="93">
        <f t="shared" si="3"/>
        <v>76.8</v>
      </c>
      <c r="S23" s="185">
        <v>2</v>
      </c>
      <c r="T23" s="839"/>
      <c r="U23" s="852">
        <v>24476</v>
      </c>
      <c r="V23" s="82" t="s">
        <v>495</v>
      </c>
      <c r="W23" s="185" t="s">
        <v>17</v>
      </c>
      <c r="X23" s="185" t="s">
        <v>326</v>
      </c>
      <c r="Y23" s="83">
        <v>39.299999999999997</v>
      </c>
      <c r="Z23" s="185" t="s">
        <v>496</v>
      </c>
      <c r="AA23" s="185" t="s">
        <v>20</v>
      </c>
      <c r="AB23" s="185" t="s">
        <v>12</v>
      </c>
      <c r="AC23" s="185">
        <v>37.5</v>
      </c>
      <c r="AD23" s="82"/>
      <c r="AG23" s="83"/>
      <c r="AL23" s="82"/>
      <c r="AO23" s="83"/>
      <c r="AP23" s="82"/>
      <c r="AS23" s="83"/>
      <c r="AW23" s="83"/>
      <c r="BA23" s="84"/>
    </row>
    <row r="24" spans="1:53" s="185" customFormat="1">
      <c r="A24" s="101">
        <v>1968</v>
      </c>
      <c r="B24" s="852"/>
      <c r="C24" s="917" t="s">
        <v>676</v>
      </c>
      <c r="D24" s="917"/>
      <c r="E24" s="185">
        <v>0</v>
      </c>
      <c r="G24" s="119"/>
      <c r="H24" s="185">
        <v>4</v>
      </c>
      <c r="I24" s="185">
        <v>4</v>
      </c>
      <c r="J24" s="126">
        <v>8</v>
      </c>
      <c r="K24" s="92">
        <f t="shared" si="1"/>
        <v>0</v>
      </c>
      <c r="L24" s="92">
        <f t="shared" si="1"/>
        <v>50</v>
      </c>
      <c r="M24" s="92">
        <f t="shared" si="1"/>
        <v>50</v>
      </c>
      <c r="N24" s="121">
        <f t="shared" si="2"/>
        <v>100</v>
      </c>
      <c r="O24" s="91"/>
      <c r="P24" s="92">
        <v>39.299999999999997</v>
      </c>
      <c r="Q24" s="92">
        <v>37.5</v>
      </c>
      <c r="R24" s="93">
        <f t="shared" si="3"/>
        <v>76.8</v>
      </c>
      <c r="S24" s="185">
        <v>2</v>
      </c>
      <c r="T24" s="839"/>
      <c r="U24" s="852"/>
      <c r="V24" s="82" t="s">
        <v>495</v>
      </c>
      <c r="W24" s="185" t="s">
        <v>17</v>
      </c>
      <c r="X24" s="185" t="s">
        <v>326</v>
      </c>
      <c r="Y24" s="83">
        <v>39.299999999999997</v>
      </c>
      <c r="Z24" s="185" t="s">
        <v>496</v>
      </c>
      <c r="AA24" s="185" t="s">
        <v>20</v>
      </c>
      <c r="AB24" s="185" t="s">
        <v>12</v>
      </c>
      <c r="AC24" s="185">
        <v>37.5</v>
      </c>
      <c r="AD24" s="82"/>
      <c r="AG24" s="83"/>
      <c r="AL24" s="82"/>
      <c r="AO24" s="83"/>
      <c r="AP24" s="82"/>
      <c r="AS24" s="83"/>
      <c r="AW24" s="83"/>
      <c r="BA24" s="84"/>
    </row>
    <row r="25" spans="1:53" s="185" customFormat="1">
      <c r="A25" s="101">
        <v>1967.62857142857</v>
      </c>
      <c r="B25" s="852"/>
      <c r="C25" s="917" t="s">
        <v>676</v>
      </c>
      <c r="D25" s="917"/>
      <c r="E25" s="185">
        <v>366</v>
      </c>
      <c r="G25" s="119"/>
      <c r="H25" s="185">
        <v>4</v>
      </c>
      <c r="I25" s="185">
        <v>4</v>
      </c>
      <c r="J25" s="126">
        <v>8</v>
      </c>
      <c r="K25" s="92">
        <f t="shared" si="1"/>
        <v>0</v>
      </c>
      <c r="L25" s="92">
        <f t="shared" si="1"/>
        <v>50</v>
      </c>
      <c r="M25" s="92">
        <f t="shared" si="1"/>
        <v>50</v>
      </c>
      <c r="N25" s="121">
        <f t="shared" si="2"/>
        <v>100</v>
      </c>
      <c r="O25" s="91"/>
      <c r="P25" s="92">
        <v>39.299999999999997</v>
      </c>
      <c r="Q25" s="92">
        <v>37.5</v>
      </c>
      <c r="R25" s="93">
        <f t="shared" si="3"/>
        <v>76.8</v>
      </c>
      <c r="S25" s="185">
        <v>2</v>
      </c>
      <c r="T25" s="839">
        <v>25187</v>
      </c>
      <c r="U25" s="852"/>
      <c r="V25" s="82" t="s">
        <v>495</v>
      </c>
      <c r="W25" s="185" t="s">
        <v>17</v>
      </c>
      <c r="X25" s="185" t="s">
        <v>326</v>
      </c>
      <c r="Y25" s="83">
        <v>39.299999999999997</v>
      </c>
      <c r="Z25" s="185" t="s">
        <v>496</v>
      </c>
      <c r="AA25" s="185" t="s">
        <v>20</v>
      </c>
      <c r="AB25" s="185" t="s">
        <v>12</v>
      </c>
      <c r="AC25" s="185">
        <v>37.5</v>
      </c>
      <c r="AD25" s="82"/>
      <c r="AG25" s="83"/>
      <c r="AL25" s="82"/>
      <c r="AO25" s="83"/>
      <c r="AP25" s="82"/>
      <c r="AS25" s="83"/>
      <c r="AW25" s="83"/>
      <c r="BA25" s="84"/>
    </row>
    <row r="26" spans="1:53" s="185" customFormat="1">
      <c r="A26" s="101">
        <v>1969</v>
      </c>
      <c r="B26" s="852"/>
      <c r="C26" s="917" t="s">
        <v>676</v>
      </c>
      <c r="D26" s="917"/>
      <c r="E26" s="185">
        <v>30</v>
      </c>
      <c r="G26" s="119"/>
      <c r="H26" s="185">
        <v>4</v>
      </c>
      <c r="I26" s="185">
        <v>4</v>
      </c>
      <c r="J26" s="126">
        <v>8</v>
      </c>
      <c r="K26" s="92">
        <f t="shared" si="1"/>
        <v>0</v>
      </c>
      <c r="L26" s="92">
        <f t="shared" si="1"/>
        <v>50</v>
      </c>
      <c r="M26" s="92">
        <f t="shared" si="1"/>
        <v>50</v>
      </c>
      <c r="N26" s="121">
        <f t="shared" si="2"/>
        <v>100</v>
      </c>
      <c r="O26" s="91"/>
      <c r="P26" s="92">
        <v>39.299999999999997</v>
      </c>
      <c r="Q26" s="92">
        <v>37.5</v>
      </c>
      <c r="R26" s="93">
        <f t="shared" si="3"/>
        <v>76.8</v>
      </c>
      <c r="S26" s="185">
        <v>2</v>
      </c>
      <c r="T26" s="839"/>
      <c r="U26" s="852"/>
      <c r="V26" s="82" t="s">
        <v>495</v>
      </c>
      <c r="W26" s="185" t="s">
        <v>17</v>
      </c>
      <c r="X26" s="185" t="s">
        <v>326</v>
      </c>
      <c r="Y26" s="83">
        <v>39.299999999999997</v>
      </c>
      <c r="Z26" s="185" t="s">
        <v>496</v>
      </c>
      <c r="AA26" s="185" t="s">
        <v>20</v>
      </c>
      <c r="AB26" s="185" t="s">
        <v>12</v>
      </c>
      <c r="AC26" s="185">
        <v>37.5</v>
      </c>
      <c r="AD26" s="82"/>
      <c r="AG26" s="83"/>
      <c r="AL26" s="82"/>
      <c r="AO26" s="83"/>
      <c r="AP26" s="82"/>
      <c r="AS26" s="83"/>
      <c r="AW26" s="83"/>
      <c r="BA26" s="84"/>
    </row>
    <row r="27" spans="1:53" s="292" customFormat="1">
      <c r="A27" s="338">
        <v>1968.5428571428599</v>
      </c>
      <c r="B27" s="836">
        <v>25234</v>
      </c>
      <c r="C27" s="916" t="s">
        <v>677</v>
      </c>
      <c r="D27" s="916"/>
      <c r="E27" s="292">
        <f>365-E26</f>
        <v>335</v>
      </c>
      <c r="F27" s="292">
        <v>4</v>
      </c>
      <c r="G27" s="366">
        <v>3</v>
      </c>
      <c r="H27" s="292">
        <v>4</v>
      </c>
      <c r="J27" s="377">
        <v>7</v>
      </c>
      <c r="K27" s="336">
        <f t="shared" si="1"/>
        <v>42.857142857142854</v>
      </c>
      <c r="L27" s="336">
        <f t="shared" si="1"/>
        <v>57.142857142857139</v>
      </c>
      <c r="M27" s="336">
        <f t="shared" si="1"/>
        <v>0</v>
      </c>
      <c r="N27" s="368">
        <f t="shared" si="2"/>
        <v>100</v>
      </c>
      <c r="O27" s="335">
        <v>19.600000000000001</v>
      </c>
      <c r="P27" s="336">
        <v>37.5</v>
      </c>
      <c r="Q27" s="336"/>
      <c r="R27" s="337">
        <f t="shared" si="3"/>
        <v>57.1</v>
      </c>
      <c r="S27" s="292">
        <v>2</v>
      </c>
      <c r="T27" s="838"/>
      <c r="U27" s="836">
        <v>25234</v>
      </c>
      <c r="V27" s="299" t="s">
        <v>495</v>
      </c>
      <c r="W27" s="292" t="s">
        <v>17</v>
      </c>
      <c r="X27" s="292" t="s">
        <v>326</v>
      </c>
      <c r="Y27" s="300">
        <v>37.5</v>
      </c>
      <c r="Z27" s="292" t="s">
        <v>131</v>
      </c>
      <c r="AA27" s="292" t="s">
        <v>22</v>
      </c>
      <c r="AB27" s="292" t="s">
        <v>11</v>
      </c>
      <c r="AC27" s="292">
        <v>19.600000000000001</v>
      </c>
      <c r="AD27" s="299"/>
      <c r="AG27" s="300"/>
      <c r="AL27" s="299"/>
      <c r="AO27" s="300"/>
      <c r="AP27" s="299"/>
      <c r="AS27" s="300"/>
      <c r="AW27" s="300"/>
      <c r="BA27" s="301"/>
    </row>
    <row r="28" spans="1:53" s="292" customFormat="1">
      <c r="A28" s="338">
        <v>1970</v>
      </c>
      <c r="B28" s="836"/>
      <c r="C28" s="916" t="s">
        <v>677</v>
      </c>
      <c r="D28" s="916"/>
      <c r="E28" s="292">
        <v>0</v>
      </c>
      <c r="G28" s="366">
        <v>3</v>
      </c>
      <c r="H28" s="292">
        <v>4</v>
      </c>
      <c r="J28" s="377">
        <v>7</v>
      </c>
      <c r="K28" s="336">
        <f t="shared" si="1"/>
        <v>42.857142857142854</v>
      </c>
      <c r="L28" s="336">
        <f t="shared" si="1"/>
        <v>57.142857142857139</v>
      </c>
      <c r="M28" s="336">
        <f t="shared" si="1"/>
        <v>0</v>
      </c>
      <c r="N28" s="368">
        <f t="shared" si="2"/>
        <v>100</v>
      </c>
      <c r="O28" s="335">
        <v>19.600000000000001</v>
      </c>
      <c r="P28" s="336">
        <v>37.5</v>
      </c>
      <c r="Q28" s="336"/>
      <c r="R28" s="337">
        <f t="shared" si="3"/>
        <v>57.1</v>
      </c>
      <c r="S28" s="292">
        <v>2</v>
      </c>
      <c r="T28" s="838"/>
      <c r="U28" s="836"/>
      <c r="V28" s="299" t="s">
        <v>495</v>
      </c>
      <c r="W28" s="292" t="s">
        <v>17</v>
      </c>
      <c r="X28" s="292" t="s">
        <v>326</v>
      </c>
      <c r="Y28" s="300">
        <v>37.5</v>
      </c>
      <c r="Z28" s="292" t="s">
        <v>131</v>
      </c>
      <c r="AA28" s="292" t="s">
        <v>22</v>
      </c>
      <c r="AB28" s="292" t="s">
        <v>11</v>
      </c>
      <c r="AC28" s="292">
        <v>19.600000000000001</v>
      </c>
      <c r="AD28" s="299"/>
      <c r="AG28" s="300"/>
      <c r="AL28" s="299"/>
      <c r="AO28" s="300"/>
      <c r="AP28" s="299"/>
      <c r="AS28" s="300"/>
      <c r="AW28" s="300"/>
      <c r="BA28" s="301"/>
    </row>
    <row r="29" spans="1:53" s="292" customFormat="1">
      <c r="A29" s="338">
        <v>1970</v>
      </c>
      <c r="B29" s="836"/>
      <c r="C29" s="916" t="s">
        <v>677</v>
      </c>
      <c r="D29" s="916"/>
      <c r="E29" s="292">
        <v>365</v>
      </c>
      <c r="G29" s="366">
        <v>3</v>
      </c>
      <c r="H29" s="292">
        <v>4</v>
      </c>
      <c r="J29" s="377">
        <v>7</v>
      </c>
      <c r="K29" s="336">
        <f t="shared" si="1"/>
        <v>42.857142857142854</v>
      </c>
      <c r="L29" s="336">
        <f t="shared" si="1"/>
        <v>57.142857142857139</v>
      </c>
      <c r="M29" s="336">
        <f t="shared" si="1"/>
        <v>0</v>
      </c>
      <c r="N29" s="368">
        <f t="shared" si="2"/>
        <v>100</v>
      </c>
      <c r="O29" s="335">
        <v>19.600000000000001</v>
      </c>
      <c r="P29" s="336">
        <v>37.5</v>
      </c>
      <c r="Q29" s="336"/>
      <c r="R29" s="337">
        <f t="shared" si="3"/>
        <v>57.1</v>
      </c>
      <c r="S29" s="292">
        <v>2</v>
      </c>
      <c r="T29" s="838"/>
      <c r="U29" s="836"/>
      <c r="V29" s="299" t="s">
        <v>495</v>
      </c>
      <c r="W29" s="292" t="s">
        <v>17</v>
      </c>
      <c r="X29" s="292" t="s">
        <v>326</v>
      </c>
      <c r="Y29" s="300">
        <v>37.5</v>
      </c>
      <c r="Z29" s="292" t="s">
        <v>131</v>
      </c>
      <c r="AA29" s="292" t="s">
        <v>22</v>
      </c>
      <c r="AB29" s="292" t="s">
        <v>11</v>
      </c>
      <c r="AC29" s="292">
        <v>19.600000000000001</v>
      </c>
      <c r="AD29" s="299"/>
      <c r="AG29" s="300"/>
      <c r="AL29" s="299"/>
      <c r="AO29" s="300"/>
      <c r="AP29" s="299"/>
      <c r="AS29" s="300"/>
      <c r="AW29" s="300"/>
      <c r="BA29" s="301"/>
    </row>
    <row r="30" spans="1:53" s="292" customFormat="1">
      <c r="A30" s="338">
        <v>1971</v>
      </c>
      <c r="B30" s="836"/>
      <c r="C30" s="916" t="s">
        <v>677</v>
      </c>
      <c r="D30" s="916"/>
      <c r="E30" s="292">
        <v>0</v>
      </c>
      <c r="G30" s="366">
        <v>3</v>
      </c>
      <c r="H30" s="292">
        <v>4</v>
      </c>
      <c r="J30" s="377">
        <v>7</v>
      </c>
      <c r="K30" s="336">
        <f t="shared" si="1"/>
        <v>42.857142857142854</v>
      </c>
      <c r="L30" s="336">
        <f t="shared" si="1"/>
        <v>57.142857142857139</v>
      </c>
      <c r="M30" s="336">
        <f t="shared" si="1"/>
        <v>0</v>
      </c>
      <c r="N30" s="368">
        <f t="shared" si="2"/>
        <v>100</v>
      </c>
      <c r="O30" s="335">
        <v>19.600000000000001</v>
      </c>
      <c r="P30" s="336">
        <v>37.5</v>
      </c>
      <c r="Q30" s="336"/>
      <c r="R30" s="337">
        <f t="shared" si="3"/>
        <v>57.1</v>
      </c>
      <c r="S30" s="292">
        <v>2</v>
      </c>
      <c r="T30" s="838"/>
      <c r="U30" s="836"/>
      <c r="V30" s="299" t="s">
        <v>495</v>
      </c>
      <c r="W30" s="292" t="s">
        <v>17</v>
      </c>
      <c r="X30" s="292" t="s">
        <v>326</v>
      </c>
      <c r="Y30" s="300">
        <v>37.5</v>
      </c>
      <c r="Z30" s="292" t="s">
        <v>131</v>
      </c>
      <c r="AA30" s="292" t="s">
        <v>22</v>
      </c>
      <c r="AB30" s="292" t="s">
        <v>11</v>
      </c>
      <c r="AC30" s="292">
        <v>19.600000000000001</v>
      </c>
      <c r="AD30" s="299"/>
      <c r="AG30" s="300"/>
      <c r="AL30" s="299"/>
      <c r="AO30" s="300"/>
      <c r="AP30" s="299"/>
      <c r="AS30" s="300"/>
      <c r="AW30" s="300"/>
      <c r="BA30" s="301"/>
    </row>
    <row r="31" spans="1:53" s="292" customFormat="1">
      <c r="A31" s="338">
        <v>1971</v>
      </c>
      <c r="B31" s="836"/>
      <c r="C31" s="916" t="s">
        <v>677</v>
      </c>
      <c r="D31" s="916"/>
      <c r="E31" s="292">
        <v>365</v>
      </c>
      <c r="G31" s="366">
        <v>3</v>
      </c>
      <c r="H31" s="292">
        <v>4</v>
      </c>
      <c r="J31" s="377">
        <v>7</v>
      </c>
      <c r="K31" s="336">
        <f t="shared" si="1"/>
        <v>42.857142857142854</v>
      </c>
      <c r="L31" s="336">
        <f t="shared" si="1"/>
        <v>57.142857142857139</v>
      </c>
      <c r="M31" s="336">
        <f t="shared" si="1"/>
        <v>0</v>
      </c>
      <c r="N31" s="368">
        <f t="shared" si="2"/>
        <v>100</v>
      </c>
      <c r="O31" s="335">
        <v>19.600000000000001</v>
      </c>
      <c r="P31" s="336">
        <v>37.5</v>
      </c>
      <c r="Q31" s="336"/>
      <c r="R31" s="337">
        <f t="shared" si="3"/>
        <v>57.1</v>
      </c>
      <c r="S31" s="292">
        <v>2</v>
      </c>
      <c r="T31" s="838"/>
      <c r="U31" s="836"/>
      <c r="V31" s="299" t="s">
        <v>495</v>
      </c>
      <c r="W31" s="292" t="s">
        <v>17</v>
      </c>
      <c r="X31" s="292" t="s">
        <v>326</v>
      </c>
      <c r="Y31" s="300">
        <v>37.5</v>
      </c>
      <c r="Z31" s="292" t="s">
        <v>131</v>
      </c>
      <c r="AA31" s="292" t="s">
        <v>22</v>
      </c>
      <c r="AB31" s="292" t="s">
        <v>11</v>
      </c>
      <c r="AC31" s="292">
        <v>19.600000000000001</v>
      </c>
      <c r="AD31" s="299"/>
      <c r="AG31" s="300"/>
      <c r="AL31" s="299"/>
      <c r="AO31" s="300"/>
      <c r="AP31" s="299"/>
      <c r="AS31" s="300"/>
      <c r="AW31" s="300"/>
      <c r="BA31" s="301"/>
    </row>
    <row r="32" spans="1:53" s="292" customFormat="1">
      <c r="A32" s="338">
        <v>1972</v>
      </c>
      <c r="B32" s="836"/>
      <c r="C32" s="916" t="s">
        <v>677</v>
      </c>
      <c r="D32" s="916"/>
      <c r="E32" s="292">
        <v>0</v>
      </c>
      <c r="G32" s="366">
        <v>3</v>
      </c>
      <c r="H32" s="292">
        <v>4</v>
      </c>
      <c r="J32" s="377">
        <v>7</v>
      </c>
      <c r="K32" s="336">
        <f t="shared" si="1"/>
        <v>42.857142857142854</v>
      </c>
      <c r="L32" s="336">
        <f t="shared" si="1"/>
        <v>57.142857142857139</v>
      </c>
      <c r="M32" s="336">
        <f t="shared" si="1"/>
        <v>0</v>
      </c>
      <c r="N32" s="368">
        <f t="shared" si="2"/>
        <v>100</v>
      </c>
      <c r="O32" s="335">
        <v>19.600000000000001</v>
      </c>
      <c r="P32" s="336">
        <v>37.5</v>
      </c>
      <c r="Q32" s="336"/>
      <c r="R32" s="337">
        <f t="shared" si="3"/>
        <v>57.1</v>
      </c>
      <c r="S32" s="292">
        <v>2</v>
      </c>
      <c r="T32" s="838"/>
      <c r="U32" s="836"/>
      <c r="V32" s="299" t="s">
        <v>495</v>
      </c>
      <c r="W32" s="292" t="s">
        <v>17</v>
      </c>
      <c r="X32" s="292" t="s">
        <v>326</v>
      </c>
      <c r="Y32" s="300">
        <v>37.5</v>
      </c>
      <c r="Z32" s="292" t="s">
        <v>131</v>
      </c>
      <c r="AA32" s="292" t="s">
        <v>22</v>
      </c>
      <c r="AB32" s="292" t="s">
        <v>11</v>
      </c>
      <c r="AC32" s="292">
        <v>19.600000000000001</v>
      </c>
      <c r="AD32" s="299"/>
      <c r="AG32" s="300"/>
      <c r="AL32" s="299"/>
      <c r="AO32" s="300"/>
      <c r="AP32" s="299"/>
      <c r="AS32" s="300"/>
      <c r="AW32" s="300"/>
      <c r="BA32" s="301"/>
    </row>
    <row r="33" spans="1:53" s="292" customFormat="1">
      <c r="A33" s="338">
        <v>1972</v>
      </c>
      <c r="B33" s="836"/>
      <c r="C33" s="916" t="s">
        <v>677</v>
      </c>
      <c r="D33" s="916"/>
      <c r="E33" s="292">
        <v>366</v>
      </c>
      <c r="G33" s="366">
        <v>3</v>
      </c>
      <c r="H33" s="292">
        <v>4</v>
      </c>
      <c r="J33" s="377">
        <v>7</v>
      </c>
      <c r="K33" s="336">
        <f t="shared" si="1"/>
        <v>42.857142857142854</v>
      </c>
      <c r="L33" s="336">
        <f t="shared" si="1"/>
        <v>57.142857142857139</v>
      </c>
      <c r="M33" s="336">
        <f t="shared" si="1"/>
        <v>0</v>
      </c>
      <c r="N33" s="368">
        <f t="shared" si="2"/>
        <v>100</v>
      </c>
      <c r="O33" s="335">
        <v>19.600000000000001</v>
      </c>
      <c r="P33" s="336">
        <v>37.5</v>
      </c>
      <c r="Q33" s="336"/>
      <c r="R33" s="337">
        <f t="shared" si="3"/>
        <v>57.1</v>
      </c>
      <c r="S33" s="292">
        <v>2</v>
      </c>
      <c r="T33" s="838"/>
      <c r="U33" s="836"/>
      <c r="V33" s="299" t="s">
        <v>495</v>
      </c>
      <c r="W33" s="292" t="s">
        <v>17</v>
      </c>
      <c r="X33" s="292" t="s">
        <v>326</v>
      </c>
      <c r="Y33" s="300">
        <v>37.5</v>
      </c>
      <c r="Z33" s="292" t="s">
        <v>131</v>
      </c>
      <c r="AA33" s="292" t="s">
        <v>22</v>
      </c>
      <c r="AB33" s="292" t="s">
        <v>11</v>
      </c>
      <c r="AC33" s="292">
        <v>19.600000000000001</v>
      </c>
      <c r="AD33" s="299"/>
      <c r="AG33" s="300"/>
      <c r="AL33" s="299"/>
      <c r="AO33" s="300"/>
      <c r="AP33" s="299"/>
      <c r="AS33" s="300"/>
      <c r="AW33" s="300"/>
      <c r="BA33" s="301"/>
    </row>
    <row r="34" spans="1:53" s="292" customFormat="1">
      <c r="A34" s="338">
        <v>1973</v>
      </c>
      <c r="B34" s="836"/>
      <c r="C34" s="916" t="s">
        <v>677</v>
      </c>
      <c r="D34" s="916"/>
      <c r="E34" s="292">
        <v>0</v>
      </c>
      <c r="G34" s="366">
        <v>3</v>
      </c>
      <c r="H34" s="292">
        <v>4</v>
      </c>
      <c r="J34" s="377">
        <v>7</v>
      </c>
      <c r="K34" s="336">
        <f t="shared" si="1"/>
        <v>42.857142857142854</v>
      </c>
      <c r="L34" s="336">
        <f t="shared" si="1"/>
        <v>57.142857142857139</v>
      </c>
      <c r="M34" s="336">
        <f t="shared" si="1"/>
        <v>0</v>
      </c>
      <c r="N34" s="368">
        <f t="shared" si="2"/>
        <v>100</v>
      </c>
      <c r="O34" s="335">
        <v>19.600000000000001</v>
      </c>
      <c r="P34" s="336">
        <v>37.5</v>
      </c>
      <c r="Q34" s="336"/>
      <c r="R34" s="337">
        <f t="shared" si="3"/>
        <v>57.1</v>
      </c>
      <c r="S34" s="292">
        <v>2</v>
      </c>
      <c r="T34" s="838"/>
      <c r="U34" s="836"/>
      <c r="V34" s="299" t="s">
        <v>495</v>
      </c>
      <c r="W34" s="292" t="s">
        <v>17</v>
      </c>
      <c r="X34" s="292" t="s">
        <v>326</v>
      </c>
      <c r="Y34" s="300">
        <v>37.5</v>
      </c>
      <c r="Z34" s="292" t="s">
        <v>131</v>
      </c>
      <c r="AA34" s="292" t="s">
        <v>22</v>
      </c>
      <c r="AB34" s="292" t="s">
        <v>11</v>
      </c>
      <c r="AC34" s="292">
        <v>19.600000000000001</v>
      </c>
      <c r="AD34" s="299"/>
      <c r="AG34" s="300"/>
      <c r="AL34" s="299"/>
      <c r="AO34" s="300"/>
      <c r="AP34" s="299"/>
      <c r="AS34" s="300"/>
      <c r="AW34" s="300"/>
      <c r="BA34" s="301"/>
    </row>
    <row r="35" spans="1:53" s="292" customFormat="1">
      <c r="A35" s="338">
        <v>1973</v>
      </c>
      <c r="B35" s="836"/>
      <c r="C35" s="916" t="s">
        <v>677</v>
      </c>
      <c r="D35" s="916"/>
      <c r="E35" s="292">
        <v>365</v>
      </c>
      <c r="G35" s="366">
        <v>3</v>
      </c>
      <c r="H35" s="292">
        <v>4</v>
      </c>
      <c r="J35" s="377">
        <v>7</v>
      </c>
      <c r="K35" s="336">
        <f t="shared" si="1"/>
        <v>42.857142857142854</v>
      </c>
      <c r="L35" s="336">
        <f t="shared" si="1"/>
        <v>57.142857142857139</v>
      </c>
      <c r="M35" s="336">
        <f t="shared" si="1"/>
        <v>0</v>
      </c>
      <c r="N35" s="368">
        <f t="shared" si="2"/>
        <v>100</v>
      </c>
      <c r="O35" s="335">
        <v>19.600000000000001</v>
      </c>
      <c r="P35" s="336">
        <v>37.5</v>
      </c>
      <c r="Q35" s="336"/>
      <c r="R35" s="337">
        <f t="shared" si="3"/>
        <v>57.1</v>
      </c>
      <c r="S35" s="292">
        <v>2</v>
      </c>
      <c r="T35" s="838"/>
      <c r="U35" s="836"/>
      <c r="V35" s="299" t="s">
        <v>495</v>
      </c>
      <c r="W35" s="292" t="s">
        <v>17</v>
      </c>
      <c r="X35" s="292" t="s">
        <v>326</v>
      </c>
      <c r="Y35" s="300">
        <v>37.5</v>
      </c>
      <c r="Z35" s="292" t="s">
        <v>131</v>
      </c>
      <c r="AA35" s="292" t="s">
        <v>22</v>
      </c>
      <c r="AB35" s="292" t="s">
        <v>11</v>
      </c>
      <c r="AC35" s="292">
        <v>19.600000000000001</v>
      </c>
      <c r="AD35" s="299"/>
      <c r="AG35" s="300"/>
      <c r="AL35" s="299"/>
      <c r="AO35" s="300"/>
      <c r="AP35" s="299"/>
      <c r="AS35" s="300"/>
      <c r="AW35" s="300"/>
      <c r="BA35" s="301"/>
    </row>
    <row r="36" spans="1:53" s="292" customFormat="1">
      <c r="A36" s="338">
        <v>1974</v>
      </c>
      <c r="B36" s="836"/>
      <c r="C36" s="916" t="s">
        <v>677</v>
      </c>
      <c r="D36" s="916"/>
      <c r="E36" s="292">
        <v>165</v>
      </c>
      <c r="G36" s="366">
        <v>3</v>
      </c>
      <c r="H36" s="292">
        <v>4</v>
      </c>
      <c r="J36" s="377">
        <v>7</v>
      </c>
      <c r="K36" s="336">
        <f t="shared" si="1"/>
        <v>42.857142857142854</v>
      </c>
      <c r="L36" s="336">
        <f t="shared" si="1"/>
        <v>57.142857142857139</v>
      </c>
      <c r="M36" s="336">
        <f t="shared" si="1"/>
        <v>0</v>
      </c>
      <c r="N36" s="368">
        <f t="shared" si="2"/>
        <v>100</v>
      </c>
      <c r="O36" s="335">
        <v>19.600000000000001</v>
      </c>
      <c r="P36" s="336">
        <v>37.5</v>
      </c>
      <c r="Q36" s="336"/>
      <c r="R36" s="337">
        <f t="shared" si="3"/>
        <v>57.1</v>
      </c>
      <c r="S36" s="292">
        <v>2</v>
      </c>
      <c r="T36" s="838"/>
      <c r="U36" s="836"/>
      <c r="V36" s="299" t="s">
        <v>495</v>
      </c>
      <c r="W36" s="292" t="s">
        <v>17</v>
      </c>
      <c r="X36" s="292" t="s">
        <v>326</v>
      </c>
      <c r="Y36" s="300">
        <v>37.5</v>
      </c>
      <c r="Z36" s="292" t="s">
        <v>131</v>
      </c>
      <c r="AA36" s="292" t="s">
        <v>22</v>
      </c>
      <c r="AB36" s="292" t="s">
        <v>11</v>
      </c>
      <c r="AC36" s="292">
        <v>19.600000000000001</v>
      </c>
      <c r="AD36" s="299"/>
      <c r="AG36" s="300"/>
      <c r="AL36" s="299"/>
      <c r="AO36" s="300"/>
      <c r="AP36" s="299"/>
      <c r="AS36" s="300"/>
      <c r="AW36" s="300"/>
      <c r="BA36" s="301"/>
    </row>
    <row r="37" spans="1:53" s="185" customFormat="1">
      <c r="A37" s="101">
        <v>1974</v>
      </c>
      <c r="B37" s="852">
        <v>27195</v>
      </c>
      <c r="C37" s="917" t="s">
        <v>678</v>
      </c>
      <c r="D37" s="917"/>
      <c r="E37" s="185">
        <f>365-E36</f>
        <v>200</v>
      </c>
      <c r="F37" s="185">
        <v>1</v>
      </c>
      <c r="G37" s="119">
        <v>4</v>
      </c>
      <c r="I37" s="185">
        <v>4</v>
      </c>
      <c r="J37" s="126">
        <v>8</v>
      </c>
      <c r="K37" s="92">
        <f t="shared" si="1"/>
        <v>50</v>
      </c>
      <c r="L37" s="92">
        <f t="shared" si="1"/>
        <v>0</v>
      </c>
      <c r="M37" s="92">
        <f t="shared" si="1"/>
        <v>50</v>
      </c>
      <c r="N37" s="121">
        <f t="shared" si="2"/>
        <v>100</v>
      </c>
      <c r="O37" s="91">
        <v>23.7</v>
      </c>
      <c r="P37" s="92"/>
      <c r="Q37" s="92">
        <v>28.8</v>
      </c>
      <c r="R37" s="93">
        <f t="shared" si="3"/>
        <v>52.5</v>
      </c>
      <c r="S37" s="185">
        <v>2</v>
      </c>
      <c r="T37" s="839">
        <v>27175</v>
      </c>
      <c r="U37" s="852">
        <v>27195</v>
      </c>
      <c r="V37" s="82" t="s">
        <v>131</v>
      </c>
      <c r="W37" s="185" t="s">
        <v>22</v>
      </c>
      <c r="X37" s="185" t="s">
        <v>11</v>
      </c>
      <c r="Y37" s="83">
        <v>23.7</v>
      </c>
      <c r="Z37" s="185" t="s">
        <v>496</v>
      </c>
      <c r="AA37" s="185" t="s">
        <v>20</v>
      </c>
      <c r="AB37" s="185" t="s">
        <v>12</v>
      </c>
      <c r="AC37" s="185">
        <v>28.8</v>
      </c>
      <c r="AD37" s="82"/>
      <c r="AG37" s="83"/>
      <c r="AL37" s="82"/>
      <c r="AO37" s="83"/>
      <c r="AP37" s="82"/>
      <c r="AS37" s="83"/>
      <c r="AW37" s="83"/>
      <c r="BA37" s="84"/>
    </row>
    <row r="38" spans="1:53" s="185" customFormat="1">
      <c r="A38" s="101">
        <v>1975</v>
      </c>
      <c r="B38" s="852"/>
      <c r="C38" s="917" t="s">
        <v>678</v>
      </c>
      <c r="D38" s="917"/>
      <c r="E38" s="185">
        <v>0</v>
      </c>
      <c r="G38" s="119">
        <v>4</v>
      </c>
      <c r="I38" s="185">
        <v>4</v>
      </c>
      <c r="J38" s="126">
        <v>8</v>
      </c>
      <c r="K38" s="92">
        <f t="shared" si="1"/>
        <v>50</v>
      </c>
      <c r="L38" s="92">
        <f t="shared" si="1"/>
        <v>0</v>
      </c>
      <c r="M38" s="92">
        <f t="shared" si="1"/>
        <v>50</v>
      </c>
      <c r="N38" s="121">
        <f t="shared" si="2"/>
        <v>100</v>
      </c>
      <c r="O38" s="91">
        <v>23.7</v>
      </c>
      <c r="P38" s="92"/>
      <c r="Q38" s="92">
        <v>28.8</v>
      </c>
      <c r="R38" s="93">
        <f t="shared" si="3"/>
        <v>52.5</v>
      </c>
      <c r="S38" s="185">
        <v>2</v>
      </c>
      <c r="T38" s="839"/>
      <c r="U38" s="852"/>
      <c r="V38" s="82" t="s">
        <v>131</v>
      </c>
      <c r="W38" s="185" t="s">
        <v>22</v>
      </c>
      <c r="X38" s="185" t="s">
        <v>11</v>
      </c>
      <c r="Y38" s="83">
        <v>23.7</v>
      </c>
      <c r="Z38" s="185" t="s">
        <v>496</v>
      </c>
      <c r="AA38" s="185" t="s">
        <v>20</v>
      </c>
      <c r="AB38" s="185" t="s">
        <v>12</v>
      </c>
      <c r="AC38" s="185">
        <v>28.8</v>
      </c>
      <c r="AD38" s="82"/>
      <c r="AG38" s="83"/>
      <c r="AL38" s="82"/>
      <c r="AO38" s="83"/>
      <c r="AP38" s="82"/>
      <c r="AS38" s="83"/>
      <c r="AW38" s="83"/>
      <c r="BA38" s="84"/>
    </row>
    <row r="39" spans="1:53" s="185" customFormat="1">
      <c r="A39" s="101">
        <v>1975</v>
      </c>
      <c r="B39" s="852"/>
      <c r="C39" s="917" t="s">
        <v>678</v>
      </c>
      <c r="D39" s="917"/>
      <c r="E39" s="185">
        <v>365</v>
      </c>
      <c r="G39" s="119">
        <v>4</v>
      </c>
      <c r="I39" s="185">
        <v>4</v>
      </c>
      <c r="J39" s="126">
        <v>8</v>
      </c>
      <c r="K39" s="92">
        <f t="shared" si="1"/>
        <v>50</v>
      </c>
      <c r="L39" s="92">
        <f t="shared" si="1"/>
        <v>0</v>
      </c>
      <c r="M39" s="92">
        <f t="shared" si="1"/>
        <v>50</v>
      </c>
      <c r="N39" s="121">
        <f t="shared" si="2"/>
        <v>100</v>
      </c>
      <c r="O39" s="91">
        <v>23.7</v>
      </c>
      <c r="P39" s="92"/>
      <c r="Q39" s="92">
        <v>28.8</v>
      </c>
      <c r="R39" s="93">
        <f t="shared" si="3"/>
        <v>52.5</v>
      </c>
      <c r="S39" s="185">
        <v>2</v>
      </c>
      <c r="T39" s="839"/>
      <c r="U39" s="852"/>
      <c r="V39" s="82" t="s">
        <v>131</v>
      </c>
      <c r="W39" s="185" t="s">
        <v>22</v>
      </c>
      <c r="X39" s="185" t="s">
        <v>11</v>
      </c>
      <c r="Y39" s="83">
        <v>23.7</v>
      </c>
      <c r="Z39" s="185" t="s">
        <v>496</v>
      </c>
      <c r="AA39" s="185" t="s">
        <v>20</v>
      </c>
      <c r="AB39" s="185" t="s">
        <v>12</v>
      </c>
      <c r="AC39" s="185">
        <v>28.8</v>
      </c>
      <c r="AD39" s="82"/>
      <c r="AG39" s="83"/>
      <c r="AL39" s="82"/>
      <c r="AO39" s="83"/>
      <c r="AP39" s="82"/>
      <c r="AS39" s="83"/>
      <c r="AW39" s="83"/>
      <c r="BA39" s="84"/>
    </row>
    <row r="40" spans="1:53" s="185" customFormat="1">
      <c r="A40" s="101">
        <v>1976</v>
      </c>
      <c r="B40" s="852"/>
      <c r="C40" s="917" t="s">
        <v>678</v>
      </c>
      <c r="D40" s="917"/>
      <c r="E40" s="185">
        <v>0</v>
      </c>
      <c r="G40" s="119">
        <v>4</v>
      </c>
      <c r="I40" s="185">
        <v>4</v>
      </c>
      <c r="J40" s="126">
        <v>8</v>
      </c>
      <c r="K40" s="92">
        <f t="shared" si="1"/>
        <v>50</v>
      </c>
      <c r="L40" s="92">
        <f t="shared" si="1"/>
        <v>0</v>
      </c>
      <c r="M40" s="92">
        <f t="shared" si="1"/>
        <v>50</v>
      </c>
      <c r="N40" s="121">
        <f t="shared" si="2"/>
        <v>100</v>
      </c>
      <c r="O40" s="91">
        <v>23.7</v>
      </c>
      <c r="P40" s="92"/>
      <c r="Q40" s="92">
        <v>28.8</v>
      </c>
      <c r="R40" s="93">
        <f t="shared" si="3"/>
        <v>52.5</v>
      </c>
      <c r="S40" s="185">
        <v>2</v>
      </c>
      <c r="T40" s="839"/>
      <c r="U40" s="852"/>
      <c r="V40" s="82" t="s">
        <v>131</v>
      </c>
      <c r="W40" s="185" t="s">
        <v>22</v>
      </c>
      <c r="X40" s="185" t="s">
        <v>11</v>
      </c>
      <c r="Y40" s="83">
        <v>23.7</v>
      </c>
      <c r="Z40" s="185" t="s">
        <v>496</v>
      </c>
      <c r="AA40" s="185" t="s">
        <v>20</v>
      </c>
      <c r="AB40" s="185" t="s">
        <v>12</v>
      </c>
      <c r="AC40" s="185">
        <v>28.8</v>
      </c>
      <c r="AD40" s="82"/>
      <c r="AG40" s="83"/>
      <c r="AL40" s="82"/>
      <c r="AO40" s="83"/>
      <c r="AP40" s="82"/>
      <c r="AS40" s="83"/>
      <c r="AW40" s="83"/>
      <c r="BA40" s="84"/>
    </row>
    <row r="41" spans="1:53" s="185" customFormat="1">
      <c r="A41" s="101">
        <v>1976</v>
      </c>
      <c r="B41" s="852"/>
      <c r="C41" s="917" t="s">
        <v>678</v>
      </c>
      <c r="D41" s="917"/>
      <c r="E41" s="185">
        <v>366</v>
      </c>
      <c r="G41" s="119">
        <v>4</v>
      </c>
      <c r="I41" s="185">
        <v>4</v>
      </c>
      <c r="J41" s="126">
        <v>8</v>
      </c>
      <c r="K41" s="92">
        <f t="shared" si="1"/>
        <v>50</v>
      </c>
      <c r="L41" s="92">
        <f t="shared" si="1"/>
        <v>0</v>
      </c>
      <c r="M41" s="92">
        <f t="shared" si="1"/>
        <v>50</v>
      </c>
      <c r="N41" s="121">
        <f t="shared" si="2"/>
        <v>100</v>
      </c>
      <c r="O41" s="91">
        <v>23.7</v>
      </c>
      <c r="P41" s="92"/>
      <c r="Q41" s="92">
        <v>28.8</v>
      </c>
      <c r="R41" s="93">
        <f t="shared" si="3"/>
        <v>52.5</v>
      </c>
      <c r="S41" s="185">
        <v>2</v>
      </c>
      <c r="T41" s="839"/>
      <c r="U41" s="852"/>
      <c r="V41" s="82" t="s">
        <v>131</v>
      </c>
      <c r="W41" s="185" t="s">
        <v>22</v>
      </c>
      <c r="X41" s="185" t="s">
        <v>11</v>
      </c>
      <c r="Y41" s="83">
        <v>23.7</v>
      </c>
      <c r="Z41" s="185" t="s">
        <v>496</v>
      </c>
      <c r="AA41" s="185" t="s">
        <v>20</v>
      </c>
      <c r="AB41" s="185" t="s">
        <v>12</v>
      </c>
      <c r="AC41" s="185">
        <v>28.8</v>
      </c>
      <c r="AD41" s="82"/>
      <c r="AG41" s="83"/>
      <c r="AL41" s="82"/>
      <c r="AO41" s="83"/>
      <c r="AP41" s="82"/>
      <c r="AS41" s="83"/>
      <c r="AW41" s="83"/>
      <c r="BA41" s="84"/>
    </row>
    <row r="42" spans="1:53" s="185" customFormat="1">
      <c r="A42" s="101">
        <v>1977</v>
      </c>
      <c r="B42" s="852"/>
      <c r="C42" s="917" t="s">
        <v>678</v>
      </c>
      <c r="D42" s="917"/>
      <c r="E42" s="185">
        <v>0</v>
      </c>
      <c r="G42" s="119">
        <v>4</v>
      </c>
      <c r="I42" s="185">
        <v>4</v>
      </c>
      <c r="J42" s="126">
        <v>8</v>
      </c>
      <c r="K42" s="92">
        <f t="shared" si="1"/>
        <v>50</v>
      </c>
      <c r="L42" s="92">
        <f t="shared" si="1"/>
        <v>0</v>
      </c>
      <c r="M42" s="92">
        <f t="shared" si="1"/>
        <v>50</v>
      </c>
      <c r="N42" s="121">
        <f t="shared" si="2"/>
        <v>100</v>
      </c>
      <c r="O42" s="91">
        <v>23.7</v>
      </c>
      <c r="P42" s="92"/>
      <c r="Q42" s="92">
        <v>28.8</v>
      </c>
      <c r="R42" s="93">
        <f t="shared" si="3"/>
        <v>52.5</v>
      </c>
      <c r="S42" s="185">
        <v>2</v>
      </c>
      <c r="T42" s="839"/>
      <c r="U42" s="852"/>
      <c r="V42" s="82" t="s">
        <v>131</v>
      </c>
      <c r="W42" s="185" t="s">
        <v>22</v>
      </c>
      <c r="X42" s="185" t="s">
        <v>11</v>
      </c>
      <c r="Y42" s="83">
        <v>23.7</v>
      </c>
      <c r="Z42" s="185" t="s">
        <v>496</v>
      </c>
      <c r="AA42" s="185" t="s">
        <v>20</v>
      </c>
      <c r="AB42" s="185" t="s">
        <v>12</v>
      </c>
      <c r="AC42" s="185">
        <v>28.8</v>
      </c>
      <c r="AD42" s="82"/>
      <c r="AG42" s="83"/>
      <c r="AL42" s="82"/>
      <c r="AO42" s="83"/>
      <c r="AP42" s="82"/>
      <c r="AS42" s="83"/>
      <c r="AW42" s="83"/>
      <c r="BA42" s="84"/>
    </row>
    <row r="43" spans="1:53" s="185" customFormat="1">
      <c r="A43" s="101">
        <v>1977</v>
      </c>
      <c r="B43" s="852"/>
      <c r="C43" s="917" t="s">
        <v>678</v>
      </c>
      <c r="D43" s="917"/>
      <c r="E43" s="185">
        <v>365</v>
      </c>
      <c r="G43" s="119">
        <v>4</v>
      </c>
      <c r="I43" s="185">
        <v>4</v>
      </c>
      <c r="J43" s="126">
        <v>8</v>
      </c>
      <c r="K43" s="92">
        <f t="shared" si="1"/>
        <v>50</v>
      </c>
      <c r="L43" s="92">
        <f t="shared" si="1"/>
        <v>0</v>
      </c>
      <c r="M43" s="92">
        <f t="shared" si="1"/>
        <v>50</v>
      </c>
      <c r="N43" s="121">
        <f t="shared" si="2"/>
        <v>100</v>
      </c>
      <c r="O43" s="91">
        <v>23.7</v>
      </c>
      <c r="P43" s="92"/>
      <c r="Q43" s="92">
        <v>28.8</v>
      </c>
      <c r="R43" s="93">
        <f t="shared" si="3"/>
        <v>52.5</v>
      </c>
      <c r="S43" s="185">
        <v>2</v>
      </c>
      <c r="T43" s="839"/>
      <c r="U43" s="852"/>
      <c r="V43" s="82" t="s">
        <v>131</v>
      </c>
      <c r="W43" s="185" t="s">
        <v>22</v>
      </c>
      <c r="X43" s="185" t="s">
        <v>11</v>
      </c>
      <c r="Y43" s="83">
        <v>23.7</v>
      </c>
      <c r="Z43" s="185" t="s">
        <v>496</v>
      </c>
      <c r="AA43" s="185" t="s">
        <v>20</v>
      </c>
      <c r="AB43" s="185" t="s">
        <v>12</v>
      </c>
      <c r="AC43" s="185">
        <v>28.8</v>
      </c>
      <c r="AD43" s="82"/>
      <c r="AG43" s="83"/>
      <c r="AL43" s="82"/>
      <c r="AO43" s="83"/>
      <c r="AP43" s="82"/>
      <c r="AS43" s="83"/>
      <c r="AW43" s="83"/>
      <c r="BA43" s="84"/>
    </row>
    <row r="44" spans="1:53" s="185" customFormat="1">
      <c r="A44" s="101">
        <v>1978</v>
      </c>
      <c r="B44" s="852"/>
      <c r="C44" s="917" t="s">
        <v>678</v>
      </c>
      <c r="D44" s="917"/>
      <c r="E44" s="185">
        <v>0</v>
      </c>
      <c r="G44" s="119">
        <v>4</v>
      </c>
      <c r="I44" s="185">
        <v>4</v>
      </c>
      <c r="J44" s="126">
        <v>8</v>
      </c>
      <c r="K44" s="92">
        <f t="shared" si="1"/>
        <v>50</v>
      </c>
      <c r="L44" s="92">
        <f t="shared" si="1"/>
        <v>0</v>
      </c>
      <c r="M44" s="92">
        <f t="shared" si="1"/>
        <v>50</v>
      </c>
      <c r="N44" s="121">
        <f t="shared" si="2"/>
        <v>100</v>
      </c>
      <c r="O44" s="91">
        <v>23.7</v>
      </c>
      <c r="P44" s="92"/>
      <c r="Q44" s="92">
        <v>28.8</v>
      </c>
      <c r="R44" s="93">
        <f t="shared" si="3"/>
        <v>52.5</v>
      </c>
      <c r="S44" s="185">
        <v>2</v>
      </c>
      <c r="T44" s="839"/>
      <c r="U44" s="852"/>
      <c r="V44" s="82" t="s">
        <v>131</v>
      </c>
      <c r="W44" s="185" t="s">
        <v>22</v>
      </c>
      <c r="X44" s="185" t="s">
        <v>11</v>
      </c>
      <c r="Y44" s="83">
        <v>23.7</v>
      </c>
      <c r="Z44" s="185" t="s">
        <v>496</v>
      </c>
      <c r="AA44" s="185" t="s">
        <v>20</v>
      </c>
      <c r="AB44" s="185" t="s">
        <v>12</v>
      </c>
      <c r="AC44" s="185">
        <v>28.8</v>
      </c>
      <c r="AD44" s="82"/>
      <c r="AG44" s="83"/>
      <c r="AL44" s="82"/>
      <c r="AO44" s="83"/>
      <c r="AP44" s="82"/>
      <c r="AS44" s="83"/>
      <c r="AW44" s="83"/>
      <c r="BA44" s="84"/>
    </row>
    <row r="45" spans="1:53" s="185" customFormat="1">
      <c r="A45" s="101">
        <v>1978</v>
      </c>
      <c r="B45" s="852"/>
      <c r="C45" s="917" t="s">
        <v>678</v>
      </c>
      <c r="D45" s="917"/>
      <c r="E45" s="185">
        <v>365</v>
      </c>
      <c r="G45" s="119">
        <v>4</v>
      </c>
      <c r="I45" s="185">
        <v>4</v>
      </c>
      <c r="J45" s="126">
        <v>8</v>
      </c>
      <c r="K45" s="92">
        <f t="shared" si="1"/>
        <v>50</v>
      </c>
      <c r="L45" s="92">
        <f t="shared" si="1"/>
        <v>0</v>
      </c>
      <c r="M45" s="92">
        <f t="shared" si="1"/>
        <v>50</v>
      </c>
      <c r="N45" s="121">
        <f t="shared" si="2"/>
        <v>100</v>
      </c>
      <c r="O45" s="91">
        <v>23.7</v>
      </c>
      <c r="P45" s="92"/>
      <c r="Q45" s="92">
        <v>28.8</v>
      </c>
      <c r="R45" s="93">
        <f t="shared" si="3"/>
        <v>52.5</v>
      </c>
      <c r="S45" s="185">
        <v>2</v>
      </c>
      <c r="T45" s="839"/>
      <c r="U45" s="852"/>
      <c r="V45" s="82" t="s">
        <v>131</v>
      </c>
      <c r="W45" s="185" t="s">
        <v>22</v>
      </c>
      <c r="X45" s="185" t="s">
        <v>11</v>
      </c>
      <c r="Y45" s="83">
        <v>23.7</v>
      </c>
      <c r="Z45" s="185" t="s">
        <v>496</v>
      </c>
      <c r="AA45" s="185" t="s">
        <v>20</v>
      </c>
      <c r="AB45" s="185" t="s">
        <v>12</v>
      </c>
      <c r="AC45" s="185">
        <v>28.8</v>
      </c>
      <c r="AD45" s="82"/>
      <c r="AG45" s="83"/>
      <c r="AL45" s="82"/>
      <c r="AO45" s="83"/>
      <c r="AP45" s="82"/>
      <c r="AS45" s="83"/>
      <c r="AW45" s="83"/>
      <c r="BA45" s="84"/>
    </row>
    <row r="46" spans="1:53" s="185" customFormat="1" ht="8.25" customHeight="1">
      <c r="A46" s="101">
        <v>1979</v>
      </c>
      <c r="B46" s="852"/>
      <c r="C46" s="917" t="s">
        <v>678</v>
      </c>
      <c r="D46" s="917"/>
      <c r="E46" s="185">
        <v>195</v>
      </c>
      <c r="G46" s="119">
        <v>4</v>
      </c>
      <c r="I46" s="185">
        <v>4</v>
      </c>
      <c r="J46" s="126">
        <v>8</v>
      </c>
      <c r="K46" s="92">
        <f t="shared" si="1"/>
        <v>50</v>
      </c>
      <c r="L46" s="92">
        <f t="shared" si="1"/>
        <v>0</v>
      </c>
      <c r="M46" s="92">
        <f t="shared" si="1"/>
        <v>50</v>
      </c>
      <c r="N46" s="121">
        <f t="shared" si="2"/>
        <v>100</v>
      </c>
      <c r="O46" s="91">
        <v>23.7</v>
      </c>
      <c r="P46" s="92"/>
      <c r="Q46" s="92">
        <v>28.8</v>
      </c>
      <c r="R46" s="93">
        <f t="shared" si="3"/>
        <v>52.5</v>
      </c>
      <c r="S46" s="185">
        <v>2</v>
      </c>
      <c r="T46" s="839"/>
      <c r="U46" s="852"/>
      <c r="V46" s="82" t="s">
        <v>131</v>
      </c>
      <c r="W46" s="185" t="s">
        <v>22</v>
      </c>
      <c r="X46" s="185" t="s">
        <v>11</v>
      </c>
      <c r="Y46" s="83">
        <v>23.7</v>
      </c>
      <c r="Z46" s="185" t="s">
        <v>496</v>
      </c>
      <c r="AA46" s="185" t="s">
        <v>20</v>
      </c>
      <c r="AB46" s="185" t="s">
        <v>12</v>
      </c>
      <c r="AC46" s="185">
        <v>28.8</v>
      </c>
      <c r="AD46" s="82"/>
      <c r="AG46" s="83"/>
      <c r="AL46" s="82"/>
      <c r="AO46" s="83"/>
      <c r="AP46" s="82"/>
      <c r="AS46" s="83"/>
      <c r="AW46" s="83"/>
      <c r="BA46" s="84"/>
    </row>
    <row r="47" spans="1:53" s="292" customFormat="1">
      <c r="A47" s="338">
        <v>1979</v>
      </c>
      <c r="B47" s="836">
        <v>29051</v>
      </c>
      <c r="C47" s="916" t="s">
        <v>679</v>
      </c>
      <c r="D47" s="916"/>
      <c r="E47" s="292">
        <f>365-E46</f>
        <v>170</v>
      </c>
      <c r="F47" s="292">
        <v>1</v>
      </c>
      <c r="G47" s="366">
        <v>5</v>
      </c>
      <c r="H47" s="292">
        <v>4</v>
      </c>
      <c r="J47" s="377">
        <v>9</v>
      </c>
      <c r="K47" s="336">
        <f t="shared" si="1"/>
        <v>55.555555555555557</v>
      </c>
      <c r="L47" s="336">
        <f t="shared" si="1"/>
        <v>44.444444444444443</v>
      </c>
      <c r="M47" s="336">
        <f t="shared" si="1"/>
        <v>0</v>
      </c>
      <c r="N47" s="368">
        <f t="shared" si="2"/>
        <v>100</v>
      </c>
      <c r="O47" s="335">
        <v>25.4</v>
      </c>
      <c r="P47" s="336">
        <v>40.700000000000003</v>
      </c>
      <c r="Q47" s="336"/>
      <c r="R47" s="337">
        <f t="shared" si="3"/>
        <v>66.099999999999994</v>
      </c>
      <c r="S47" s="292">
        <v>2</v>
      </c>
      <c r="T47" s="838">
        <v>29016</v>
      </c>
      <c r="U47" s="836">
        <v>29051</v>
      </c>
      <c r="V47" s="299" t="s">
        <v>495</v>
      </c>
      <c r="W47" s="292" t="s">
        <v>17</v>
      </c>
      <c r="X47" s="292" t="s">
        <v>326</v>
      </c>
      <c r="Y47" s="300">
        <v>40.700000000000003</v>
      </c>
      <c r="Z47" s="292" t="s">
        <v>131</v>
      </c>
      <c r="AA47" s="292" t="s">
        <v>22</v>
      </c>
      <c r="AB47" s="292" t="s">
        <v>11</v>
      </c>
      <c r="AC47" s="292">
        <v>25.4</v>
      </c>
      <c r="AD47" s="299"/>
      <c r="AG47" s="300"/>
      <c r="AL47" s="299"/>
      <c r="AO47" s="300"/>
      <c r="AP47" s="299"/>
      <c r="AS47" s="300"/>
      <c r="AW47" s="300"/>
      <c r="BA47" s="301"/>
    </row>
    <row r="48" spans="1:53" s="292" customFormat="1">
      <c r="A48" s="338">
        <v>1980</v>
      </c>
      <c r="B48" s="836"/>
      <c r="C48" s="916" t="s">
        <v>679</v>
      </c>
      <c r="D48" s="916"/>
      <c r="E48" s="292">
        <v>0</v>
      </c>
      <c r="G48" s="366">
        <v>5</v>
      </c>
      <c r="H48" s="292">
        <v>4</v>
      </c>
      <c r="J48" s="377">
        <v>9</v>
      </c>
      <c r="K48" s="336">
        <f t="shared" si="1"/>
        <v>55.555555555555557</v>
      </c>
      <c r="L48" s="336">
        <f t="shared" si="1"/>
        <v>44.444444444444443</v>
      </c>
      <c r="M48" s="336">
        <f t="shared" si="1"/>
        <v>0</v>
      </c>
      <c r="N48" s="368">
        <f t="shared" si="2"/>
        <v>100</v>
      </c>
      <c r="O48" s="335">
        <v>25.4</v>
      </c>
      <c r="P48" s="336">
        <v>40.700000000000003</v>
      </c>
      <c r="Q48" s="336"/>
      <c r="R48" s="337">
        <f t="shared" si="3"/>
        <v>66.099999999999994</v>
      </c>
      <c r="S48" s="292">
        <v>2</v>
      </c>
      <c r="T48" s="838"/>
      <c r="U48" s="836"/>
      <c r="V48" s="299" t="s">
        <v>495</v>
      </c>
      <c r="W48" s="292" t="s">
        <v>17</v>
      </c>
      <c r="X48" s="292" t="s">
        <v>326</v>
      </c>
      <c r="Y48" s="300">
        <v>40.700000000000003</v>
      </c>
      <c r="Z48" s="292" t="s">
        <v>131</v>
      </c>
      <c r="AA48" s="292" t="s">
        <v>22</v>
      </c>
      <c r="AB48" s="292" t="s">
        <v>11</v>
      </c>
      <c r="AC48" s="292">
        <v>25.4</v>
      </c>
      <c r="AD48" s="299"/>
      <c r="AG48" s="300"/>
      <c r="AL48" s="299"/>
      <c r="AO48" s="300"/>
      <c r="AP48" s="299"/>
      <c r="AS48" s="300"/>
      <c r="AW48" s="300"/>
      <c r="BA48" s="301"/>
    </row>
    <row r="49" spans="1:53" s="292" customFormat="1">
      <c r="A49" s="338">
        <v>1980</v>
      </c>
      <c r="B49" s="836"/>
      <c r="C49" s="916" t="s">
        <v>679</v>
      </c>
      <c r="D49" s="916"/>
      <c r="E49" s="292">
        <v>366</v>
      </c>
      <c r="G49" s="366">
        <v>5</v>
      </c>
      <c r="H49" s="292">
        <v>4</v>
      </c>
      <c r="J49" s="377">
        <v>9</v>
      </c>
      <c r="K49" s="336">
        <f t="shared" si="1"/>
        <v>55.555555555555557</v>
      </c>
      <c r="L49" s="336">
        <f t="shared" si="1"/>
        <v>44.444444444444443</v>
      </c>
      <c r="M49" s="336">
        <f t="shared" si="1"/>
        <v>0</v>
      </c>
      <c r="N49" s="368">
        <f t="shared" si="2"/>
        <v>100</v>
      </c>
      <c r="O49" s="335">
        <v>25.4</v>
      </c>
      <c r="P49" s="336">
        <v>40.700000000000003</v>
      </c>
      <c r="Q49" s="336"/>
      <c r="R49" s="337">
        <f t="shared" si="3"/>
        <v>66.099999999999994</v>
      </c>
      <c r="S49" s="292">
        <v>2</v>
      </c>
      <c r="T49" s="838"/>
      <c r="U49" s="836"/>
      <c r="V49" s="299" t="s">
        <v>495</v>
      </c>
      <c r="W49" s="292" t="s">
        <v>17</v>
      </c>
      <c r="X49" s="292" t="s">
        <v>326</v>
      </c>
      <c r="Y49" s="300">
        <v>40.700000000000003</v>
      </c>
      <c r="Z49" s="292" t="s">
        <v>131</v>
      </c>
      <c r="AA49" s="292" t="s">
        <v>22</v>
      </c>
      <c r="AB49" s="292" t="s">
        <v>11</v>
      </c>
      <c r="AC49" s="292">
        <v>25.4</v>
      </c>
      <c r="AD49" s="299"/>
      <c r="AG49" s="300"/>
      <c r="AL49" s="299"/>
      <c r="AO49" s="300"/>
      <c r="AP49" s="299"/>
      <c r="AS49" s="300"/>
      <c r="AW49" s="300"/>
      <c r="BA49" s="301"/>
    </row>
    <row r="50" spans="1:53" s="292" customFormat="1">
      <c r="A50" s="338">
        <v>1981</v>
      </c>
      <c r="B50" s="836"/>
      <c r="C50" s="916" t="s">
        <v>679</v>
      </c>
      <c r="D50" s="916"/>
      <c r="E50" s="292">
        <v>0</v>
      </c>
      <c r="G50" s="366">
        <v>5</v>
      </c>
      <c r="H50" s="292">
        <v>4</v>
      </c>
      <c r="J50" s="377">
        <v>9</v>
      </c>
      <c r="K50" s="336">
        <f t="shared" si="1"/>
        <v>55.555555555555557</v>
      </c>
      <c r="L50" s="336">
        <f t="shared" si="1"/>
        <v>44.444444444444443</v>
      </c>
      <c r="M50" s="336">
        <f t="shared" si="1"/>
        <v>0</v>
      </c>
      <c r="N50" s="368">
        <f t="shared" si="2"/>
        <v>100</v>
      </c>
      <c r="O50" s="335">
        <v>25.4</v>
      </c>
      <c r="P50" s="336">
        <v>40.700000000000003</v>
      </c>
      <c r="Q50" s="336"/>
      <c r="R50" s="337">
        <f t="shared" si="3"/>
        <v>66.099999999999994</v>
      </c>
      <c r="S50" s="292">
        <v>2</v>
      </c>
      <c r="T50" s="838"/>
      <c r="U50" s="836"/>
      <c r="V50" s="299" t="s">
        <v>495</v>
      </c>
      <c r="W50" s="292" t="s">
        <v>17</v>
      </c>
      <c r="X50" s="292" t="s">
        <v>326</v>
      </c>
      <c r="Y50" s="300">
        <v>40.700000000000003</v>
      </c>
      <c r="Z50" s="292" t="s">
        <v>131</v>
      </c>
      <c r="AA50" s="292" t="s">
        <v>22</v>
      </c>
      <c r="AB50" s="292" t="s">
        <v>11</v>
      </c>
      <c r="AC50" s="292">
        <v>25.4</v>
      </c>
      <c r="AD50" s="299"/>
      <c r="AG50" s="300"/>
      <c r="AL50" s="299"/>
      <c r="AO50" s="300"/>
      <c r="AP50" s="299"/>
      <c r="AS50" s="300"/>
      <c r="AW50" s="300"/>
      <c r="BA50" s="301"/>
    </row>
    <row r="51" spans="1:53" s="292" customFormat="1">
      <c r="A51" s="338">
        <v>1981</v>
      </c>
      <c r="B51" s="836"/>
      <c r="C51" s="916" t="s">
        <v>679</v>
      </c>
      <c r="D51" s="916"/>
      <c r="E51" s="292">
        <v>365</v>
      </c>
      <c r="G51" s="366">
        <v>5</v>
      </c>
      <c r="H51" s="292">
        <v>4</v>
      </c>
      <c r="J51" s="377">
        <v>9</v>
      </c>
      <c r="K51" s="336">
        <f t="shared" si="1"/>
        <v>55.555555555555557</v>
      </c>
      <c r="L51" s="336">
        <f t="shared" si="1"/>
        <v>44.444444444444443</v>
      </c>
      <c r="M51" s="336">
        <f t="shared" si="1"/>
        <v>0</v>
      </c>
      <c r="N51" s="368">
        <f t="shared" si="2"/>
        <v>100</v>
      </c>
      <c r="O51" s="335">
        <v>25.4</v>
      </c>
      <c r="P51" s="336">
        <v>40.700000000000003</v>
      </c>
      <c r="Q51" s="336"/>
      <c r="R51" s="337">
        <f t="shared" si="3"/>
        <v>66.099999999999994</v>
      </c>
      <c r="S51" s="292">
        <v>2</v>
      </c>
      <c r="T51" s="838"/>
      <c r="U51" s="836"/>
      <c r="V51" s="299" t="s">
        <v>495</v>
      </c>
      <c r="W51" s="292" t="s">
        <v>17</v>
      </c>
      <c r="X51" s="292" t="s">
        <v>326</v>
      </c>
      <c r="Y51" s="300">
        <v>40.700000000000003</v>
      </c>
      <c r="Z51" s="292" t="s">
        <v>131</v>
      </c>
      <c r="AA51" s="292" t="s">
        <v>22</v>
      </c>
      <c r="AB51" s="292" t="s">
        <v>11</v>
      </c>
      <c r="AC51" s="292">
        <v>25.4</v>
      </c>
      <c r="AD51" s="299"/>
      <c r="AG51" s="300"/>
      <c r="AL51" s="299"/>
      <c r="AO51" s="300"/>
      <c r="AP51" s="299"/>
      <c r="AS51" s="300"/>
      <c r="AW51" s="300"/>
      <c r="BA51" s="301"/>
    </row>
    <row r="52" spans="1:53" s="292" customFormat="1">
      <c r="A52" s="338">
        <v>1982</v>
      </c>
      <c r="B52" s="836"/>
      <c r="C52" s="916" t="s">
        <v>679</v>
      </c>
      <c r="D52" s="916"/>
      <c r="E52" s="292">
        <v>0</v>
      </c>
      <c r="G52" s="366">
        <v>5</v>
      </c>
      <c r="H52" s="292">
        <v>4</v>
      </c>
      <c r="J52" s="377">
        <v>9</v>
      </c>
      <c r="K52" s="336">
        <f t="shared" si="1"/>
        <v>55.555555555555557</v>
      </c>
      <c r="L52" s="336">
        <f t="shared" si="1"/>
        <v>44.444444444444443</v>
      </c>
      <c r="M52" s="336">
        <f t="shared" si="1"/>
        <v>0</v>
      </c>
      <c r="N52" s="368">
        <f t="shared" si="2"/>
        <v>100</v>
      </c>
      <c r="O52" s="335">
        <v>25.4</v>
      </c>
      <c r="P52" s="336">
        <v>40.700000000000003</v>
      </c>
      <c r="Q52" s="336"/>
      <c r="R52" s="337">
        <f t="shared" si="3"/>
        <v>66.099999999999994</v>
      </c>
      <c r="S52" s="292">
        <v>2</v>
      </c>
      <c r="T52" s="838"/>
      <c r="U52" s="836"/>
      <c r="V52" s="299" t="s">
        <v>495</v>
      </c>
      <c r="W52" s="292" t="s">
        <v>17</v>
      </c>
      <c r="X52" s="292" t="s">
        <v>326</v>
      </c>
      <c r="Y52" s="300">
        <v>40.700000000000003</v>
      </c>
      <c r="Z52" s="292" t="s">
        <v>131</v>
      </c>
      <c r="AA52" s="292" t="s">
        <v>22</v>
      </c>
      <c r="AB52" s="292" t="s">
        <v>11</v>
      </c>
      <c r="AC52" s="292">
        <v>25.4</v>
      </c>
      <c r="AD52" s="299"/>
      <c r="AG52" s="300"/>
      <c r="AL52" s="299"/>
      <c r="AO52" s="300"/>
      <c r="AP52" s="299"/>
      <c r="AS52" s="300"/>
      <c r="AW52" s="300"/>
      <c r="BA52" s="301"/>
    </row>
    <row r="53" spans="1:53" s="292" customFormat="1">
      <c r="A53" s="338">
        <v>1982</v>
      </c>
      <c r="B53" s="836"/>
      <c r="C53" s="916" t="s">
        <v>679</v>
      </c>
      <c r="D53" s="916"/>
      <c r="E53" s="292">
        <v>365</v>
      </c>
      <c r="G53" s="366">
        <v>5</v>
      </c>
      <c r="H53" s="292">
        <v>4</v>
      </c>
      <c r="J53" s="377">
        <v>9</v>
      </c>
      <c r="K53" s="336">
        <f t="shared" si="1"/>
        <v>55.555555555555557</v>
      </c>
      <c r="L53" s="336">
        <f t="shared" si="1"/>
        <v>44.444444444444443</v>
      </c>
      <c r="M53" s="336">
        <f t="shared" si="1"/>
        <v>0</v>
      </c>
      <c r="N53" s="368">
        <f t="shared" si="2"/>
        <v>100</v>
      </c>
      <c r="O53" s="335">
        <v>25.4</v>
      </c>
      <c r="P53" s="336">
        <v>40.700000000000003</v>
      </c>
      <c r="Q53" s="336"/>
      <c r="R53" s="337">
        <f t="shared" si="3"/>
        <v>66.099999999999994</v>
      </c>
      <c r="S53" s="292">
        <v>2</v>
      </c>
      <c r="T53" s="838"/>
      <c r="U53" s="836"/>
      <c r="V53" s="299" t="s">
        <v>495</v>
      </c>
      <c r="W53" s="292" t="s">
        <v>17</v>
      </c>
      <c r="X53" s="292" t="s">
        <v>326</v>
      </c>
      <c r="Y53" s="300">
        <v>40.700000000000003</v>
      </c>
      <c r="Z53" s="292" t="s">
        <v>131</v>
      </c>
      <c r="AA53" s="292" t="s">
        <v>22</v>
      </c>
      <c r="AB53" s="292" t="s">
        <v>11</v>
      </c>
      <c r="AC53" s="292">
        <v>25.4</v>
      </c>
      <c r="AD53" s="299"/>
      <c r="AG53" s="300"/>
      <c r="AL53" s="299"/>
      <c r="AO53" s="300"/>
      <c r="AP53" s="299"/>
      <c r="AS53" s="300"/>
      <c r="AW53" s="300"/>
      <c r="BA53" s="301"/>
    </row>
    <row r="54" spans="1:53" s="292" customFormat="1">
      <c r="A54" s="338">
        <v>1983</v>
      </c>
      <c r="B54" s="836"/>
      <c r="C54" s="916" t="s">
        <v>679</v>
      </c>
      <c r="D54" s="916"/>
      <c r="E54" s="292">
        <v>0</v>
      </c>
      <c r="G54" s="366">
        <v>5</v>
      </c>
      <c r="H54" s="292">
        <v>4</v>
      </c>
      <c r="J54" s="377">
        <v>9</v>
      </c>
      <c r="K54" s="336">
        <f t="shared" si="1"/>
        <v>55.555555555555557</v>
      </c>
      <c r="L54" s="336">
        <f t="shared" si="1"/>
        <v>44.444444444444443</v>
      </c>
      <c r="M54" s="336">
        <f t="shared" si="1"/>
        <v>0</v>
      </c>
      <c r="N54" s="368">
        <f t="shared" si="2"/>
        <v>100</v>
      </c>
      <c r="O54" s="335">
        <v>25.4</v>
      </c>
      <c r="P54" s="336">
        <v>40.700000000000003</v>
      </c>
      <c r="Q54" s="336"/>
      <c r="R54" s="337">
        <f t="shared" si="3"/>
        <v>66.099999999999994</v>
      </c>
      <c r="S54" s="292">
        <v>2</v>
      </c>
      <c r="T54" s="838"/>
      <c r="U54" s="836"/>
      <c r="V54" s="299" t="s">
        <v>495</v>
      </c>
      <c r="W54" s="292" t="s">
        <v>17</v>
      </c>
      <c r="X54" s="292" t="s">
        <v>326</v>
      </c>
      <c r="Y54" s="300">
        <v>40.700000000000003</v>
      </c>
      <c r="Z54" s="292" t="s">
        <v>131</v>
      </c>
      <c r="AA54" s="292" t="s">
        <v>22</v>
      </c>
      <c r="AB54" s="292" t="s">
        <v>11</v>
      </c>
      <c r="AC54" s="292">
        <v>25.4</v>
      </c>
      <c r="AD54" s="299"/>
      <c r="AG54" s="300"/>
      <c r="AL54" s="299"/>
      <c r="AO54" s="300"/>
      <c r="AP54" s="299"/>
      <c r="AS54" s="300"/>
      <c r="AW54" s="300"/>
      <c r="BA54" s="301"/>
    </row>
    <row r="55" spans="1:53" s="292" customFormat="1">
      <c r="A55" s="338">
        <v>1983</v>
      </c>
      <c r="B55" s="836"/>
      <c r="C55" s="916" t="s">
        <v>679</v>
      </c>
      <c r="D55" s="916"/>
      <c r="E55" s="292">
        <v>365</v>
      </c>
      <c r="G55" s="366">
        <v>5</v>
      </c>
      <c r="H55" s="292">
        <v>4</v>
      </c>
      <c r="J55" s="377">
        <v>9</v>
      </c>
      <c r="K55" s="336">
        <f t="shared" si="1"/>
        <v>55.555555555555557</v>
      </c>
      <c r="L55" s="336">
        <f t="shared" si="1"/>
        <v>44.444444444444443</v>
      </c>
      <c r="M55" s="336">
        <f t="shared" si="1"/>
        <v>0</v>
      </c>
      <c r="N55" s="368">
        <f t="shared" si="2"/>
        <v>100</v>
      </c>
      <c r="O55" s="335">
        <v>25.4</v>
      </c>
      <c r="P55" s="336">
        <v>40.700000000000003</v>
      </c>
      <c r="Q55" s="336"/>
      <c r="R55" s="337">
        <f t="shared" si="3"/>
        <v>66.099999999999994</v>
      </c>
      <c r="S55" s="292">
        <v>2</v>
      </c>
      <c r="T55" s="838"/>
      <c r="U55" s="836"/>
      <c r="V55" s="299" t="s">
        <v>495</v>
      </c>
      <c r="W55" s="292" t="s">
        <v>17</v>
      </c>
      <c r="X55" s="292" t="s">
        <v>326</v>
      </c>
      <c r="Y55" s="300">
        <v>40.700000000000003</v>
      </c>
      <c r="Z55" s="292" t="s">
        <v>131</v>
      </c>
      <c r="AA55" s="292" t="s">
        <v>22</v>
      </c>
      <c r="AB55" s="292" t="s">
        <v>11</v>
      </c>
      <c r="AC55" s="292">
        <v>25.4</v>
      </c>
      <c r="AD55" s="299"/>
      <c r="AG55" s="300"/>
      <c r="AL55" s="299"/>
      <c r="AO55" s="300"/>
      <c r="AP55" s="299"/>
      <c r="AS55" s="300"/>
      <c r="AW55" s="300"/>
      <c r="BA55" s="301"/>
    </row>
    <row r="56" spans="1:53" s="292" customFormat="1">
      <c r="A56" s="338">
        <v>1984</v>
      </c>
      <c r="B56" s="836"/>
      <c r="C56" s="916" t="s">
        <v>679</v>
      </c>
      <c r="D56" s="916"/>
      <c r="E56" s="292">
        <v>201</v>
      </c>
      <c r="G56" s="366">
        <v>5</v>
      </c>
      <c r="H56" s="292">
        <v>4</v>
      </c>
      <c r="J56" s="377">
        <v>9</v>
      </c>
      <c r="K56" s="336">
        <f t="shared" si="1"/>
        <v>55.555555555555557</v>
      </c>
      <c r="L56" s="336">
        <f t="shared" si="1"/>
        <v>44.444444444444443</v>
      </c>
      <c r="M56" s="336">
        <f t="shared" si="1"/>
        <v>0</v>
      </c>
      <c r="N56" s="368">
        <f t="shared" si="2"/>
        <v>100</v>
      </c>
      <c r="O56" s="335">
        <v>25.4</v>
      </c>
      <c r="P56" s="336">
        <v>40.700000000000003</v>
      </c>
      <c r="Q56" s="336"/>
      <c r="R56" s="337">
        <f t="shared" si="3"/>
        <v>66.099999999999994</v>
      </c>
      <c r="S56" s="292">
        <v>2</v>
      </c>
      <c r="T56" s="838"/>
      <c r="U56" s="836"/>
      <c r="V56" s="299" t="s">
        <v>495</v>
      </c>
      <c r="W56" s="292" t="s">
        <v>17</v>
      </c>
      <c r="X56" s="292" t="s">
        <v>326</v>
      </c>
      <c r="Y56" s="300">
        <v>40.700000000000003</v>
      </c>
      <c r="Z56" s="292" t="s">
        <v>131</v>
      </c>
      <c r="AA56" s="292" t="s">
        <v>22</v>
      </c>
      <c r="AB56" s="292" t="s">
        <v>11</v>
      </c>
      <c r="AC56" s="292">
        <v>25.4</v>
      </c>
      <c r="AD56" s="299"/>
      <c r="AG56" s="300"/>
      <c r="AL56" s="299"/>
      <c r="AO56" s="300"/>
      <c r="AP56" s="299"/>
      <c r="AS56" s="300"/>
      <c r="AW56" s="300"/>
      <c r="BA56" s="301"/>
    </row>
    <row r="57" spans="1:53" s="185" customFormat="1">
      <c r="A57" s="101">
        <v>1984</v>
      </c>
      <c r="B57" s="852">
        <v>30883</v>
      </c>
      <c r="C57" s="917" t="s">
        <v>680</v>
      </c>
      <c r="D57" s="917"/>
      <c r="E57" s="185">
        <f>366-E56</f>
        <v>165</v>
      </c>
      <c r="F57" s="185">
        <v>1</v>
      </c>
      <c r="G57" s="119"/>
      <c r="H57" s="185">
        <v>5</v>
      </c>
      <c r="I57" s="185">
        <v>4</v>
      </c>
      <c r="J57" s="126">
        <v>9</v>
      </c>
      <c r="K57" s="92">
        <f t="shared" si="1"/>
        <v>0</v>
      </c>
      <c r="L57" s="92">
        <f t="shared" si="1"/>
        <v>55.555555555555557</v>
      </c>
      <c r="M57" s="92">
        <f t="shared" si="1"/>
        <v>44.444444444444443</v>
      </c>
      <c r="N57" s="121">
        <f t="shared" si="2"/>
        <v>100</v>
      </c>
      <c r="O57" s="91"/>
      <c r="P57" s="92">
        <v>39.1</v>
      </c>
      <c r="Q57" s="92">
        <v>32.799999999999997</v>
      </c>
      <c r="R57" s="93">
        <f t="shared" si="3"/>
        <v>71.900000000000006</v>
      </c>
      <c r="S57" s="185">
        <v>2</v>
      </c>
      <c r="T57" s="839">
        <v>30850</v>
      </c>
      <c r="U57" s="852">
        <v>30883</v>
      </c>
      <c r="V57" s="82" t="s">
        <v>495</v>
      </c>
      <c r="W57" s="185" t="s">
        <v>17</v>
      </c>
      <c r="X57" s="185" t="s">
        <v>326</v>
      </c>
      <c r="Y57" s="83">
        <v>39.1</v>
      </c>
      <c r="Z57" s="185" t="s">
        <v>496</v>
      </c>
      <c r="AA57" s="185" t="s">
        <v>20</v>
      </c>
      <c r="AB57" s="185" t="s">
        <v>12</v>
      </c>
      <c r="AC57" s="185">
        <v>32.799999999999997</v>
      </c>
      <c r="AD57" s="82"/>
      <c r="AG57" s="83"/>
      <c r="AL57" s="82"/>
      <c r="AO57" s="83"/>
      <c r="AP57" s="82"/>
      <c r="AS57" s="83"/>
      <c r="AW57" s="83"/>
      <c r="BA57" s="84"/>
    </row>
    <row r="58" spans="1:53" s="185" customFormat="1">
      <c r="A58" s="101">
        <v>1985</v>
      </c>
      <c r="B58" s="852"/>
      <c r="C58" s="917" t="s">
        <v>680</v>
      </c>
      <c r="D58" s="917"/>
      <c r="E58" s="185">
        <v>0</v>
      </c>
      <c r="G58" s="119"/>
      <c r="H58" s="185">
        <v>5</v>
      </c>
      <c r="I58" s="185">
        <v>4</v>
      </c>
      <c r="J58" s="126">
        <v>9</v>
      </c>
      <c r="K58" s="92">
        <f t="shared" si="1"/>
        <v>0</v>
      </c>
      <c r="L58" s="92">
        <f t="shared" si="1"/>
        <v>55.555555555555557</v>
      </c>
      <c r="M58" s="92">
        <f t="shared" si="1"/>
        <v>44.444444444444443</v>
      </c>
      <c r="N58" s="121">
        <f t="shared" si="2"/>
        <v>100</v>
      </c>
      <c r="O58" s="91"/>
      <c r="P58" s="92">
        <v>39.1</v>
      </c>
      <c r="Q58" s="92">
        <v>32.799999999999997</v>
      </c>
      <c r="R58" s="93">
        <f t="shared" si="3"/>
        <v>71.900000000000006</v>
      </c>
      <c r="S58" s="185">
        <v>2</v>
      </c>
      <c r="T58" s="839"/>
      <c r="U58" s="852"/>
      <c r="V58" s="82" t="s">
        <v>495</v>
      </c>
      <c r="W58" s="185" t="s">
        <v>17</v>
      </c>
      <c r="X58" s="185" t="s">
        <v>326</v>
      </c>
      <c r="Y58" s="83">
        <v>39.1</v>
      </c>
      <c r="Z58" s="185" t="s">
        <v>496</v>
      </c>
      <c r="AA58" s="185" t="s">
        <v>20</v>
      </c>
      <c r="AB58" s="185" t="s">
        <v>12</v>
      </c>
      <c r="AC58" s="185">
        <v>32.799999999999997</v>
      </c>
      <c r="AD58" s="82"/>
      <c r="AG58" s="83"/>
      <c r="AL58" s="82"/>
      <c r="AO58" s="83"/>
      <c r="AP58" s="82"/>
      <c r="AS58" s="83"/>
      <c r="AW58" s="83"/>
      <c r="BA58" s="84"/>
    </row>
    <row r="59" spans="1:53" s="185" customFormat="1">
      <c r="A59" s="101">
        <v>1985</v>
      </c>
      <c r="B59" s="852"/>
      <c r="C59" s="917" t="s">
        <v>680</v>
      </c>
      <c r="D59" s="917"/>
      <c r="E59" s="185">
        <v>365</v>
      </c>
      <c r="G59" s="119"/>
      <c r="H59" s="185">
        <v>5</v>
      </c>
      <c r="I59" s="185">
        <v>4</v>
      </c>
      <c r="J59" s="126">
        <v>9</v>
      </c>
      <c r="K59" s="92">
        <f t="shared" si="1"/>
        <v>0</v>
      </c>
      <c r="L59" s="92">
        <f t="shared" si="1"/>
        <v>55.555555555555557</v>
      </c>
      <c r="M59" s="92">
        <f t="shared" si="1"/>
        <v>44.444444444444443</v>
      </c>
      <c r="N59" s="121">
        <f t="shared" si="2"/>
        <v>100</v>
      </c>
      <c r="O59" s="91"/>
      <c r="P59" s="92">
        <v>39.1</v>
      </c>
      <c r="Q59" s="92">
        <v>32.799999999999997</v>
      </c>
      <c r="R59" s="93">
        <f t="shared" si="3"/>
        <v>71.900000000000006</v>
      </c>
      <c r="S59" s="185">
        <v>2</v>
      </c>
      <c r="T59" s="839"/>
      <c r="U59" s="852"/>
      <c r="V59" s="82" t="s">
        <v>495</v>
      </c>
      <c r="W59" s="185" t="s">
        <v>17</v>
      </c>
      <c r="X59" s="185" t="s">
        <v>326</v>
      </c>
      <c r="Y59" s="83">
        <v>39.1</v>
      </c>
      <c r="Z59" s="185" t="s">
        <v>496</v>
      </c>
      <c r="AA59" s="185" t="s">
        <v>20</v>
      </c>
      <c r="AB59" s="185" t="s">
        <v>12</v>
      </c>
      <c r="AC59" s="185">
        <v>32.799999999999997</v>
      </c>
      <c r="AD59" s="82"/>
      <c r="AG59" s="83"/>
      <c r="AL59" s="82"/>
      <c r="AO59" s="83"/>
      <c r="AP59" s="82"/>
      <c r="AS59" s="83"/>
      <c r="AW59" s="83"/>
      <c r="BA59" s="84"/>
    </row>
    <row r="60" spans="1:53" s="185" customFormat="1">
      <c r="A60" s="101">
        <v>1986</v>
      </c>
      <c r="B60" s="852"/>
      <c r="C60" s="917" t="s">
        <v>680</v>
      </c>
      <c r="D60" s="917"/>
      <c r="E60" s="185">
        <v>0</v>
      </c>
      <c r="G60" s="119"/>
      <c r="H60" s="185">
        <v>5</v>
      </c>
      <c r="I60" s="185">
        <v>4</v>
      </c>
      <c r="J60" s="126">
        <v>9</v>
      </c>
      <c r="K60" s="92">
        <f t="shared" si="1"/>
        <v>0</v>
      </c>
      <c r="L60" s="92">
        <f t="shared" si="1"/>
        <v>55.555555555555557</v>
      </c>
      <c r="M60" s="92">
        <f t="shared" si="1"/>
        <v>44.444444444444443</v>
      </c>
      <c r="N60" s="121">
        <f t="shared" si="2"/>
        <v>100</v>
      </c>
      <c r="O60" s="91"/>
      <c r="P60" s="92">
        <v>39.1</v>
      </c>
      <c r="Q60" s="92">
        <v>32.799999999999997</v>
      </c>
      <c r="R60" s="93">
        <f t="shared" si="3"/>
        <v>71.900000000000006</v>
      </c>
      <c r="S60" s="185">
        <v>2</v>
      </c>
      <c r="T60" s="839"/>
      <c r="U60" s="852"/>
      <c r="V60" s="82" t="s">
        <v>495</v>
      </c>
      <c r="W60" s="185" t="s">
        <v>17</v>
      </c>
      <c r="X60" s="185" t="s">
        <v>326</v>
      </c>
      <c r="Y60" s="83">
        <v>39.1</v>
      </c>
      <c r="Z60" s="185" t="s">
        <v>496</v>
      </c>
      <c r="AA60" s="185" t="s">
        <v>20</v>
      </c>
      <c r="AB60" s="185" t="s">
        <v>12</v>
      </c>
      <c r="AC60" s="185">
        <v>32.799999999999997</v>
      </c>
      <c r="AD60" s="82"/>
      <c r="AG60" s="83"/>
      <c r="AL60" s="82"/>
      <c r="AO60" s="83"/>
      <c r="AP60" s="82"/>
      <c r="AS60" s="83"/>
      <c r="AW60" s="83"/>
      <c r="BA60" s="84"/>
    </row>
    <row r="61" spans="1:53" s="185" customFormat="1">
      <c r="A61" s="101">
        <v>1986</v>
      </c>
      <c r="B61" s="852"/>
      <c r="C61" s="917" t="s">
        <v>680</v>
      </c>
      <c r="D61" s="917"/>
      <c r="E61" s="185">
        <v>365</v>
      </c>
      <c r="G61" s="119"/>
      <c r="H61" s="185">
        <v>5</v>
      </c>
      <c r="I61" s="185">
        <v>4</v>
      </c>
      <c r="J61" s="126">
        <v>9</v>
      </c>
      <c r="K61" s="92">
        <f t="shared" si="1"/>
        <v>0</v>
      </c>
      <c r="L61" s="92">
        <f t="shared" si="1"/>
        <v>55.555555555555557</v>
      </c>
      <c r="M61" s="92">
        <f t="shared" si="1"/>
        <v>44.444444444444443</v>
      </c>
      <c r="N61" s="121">
        <f t="shared" si="2"/>
        <v>100</v>
      </c>
      <c r="O61" s="91"/>
      <c r="P61" s="92">
        <v>39.1</v>
      </c>
      <c r="Q61" s="92">
        <v>32.799999999999997</v>
      </c>
      <c r="R61" s="93">
        <f t="shared" si="3"/>
        <v>71.900000000000006</v>
      </c>
      <c r="S61" s="185">
        <v>2</v>
      </c>
      <c r="T61" s="839"/>
      <c r="U61" s="852"/>
      <c r="V61" s="82" t="s">
        <v>495</v>
      </c>
      <c r="W61" s="185" t="s">
        <v>17</v>
      </c>
      <c r="X61" s="185" t="s">
        <v>326</v>
      </c>
      <c r="Y61" s="83">
        <v>39.1</v>
      </c>
      <c r="Z61" s="185" t="s">
        <v>496</v>
      </c>
      <c r="AA61" s="185" t="s">
        <v>20</v>
      </c>
      <c r="AB61" s="185" t="s">
        <v>12</v>
      </c>
      <c r="AC61" s="185">
        <v>32.799999999999997</v>
      </c>
      <c r="AD61" s="82"/>
      <c r="AG61" s="83"/>
      <c r="AL61" s="82"/>
      <c r="AO61" s="83"/>
      <c r="AP61" s="82"/>
      <c r="AS61" s="83"/>
      <c r="AW61" s="83"/>
      <c r="BA61" s="84"/>
    </row>
    <row r="62" spans="1:53" s="185" customFormat="1">
      <c r="A62" s="101">
        <v>1987</v>
      </c>
      <c r="B62" s="852"/>
      <c r="C62" s="917" t="s">
        <v>680</v>
      </c>
      <c r="D62" s="917"/>
      <c r="E62" s="185">
        <v>0</v>
      </c>
      <c r="G62" s="119"/>
      <c r="H62" s="185">
        <v>5</v>
      </c>
      <c r="I62" s="185">
        <v>4</v>
      </c>
      <c r="J62" s="126">
        <v>9</v>
      </c>
      <c r="K62" s="92">
        <f t="shared" si="1"/>
        <v>0</v>
      </c>
      <c r="L62" s="92">
        <f t="shared" si="1"/>
        <v>55.555555555555557</v>
      </c>
      <c r="M62" s="92">
        <f t="shared" si="1"/>
        <v>44.444444444444443</v>
      </c>
      <c r="N62" s="121">
        <f t="shared" si="2"/>
        <v>100</v>
      </c>
      <c r="O62" s="91"/>
      <c r="P62" s="92">
        <v>39.1</v>
      </c>
      <c r="Q62" s="92">
        <v>32.799999999999997</v>
      </c>
      <c r="R62" s="93">
        <f t="shared" si="3"/>
        <v>71.900000000000006</v>
      </c>
      <c r="S62" s="185">
        <v>2</v>
      </c>
      <c r="T62" s="839"/>
      <c r="U62" s="852"/>
      <c r="V62" s="82" t="s">
        <v>495</v>
      </c>
      <c r="W62" s="185" t="s">
        <v>17</v>
      </c>
      <c r="X62" s="185" t="s">
        <v>326</v>
      </c>
      <c r="Y62" s="83">
        <v>39.1</v>
      </c>
      <c r="Z62" s="185" t="s">
        <v>496</v>
      </c>
      <c r="AA62" s="185" t="s">
        <v>20</v>
      </c>
      <c r="AB62" s="185" t="s">
        <v>12</v>
      </c>
      <c r="AC62" s="185">
        <v>32.799999999999997</v>
      </c>
      <c r="AD62" s="82"/>
      <c r="AG62" s="83"/>
      <c r="AL62" s="82"/>
      <c r="AO62" s="83"/>
      <c r="AP62" s="82"/>
      <c r="AS62" s="83"/>
      <c r="AW62" s="83"/>
      <c r="BA62" s="84"/>
    </row>
    <row r="63" spans="1:53" s="185" customFormat="1">
      <c r="A63" s="101">
        <v>1987</v>
      </c>
      <c r="B63" s="852"/>
      <c r="C63" s="917" t="s">
        <v>680</v>
      </c>
      <c r="D63" s="917"/>
      <c r="E63" s="185">
        <v>365</v>
      </c>
      <c r="G63" s="119"/>
      <c r="H63" s="185">
        <v>5</v>
      </c>
      <c r="I63" s="185">
        <v>4</v>
      </c>
      <c r="J63" s="126">
        <v>9</v>
      </c>
      <c r="K63" s="92">
        <f t="shared" si="1"/>
        <v>0</v>
      </c>
      <c r="L63" s="92">
        <f t="shared" si="1"/>
        <v>55.555555555555557</v>
      </c>
      <c r="M63" s="92">
        <f t="shared" si="1"/>
        <v>44.444444444444443</v>
      </c>
      <c r="N63" s="121">
        <f t="shared" si="2"/>
        <v>100</v>
      </c>
      <c r="O63" s="91"/>
      <c r="P63" s="92">
        <v>39.1</v>
      </c>
      <c r="Q63" s="92">
        <v>32.799999999999997</v>
      </c>
      <c r="R63" s="93">
        <f t="shared" si="3"/>
        <v>71.900000000000006</v>
      </c>
      <c r="S63" s="185">
        <v>2</v>
      </c>
      <c r="T63" s="839"/>
      <c r="U63" s="852"/>
      <c r="V63" s="82" t="s">
        <v>495</v>
      </c>
      <c r="W63" s="185" t="s">
        <v>17</v>
      </c>
      <c r="X63" s="185" t="s">
        <v>326</v>
      </c>
      <c r="Y63" s="83">
        <v>39.1</v>
      </c>
      <c r="Z63" s="185" t="s">
        <v>496</v>
      </c>
      <c r="AA63" s="185" t="s">
        <v>20</v>
      </c>
      <c r="AB63" s="185" t="s">
        <v>12</v>
      </c>
      <c r="AC63" s="185">
        <v>32.799999999999997</v>
      </c>
      <c r="AD63" s="82"/>
      <c r="AG63" s="83"/>
      <c r="AL63" s="82"/>
      <c r="AO63" s="83"/>
      <c r="AP63" s="82"/>
      <c r="AS63" s="83"/>
      <c r="AW63" s="83"/>
      <c r="BA63" s="84"/>
    </row>
    <row r="64" spans="1:53" s="185" customFormat="1">
      <c r="A64" s="101">
        <v>1988</v>
      </c>
      <c r="B64" s="852"/>
      <c r="C64" s="917" t="s">
        <v>680</v>
      </c>
      <c r="D64" s="917"/>
      <c r="E64" s="185">
        <v>0</v>
      </c>
      <c r="G64" s="119"/>
      <c r="H64" s="185">
        <v>5</v>
      </c>
      <c r="I64" s="185">
        <v>4</v>
      </c>
      <c r="J64" s="126">
        <v>9</v>
      </c>
      <c r="K64" s="92">
        <f t="shared" si="1"/>
        <v>0</v>
      </c>
      <c r="L64" s="92">
        <f t="shared" si="1"/>
        <v>55.555555555555557</v>
      </c>
      <c r="M64" s="92">
        <f t="shared" si="1"/>
        <v>44.444444444444443</v>
      </c>
      <c r="N64" s="121">
        <f t="shared" si="2"/>
        <v>100</v>
      </c>
      <c r="O64" s="91"/>
      <c r="P64" s="92">
        <v>39.1</v>
      </c>
      <c r="Q64" s="92">
        <v>32.799999999999997</v>
      </c>
      <c r="R64" s="93">
        <f t="shared" si="3"/>
        <v>71.900000000000006</v>
      </c>
      <c r="S64" s="185">
        <v>2</v>
      </c>
      <c r="T64" s="839"/>
      <c r="U64" s="852"/>
      <c r="V64" s="82" t="s">
        <v>495</v>
      </c>
      <c r="W64" s="185" t="s">
        <v>17</v>
      </c>
      <c r="X64" s="185" t="s">
        <v>326</v>
      </c>
      <c r="Y64" s="83">
        <v>39.1</v>
      </c>
      <c r="Z64" s="185" t="s">
        <v>496</v>
      </c>
      <c r="AA64" s="185" t="s">
        <v>20</v>
      </c>
      <c r="AB64" s="185" t="s">
        <v>12</v>
      </c>
      <c r="AC64" s="185">
        <v>32.799999999999997</v>
      </c>
      <c r="AD64" s="82"/>
      <c r="AG64" s="83"/>
      <c r="AL64" s="82"/>
      <c r="AO64" s="83"/>
      <c r="AP64" s="82"/>
      <c r="AS64" s="83"/>
      <c r="AW64" s="83"/>
      <c r="BA64" s="84"/>
    </row>
    <row r="65" spans="1:53" s="185" customFormat="1">
      <c r="A65" s="101">
        <v>1988</v>
      </c>
      <c r="B65" s="852"/>
      <c r="C65" s="917" t="s">
        <v>680</v>
      </c>
      <c r="D65" s="917"/>
      <c r="E65" s="185">
        <v>366</v>
      </c>
      <c r="G65" s="119"/>
      <c r="H65" s="185">
        <v>5</v>
      </c>
      <c r="I65" s="185">
        <v>4</v>
      </c>
      <c r="J65" s="126">
        <v>9</v>
      </c>
      <c r="K65" s="92">
        <f t="shared" si="1"/>
        <v>0</v>
      </c>
      <c r="L65" s="92">
        <f t="shared" si="1"/>
        <v>55.555555555555557</v>
      </c>
      <c r="M65" s="92">
        <f t="shared" si="1"/>
        <v>44.444444444444443</v>
      </c>
      <c r="N65" s="121">
        <f t="shared" si="2"/>
        <v>100</v>
      </c>
      <c r="O65" s="91"/>
      <c r="P65" s="92">
        <v>39.1</v>
      </c>
      <c r="Q65" s="92">
        <v>32.799999999999997</v>
      </c>
      <c r="R65" s="93">
        <f t="shared" si="3"/>
        <v>71.900000000000006</v>
      </c>
      <c r="S65" s="185">
        <v>2</v>
      </c>
      <c r="T65" s="839"/>
      <c r="U65" s="852"/>
      <c r="V65" s="82" t="s">
        <v>495</v>
      </c>
      <c r="W65" s="185" t="s">
        <v>17</v>
      </c>
      <c r="X65" s="185" t="s">
        <v>326</v>
      </c>
      <c r="Y65" s="83">
        <v>39.1</v>
      </c>
      <c r="Z65" s="185" t="s">
        <v>496</v>
      </c>
      <c r="AA65" s="185" t="s">
        <v>20</v>
      </c>
      <c r="AB65" s="185" t="s">
        <v>12</v>
      </c>
      <c r="AC65" s="185">
        <v>32.799999999999997</v>
      </c>
      <c r="AD65" s="82"/>
      <c r="AG65" s="83"/>
      <c r="AL65" s="82"/>
      <c r="AO65" s="83"/>
      <c r="AP65" s="82"/>
      <c r="AS65" s="83"/>
      <c r="AW65" s="83"/>
      <c r="BA65" s="84"/>
    </row>
    <row r="66" spans="1:53" s="185" customFormat="1">
      <c r="A66" s="101">
        <v>1989</v>
      </c>
      <c r="B66" s="852"/>
      <c r="C66" s="917" t="s">
        <v>680</v>
      </c>
      <c r="D66" s="917"/>
      <c r="E66" s="185">
        <v>194</v>
      </c>
      <c r="G66" s="119"/>
      <c r="H66" s="185">
        <v>5</v>
      </c>
      <c r="I66" s="185">
        <v>4</v>
      </c>
      <c r="J66" s="126">
        <v>9</v>
      </c>
      <c r="K66" s="92">
        <f t="shared" si="1"/>
        <v>0</v>
      </c>
      <c r="L66" s="92">
        <f t="shared" si="1"/>
        <v>55.555555555555557</v>
      </c>
      <c r="M66" s="92">
        <f t="shared" si="1"/>
        <v>44.444444444444443</v>
      </c>
      <c r="N66" s="121">
        <f t="shared" si="2"/>
        <v>100</v>
      </c>
      <c r="O66" s="91"/>
      <c r="P66" s="92">
        <v>39.1</v>
      </c>
      <c r="Q66" s="92">
        <v>32.799999999999997</v>
      </c>
      <c r="R66" s="93">
        <f t="shared" si="3"/>
        <v>71.900000000000006</v>
      </c>
      <c r="S66" s="185">
        <v>2</v>
      </c>
      <c r="T66" s="839"/>
      <c r="U66" s="852"/>
      <c r="V66" s="82" t="s">
        <v>495</v>
      </c>
      <c r="W66" s="185" t="s">
        <v>17</v>
      </c>
      <c r="X66" s="185" t="s">
        <v>326</v>
      </c>
      <c r="Y66" s="83">
        <v>39.1</v>
      </c>
      <c r="Z66" s="185" t="s">
        <v>496</v>
      </c>
      <c r="AA66" s="185" t="s">
        <v>20</v>
      </c>
      <c r="AB66" s="185" t="s">
        <v>12</v>
      </c>
      <c r="AC66" s="185">
        <v>32.799999999999997</v>
      </c>
      <c r="AD66" s="82"/>
      <c r="AG66" s="83"/>
      <c r="AL66" s="82"/>
      <c r="AO66" s="83"/>
      <c r="AP66" s="82"/>
      <c r="AS66" s="83"/>
      <c r="AW66" s="83"/>
      <c r="BA66" s="84"/>
    </row>
    <row r="67" spans="1:53" s="103" customFormat="1">
      <c r="A67" s="180">
        <v>1989</v>
      </c>
      <c r="B67" s="846">
        <v>32703</v>
      </c>
      <c r="C67" s="923" t="s">
        <v>681</v>
      </c>
      <c r="D67" s="923"/>
      <c r="E67" s="103">
        <f>365-E66</f>
        <v>171</v>
      </c>
      <c r="F67" s="103">
        <v>1</v>
      </c>
      <c r="G67" s="386"/>
      <c r="H67" s="103">
        <v>6</v>
      </c>
      <c r="I67" s="103">
        <v>4</v>
      </c>
      <c r="J67" s="387">
        <v>10</v>
      </c>
      <c r="K67" s="352">
        <f t="shared" si="1"/>
        <v>0</v>
      </c>
      <c r="L67" s="353">
        <f t="shared" si="1"/>
        <v>60</v>
      </c>
      <c r="M67" s="353">
        <f t="shared" si="1"/>
        <v>40</v>
      </c>
      <c r="N67" s="371">
        <f t="shared" si="2"/>
        <v>100</v>
      </c>
      <c r="O67" s="352"/>
      <c r="P67" s="353">
        <v>36.700000000000003</v>
      </c>
      <c r="Q67" s="353">
        <v>30</v>
      </c>
      <c r="R67" s="354">
        <f t="shared" si="3"/>
        <v>66.7</v>
      </c>
      <c r="S67" s="292">
        <v>2</v>
      </c>
      <c r="T67" s="840">
        <v>32677</v>
      </c>
      <c r="U67" s="846">
        <v>32703</v>
      </c>
      <c r="V67" s="104" t="s">
        <v>495</v>
      </c>
      <c r="W67" s="103" t="s">
        <v>17</v>
      </c>
      <c r="X67" s="103" t="s">
        <v>326</v>
      </c>
      <c r="Y67" s="105">
        <v>36.700000000000003</v>
      </c>
      <c r="Z67" s="103" t="s">
        <v>496</v>
      </c>
      <c r="AA67" s="103" t="s">
        <v>20</v>
      </c>
      <c r="AB67" s="103" t="s">
        <v>12</v>
      </c>
      <c r="AC67" s="105">
        <v>30</v>
      </c>
      <c r="AD67" s="104"/>
      <c r="AG67" s="105"/>
      <c r="AL67" s="104"/>
      <c r="AO67" s="105"/>
      <c r="AP67" s="104"/>
      <c r="AS67" s="105"/>
      <c r="AW67" s="105"/>
      <c r="BA67" s="106"/>
    </row>
    <row r="68" spans="1:53" s="292" customFormat="1">
      <c r="A68" s="292">
        <v>1990</v>
      </c>
      <c r="B68" s="836"/>
      <c r="C68" s="916" t="s">
        <v>681</v>
      </c>
      <c r="D68" s="916"/>
      <c r="E68" s="292">
        <v>0</v>
      </c>
      <c r="G68" s="366"/>
      <c r="H68" s="292">
        <v>6</v>
      </c>
      <c r="I68" s="292">
        <v>4</v>
      </c>
      <c r="J68" s="377">
        <v>10</v>
      </c>
      <c r="K68" s="336">
        <f t="shared" si="1"/>
        <v>0</v>
      </c>
      <c r="L68" s="336">
        <f t="shared" si="1"/>
        <v>60</v>
      </c>
      <c r="M68" s="336">
        <f t="shared" si="1"/>
        <v>40</v>
      </c>
      <c r="N68" s="368">
        <f t="shared" si="2"/>
        <v>100</v>
      </c>
      <c r="O68" s="335"/>
      <c r="P68" s="336">
        <v>36.700000000000003</v>
      </c>
      <c r="Q68" s="336">
        <v>30</v>
      </c>
      <c r="R68" s="337">
        <f t="shared" si="3"/>
        <v>66.7</v>
      </c>
      <c r="S68" s="395">
        <v>2</v>
      </c>
      <c r="T68" s="838"/>
      <c r="U68" s="836"/>
      <c r="V68" s="299" t="s">
        <v>495</v>
      </c>
      <c r="W68" s="292" t="s">
        <v>17</v>
      </c>
      <c r="X68" s="292" t="s">
        <v>326</v>
      </c>
      <c r="Y68" s="300">
        <v>36.700000000000003</v>
      </c>
      <c r="Z68" s="292" t="s">
        <v>496</v>
      </c>
      <c r="AA68" s="292" t="s">
        <v>20</v>
      </c>
      <c r="AB68" s="292" t="s">
        <v>12</v>
      </c>
      <c r="AC68" s="292">
        <v>30</v>
      </c>
      <c r="AD68" s="299"/>
      <c r="AG68" s="300"/>
      <c r="AL68" s="299"/>
      <c r="AO68" s="300"/>
      <c r="AP68" s="299"/>
      <c r="AS68" s="300"/>
      <c r="AW68" s="300"/>
      <c r="BA68" s="301"/>
    </row>
    <row r="69" spans="1:53" s="292" customFormat="1">
      <c r="A69" s="292">
        <v>1990</v>
      </c>
      <c r="B69" s="836"/>
      <c r="C69" s="916" t="s">
        <v>681</v>
      </c>
      <c r="D69" s="916"/>
      <c r="E69" s="292">
        <f>365-E68</f>
        <v>365</v>
      </c>
      <c r="G69" s="366"/>
      <c r="H69" s="292">
        <v>6</v>
      </c>
      <c r="I69" s="292">
        <v>4</v>
      </c>
      <c r="J69" s="377">
        <v>10</v>
      </c>
      <c r="K69" s="336">
        <f t="shared" si="1"/>
        <v>0</v>
      </c>
      <c r="L69" s="336">
        <f t="shared" si="1"/>
        <v>60</v>
      </c>
      <c r="M69" s="336">
        <f t="shared" si="1"/>
        <v>40</v>
      </c>
      <c r="N69" s="368">
        <f t="shared" si="2"/>
        <v>100</v>
      </c>
      <c r="O69" s="335"/>
      <c r="P69" s="336">
        <v>36.700000000000003</v>
      </c>
      <c r="Q69" s="336">
        <v>30</v>
      </c>
      <c r="R69" s="337">
        <f t="shared" si="3"/>
        <v>66.7</v>
      </c>
      <c r="S69" s="292">
        <v>2</v>
      </c>
      <c r="T69" s="838"/>
      <c r="U69" s="836"/>
      <c r="V69" s="299" t="s">
        <v>495</v>
      </c>
      <c r="W69" s="292" t="s">
        <v>17</v>
      </c>
      <c r="X69" s="292" t="s">
        <v>326</v>
      </c>
      <c r="Y69" s="300">
        <v>36.700000000000003</v>
      </c>
      <c r="Z69" s="292" t="s">
        <v>496</v>
      </c>
      <c r="AA69" s="292" t="s">
        <v>20</v>
      </c>
      <c r="AB69" s="292" t="s">
        <v>12</v>
      </c>
      <c r="AC69" s="292">
        <v>30</v>
      </c>
      <c r="AD69" s="299"/>
      <c r="AG69" s="300"/>
      <c r="AL69" s="299"/>
      <c r="AO69" s="300"/>
      <c r="AP69" s="299"/>
      <c r="AS69" s="300"/>
      <c r="AW69" s="300"/>
      <c r="BA69" s="301"/>
    </row>
    <row r="70" spans="1:53" s="292" customFormat="1">
      <c r="A70" s="292">
        <v>1991</v>
      </c>
      <c r="B70" s="836"/>
      <c r="C70" s="916" t="s">
        <v>681</v>
      </c>
      <c r="D70" s="916"/>
      <c r="E70" s="292">
        <v>0</v>
      </c>
      <c r="G70" s="366"/>
      <c r="H70" s="292">
        <v>6</v>
      </c>
      <c r="I70" s="292">
        <v>4</v>
      </c>
      <c r="J70" s="377">
        <v>10</v>
      </c>
      <c r="K70" s="336">
        <f t="shared" si="1"/>
        <v>0</v>
      </c>
      <c r="L70" s="336">
        <f t="shared" si="1"/>
        <v>60</v>
      </c>
      <c r="M70" s="336">
        <f t="shared" si="1"/>
        <v>40</v>
      </c>
      <c r="N70" s="368">
        <f t="shared" si="2"/>
        <v>100</v>
      </c>
      <c r="O70" s="335"/>
      <c r="P70" s="336">
        <v>36.700000000000003</v>
      </c>
      <c r="Q70" s="336">
        <v>30</v>
      </c>
      <c r="R70" s="337">
        <f t="shared" si="3"/>
        <v>66.7</v>
      </c>
      <c r="S70" s="292">
        <v>2</v>
      </c>
      <c r="T70" s="838"/>
      <c r="U70" s="836"/>
      <c r="V70" s="299" t="s">
        <v>495</v>
      </c>
      <c r="W70" s="292" t="s">
        <v>17</v>
      </c>
      <c r="X70" s="292" t="s">
        <v>326</v>
      </c>
      <c r="Y70" s="300">
        <v>36.700000000000003</v>
      </c>
      <c r="Z70" s="292" t="s">
        <v>496</v>
      </c>
      <c r="AA70" s="292" t="s">
        <v>20</v>
      </c>
      <c r="AB70" s="292" t="s">
        <v>12</v>
      </c>
      <c r="AC70" s="292">
        <v>30</v>
      </c>
      <c r="AD70" s="299"/>
      <c r="AG70" s="300"/>
      <c r="AL70" s="299"/>
      <c r="AO70" s="300"/>
      <c r="AP70" s="299"/>
      <c r="AS70" s="300"/>
      <c r="AW70" s="300"/>
      <c r="BA70" s="301"/>
    </row>
    <row r="71" spans="1:53" s="292" customFormat="1">
      <c r="A71" s="292">
        <v>1991</v>
      </c>
      <c r="B71" s="836"/>
      <c r="C71" s="916" t="s">
        <v>681</v>
      </c>
      <c r="D71" s="916"/>
      <c r="E71" s="292">
        <f>365-E70</f>
        <v>365</v>
      </c>
      <c r="G71" s="366"/>
      <c r="H71" s="292">
        <v>6</v>
      </c>
      <c r="I71" s="292">
        <v>4</v>
      </c>
      <c r="J71" s="377">
        <v>10</v>
      </c>
      <c r="K71" s="336">
        <f t="shared" si="1"/>
        <v>0</v>
      </c>
      <c r="L71" s="336">
        <f t="shared" si="1"/>
        <v>60</v>
      </c>
      <c r="M71" s="336">
        <f t="shared" si="1"/>
        <v>40</v>
      </c>
      <c r="N71" s="368">
        <f t="shared" si="2"/>
        <v>100</v>
      </c>
      <c r="O71" s="335"/>
      <c r="P71" s="336">
        <v>36.700000000000003</v>
      </c>
      <c r="Q71" s="336">
        <v>30</v>
      </c>
      <c r="R71" s="337">
        <f t="shared" si="3"/>
        <v>66.7</v>
      </c>
      <c r="S71" s="292">
        <v>2</v>
      </c>
      <c r="T71" s="838"/>
      <c r="U71" s="836"/>
      <c r="V71" s="299" t="s">
        <v>495</v>
      </c>
      <c r="W71" s="292" t="s">
        <v>17</v>
      </c>
      <c r="X71" s="292" t="s">
        <v>326</v>
      </c>
      <c r="Y71" s="300">
        <v>36.700000000000003</v>
      </c>
      <c r="Z71" s="292" t="s">
        <v>496</v>
      </c>
      <c r="AA71" s="292" t="s">
        <v>20</v>
      </c>
      <c r="AB71" s="292" t="s">
        <v>12</v>
      </c>
      <c r="AC71" s="292">
        <v>30</v>
      </c>
      <c r="AD71" s="299"/>
      <c r="AG71" s="300"/>
      <c r="AL71" s="299"/>
      <c r="AO71" s="300"/>
      <c r="AP71" s="299"/>
      <c r="AS71" s="300"/>
      <c r="AW71" s="300"/>
      <c r="BA71" s="301"/>
    </row>
    <row r="72" spans="1:53" s="292" customFormat="1">
      <c r="A72" s="292">
        <v>1992</v>
      </c>
      <c r="B72" s="836"/>
      <c r="C72" s="916" t="s">
        <v>681</v>
      </c>
      <c r="D72" s="916"/>
      <c r="E72" s="292">
        <v>0</v>
      </c>
      <c r="G72" s="366"/>
      <c r="H72" s="292">
        <v>6</v>
      </c>
      <c r="I72" s="292">
        <v>4</v>
      </c>
      <c r="J72" s="377">
        <v>10</v>
      </c>
      <c r="K72" s="336">
        <f t="shared" si="1"/>
        <v>0</v>
      </c>
      <c r="L72" s="336">
        <f t="shared" si="1"/>
        <v>60</v>
      </c>
      <c r="M72" s="336">
        <f t="shared" si="1"/>
        <v>40</v>
      </c>
      <c r="N72" s="368">
        <f t="shared" si="2"/>
        <v>100</v>
      </c>
      <c r="O72" s="335"/>
      <c r="P72" s="336">
        <v>36.700000000000003</v>
      </c>
      <c r="Q72" s="336">
        <v>30</v>
      </c>
      <c r="R72" s="337">
        <f t="shared" si="3"/>
        <v>66.7</v>
      </c>
      <c r="S72" s="292">
        <v>2</v>
      </c>
      <c r="T72" s="838"/>
      <c r="U72" s="836"/>
      <c r="V72" s="299" t="s">
        <v>495</v>
      </c>
      <c r="W72" s="292" t="s">
        <v>17</v>
      </c>
      <c r="X72" s="292" t="s">
        <v>326</v>
      </c>
      <c r="Y72" s="300">
        <v>36.700000000000003</v>
      </c>
      <c r="Z72" s="292" t="s">
        <v>496</v>
      </c>
      <c r="AA72" s="292" t="s">
        <v>20</v>
      </c>
      <c r="AB72" s="292" t="s">
        <v>12</v>
      </c>
      <c r="AC72" s="292">
        <v>30</v>
      </c>
      <c r="AD72" s="299"/>
      <c r="AG72" s="300"/>
      <c r="AL72" s="299"/>
      <c r="AO72" s="300"/>
      <c r="AP72" s="299"/>
      <c r="AS72" s="300"/>
      <c r="AW72" s="300"/>
      <c r="BA72" s="301"/>
    </row>
    <row r="73" spans="1:53" s="292" customFormat="1">
      <c r="A73" s="292">
        <v>1992</v>
      </c>
      <c r="B73" s="836"/>
      <c r="C73" s="916" t="s">
        <v>681</v>
      </c>
      <c r="D73" s="916"/>
      <c r="E73" s="292">
        <v>366</v>
      </c>
      <c r="G73" s="366"/>
      <c r="H73" s="292">
        <v>6</v>
      </c>
      <c r="I73" s="292">
        <v>4</v>
      </c>
      <c r="J73" s="377">
        <v>10</v>
      </c>
      <c r="K73" s="336">
        <f t="shared" ref="K73:M115" si="4">G73/$J73*100</f>
        <v>0</v>
      </c>
      <c r="L73" s="336">
        <f t="shared" si="4"/>
        <v>60</v>
      </c>
      <c r="M73" s="336">
        <f t="shared" si="4"/>
        <v>40</v>
      </c>
      <c r="N73" s="368">
        <f t="shared" ref="N73:N115" si="5">K73+L73+M73</f>
        <v>100</v>
      </c>
      <c r="O73" s="335"/>
      <c r="P73" s="336">
        <v>36.700000000000003</v>
      </c>
      <c r="Q73" s="336">
        <v>30</v>
      </c>
      <c r="R73" s="337">
        <f t="shared" ref="R73:R113" si="6">O73+P73+Q73</f>
        <v>66.7</v>
      </c>
      <c r="S73" s="292">
        <v>2</v>
      </c>
      <c r="T73" s="838"/>
      <c r="U73" s="836"/>
      <c r="V73" s="299" t="s">
        <v>495</v>
      </c>
      <c r="W73" s="292" t="s">
        <v>17</v>
      </c>
      <c r="X73" s="292" t="s">
        <v>326</v>
      </c>
      <c r="Y73" s="300">
        <v>36.700000000000003</v>
      </c>
      <c r="Z73" s="292" t="s">
        <v>496</v>
      </c>
      <c r="AA73" s="292" t="s">
        <v>20</v>
      </c>
      <c r="AB73" s="292" t="s">
        <v>12</v>
      </c>
      <c r="AC73" s="292">
        <v>30</v>
      </c>
      <c r="AD73" s="299"/>
      <c r="AG73" s="300"/>
      <c r="AL73" s="299"/>
      <c r="AO73" s="300"/>
      <c r="AP73" s="299"/>
      <c r="AS73" s="300"/>
      <c r="AW73" s="300"/>
      <c r="BA73" s="301"/>
    </row>
    <row r="74" spans="1:53" s="292" customFormat="1">
      <c r="A74" s="292">
        <v>1993</v>
      </c>
      <c r="B74" s="836"/>
      <c r="C74" s="916" t="s">
        <v>681</v>
      </c>
      <c r="D74" s="916"/>
      <c r="E74" s="292">
        <v>0</v>
      </c>
      <c r="G74" s="366"/>
      <c r="H74" s="292">
        <v>6</v>
      </c>
      <c r="I74" s="292">
        <v>4</v>
      </c>
      <c r="J74" s="377">
        <v>10</v>
      </c>
      <c r="K74" s="336">
        <f t="shared" si="4"/>
        <v>0</v>
      </c>
      <c r="L74" s="336">
        <f t="shared" si="4"/>
        <v>60</v>
      </c>
      <c r="M74" s="336">
        <f t="shared" si="4"/>
        <v>40</v>
      </c>
      <c r="N74" s="368">
        <f t="shared" si="5"/>
        <v>100</v>
      </c>
      <c r="O74" s="335"/>
      <c r="P74" s="336">
        <v>36.700000000000003</v>
      </c>
      <c r="Q74" s="336">
        <v>30</v>
      </c>
      <c r="R74" s="337">
        <f t="shared" si="6"/>
        <v>66.7</v>
      </c>
      <c r="S74" s="292">
        <v>2</v>
      </c>
      <c r="T74" s="838"/>
      <c r="U74" s="836"/>
      <c r="V74" s="299" t="s">
        <v>495</v>
      </c>
      <c r="W74" s="292" t="s">
        <v>17</v>
      </c>
      <c r="X74" s="292" t="s">
        <v>326</v>
      </c>
      <c r="Y74" s="300">
        <v>36.700000000000003</v>
      </c>
      <c r="Z74" s="292" t="s">
        <v>496</v>
      </c>
      <c r="AA74" s="292" t="s">
        <v>20</v>
      </c>
      <c r="AB74" s="292" t="s">
        <v>12</v>
      </c>
      <c r="AC74" s="292">
        <v>30</v>
      </c>
      <c r="AD74" s="299"/>
      <c r="AG74" s="300"/>
      <c r="AL74" s="299"/>
      <c r="AO74" s="300"/>
      <c r="AP74" s="299"/>
      <c r="AS74" s="300"/>
      <c r="AW74" s="300"/>
      <c r="BA74" s="301"/>
    </row>
    <row r="75" spans="1:53" s="292" customFormat="1">
      <c r="A75" s="292">
        <v>1993</v>
      </c>
      <c r="B75" s="836"/>
      <c r="C75" s="916" t="s">
        <v>681</v>
      </c>
      <c r="D75" s="916"/>
      <c r="E75" s="292">
        <f>365-E74</f>
        <v>365</v>
      </c>
      <c r="G75" s="366"/>
      <c r="H75" s="292">
        <v>6</v>
      </c>
      <c r="I75" s="292">
        <v>4</v>
      </c>
      <c r="J75" s="377">
        <v>10</v>
      </c>
      <c r="K75" s="336">
        <f t="shared" si="4"/>
        <v>0</v>
      </c>
      <c r="L75" s="336">
        <f t="shared" si="4"/>
        <v>60</v>
      </c>
      <c r="M75" s="336">
        <f t="shared" si="4"/>
        <v>40</v>
      </c>
      <c r="N75" s="368">
        <f t="shared" si="5"/>
        <v>100</v>
      </c>
      <c r="O75" s="335"/>
      <c r="P75" s="336">
        <v>36.700000000000003</v>
      </c>
      <c r="Q75" s="336">
        <v>30</v>
      </c>
      <c r="R75" s="337">
        <f t="shared" si="6"/>
        <v>66.7</v>
      </c>
      <c r="S75" s="292">
        <v>2</v>
      </c>
      <c r="T75" s="838"/>
      <c r="U75" s="836"/>
      <c r="V75" s="299" t="s">
        <v>495</v>
      </c>
      <c r="W75" s="292" t="s">
        <v>17</v>
      </c>
      <c r="X75" s="292" t="s">
        <v>326</v>
      </c>
      <c r="Y75" s="300">
        <v>36.700000000000003</v>
      </c>
      <c r="Z75" s="292" t="s">
        <v>496</v>
      </c>
      <c r="AA75" s="292" t="s">
        <v>20</v>
      </c>
      <c r="AB75" s="292" t="s">
        <v>12</v>
      </c>
      <c r="AC75" s="292">
        <v>30</v>
      </c>
      <c r="AD75" s="299"/>
      <c r="AG75" s="300"/>
      <c r="AL75" s="299"/>
      <c r="AO75" s="300"/>
      <c r="AP75" s="299"/>
      <c r="AS75" s="300"/>
      <c r="AW75" s="300"/>
      <c r="BA75" s="301"/>
    </row>
    <row r="76" spans="1:53" s="292" customFormat="1">
      <c r="A76" s="292">
        <v>1994</v>
      </c>
      <c r="B76" s="836"/>
      <c r="C76" s="916" t="s">
        <v>681</v>
      </c>
      <c r="D76" s="916"/>
      <c r="E76" s="292">
        <v>193</v>
      </c>
      <c r="G76" s="366"/>
      <c r="H76" s="292">
        <v>6</v>
      </c>
      <c r="I76" s="292">
        <v>4</v>
      </c>
      <c r="J76" s="377">
        <v>10</v>
      </c>
      <c r="K76" s="336">
        <f t="shared" si="4"/>
        <v>0</v>
      </c>
      <c r="L76" s="336">
        <f t="shared" si="4"/>
        <v>60</v>
      </c>
      <c r="M76" s="336">
        <f t="shared" si="4"/>
        <v>40</v>
      </c>
      <c r="N76" s="368">
        <f t="shared" si="5"/>
        <v>100</v>
      </c>
      <c r="O76" s="335"/>
      <c r="P76" s="336">
        <v>36.700000000000003</v>
      </c>
      <c r="Q76" s="336">
        <v>30</v>
      </c>
      <c r="R76" s="337">
        <f t="shared" si="6"/>
        <v>66.7</v>
      </c>
      <c r="S76" s="292">
        <v>2</v>
      </c>
      <c r="T76" s="838"/>
      <c r="U76" s="836"/>
      <c r="V76" s="299" t="s">
        <v>495</v>
      </c>
      <c r="W76" s="292" t="s">
        <v>17</v>
      </c>
      <c r="X76" s="292" t="s">
        <v>326</v>
      </c>
      <c r="Y76" s="300">
        <v>36.700000000000003</v>
      </c>
      <c r="Z76" s="292" t="s">
        <v>496</v>
      </c>
      <c r="AA76" s="292" t="s">
        <v>20</v>
      </c>
      <c r="AB76" s="292" t="s">
        <v>12</v>
      </c>
      <c r="AC76" s="292">
        <v>30</v>
      </c>
      <c r="AD76" s="299"/>
      <c r="AG76" s="300"/>
      <c r="AL76" s="299"/>
      <c r="AO76" s="300"/>
      <c r="AP76" s="299"/>
      <c r="AS76" s="300"/>
      <c r="AW76" s="300"/>
      <c r="BA76" s="301"/>
    </row>
    <row r="77" spans="1:53" s="185" customFormat="1">
      <c r="A77" s="185">
        <v>1994</v>
      </c>
      <c r="B77" s="852">
        <v>34528</v>
      </c>
      <c r="C77" s="917" t="s">
        <v>682</v>
      </c>
      <c r="D77" s="917"/>
      <c r="E77" s="185">
        <f>365-E76</f>
        <v>172</v>
      </c>
      <c r="F77" s="185">
        <v>1</v>
      </c>
      <c r="G77" s="119"/>
      <c r="H77" s="185">
        <v>6</v>
      </c>
      <c r="I77" s="185">
        <v>6</v>
      </c>
      <c r="J77" s="126">
        <v>12</v>
      </c>
      <c r="K77" s="92">
        <f t="shared" si="4"/>
        <v>0</v>
      </c>
      <c r="L77" s="92">
        <f t="shared" si="4"/>
        <v>50</v>
      </c>
      <c r="M77" s="92">
        <f t="shared" si="4"/>
        <v>50</v>
      </c>
      <c r="N77" s="121">
        <f t="shared" si="5"/>
        <v>100</v>
      </c>
      <c r="O77" s="91"/>
      <c r="P77" s="92">
        <v>35</v>
      </c>
      <c r="Q77" s="92">
        <v>28.3</v>
      </c>
      <c r="R77" s="93">
        <f t="shared" si="6"/>
        <v>63.3</v>
      </c>
      <c r="S77" s="185">
        <v>2</v>
      </c>
      <c r="T77" s="839">
        <v>34497</v>
      </c>
      <c r="U77" s="852">
        <v>34528</v>
      </c>
      <c r="V77" s="82" t="s">
        <v>495</v>
      </c>
      <c r="W77" s="185" t="s">
        <v>17</v>
      </c>
      <c r="X77" s="185" t="s">
        <v>326</v>
      </c>
      <c r="Y77" s="83">
        <v>35</v>
      </c>
      <c r="Z77" s="185" t="s">
        <v>496</v>
      </c>
      <c r="AA77" s="185" t="s">
        <v>20</v>
      </c>
      <c r="AB77" s="185" t="s">
        <v>12</v>
      </c>
      <c r="AC77" s="185">
        <v>28.3</v>
      </c>
      <c r="AD77" s="82"/>
      <c r="AG77" s="83"/>
      <c r="AL77" s="82"/>
      <c r="AO77" s="83"/>
      <c r="AP77" s="82"/>
      <c r="AS77" s="83"/>
      <c r="AW77" s="83"/>
      <c r="BA77" s="84"/>
    </row>
    <row r="78" spans="1:53" s="185" customFormat="1">
      <c r="A78" s="185">
        <v>1995</v>
      </c>
      <c r="B78" s="852"/>
      <c r="C78" s="917" t="s">
        <v>682</v>
      </c>
      <c r="D78" s="917"/>
      <c r="E78" s="185">
        <v>25</v>
      </c>
      <c r="G78" s="119"/>
      <c r="H78" s="185">
        <v>6</v>
      </c>
      <c r="I78" s="185">
        <v>6</v>
      </c>
      <c r="J78" s="126">
        <v>12</v>
      </c>
      <c r="K78" s="92">
        <f t="shared" si="4"/>
        <v>0</v>
      </c>
      <c r="L78" s="92">
        <f t="shared" si="4"/>
        <v>50</v>
      </c>
      <c r="M78" s="92">
        <f t="shared" si="4"/>
        <v>50</v>
      </c>
      <c r="N78" s="121">
        <f t="shared" si="5"/>
        <v>100</v>
      </c>
      <c r="O78" s="91"/>
      <c r="P78" s="92">
        <v>35</v>
      </c>
      <c r="Q78" s="92">
        <v>28.3</v>
      </c>
      <c r="R78" s="93">
        <f t="shared" si="6"/>
        <v>63.3</v>
      </c>
      <c r="S78" s="185">
        <v>2</v>
      </c>
      <c r="T78" s="839"/>
      <c r="U78" s="852"/>
      <c r="V78" s="82" t="s">
        <v>495</v>
      </c>
      <c r="W78" s="185" t="s">
        <v>17</v>
      </c>
      <c r="X78" s="185" t="s">
        <v>326</v>
      </c>
      <c r="Y78" s="83">
        <v>35</v>
      </c>
      <c r="Z78" s="185" t="s">
        <v>496</v>
      </c>
      <c r="AA78" s="185" t="s">
        <v>20</v>
      </c>
      <c r="AB78" s="185" t="s">
        <v>12</v>
      </c>
      <c r="AC78" s="185">
        <v>28.3</v>
      </c>
      <c r="AD78" s="82"/>
      <c r="AG78" s="83"/>
      <c r="AL78" s="82"/>
      <c r="AO78" s="83"/>
      <c r="AP78" s="82"/>
      <c r="AS78" s="83"/>
      <c r="AW78" s="83"/>
      <c r="BA78" s="84"/>
    </row>
    <row r="79" spans="1:53" s="292" customFormat="1">
      <c r="A79" s="292">
        <v>1995</v>
      </c>
      <c r="B79" s="836">
        <v>34725</v>
      </c>
      <c r="C79" s="916" t="s">
        <v>683</v>
      </c>
      <c r="D79" s="916"/>
      <c r="E79" s="292">
        <f>365-E78</f>
        <v>340</v>
      </c>
      <c r="F79" s="292">
        <v>2</v>
      </c>
      <c r="G79" s="366"/>
      <c r="H79" s="292">
        <v>6</v>
      </c>
      <c r="I79" s="292">
        <v>6</v>
      </c>
      <c r="J79" s="377">
        <v>12</v>
      </c>
      <c r="K79" s="336">
        <f t="shared" si="4"/>
        <v>0</v>
      </c>
      <c r="L79" s="336">
        <f t="shared" si="4"/>
        <v>50</v>
      </c>
      <c r="M79" s="336">
        <f t="shared" si="4"/>
        <v>50</v>
      </c>
      <c r="N79" s="368">
        <f t="shared" si="5"/>
        <v>100</v>
      </c>
      <c r="O79" s="335"/>
      <c r="P79" s="336">
        <v>35</v>
      </c>
      <c r="Q79" s="336">
        <v>28.3</v>
      </c>
      <c r="R79" s="337">
        <f t="shared" si="6"/>
        <v>63.3</v>
      </c>
      <c r="S79" s="292">
        <v>2</v>
      </c>
      <c r="T79" s="838"/>
      <c r="U79" s="836">
        <v>34725</v>
      </c>
      <c r="V79" s="299" t="s">
        <v>495</v>
      </c>
      <c r="W79" s="292" t="s">
        <v>17</v>
      </c>
      <c r="X79" s="292" t="s">
        <v>326</v>
      </c>
      <c r="Y79" s="300">
        <v>35</v>
      </c>
      <c r="Z79" s="292" t="s">
        <v>496</v>
      </c>
      <c r="AA79" s="292" t="s">
        <v>20</v>
      </c>
      <c r="AB79" s="292" t="s">
        <v>12</v>
      </c>
      <c r="AC79" s="292">
        <v>28.3</v>
      </c>
      <c r="AD79" s="299"/>
      <c r="AG79" s="300"/>
      <c r="AL79" s="299"/>
      <c r="AO79" s="300"/>
      <c r="AP79" s="299"/>
      <c r="AS79" s="300"/>
      <c r="AW79" s="300"/>
      <c r="BA79" s="301"/>
    </row>
    <row r="80" spans="1:53" s="292" customFormat="1">
      <c r="A80" s="292">
        <v>1996</v>
      </c>
      <c r="B80" s="836"/>
      <c r="C80" s="916" t="s">
        <v>683</v>
      </c>
      <c r="D80" s="916"/>
      <c r="E80" s="292">
        <v>0</v>
      </c>
      <c r="G80" s="366"/>
      <c r="H80" s="292">
        <v>6</v>
      </c>
      <c r="I80" s="292">
        <v>6</v>
      </c>
      <c r="J80" s="377">
        <v>12</v>
      </c>
      <c r="K80" s="336">
        <f t="shared" si="4"/>
        <v>0</v>
      </c>
      <c r="L80" s="336">
        <f t="shared" si="4"/>
        <v>50</v>
      </c>
      <c r="M80" s="336">
        <f t="shared" si="4"/>
        <v>50</v>
      </c>
      <c r="N80" s="368">
        <f t="shared" si="5"/>
        <v>100</v>
      </c>
      <c r="O80" s="335"/>
      <c r="P80" s="336">
        <v>35</v>
      </c>
      <c r="Q80" s="336">
        <v>28.3</v>
      </c>
      <c r="R80" s="337">
        <f t="shared" si="6"/>
        <v>63.3</v>
      </c>
      <c r="S80" s="292">
        <v>2</v>
      </c>
      <c r="T80" s="838"/>
      <c r="U80" s="836"/>
      <c r="V80" s="299" t="s">
        <v>495</v>
      </c>
      <c r="W80" s="292" t="s">
        <v>17</v>
      </c>
      <c r="X80" s="292" t="s">
        <v>326</v>
      </c>
      <c r="Y80" s="300">
        <v>35</v>
      </c>
      <c r="Z80" s="292" t="s">
        <v>496</v>
      </c>
      <c r="AA80" s="292" t="s">
        <v>20</v>
      </c>
      <c r="AB80" s="292" t="s">
        <v>12</v>
      </c>
      <c r="AC80" s="292">
        <v>28.3</v>
      </c>
      <c r="AD80" s="299"/>
      <c r="AG80" s="300"/>
      <c r="AL80" s="299"/>
      <c r="AO80" s="300"/>
      <c r="AP80" s="299"/>
      <c r="AS80" s="300"/>
      <c r="AW80" s="300"/>
      <c r="BA80" s="301"/>
    </row>
    <row r="81" spans="1:53" s="292" customFormat="1">
      <c r="A81" s="292">
        <v>1996</v>
      </c>
      <c r="B81" s="836"/>
      <c r="C81" s="916" t="s">
        <v>683</v>
      </c>
      <c r="D81" s="916"/>
      <c r="E81" s="292">
        <v>366</v>
      </c>
      <c r="G81" s="366"/>
      <c r="H81" s="292">
        <v>6</v>
      </c>
      <c r="I81" s="292">
        <v>6</v>
      </c>
      <c r="J81" s="377">
        <v>12</v>
      </c>
      <c r="K81" s="336">
        <f t="shared" si="4"/>
        <v>0</v>
      </c>
      <c r="L81" s="336">
        <f t="shared" si="4"/>
        <v>50</v>
      </c>
      <c r="M81" s="336">
        <f t="shared" si="4"/>
        <v>50</v>
      </c>
      <c r="N81" s="368">
        <f t="shared" si="5"/>
        <v>100</v>
      </c>
      <c r="O81" s="335"/>
      <c r="P81" s="336">
        <v>35</v>
      </c>
      <c r="Q81" s="336">
        <v>28.3</v>
      </c>
      <c r="R81" s="337">
        <f t="shared" si="6"/>
        <v>63.3</v>
      </c>
      <c r="S81" s="292">
        <v>2</v>
      </c>
      <c r="T81" s="838"/>
      <c r="U81" s="836"/>
      <c r="V81" s="299" t="s">
        <v>495</v>
      </c>
      <c r="W81" s="292" t="s">
        <v>17</v>
      </c>
      <c r="X81" s="292" t="s">
        <v>326</v>
      </c>
      <c r="Y81" s="300">
        <v>35</v>
      </c>
      <c r="Z81" s="292" t="s">
        <v>496</v>
      </c>
      <c r="AA81" s="292" t="s">
        <v>20</v>
      </c>
      <c r="AB81" s="292" t="s">
        <v>12</v>
      </c>
      <c r="AC81" s="292">
        <v>28.3</v>
      </c>
      <c r="AD81" s="299"/>
      <c r="AG81" s="300"/>
      <c r="AL81" s="299"/>
      <c r="AO81" s="300"/>
      <c r="AP81" s="299"/>
      <c r="AS81" s="300"/>
      <c r="AW81" s="300"/>
      <c r="BA81" s="301"/>
    </row>
    <row r="82" spans="1:53" s="292" customFormat="1">
      <c r="A82" s="292">
        <v>1997</v>
      </c>
      <c r="B82" s="836"/>
      <c r="C82" s="916" t="s">
        <v>683</v>
      </c>
      <c r="D82" s="916"/>
      <c r="E82" s="292">
        <v>0</v>
      </c>
      <c r="G82" s="366"/>
      <c r="H82" s="292">
        <v>6</v>
      </c>
      <c r="I82" s="292">
        <v>6</v>
      </c>
      <c r="J82" s="377">
        <v>12</v>
      </c>
      <c r="K82" s="336">
        <f t="shared" si="4"/>
        <v>0</v>
      </c>
      <c r="L82" s="336">
        <f t="shared" si="4"/>
        <v>50</v>
      </c>
      <c r="M82" s="336">
        <f t="shared" si="4"/>
        <v>50</v>
      </c>
      <c r="N82" s="368">
        <f t="shared" si="5"/>
        <v>100</v>
      </c>
      <c r="O82" s="335"/>
      <c r="P82" s="336">
        <v>35</v>
      </c>
      <c r="Q82" s="336">
        <v>28.3</v>
      </c>
      <c r="R82" s="337">
        <f t="shared" si="6"/>
        <v>63.3</v>
      </c>
      <c r="S82" s="292">
        <v>2</v>
      </c>
      <c r="T82" s="838"/>
      <c r="U82" s="836"/>
      <c r="V82" s="299" t="s">
        <v>495</v>
      </c>
      <c r="W82" s="292" t="s">
        <v>17</v>
      </c>
      <c r="X82" s="292" t="s">
        <v>326</v>
      </c>
      <c r="Y82" s="300">
        <v>35</v>
      </c>
      <c r="Z82" s="292" t="s">
        <v>496</v>
      </c>
      <c r="AA82" s="292" t="s">
        <v>20</v>
      </c>
      <c r="AB82" s="292" t="s">
        <v>12</v>
      </c>
      <c r="AC82" s="292">
        <v>28.3</v>
      </c>
      <c r="AD82" s="299"/>
      <c r="AG82" s="300"/>
      <c r="AL82" s="299"/>
      <c r="AO82" s="300"/>
      <c r="AP82" s="299"/>
      <c r="AS82" s="300"/>
      <c r="AW82" s="300"/>
      <c r="BA82" s="301"/>
    </row>
    <row r="83" spans="1:53" s="292" customFormat="1">
      <c r="A83" s="292">
        <v>1997</v>
      </c>
      <c r="B83" s="836"/>
      <c r="C83" s="916" t="s">
        <v>683</v>
      </c>
      <c r="D83" s="916"/>
      <c r="E83" s="292">
        <f>365-E82</f>
        <v>365</v>
      </c>
      <c r="G83" s="366"/>
      <c r="H83" s="292">
        <v>6</v>
      </c>
      <c r="I83" s="292">
        <v>6</v>
      </c>
      <c r="J83" s="377">
        <v>12</v>
      </c>
      <c r="K83" s="336">
        <f t="shared" si="4"/>
        <v>0</v>
      </c>
      <c r="L83" s="336">
        <f t="shared" si="4"/>
        <v>50</v>
      </c>
      <c r="M83" s="336">
        <f t="shared" si="4"/>
        <v>50</v>
      </c>
      <c r="N83" s="368">
        <f t="shared" si="5"/>
        <v>100</v>
      </c>
      <c r="O83" s="335"/>
      <c r="P83" s="336">
        <v>35</v>
      </c>
      <c r="Q83" s="336">
        <v>28.3</v>
      </c>
      <c r="R83" s="337">
        <f t="shared" si="6"/>
        <v>63.3</v>
      </c>
      <c r="S83" s="292">
        <v>2</v>
      </c>
      <c r="T83" s="838"/>
      <c r="U83" s="836"/>
      <c r="V83" s="299" t="s">
        <v>495</v>
      </c>
      <c r="W83" s="292" t="s">
        <v>17</v>
      </c>
      <c r="X83" s="292" t="s">
        <v>326</v>
      </c>
      <c r="Y83" s="300">
        <v>35</v>
      </c>
      <c r="Z83" s="292" t="s">
        <v>496</v>
      </c>
      <c r="AA83" s="292" t="s">
        <v>20</v>
      </c>
      <c r="AB83" s="292" t="s">
        <v>12</v>
      </c>
      <c r="AC83" s="292">
        <v>28.3</v>
      </c>
      <c r="AD83" s="299"/>
      <c r="AG83" s="300"/>
      <c r="AL83" s="299"/>
      <c r="AO83" s="300"/>
      <c r="AP83" s="299"/>
      <c r="AS83" s="300"/>
      <c r="AW83" s="300"/>
      <c r="BA83" s="301"/>
    </row>
    <row r="84" spans="1:53" s="292" customFormat="1">
      <c r="A84" s="292">
        <v>1998</v>
      </c>
      <c r="B84" s="836"/>
      <c r="C84" s="916" t="s">
        <v>683</v>
      </c>
      <c r="D84" s="916"/>
      <c r="E84" s="292">
        <v>0</v>
      </c>
      <c r="G84" s="366"/>
      <c r="H84" s="292">
        <v>6</v>
      </c>
      <c r="I84" s="292">
        <v>6</v>
      </c>
      <c r="J84" s="377">
        <v>12</v>
      </c>
      <c r="K84" s="336">
        <f t="shared" si="4"/>
        <v>0</v>
      </c>
      <c r="L84" s="336">
        <f t="shared" si="4"/>
        <v>50</v>
      </c>
      <c r="M84" s="336">
        <f t="shared" si="4"/>
        <v>50</v>
      </c>
      <c r="N84" s="368">
        <f t="shared" si="5"/>
        <v>100</v>
      </c>
      <c r="O84" s="335"/>
      <c r="P84" s="336">
        <v>35</v>
      </c>
      <c r="Q84" s="336">
        <v>28.3</v>
      </c>
      <c r="R84" s="337">
        <f t="shared" si="6"/>
        <v>63.3</v>
      </c>
      <c r="S84" s="292">
        <v>2</v>
      </c>
      <c r="T84" s="838"/>
      <c r="U84" s="836"/>
      <c r="V84" s="299" t="s">
        <v>495</v>
      </c>
      <c r="W84" s="292" t="s">
        <v>17</v>
      </c>
      <c r="X84" s="292" t="s">
        <v>326</v>
      </c>
      <c r="Y84" s="300">
        <v>35</v>
      </c>
      <c r="Z84" s="292" t="s">
        <v>496</v>
      </c>
      <c r="AA84" s="292" t="s">
        <v>20</v>
      </c>
      <c r="AB84" s="292" t="s">
        <v>12</v>
      </c>
      <c r="AC84" s="292">
        <v>28.3</v>
      </c>
      <c r="AD84" s="299"/>
      <c r="AG84" s="300"/>
      <c r="AL84" s="299"/>
      <c r="AO84" s="300"/>
      <c r="AP84" s="299"/>
      <c r="AS84" s="300"/>
      <c r="AW84" s="300"/>
      <c r="BA84" s="301"/>
    </row>
    <row r="85" spans="1:53" s="292" customFormat="1">
      <c r="A85" s="292">
        <v>1998</v>
      </c>
      <c r="B85" s="836"/>
      <c r="C85" s="916" t="s">
        <v>683</v>
      </c>
      <c r="D85" s="916"/>
      <c r="E85" s="292">
        <f>365-E84</f>
        <v>365</v>
      </c>
      <c r="G85" s="366"/>
      <c r="H85" s="292">
        <v>6</v>
      </c>
      <c r="I85" s="292">
        <v>6</v>
      </c>
      <c r="J85" s="377">
        <v>12</v>
      </c>
      <c r="K85" s="336">
        <f t="shared" si="4"/>
        <v>0</v>
      </c>
      <c r="L85" s="336">
        <f t="shared" si="4"/>
        <v>50</v>
      </c>
      <c r="M85" s="336">
        <f t="shared" si="4"/>
        <v>50</v>
      </c>
      <c r="N85" s="368">
        <f t="shared" si="5"/>
        <v>100</v>
      </c>
      <c r="O85" s="335"/>
      <c r="P85" s="336">
        <v>35</v>
      </c>
      <c r="Q85" s="336">
        <v>28.3</v>
      </c>
      <c r="R85" s="337">
        <f t="shared" si="6"/>
        <v>63.3</v>
      </c>
      <c r="S85" s="292">
        <v>2</v>
      </c>
      <c r="T85" s="838"/>
      <c r="U85" s="836"/>
      <c r="V85" s="299" t="s">
        <v>495</v>
      </c>
      <c r="W85" s="292" t="s">
        <v>17</v>
      </c>
      <c r="X85" s="292" t="s">
        <v>326</v>
      </c>
      <c r="Y85" s="300">
        <v>35</v>
      </c>
      <c r="Z85" s="292" t="s">
        <v>496</v>
      </c>
      <c r="AA85" s="292" t="s">
        <v>20</v>
      </c>
      <c r="AB85" s="292" t="s">
        <v>12</v>
      </c>
      <c r="AC85" s="292">
        <v>28.3</v>
      </c>
      <c r="AD85" s="299"/>
      <c r="AG85" s="300"/>
      <c r="AL85" s="299"/>
      <c r="AO85" s="300"/>
      <c r="AP85" s="299"/>
      <c r="AS85" s="300"/>
      <c r="AW85" s="300"/>
      <c r="BA85" s="301"/>
    </row>
    <row r="86" spans="1:53" s="292" customFormat="1">
      <c r="A86" s="292">
        <v>1999</v>
      </c>
      <c r="B86" s="836"/>
      <c r="C86" s="916" t="s">
        <v>683</v>
      </c>
      <c r="D86" s="916"/>
      <c r="E86" s="292">
        <v>249</v>
      </c>
      <c r="G86" s="366"/>
      <c r="H86" s="292">
        <v>6</v>
      </c>
      <c r="I86" s="292">
        <v>6</v>
      </c>
      <c r="J86" s="377">
        <v>12</v>
      </c>
      <c r="K86" s="336">
        <f t="shared" si="4"/>
        <v>0</v>
      </c>
      <c r="L86" s="336">
        <f t="shared" si="4"/>
        <v>50</v>
      </c>
      <c r="M86" s="336">
        <f t="shared" si="4"/>
        <v>50</v>
      </c>
      <c r="N86" s="368">
        <f t="shared" si="5"/>
        <v>100</v>
      </c>
      <c r="O86" s="335"/>
      <c r="P86" s="336">
        <v>35</v>
      </c>
      <c r="Q86" s="336">
        <v>28.3</v>
      </c>
      <c r="R86" s="337">
        <f t="shared" si="6"/>
        <v>63.3</v>
      </c>
      <c r="S86" s="292">
        <v>2</v>
      </c>
      <c r="T86" s="838"/>
      <c r="U86" s="836"/>
      <c r="V86" s="299" t="s">
        <v>495</v>
      </c>
      <c r="W86" s="292" t="s">
        <v>17</v>
      </c>
      <c r="X86" s="292" t="s">
        <v>326</v>
      </c>
      <c r="Y86" s="300">
        <v>35</v>
      </c>
      <c r="Z86" s="292" t="s">
        <v>496</v>
      </c>
      <c r="AA86" s="292" t="s">
        <v>20</v>
      </c>
      <c r="AB86" s="292" t="s">
        <v>12</v>
      </c>
      <c r="AC86" s="292">
        <v>28.3</v>
      </c>
      <c r="AD86" s="299"/>
      <c r="AG86" s="300"/>
      <c r="AL86" s="299"/>
      <c r="AO86" s="300"/>
      <c r="AP86" s="299"/>
      <c r="AS86" s="300"/>
      <c r="AW86" s="300"/>
      <c r="BA86" s="301"/>
    </row>
    <row r="87" spans="1:53" s="185" customFormat="1">
      <c r="A87" s="185">
        <v>1999</v>
      </c>
      <c r="B87" s="852">
        <v>36410</v>
      </c>
      <c r="C87" s="917" t="s">
        <v>684</v>
      </c>
      <c r="D87" s="917"/>
      <c r="E87" s="185">
        <f>365-E86</f>
        <v>116</v>
      </c>
      <c r="F87" s="185">
        <v>1</v>
      </c>
      <c r="G87" s="119">
        <v>7</v>
      </c>
      <c r="H87" s="185">
        <v>7</v>
      </c>
      <c r="J87" s="126">
        <v>14</v>
      </c>
      <c r="K87" s="92">
        <f t="shared" si="4"/>
        <v>50</v>
      </c>
      <c r="L87" s="92">
        <f t="shared" si="4"/>
        <v>50</v>
      </c>
      <c r="M87" s="92">
        <f t="shared" si="4"/>
        <v>0</v>
      </c>
      <c r="N87" s="121">
        <f t="shared" si="5"/>
        <v>100</v>
      </c>
      <c r="O87" s="91">
        <v>25</v>
      </c>
      <c r="P87" s="92">
        <v>31.7</v>
      </c>
      <c r="Q87" s="92"/>
      <c r="R87" s="93">
        <f t="shared" si="6"/>
        <v>56.7</v>
      </c>
      <c r="S87" s="185">
        <v>2</v>
      </c>
      <c r="T87" s="839">
        <v>36324</v>
      </c>
      <c r="U87" s="852">
        <v>36410</v>
      </c>
      <c r="V87" s="82" t="s">
        <v>495</v>
      </c>
      <c r="W87" s="185" t="s">
        <v>17</v>
      </c>
      <c r="X87" s="185" t="s">
        <v>326</v>
      </c>
      <c r="Y87" s="83">
        <v>31.7</v>
      </c>
      <c r="Z87" s="185" t="s">
        <v>131</v>
      </c>
      <c r="AA87" s="185" t="s">
        <v>22</v>
      </c>
      <c r="AB87" s="185" t="s">
        <v>11</v>
      </c>
      <c r="AC87" s="185">
        <v>25</v>
      </c>
      <c r="AD87" s="82"/>
      <c r="AG87" s="83"/>
      <c r="AL87" s="82"/>
      <c r="AO87" s="83"/>
      <c r="AP87" s="82"/>
      <c r="AS87" s="83"/>
      <c r="AW87" s="83"/>
      <c r="BA87" s="84"/>
    </row>
    <row r="88" spans="1:53" s="185" customFormat="1">
      <c r="A88" s="185">
        <v>2000</v>
      </c>
      <c r="B88" s="852"/>
      <c r="C88" s="917" t="s">
        <v>684</v>
      </c>
      <c r="D88" s="917"/>
      <c r="E88" s="185">
        <v>0</v>
      </c>
      <c r="G88" s="119">
        <v>7</v>
      </c>
      <c r="H88" s="185">
        <v>7</v>
      </c>
      <c r="J88" s="126">
        <v>14</v>
      </c>
      <c r="K88" s="92">
        <f t="shared" si="4"/>
        <v>50</v>
      </c>
      <c r="L88" s="92">
        <f t="shared" si="4"/>
        <v>50</v>
      </c>
      <c r="M88" s="92">
        <f t="shared" si="4"/>
        <v>0</v>
      </c>
      <c r="N88" s="121">
        <f t="shared" si="5"/>
        <v>100</v>
      </c>
      <c r="O88" s="91">
        <v>25</v>
      </c>
      <c r="P88" s="92">
        <v>31.7</v>
      </c>
      <c r="Q88" s="92"/>
      <c r="R88" s="93">
        <f t="shared" si="6"/>
        <v>56.7</v>
      </c>
      <c r="S88" s="185">
        <v>2</v>
      </c>
      <c r="T88" s="839"/>
      <c r="U88" s="852"/>
      <c r="V88" s="82" t="s">
        <v>495</v>
      </c>
      <c r="W88" s="185" t="s">
        <v>17</v>
      </c>
      <c r="X88" s="185" t="s">
        <v>326</v>
      </c>
      <c r="Y88" s="83">
        <v>31.7</v>
      </c>
      <c r="Z88" s="185" t="s">
        <v>131</v>
      </c>
      <c r="AA88" s="185" t="s">
        <v>22</v>
      </c>
      <c r="AB88" s="185" t="s">
        <v>11</v>
      </c>
      <c r="AC88" s="185">
        <v>25</v>
      </c>
      <c r="AD88" s="82"/>
      <c r="AG88" s="83"/>
      <c r="AL88" s="82"/>
      <c r="AO88" s="83"/>
      <c r="AP88" s="82"/>
      <c r="AS88" s="83"/>
      <c r="AW88" s="83"/>
      <c r="BA88" s="84"/>
    </row>
    <row r="89" spans="1:53" s="185" customFormat="1">
      <c r="A89" s="185">
        <v>2000</v>
      </c>
      <c r="B89" s="852"/>
      <c r="C89" s="917" t="s">
        <v>684</v>
      </c>
      <c r="D89" s="917"/>
      <c r="E89" s="185">
        <v>366</v>
      </c>
      <c r="G89" s="119">
        <v>7</v>
      </c>
      <c r="H89" s="185">
        <v>7</v>
      </c>
      <c r="J89" s="126">
        <v>14</v>
      </c>
      <c r="K89" s="92">
        <f t="shared" si="4"/>
        <v>50</v>
      </c>
      <c r="L89" s="92">
        <f t="shared" si="4"/>
        <v>50</v>
      </c>
      <c r="M89" s="92">
        <f t="shared" si="4"/>
        <v>0</v>
      </c>
      <c r="N89" s="121">
        <f t="shared" si="5"/>
        <v>100</v>
      </c>
      <c r="O89" s="91">
        <v>25</v>
      </c>
      <c r="P89" s="92">
        <v>31.7</v>
      </c>
      <c r="Q89" s="92"/>
      <c r="R89" s="93">
        <f t="shared" si="6"/>
        <v>56.7</v>
      </c>
      <c r="S89" s="185">
        <v>2</v>
      </c>
      <c r="T89" s="839"/>
      <c r="U89" s="852"/>
      <c r="V89" s="82" t="s">
        <v>495</v>
      </c>
      <c r="W89" s="185" t="s">
        <v>17</v>
      </c>
      <c r="X89" s="185" t="s">
        <v>326</v>
      </c>
      <c r="Y89" s="83">
        <v>31.7</v>
      </c>
      <c r="Z89" s="185" t="s">
        <v>131</v>
      </c>
      <c r="AA89" s="185" t="s">
        <v>22</v>
      </c>
      <c r="AB89" s="185" t="s">
        <v>11</v>
      </c>
      <c r="AC89" s="185">
        <v>25</v>
      </c>
      <c r="AD89" s="82"/>
      <c r="AG89" s="83"/>
      <c r="AL89" s="82"/>
      <c r="AO89" s="83"/>
      <c r="AP89" s="82"/>
      <c r="AS89" s="83"/>
      <c r="AW89" s="83"/>
      <c r="BA89" s="84"/>
    </row>
    <row r="90" spans="1:53" s="185" customFormat="1">
      <c r="A90" s="185">
        <v>2001</v>
      </c>
      <c r="B90" s="852"/>
      <c r="C90" s="917" t="s">
        <v>684</v>
      </c>
      <c r="D90" s="917"/>
      <c r="E90" s="185">
        <v>0</v>
      </c>
      <c r="G90" s="119">
        <v>7</v>
      </c>
      <c r="H90" s="185">
        <v>7</v>
      </c>
      <c r="J90" s="126">
        <v>14</v>
      </c>
      <c r="K90" s="92">
        <f t="shared" si="4"/>
        <v>50</v>
      </c>
      <c r="L90" s="92">
        <f t="shared" si="4"/>
        <v>50</v>
      </c>
      <c r="M90" s="92">
        <f t="shared" si="4"/>
        <v>0</v>
      </c>
      <c r="N90" s="121">
        <f t="shared" si="5"/>
        <v>100</v>
      </c>
      <c r="O90" s="91">
        <v>25</v>
      </c>
      <c r="P90" s="92">
        <v>31.7</v>
      </c>
      <c r="Q90" s="92"/>
      <c r="R90" s="93">
        <f t="shared" si="6"/>
        <v>56.7</v>
      </c>
      <c r="S90" s="185">
        <v>2</v>
      </c>
      <c r="T90" s="839"/>
      <c r="U90" s="852"/>
      <c r="V90" s="82" t="s">
        <v>495</v>
      </c>
      <c r="W90" s="185" t="s">
        <v>17</v>
      </c>
      <c r="X90" s="185" t="s">
        <v>326</v>
      </c>
      <c r="Y90" s="83">
        <v>31.7</v>
      </c>
      <c r="Z90" s="185" t="s">
        <v>131</v>
      </c>
      <c r="AA90" s="185" t="s">
        <v>22</v>
      </c>
      <c r="AB90" s="185" t="s">
        <v>11</v>
      </c>
      <c r="AC90" s="185">
        <v>25</v>
      </c>
      <c r="AD90" s="82"/>
      <c r="AG90" s="83"/>
      <c r="AL90" s="82"/>
      <c r="AO90" s="83"/>
      <c r="AP90" s="82"/>
      <c r="AS90" s="83"/>
      <c r="AW90" s="83"/>
      <c r="BA90" s="84"/>
    </row>
    <row r="91" spans="1:53" s="185" customFormat="1">
      <c r="A91" s="185">
        <v>2001</v>
      </c>
      <c r="B91" s="852"/>
      <c r="C91" s="917" t="s">
        <v>684</v>
      </c>
      <c r="D91" s="917"/>
      <c r="E91" s="185">
        <f>365-E90</f>
        <v>365</v>
      </c>
      <c r="G91" s="119">
        <v>7</v>
      </c>
      <c r="H91" s="185">
        <v>7</v>
      </c>
      <c r="J91" s="126">
        <v>14</v>
      </c>
      <c r="K91" s="92">
        <f t="shared" si="4"/>
        <v>50</v>
      </c>
      <c r="L91" s="92">
        <f t="shared" si="4"/>
        <v>50</v>
      </c>
      <c r="M91" s="92">
        <f t="shared" si="4"/>
        <v>0</v>
      </c>
      <c r="N91" s="121">
        <f t="shared" si="5"/>
        <v>100</v>
      </c>
      <c r="O91" s="91">
        <v>25</v>
      </c>
      <c r="P91" s="92">
        <v>31.7</v>
      </c>
      <c r="Q91" s="92"/>
      <c r="R91" s="93">
        <f t="shared" si="6"/>
        <v>56.7</v>
      </c>
      <c r="S91" s="185">
        <v>2</v>
      </c>
      <c r="T91" s="839"/>
      <c r="U91" s="852"/>
      <c r="V91" s="82" t="s">
        <v>495</v>
      </c>
      <c r="W91" s="185" t="s">
        <v>17</v>
      </c>
      <c r="X91" s="185" t="s">
        <v>326</v>
      </c>
      <c r="Y91" s="83">
        <v>31.7</v>
      </c>
      <c r="Z91" s="185" t="s">
        <v>131</v>
      </c>
      <c r="AA91" s="185" t="s">
        <v>22</v>
      </c>
      <c r="AB91" s="185" t="s">
        <v>11</v>
      </c>
      <c r="AC91" s="185">
        <v>25</v>
      </c>
      <c r="AD91" s="82"/>
      <c r="AG91" s="83"/>
      <c r="AL91" s="82"/>
      <c r="AO91" s="83"/>
      <c r="AP91" s="82"/>
      <c r="AS91" s="83"/>
      <c r="AW91" s="83"/>
      <c r="BA91" s="84"/>
    </row>
    <row r="92" spans="1:53" s="185" customFormat="1">
      <c r="A92" s="185">
        <v>2002</v>
      </c>
      <c r="B92" s="852"/>
      <c r="C92" s="917" t="s">
        <v>684</v>
      </c>
      <c r="D92" s="917"/>
      <c r="E92" s="185">
        <v>0</v>
      </c>
      <c r="G92" s="119">
        <v>7</v>
      </c>
      <c r="H92" s="185">
        <v>7</v>
      </c>
      <c r="J92" s="126">
        <v>14</v>
      </c>
      <c r="K92" s="92">
        <f t="shared" si="4"/>
        <v>50</v>
      </c>
      <c r="L92" s="92">
        <f t="shared" si="4"/>
        <v>50</v>
      </c>
      <c r="M92" s="92">
        <f t="shared" si="4"/>
        <v>0</v>
      </c>
      <c r="N92" s="121">
        <f t="shared" si="5"/>
        <v>100</v>
      </c>
      <c r="O92" s="91">
        <v>25</v>
      </c>
      <c r="P92" s="92">
        <v>31.7</v>
      </c>
      <c r="Q92" s="92"/>
      <c r="R92" s="93">
        <f t="shared" si="6"/>
        <v>56.7</v>
      </c>
      <c r="S92" s="185">
        <v>2</v>
      </c>
      <c r="T92" s="839"/>
      <c r="U92" s="852"/>
      <c r="V92" s="82" t="s">
        <v>495</v>
      </c>
      <c r="W92" s="185" t="s">
        <v>17</v>
      </c>
      <c r="X92" s="185" t="s">
        <v>326</v>
      </c>
      <c r="Y92" s="83">
        <v>31.7</v>
      </c>
      <c r="Z92" s="185" t="s">
        <v>131</v>
      </c>
      <c r="AA92" s="185" t="s">
        <v>22</v>
      </c>
      <c r="AB92" s="185" t="s">
        <v>11</v>
      </c>
      <c r="AC92" s="185">
        <v>25</v>
      </c>
      <c r="AD92" s="82"/>
      <c r="AG92" s="83"/>
      <c r="AL92" s="82"/>
      <c r="AO92" s="83"/>
      <c r="AP92" s="82"/>
      <c r="AS92" s="83"/>
      <c r="AW92" s="83"/>
      <c r="BA92" s="84"/>
    </row>
    <row r="93" spans="1:53" s="185" customFormat="1">
      <c r="A93" s="185">
        <v>2002</v>
      </c>
      <c r="B93" s="852"/>
      <c r="C93" s="917" t="s">
        <v>684</v>
      </c>
      <c r="D93" s="917"/>
      <c r="E93" s="185">
        <f>365-E92</f>
        <v>365</v>
      </c>
      <c r="G93" s="119">
        <v>7</v>
      </c>
      <c r="H93" s="185">
        <v>7</v>
      </c>
      <c r="J93" s="126">
        <v>14</v>
      </c>
      <c r="K93" s="92">
        <f t="shared" si="4"/>
        <v>50</v>
      </c>
      <c r="L93" s="92">
        <f t="shared" si="4"/>
        <v>50</v>
      </c>
      <c r="M93" s="92">
        <f t="shared" si="4"/>
        <v>0</v>
      </c>
      <c r="N93" s="121">
        <f t="shared" si="5"/>
        <v>100</v>
      </c>
      <c r="O93" s="91">
        <v>25</v>
      </c>
      <c r="P93" s="92">
        <v>31.7</v>
      </c>
      <c r="Q93" s="92"/>
      <c r="R93" s="93">
        <f t="shared" si="6"/>
        <v>56.7</v>
      </c>
      <c r="S93" s="185">
        <v>2</v>
      </c>
      <c r="T93" s="839"/>
      <c r="U93" s="852"/>
      <c r="V93" s="82" t="s">
        <v>495</v>
      </c>
      <c r="W93" s="185" t="s">
        <v>17</v>
      </c>
      <c r="X93" s="185" t="s">
        <v>326</v>
      </c>
      <c r="Y93" s="83">
        <v>31.7</v>
      </c>
      <c r="Z93" s="185" t="s">
        <v>131</v>
      </c>
      <c r="AA93" s="185" t="s">
        <v>22</v>
      </c>
      <c r="AB93" s="185" t="s">
        <v>11</v>
      </c>
      <c r="AC93" s="185">
        <v>25</v>
      </c>
      <c r="AD93" s="82"/>
      <c r="AG93" s="83"/>
      <c r="AL93" s="82"/>
      <c r="AO93" s="83"/>
      <c r="AP93" s="82"/>
      <c r="AS93" s="83"/>
      <c r="AW93" s="83"/>
      <c r="BA93" s="84"/>
    </row>
    <row r="94" spans="1:53" s="185" customFormat="1">
      <c r="A94" s="185">
        <v>2003</v>
      </c>
      <c r="B94" s="852"/>
      <c r="C94" s="917" t="s">
        <v>684</v>
      </c>
      <c r="D94" s="917"/>
      <c r="E94" s="185">
        <v>0</v>
      </c>
      <c r="G94" s="119">
        <v>7</v>
      </c>
      <c r="H94" s="185">
        <v>7</v>
      </c>
      <c r="J94" s="126">
        <v>14</v>
      </c>
      <c r="K94" s="92">
        <f t="shared" si="4"/>
        <v>50</v>
      </c>
      <c r="L94" s="92">
        <f t="shared" si="4"/>
        <v>50</v>
      </c>
      <c r="M94" s="92">
        <f t="shared" si="4"/>
        <v>0</v>
      </c>
      <c r="N94" s="121">
        <f t="shared" si="5"/>
        <v>100</v>
      </c>
      <c r="O94" s="91">
        <v>25</v>
      </c>
      <c r="P94" s="92">
        <v>31.7</v>
      </c>
      <c r="Q94" s="92"/>
      <c r="R94" s="93">
        <f t="shared" si="6"/>
        <v>56.7</v>
      </c>
      <c r="S94" s="185">
        <v>2</v>
      </c>
      <c r="T94" s="839"/>
      <c r="U94" s="852"/>
      <c r="V94" s="82" t="s">
        <v>495</v>
      </c>
      <c r="W94" s="185" t="s">
        <v>17</v>
      </c>
      <c r="X94" s="185" t="s">
        <v>326</v>
      </c>
      <c r="Y94" s="83">
        <v>31.7</v>
      </c>
      <c r="Z94" s="185" t="s">
        <v>131</v>
      </c>
      <c r="AA94" s="185" t="s">
        <v>22</v>
      </c>
      <c r="AB94" s="185" t="s">
        <v>11</v>
      </c>
      <c r="AC94" s="185">
        <v>25</v>
      </c>
      <c r="AD94" s="82"/>
      <c r="AG94" s="83"/>
      <c r="AL94" s="82"/>
      <c r="AO94" s="83"/>
      <c r="AP94" s="82"/>
      <c r="AS94" s="83"/>
      <c r="AW94" s="83"/>
      <c r="BA94" s="84"/>
    </row>
    <row r="95" spans="1:53" s="185" customFormat="1">
      <c r="A95" s="185">
        <v>2003</v>
      </c>
      <c r="B95" s="852"/>
      <c r="C95" s="917" t="s">
        <v>684</v>
      </c>
      <c r="D95" s="917"/>
      <c r="E95" s="185">
        <f>365-E94</f>
        <v>365</v>
      </c>
      <c r="G95" s="119">
        <v>7</v>
      </c>
      <c r="H95" s="185">
        <v>7</v>
      </c>
      <c r="J95" s="126">
        <v>14</v>
      </c>
      <c r="K95" s="92">
        <f t="shared" si="4"/>
        <v>50</v>
      </c>
      <c r="L95" s="92">
        <f t="shared" si="4"/>
        <v>50</v>
      </c>
      <c r="M95" s="92">
        <f t="shared" si="4"/>
        <v>0</v>
      </c>
      <c r="N95" s="121">
        <f t="shared" si="5"/>
        <v>100</v>
      </c>
      <c r="O95" s="91">
        <v>25</v>
      </c>
      <c r="P95" s="92">
        <v>31.7</v>
      </c>
      <c r="Q95" s="92"/>
      <c r="R95" s="93">
        <f t="shared" si="6"/>
        <v>56.7</v>
      </c>
      <c r="S95" s="185">
        <v>2</v>
      </c>
      <c r="T95" s="839"/>
      <c r="U95" s="852"/>
      <c r="V95" s="82" t="s">
        <v>495</v>
      </c>
      <c r="W95" s="185" t="s">
        <v>17</v>
      </c>
      <c r="X95" s="185" t="s">
        <v>326</v>
      </c>
      <c r="Y95" s="83">
        <v>31.7</v>
      </c>
      <c r="Z95" s="185" t="s">
        <v>131</v>
      </c>
      <c r="AA95" s="185" t="s">
        <v>22</v>
      </c>
      <c r="AB95" s="185" t="s">
        <v>11</v>
      </c>
      <c r="AC95" s="185">
        <v>25</v>
      </c>
      <c r="AD95" s="82"/>
      <c r="AG95" s="83"/>
      <c r="AL95" s="82"/>
      <c r="AO95" s="83"/>
      <c r="AP95" s="82"/>
      <c r="AS95" s="83"/>
      <c r="AW95" s="83"/>
      <c r="BA95" s="84"/>
    </row>
    <row r="96" spans="1:53" s="185" customFormat="1">
      <c r="A96" s="185">
        <v>2004</v>
      </c>
      <c r="B96" s="852"/>
      <c r="C96" s="917" t="s">
        <v>684</v>
      </c>
      <c r="D96" s="917"/>
      <c r="E96" s="185">
        <v>212</v>
      </c>
      <c r="G96" s="119">
        <v>7</v>
      </c>
      <c r="H96" s="185">
        <v>7</v>
      </c>
      <c r="J96" s="126">
        <v>14</v>
      </c>
      <c r="K96" s="92">
        <f t="shared" si="4"/>
        <v>50</v>
      </c>
      <c r="L96" s="92">
        <f t="shared" si="4"/>
        <v>50</v>
      </c>
      <c r="M96" s="92">
        <f t="shared" si="4"/>
        <v>0</v>
      </c>
      <c r="N96" s="121">
        <f t="shared" si="5"/>
        <v>100</v>
      </c>
      <c r="O96" s="91">
        <v>25</v>
      </c>
      <c r="P96" s="92">
        <v>31.7</v>
      </c>
      <c r="Q96" s="92"/>
      <c r="R96" s="93">
        <f t="shared" si="6"/>
        <v>56.7</v>
      </c>
      <c r="S96" s="185">
        <v>2</v>
      </c>
      <c r="T96" s="839"/>
      <c r="U96" s="852"/>
      <c r="V96" s="82" t="s">
        <v>495</v>
      </c>
      <c r="W96" s="185" t="s">
        <v>17</v>
      </c>
      <c r="X96" s="185" t="s">
        <v>326</v>
      </c>
      <c r="Y96" s="83">
        <v>31.7</v>
      </c>
      <c r="Z96" s="185" t="s">
        <v>131</v>
      </c>
      <c r="AA96" s="185" t="s">
        <v>22</v>
      </c>
      <c r="AB96" s="185" t="s">
        <v>11</v>
      </c>
      <c r="AC96" s="185">
        <v>25</v>
      </c>
      <c r="AD96" s="82"/>
      <c r="AG96" s="83"/>
      <c r="AL96" s="82"/>
      <c r="AO96" s="83"/>
      <c r="AP96" s="82"/>
      <c r="AS96" s="83"/>
      <c r="AW96" s="83"/>
      <c r="BA96" s="84"/>
    </row>
    <row r="97" spans="1:53" s="292" customFormat="1">
      <c r="A97" s="292">
        <v>2004</v>
      </c>
      <c r="B97" s="836">
        <v>38199</v>
      </c>
      <c r="C97" s="916" t="s">
        <v>685</v>
      </c>
      <c r="D97" s="916"/>
      <c r="E97" s="292">
        <f>366-E96</f>
        <v>154</v>
      </c>
      <c r="F97" s="292">
        <v>1</v>
      </c>
      <c r="G97" s="366"/>
      <c r="H97" s="292">
        <v>9</v>
      </c>
      <c r="I97" s="292">
        <v>6</v>
      </c>
      <c r="J97" s="377">
        <v>15</v>
      </c>
      <c r="K97" s="336">
        <f t="shared" si="4"/>
        <v>0</v>
      </c>
      <c r="L97" s="336">
        <f t="shared" si="4"/>
        <v>60</v>
      </c>
      <c r="M97" s="336">
        <f t="shared" si="4"/>
        <v>40</v>
      </c>
      <c r="N97" s="368">
        <f t="shared" si="5"/>
        <v>100</v>
      </c>
      <c r="O97" s="335"/>
      <c r="P97" s="336">
        <v>40</v>
      </c>
      <c r="Q97" s="336">
        <v>23.3</v>
      </c>
      <c r="R97" s="337">
        <f t="shared" si="6"/>
        <v>63.3</v>
      </c>
      <c r="S97" s="292">
        <v>2</v>
      </c>
      <c r="T97" s="838">
        <v>38151</v>
      </c>
      <c r="U97" s="836">
        <v>38199</v>
      </c>
      <c r="V97" s="299" t="s">
        <v>495</v>
      </c>
      <c r="W97" s="292" t="s">
        <v>17</v>
      </c>
      <c r="X97" s="292" t="s">
        <v>326</v>
      </c>
      <c r="Y97" s="300">
        <v>40</v>
      </c>
      <c r="Z97" s="292" t="s">
        <v>496</v>
      </c>
      <c r="AA97" s="292" t="s">
        <v>20</v>
      </c>
      <c r="AB97" s="292" t="s">
        <v>12</v>
      </c>
      <c r="AC97" s="292">
        <v>23.3</v>
      </c>
      <c r="AD97" s="299"/>
      <c r="AG97" s="300"/>
      <c r="AL97" s="299"/>
      <c r="AO97" s="300"/>
      <c r="AP97" s="299"/>
      <c r="AS97" s="300"/>
      <c r="AW97" s="300"/>
      <c r="BA97" s="301"/>
    </row>
    <row r="98" spans="1:53" s="292" customFormat="1">
      <c r="A98" s="292">
        <v>2005</v>
      </c>
      <c r="B98" s="836"/>
      <c r="C98" s="916" t="s">
        <v>685</v>
      </c>
      <c r="D98" s="916"/>
      <c r="E98" s="292">
        <v>0</v>
      </c>
      <c r="G98" s="366"/>
      <c r="H98" s="292">
        <v>9</v>
      </c>
      <c r="I98" s="292">
        <v>6</v>
      </c>
      <c r="J98" s="377">
        <v>15</v>
      </c>
      <c r="K98" s="336">
        <f t="shared" si="4"/>
        <v>0</v>
      </c>
      <c r="L98" s="336">
        <f t="shared" si="4"/>
        <v>60</v>
      </c>
      <c r="M98" s="336">
        <f t="shared" si="4"/>
        <v>40</v>
      </c>
      <c r="N98" s="368">
        <f t="shared" si="5"/>
        <v>100</v>
      </c>
      <c r="O98" s="335"/>
      <c r="P98" s="336">
        <v>40</v>
      </c>
      <c r="Q98" s="336">
        <v>23.3</v>
      </c>
      <c r="R98" s="337">
        <f t="shared" si="6"/>
        <v>63.3</v>
      </c>
      <c r="S98" s="292">
        <v>2</v>
      </c>
      <c r="T98" s="838"/>
      <c r="U98" s="836"/>
      <c r="V98" s="299" t="s">
        <v>495</v>
      </c>
      <c r="W98" s="292" t="s">
        <v>17</v>
      </c>
      <c r="X98" s="292" t="s">
        <v>326</v>
      </c>
      <c r="Y98" s="300">
        <v>40</v>
      </c>
      <c r="Z98" s="292" t="s">
        <v>496</v>
      </c>
      <c r="AA98" s="292" t="s">
        <v>20</v>
      </c>
      <c r="AB98" s="292" t="s">
        <v>12</v>
      </c>
      <c r="AC98" s="292">
        <v>23.3</v>
      </c>
      <c r="AD98" s="299"/>
      <c r="AG98" s="300"/>
      <c r="AL98" s="299"/>
      <c r="AO98" s="300"/>
      <c r="AP98" s="299"/>
      <c r="AS98" s="300"/>
      <c r="AW98" s="300"/>
      <c r="BA98" s="301"/>
    </row>
    <row r="99" spans="1:53" s="292" customFormat="1">
      <c r="A99" s="292">
        <v>2005</v>
      </c>
      <c r="B99" s="836"/>
      <c r="C99" s="916" t="s">
        <v>685</v>
      </c>
      <c r="D99" s="916"/>
      <c r="E99" s="292">
        <f>365-E98</f>
        <v>365</v>
      </c>
      <c r="G99" s="366"/>
      <c r="H99" s="292">
        <v>9</v>
      </c>
      <c r="I99" s="292">
        <v>6</v>
      </c>
      <c r="J99" s="377">
        <v>15</v>
      </c>
      <c r="K99" s="336">
        <f t="shared" si="4"/>
        <v>0</v>
      </c>
      <c r="L99" s="336">
        <f t="shared" si="4"/>
        <v>60</v>
      </c>
      <c r="M99" s="336">
        <f t="shared" si="4"/>
        <v>40</v>
      </c>
      <c r="N99" s="368">
        <f t="shared" si="5"/>
        <v>100</v>
      </c>
      <c r="O99" s="335"/>
      <c r="P99" s="336">
        <v>40</v>
      </c>
      <c r="Q99" s="336">
        <v>23.3</v>
      </c>
      <c r="R99" s="337">
        <f t="shared" si="6"/>
        <v>63.3</v>
      </c>
      <c r="S99" s="292">
        <v>2</v>
      </c>
      <c r="T99" s="838"/>
      <c r="U99" s="836"/>
      <c r="V99" s="299" t="s">
        <v>495</v>
      </c>
      <c r="W99" s="292" t="s">
        <v>17</v>
      </c>
      <c r="X99" s="292" t="s">
        <v>326</v>
      </c>
      <c r="Y99" s="300">
        <v>40</v>
      </c>
      <c r="Z99" s="292" t="s">
        <v>496</v>
      </c>
      <c r="AA99" s="292" t="s">
        <v>20</v>
      </c>
      <c r="AB99" s="292" t="s">
        <v>12</v>
      </c>
      <c r="AC99" s="292">
        <v>23.3</v>
      </c>
      <c r="AD99" s="299"/>
      <c r="AG99" s="300"/>
      <c r="AL99" s="299"/>
      <c r="AO99" s="300"/>
      <c r="AP99" s="299"/>
      <c r="AS99" s="300"/>
      <c r="AW99" s="300"/>
      <c r="BA99" s="301"/>
    </row>
    <row r="100" spans="1:53" s="292" customFormat="1">
      <c r="A100" s="292">
        <v>2006</v>
      </c>
      <c r="B100" s="836"/>
      <c r="C100" s="916" t="s">
        <v>685</v>
      </c>
      <c r="D100" s="916"/>
      <c r="E100" s="292">
        <v>0</v>
      </c>
      <c r="G100" s="366"/>
      <c r="H100" s="292">
        <v>9</v>
      </c>
      <c r="I100" s="292">
        <v>6</v>
      </c>
      <c r="J100" s="377">
        <v>15</v>
      </c>
      <c r="K100" s="336">
        <f t="shared" si="4"/>
        <v>0</v>
      </c>
      <c r="L100" s="336">
        <f t="shared" si="4"/>
        <v>60</v>
      </c>
      <c r="M100" s="336">
        <f t="shared" si="4"/>
        <v>40</v>
      </c>
      <c r="N100" s="368">
        <f t="shared" si="5"/>
        <v>100</v>
      </c>
      <c r="O100" s="335"/>
      <c r="P100" s="336">
        <v>40</v>
      </c>
      <c r="Q100" s="336">
        <v>23.3</v>
      </c>
      <c r="R100" s="337">
        <f t="shared" si="6"/>
        <v>63.3</v>
      </c>
      <c r="S100" s="292">
        <v>2</v>
      </c>
      <c r="T100" s="838"/>
      <c r="U100" s="836"/>
      <c r="V100" s="299" t="s">
        <v>495</v>
      </c>
      <c r="W100" s="292" t="s">
        <v>17</v>
      </c>
      <c r="X100" s="292" t="s">
        <v>326</v>
      </c>
      <c r="Y100" s="300">
        <v>40</v>
      </c>
      <c r="Z100" s="292" t="s">
        <v>496</v>
      </c>
      <c r="AA100" s="292" t="s">
        <v>20</v>
      </c>
      <c r="AB100" s="292" t="s">
        <v>12</v>
      </c>
      <c r="AC100" s="292">
        <v>23.3</v>
      </c>
      <c r="AD100" s="299"/>
      <c r="AG100" s="300"/>
      <c r="AL100" s="299"/>
      <c r="AO100" s="300"/>
      <c r="AP100" s="299"/>
      <c r="AS100" s="300"/>
      <c r="AW100" s="300"/>
      <c r="BA100" s="301"/>
    </row>
    <row r="101" spans="1:53" s="292" customFormat="1">
      <c r="A101" s="292">
        <v>2006</v>
      </c>
      <c r="B101" s="836"/>
      <c r="C101" s="916" t="s">
        <v>685</v>
      </c>
      <c r="D101" s="916"/>
      <c r="E101" s="292">
        <f>365-E100</f>
        <v>365</v>
      </c>
      <c r="G101" s="366"/>
      <c r="H101" s="292">
        <v>9</v>
      </c>
      <c r="I101" s="292">
        <v>6</v>
      </c>
      <c r="J101" s="377">
        <v>15</v>
      </c>
      <c r="K101" s="336">
        <f t="shared" si="4"/>
        <v>0</v>
      </c>
      <c r="L101" s="336">
        <f t="shared" si="4"/>
        <v>60</v>
      </c>
      <c r="M101" s="336">
        <f t="shared" si="4"/>
        <v>40</v>
      </c>
      <c r="N101" s="368">
        <f t="shared" si="5"/>
        <v>100</v>
      </c>
      <c r="O101" s="335"/>
      <c r="P101" s="336">
        <v>40</v>
      </c>
      <c r="Q101" s="336">
        <v>23.3</v>
      </c>
      <c r="R101" s="337">
        <f t="shared" si="6"/>
        <v>63.3</v>
      </c>
      <c r="S101" s="292">
        <v>2</v>
      </c>
      <c r="T101" s="838"/>
      <c r="U101" s="836"/>
      <c r="V101" s="299" t="s">
        <v>495</v>
      </c>
      <c r="W101" s="292" t="s">
        <v>17</v>
      </c>
      <c r="X101" s="292" t="s">
        <v>326</v>
      </c>
      <c r="Y101" s="300">
        <v>40</v>
      </c>
      <c r="Z101" s="292" t="s">
        <v>496</v>
      </c>
      <c r="AA101" s="292" t="s">
        <v>20</v>
      </c>
      <c r="AB101" s="292" t="s">
        <v>12</v>
      </c>
      <c r="AC101" s="292">
        <v>23.3</v>
      </c>
      <c r="AD101" s="299"/>
      <c r="AG101" s="300"/>
      <c r="AL101" s="299"/>
      <c r="AO101" s="300"/>
      <c r="AP101" s="299"/>
      <c r="AS101" s="300"/>
      <c r="AW101" s="300"/>
      <c r="BA101" s="301"/>
    </row>
    <row r="102" spans="1:53" s="292" customFormat="1">
      <c r="A102" s="292">
        <v>2007</v>
      </c>
      <c r="B102" s="836"/>
      <c r="C102" s="916" t="s">
        <v>685</v>
      </c>
      <c r="D102" s="916"/>
      <c r="E102" s="292">
        <v>0</v>
      </c>
      <c r="G102" s="366"/>
      <c r="H102" s="292">
        <v>9</v>
      </c>
      <c r="I102" s="292">
        <v>6</v>
      </c>
      <c r="J102" s="377">
        <v>15</v>
      </c>
      <c r="K102" s="336">
        <f t="shared" si="4"/>
        <v>0</v>
      </c>
      <c r="L102" s="336">
        <f t="shared" si="4"/>
        <v>60</v>
      </c>
      <c r="M102" s="336">
        <f t="shared" si="4"/>
        <v>40</v>
      </c>
      <c r="N102" s="368">
        <f t="shared" si="5"/>
        <v>100</v>
      </c>
      <c r="O102" s="335"/>
      <c r="P102" s="336">
        <v>40</v>
      </c>
      <c r="Q102" s="336">
        <v>23.3</v>
      </c>
      <c r="R102" s="337">
        <f t="shared" si="6"/>
        <v>63.3</v>
      </c>
      <c r="S102" s="292">
        <v>2</v>
      </c>
      <c r="T102" s="838"/>
      <c r="U102" s="836"/>
      <c r="V102" s="299" t="s">
        <v>495</v>
      </c>
      <c r="W102" s="292" t="s">
        <v>17</v>
      </c>
      <c r="X102" s="292" t="s">
        <v>326</v>
      </c>
      <c r="Y102" s="300">
        <v>40</v>
      </c>
      <c r="Z102" s="292" t="s">
        <v>496</v>
      </c>
      <c r="AA102" s="292" t="s">
        <v>20</v>
      </c>
      <c r="AB102" s="292" t="s">
        <v>12</v>
      </c>
      <c r="AC102" s="292">
        <v>23.3</v>
      </c>
      <c r="AD102" s="299"/>
      <c r="AG102" s="300"/>
      <c r="AL102" s="299"/>
      <c r="AO102" s="300"/>
      <c r="AP102" s="299"/>
      <c r="AS102" s="300"/>
      <c r="AW102" s="300"/>
      <c r="BA102" s="301"/>
    </row>
    <row r="103" spans="1:53" s="292" customFormat="1">
      <c r="A103" s="292">
        <v>2007</v>
      </c>
      <c r="B103" s="836"/>
      <c r="C103" s="916" t="s">
        <v>685</v>
      </c>
      <c r="D103" s="916"/>
      <c r="E103" s="292">
        <v>365</v>
      </c>
      <c r="G103" s="366"/>
      <c r="H103" s="292">
        <v>9</v>
      </c>
      <c r="I103" s="292">
        <v>6</v>
      </c>
      <c r="J103" s="377">
        <v>15</v>
      </c>
      <c r="K103" s="336">
        <f t="shared" si="4"/>
        <v>0</v>
      </c>
      <c r="L103" s="336">
        <f t="shared" si="4"/>
        <v>60</v>
      </c>
      <c r="M103" s="336">
        <f t="shared" si="4"/>
        <v>40</v>
      </c>
      <c r="N103" s="368">
        <f t="shared" si="5"/>
        <v>100</v>
      </c>
      <c r="O103" s="335"/>
      <c r="P103" s="336">
        <v>40</v>
      </c>
      <c r="Q103" s="336">
        <v>23.3</v>
      </c>
      <c r="R103" s="337">
        <f t="shared" si="6"/>
        <v>63.3</v>
      </c>
      <c r="S103" s="292">
        <v>2</v>
      </c>
      <c r="T103" s="838"/>
      <c r="U103" s="836"/>
      <c r="V103" s="299" t="s">
        <v>495</v>
      </c>
      <c r="W103" s="292" t="s">
        <v>17</v>
      </c>
      <c r="X103" s="292" t="s">
        <v>326</v>
      </c>
      <c r="Y103" s="300">
        <v>40</v>
      </c>
      <c r="Z103" s="292" t="s">
        <v>496</v>
      </c>
      <c r="AA103" s="292" t="s">
        <v>20</v>
      </c>
      <c r="AB103" s="292" t="s">
        <v>12</v>
      </c>
      <c r="AC103" s="292">
        <v>23.3</v>
      </c>
      <c r="AD103" s="299"/>
      <c r="AG103" s="300"/>
      <c r="AL103" s="299"/>
      <c r="AO103" s="300"/>
      <c r="AP103" s="299"/>
      <c r="AS103" s="300"/>
      <c r="AW103" s="300"/>
      <c r="BA103" s="301"/>
    </row>
    <row r="104" spans="1:53" s="292" customFormat="1">
      <c r="A104" s="292">
        <v>2008</v>
      </c>
      <c r="B104" s="836"/>
      <c r="C104" s="916" t="s">
        <v>685</v>
      </c>
      <c r="D104" s="916"/>
      <c r="E104" s="292">
        <v>0</v>
      </c>
      <c r="G104" s="366"/>
      <c r="H104" s="292">
        <v>9</v>
      </c>
      <c r="I104" s="292">
        <v>6</v>
      </c>
      <c r="J104" s="377">
        <v>15</v>
      </c>
      <c r="K104" s="336">
        <f t="shared" si="4"/>
        <v>0</v>
      </c>
      <c r="L104" s="336">
        <f t="shared" si="4"/>
        <v>60</v>
      </c>
      <c r="M104" s="336">
        <f t="shared" si="4"/>
        <v>40</v>
      </c>
      <c r="N104" s="368">
        <f t="shared" si="5"/>
        <v>100</v>
      </c>
      <c r="O104" s="335"/>
      <c r="P104" s="336">
        <v>40</v>
      </c>
      <c r="Q104" s="336">
        <v>23.3</v>
      </c>
      <c r="R104" s="337">
        <f t="shared" si="6"/>
        <v>63.3</v>
      </c>
      <c r="S104" s="292">
        <v>2</v>
      </c>
      <c r="T104" s="838"/>
      <c r="U104" s="836"/>
      <c r="V104" s="299" t="s">
        <v>495</v>
      </c>
      <c r="W104" s="292" t="s">
        <v>17</v>
      </c>
      <c r="X104" s="292" t="s">
        <v>326</v>
      </c>
      <c r="Y104" s="300">
        <v>40</v>
      </c>
      <c r="Z104" s="292" t="s">
        <v>496</v>
      </c>
      <c r="AA104" s="292" t="s">
        <v>20</v>
      </c>
      <c r="AB104" s="292" t="s">
        <v>12</v>
      </c>
      <c r="AC104" s="292">
        <v>23.3</v>
      </c>
      <c r="AD104" s="299"/>
      <c r="AG104" s="300"/>
      <c r="AL104" s="299"/>
      <c r="AO104" s="300"/>
      <c r="AP104" s="299"/>
      <c r="AS104" s="300"/>
      <c r="AW104" s="300"/>
      <c r="BA104" s="301"/>
    </row>
    <row r="105" spans="1:53" s="292" customFormat="1">
      <c r="A105" s="292">
        <v>2008</v>
      </c>
      <c r="B105" s="836"/>
      <c r="C105" s="916" t="s">
        <v>685</v>
      </c>
      <c r="D105" s="916"/>
      <c r="E105" s="292">
        <v>366</v>
      </c>
      <c r="G105" s="366"/>
      <c r="H105" s="292">
        <v>9</v>
      </c>
      <c r="I105" s="292">
        <v>6</v>
      </c>
      <c r="J105" s="377">
        <v>15</v>
      </c>
      <c r="K105" s="336">
        <f t="shared" si="4"/>
        <v>0</v>
      </c>
      <c r="L105" s="336">
        <f t="shared" si="4"/>
        <v>60</v>
      </c>
      <c r="M105" s="336">
        <f t="shared" si="4"/>
        <v>40</v>
      </c>
      <c r="N105" s="368">
        <f t="shared" si="5"/>
        <v>100</v>
      </c>
      <c r="O105" s="335"/>
      <c r="P105" s="336">
        <v>40</v>
      </c>
      <c r="Q105" s="336">
        <v>23.3</v>
      </c>
      <c r="R105" s="337">
        <f t="shared" si="6"/>
        <v>63.3</v>
      </c>
      <c r="S105" s="292">
        <v>2</v>
      </c>
      <c r="T105" s="838"/>
      <c r="U105" s="836"/>
      <c r="V105" s="299" t="s">
        <v>495</v>
      </c>
      <c r="W105" s="292" t="s">
        <v>17</v>
      </c>
      <c r="X105" s="292" t="s">
        <v>326</v>
      </c>
      <c r="Y105" s="300">
        <v>40</v>
      </c>
      <c r="Z105" s="292" t="s">
        <v>496</v>
      </c>
      <c r="AA105" s="292" t="s">
        <v>20</v>
      </c>
      <c r="AB105" s="292" t="s">
        <v>12</v>
      </c>
      <c r="AC105" s="292">
        <v>23.3</v>
      </c>
      <c r="AD105" s="299"/>
      <c r="AG105" s="300"/>
      <c r="AL105" s="299"/>
      <c r="AO105" s="300"/>
      <c r="AP105" s="299"/>
      <c r="AS105" s="300"/>
      <c r="AW105" s="300"/>
      <c r="BA105" s="301"/>
    </row>
    <row r="106" spans="1:53" s="292" customFormat="1">
      <c r="A106" s="292">
        <v>2009</v>
      </c>
      <c r="B106" s="836"/>
      <c r="C106" s="916" t="s">
        <v>685</v>
      </c>
      <c r="D106" s="916"/>
      <c r="E106" s="292">
        <v>203</v>
      </c>
      <c r="G106" s="366"/>
      <c r="H106" s="292">
        <v>9</v>
      </c>
      <c r="I106" s="292">
        <v>6</v>
      </c>
      <c r="J106" s="377">
        <v>15</v>
      </c>
      <c r="K106" s="336">
        <f t="shared" si="4"/>
        <v>0</v>
      </c>
      <c r="L106" s="336">
        <f t="shared" si="4"/>
        <v>60</v>
      </c>
      <c r="M106" s="336">
        <f t="shared" si="4"/>
        <v>40</v>
      </c>
      <c r="N106" s="368">
        <f t="shared" si="5"/>
        <v>100</v>
      </c>
      <c r="O106" s="335"/>
      <c r="P106" s="336">
        <v>40</v>
      </c>
      <c r="Q106" s="336">
        <v>23.3</v>
      </c>
      <c r="R106" s="337">
        <f t="shared" si="6"/>
        <v>63.3</v>
      </c>
      <c r="S106" s="292">
        <v>2</v>
      </c>
      <c r="T106" s="838"/>
      <c r="U106" s="836"/>
      <c r="V106" s="299" t="s">
        <v>495</v>
      </c>
      <c r="W106" s="292" t="s">
        <v>17</v>
      </c>
      <c r="X106" s="292" t="s">
        <v>326</v>
      </c>
      <c r="Y106" s="300">
        <v>40</v>
      </c>
      <c r="Z106" s="292" t="s">
        <v>496</v>
      </c>
      <c r="AA106" s="292" t="s">
        <v>20</v>
      </c>
      <c r="AB106" s="292" t="s">
        <v>12</v>
      </c>
      <c r="AC106" s="292">
        <v>23.3</v>
      </c>
      <c r="AD106" s="299"/>
      <c r="AG106" s="300"/>
      <c r="AL106" s="299"/>
      <c r="AO106" s="300"/>
      <c r="AP106" s="299"/>
      <c r="AS106" s="300"/>
      <c r="AW106" s="300"/>
      <c r="BA106" s="301"/>
    </row>
    <row r="107" spans="1:53" s="185" customFormat="1">
      <c r="A107" s="185">
        <v>2009</v>
      </c>
      <c r="B107" s="852">
        <v>40017</v>
      </c>
      <c r="C107" s="917" t="s">
        <v>686</v>
      </c>
      <c r="D107" s="917"/>
      <c r="E107" s="185">
        <f>365-E106</f>
        <v>162</v>
      </c>
      <c r="F107" s="185">
        <v>1</v>
      </c>
      <c r="G107" s="119"/>
      <c r="H107" s="185">
        <v>9</v>
      </c>
      <c r="I107" s="185">
        <v>6</v>
      </c>
      <c r="J107" s="126">
        <v>15</v>
      </c>
      <c r="K107" s="92">
        <f t="shared" si="4"/>
        <v>0</v>
      </c>
      <c r="L107" s="92">
        <f t="shared" si="4"/>
        <v>60</v>
      </c>
      <c r="M107" s="92">
        <f t="shared" si="4"/>
        <v>40</v>
      </c>
      <c r="N107" s="121">
        <f t="shared" si="5"/>
        <v>100</v>
      </c>
      <c r="O107" s="91"/>
      <c r="P107" s="92">
        <v>43.3</v>
      </c>
      <c r="Q107" s="92">
        <v>21.7</v>
      </c>
      <c r="R107" s="93">
        <f t="shared" si="6"/>
        <v>65</v>
      </c>
      <c r="S107" s="185">
        <v>2</v>
      </c>
      <c r="T107" s="839">
        <v>39971</v>
      </c>
      <c r="U107" s="852">
        <v>40017</v>
      </c>
      <c r="V107" s="82" t="s">
        <v>495</v>
      </c>
      <c r="W107" s="185" t="s">
        <v>17</v>
      </c>
      <c r="X107" s="185" t="s">
        <v>326</v>
      </c>
      <c r="Y107" s="83">
        <v>43.3</v>
      </c>
      <c r="Z107" s="185" t="s">
        <v>496</v>
      </c>
      <c r="AA107" s="185" t="s">
        <v>20</v>
      </c>
      <c r="AB107" s="185" t="s">
        <v>12</v>
      </c>
      <c r="AC107" s="185">
        <v>21.7</v>
      </c>
      <c r="AD107" s="82"/>
      <c r="AG107" s="83"/>
      <c r="AL107" s="82"/>
      <c r="AO107" s="83"/>
      <c r="AP107" s="82"/>
      <c r="AS107" s="83"/>
      <c r="AW107" s="83"/>
      <c r="BA107" s="84"/>
    </row>
    <row r="108" spans="1:53" s="185" customFormat="1">
      <c r="A108" s="185">
        <v>2010</v>
      </c>
      <c r="B108" s="852"/>
      <c r="C108" s="917" t="s">
        <v>686</v>
      </c>
      <c r="D108" s="917"/>
      <c r="E108" s="185">
        <v>0</v>
      </c>
      <c r="G108" s="119"/>
      <c r="H108" s="185">
        <v>9</v>
      </c>
      <c r="I108" s="185">
        <v>6</v>
      </c>
      <c r="J108" s="126">
        <v>15</v>
      </c>
      <c r="K108" s="92">
        <f t="shared" si="4"/>
        <v>0</v>
      </c>
      <c r="L108" s="92">
        <f t="shared" si="4"/>
        <v>60</v>
      </c>
      <c r="M108" s="92">
        <f t="shared" si="4"/>
        <v>40</v>
      </c>
      <c r="N108" s="121">
        <f t="shared" si="5"/>
        <v>100</v>
      </c>
      <c r="O108" s="91"/>
      <c r="P108" s="92">
        <v>43.3</v>
      </c>
      <c r="Q108" s="92">
        <v>21.7</v>
      </c>
      <c r="R108" s="93">
        <f t="shared" si="6"/>
        <v>65</v>
      </c>
      <c r="S108" s="185">
        <v>2</v>
      </c>
      <c r="T108" s="839"/>
      <c r="U108" s="852"/>
      <c r="V108" s="82" t="s">
        <v>495</v>
      </c>
      <c r="W108" s="185" t="s">
        <v>17</v>
      </c>
      <c r="X108" s="185" t="s">
        <v>326</v>
      </c>
      <c r="Y108" s="83">
        <v>43.3</v>
      </c>
      <c r="Z108" s="185" t="s">
        <v>496</v>
      </c>
      <c r="AA108" s="185" t="s">
        <v>20</v>
      </c>
      <c r="AB108" s="185" t="s">
        <v>12</v>
      </c>
      <c r="AC108" s="185">
        <v>21.7</v>
      </c>
      <c r="AD108" s="82"/>
      <c r="AG108" s="83"/>
      <c r="AL108" s="82"/>
      <c r="AO108" s="83"/>
      <c r="AP108" s="82"/>
      <c r="AS108" s="83"/>
      <c r="AW108" s="83"/>
      <c r="BA108" s="84"/>
    </row>
    <row r="109" spans="1:53" s="185" customFormat="1">
      <c r="A109" s="185">
        <v>2010</v>
      </c>
      <c r="B109" s="852"/>
      <c r="C109" s="917" t="s">
        <v>686</v>
      </c>
      <c r="D109" s="917"/>
      <c r="E109" s="185">
        <v>365</v>
      </c>
      <c r="G109" s="119"/>
      <c r="H109" s="185">
        <v>9</v>
      </c>
      <c r="I109" s="185">
        <v>6</v>
      </c>
      <c r="J109" s="126">
        <v>15</v>
      </c>
      <c r="K109" s="92">
        <f t="shared" si="4"/>
        <v>0</v>
      </c>
      <c r="L109" s="92">
        <f t="shared" si="4"/>
        <v>60</v>
      </c>
      <c r="M109" s="92">
        <f t="shared" si="4"/>
        <v>40</v>
      </c>
      <c r="N109" s="121">
        <f t="shared" si="5"/>
        <v>100</v>
      </c>
      <c r="O109" s="91"/>
      <c r="P109" s="92">
        <v>43.3</v>
      </c>
      <c r="Q109" s="92">
        <v>21.7</v>
      </c>
      <c r="R109" s="93">
        <f t="shared" si="6"/>
        <v>65</v>
      </c>
      <c r="S109" s="185">
        <v>2</v>
      </c>
      <c r="T109" s="839"/>
      <c r="U109" s="852"/>
      <c r="V109" s="82" t="s">
        <v>495</v>
      </c>
      <c r="W109" s="185" t="s">
        <v>17</v>
      </c>
      <c r="X109" s="185" t="s">
        <v>326</v>
      </c>
      <c r="Y109" s="83">
        <v>43.3</v>
      </c>
      <c r="Z109" s="185" t="s">
        <v>496</v>
      </c>
      <c r="AA109" s="185" t="s">
        <v>20</v>
      </c>
      <c r="AB109" s="185" t="s">
        <v>12</v>
      </c>
      <c r="AC109" s="185">
        <v>21.7</v>
      </c>
      <c r="AD109" s="82"/>
      <c r="AG109" s="83"/>
      <c r="AL109" s="82"/>
      <c r="AO109" s="83"/>
      <c r="AP109" s="82"/>
      <c r="AS109" s="83"/>
      <c r="AW109" s="83"/>
      <c r="BA109" s="84"/>
    </row>
    <row r="110" spans="1:53" s="185" customFormat="1">
      <c r="A110" s="185">
        <v>2011</v>
      </c>
      <c r="B110" s="852"/>
      <c r="C110" s="917" t="s">
        <v>686</v>
      </c>
      <c r="D110" s="917"/>
      <c r="E110" s="185">
        <v>0</v>
      </c>
      <c r="G110" s="119"/>
      <c r="H110" s="185">
        <v>9</v>
      </c>
      <c r="I110" s="185">
        <v>6</v>
      </c>
      <c r="J110" s="126">
        <v>15</v>
      </c>
      <c r="K110" s="92">
        <f t="shared" si="4"/>
        <v>0</v>
      </c>
      <c r="L110" s="92">
        <f t="shared" si="4"/>
        <v>60</v>
      </c>
      <c r="M110" s="92">
        <f t="shared" si="4"/>
        <v>40</v>
      </c>
      <c r="N110" s="121">
        <f t="shared" si="5"/>
        <v>100</v>
      </c>
      <c r="O110" s="91"/>
      <c r="P110" s="92">
        <v>43.3</v>
      </c>
      <c r="Q110" s="92">
        <v>21.7</v>
      </c>
      <c r="R110" s="93">
        <f t="shared" si="6"/>
        <v>65</v>
      </c>
      <c r="S110" s="185">
        <v>2</v>
      </c>
      <c r="T110" s="839"/>
      <c r="U110" s="852"/>
      <c r="V110" s="82" t="s">
        <v>495</v>
      </c>
      <c r="W110" s="185" t="s">
        <v>17</v>
      </c>
      <c r="X110" s="185" t="s">
        <v>326</v>
      </c>
      <c r="Y110" s="83">
        <v>43.3</v>
      </c>
      <c r="Z110" s="185" t="s">
        <v>496</v>
      </c>
      <c r="AA110" s="185" t="s">
        <v>20</v>
      </c>
      <c r="AB110" s="185" t="s">
        <v>12</v>
      </c>
      <c r="AC110" s="185">
        <v>21.7</v>
      </c>
      <c r="AD110" s="82"/>
      <c r="AG110" s="83"/>
      <c r="AL110" s="82"/>
      <c r="AO110" s="83"/>
      <c r="AP110" s="82"/>
      <c r="AS110" s="83"/>
      <c r="AW110" s="83"/>
      <c r="BA110" s="84"/>
    </row>
    <row r="111" spans="1:53" s="185" customFormat="1">
      <c r="A111" s="185">
        <v>2011</v>
      </c>
      <c r="B111" s="852"/>
      <c r="C111" s="917" t="s">
        <v>686</v>
      </c>
      <c r="D111" s="917"/>
      <c r="E111" s="185">
        <v>365</v>
      </c>
      <c r="G111" s="119"/>
      <c r="H111" s="185">
        <v>9</v>
      </c>
      <c r="I111" s="185">
        <v>6</v>
      </c>
      <c r="J111" s="126">
        <v>15</v>
      </c>
      <c r="K111" s="92">
        <f t="shared" si="4"/>
        <v>0</v>
      </c>
      <c r="L111" s="92">
        <f t="shared" si="4"/>
        <v>60</v>
      </c>
      <c r="M111" s="92">
        <f t="shared" si="4"/>
        <v>40</v>
      </c>
      <c r="N111" s="121">
        <f t="shared" si="5"/>
        <v>100</v>
      </c>
      <c r="O111" s="91"/>
      <c r="P111" s="92">
        <v>43.3</v>
      </c>
      <c r="Q111" s="92">
        <v>21.7</v>
      </c>
      <c r="R111" s="93">
        <f t="shared" si="6"/>
        <v>65</v>
      </c>
      <c r="S111" s="185">
        <v>2</v>
      </c>
      <c r="T111" s="839"/>
      <c r="U111" s="852"/>
      <c r="V111" s="82" t="s">
        <v>495</v>
      </c>
      <c r="W111" s="185" t="s">
        <v>17</v>
      </c>
      <c r="X111" s="185" t="s">
        <v>326</v>
      </c>
      <c r="Y111" s="83">
        <v>43.3</v>
      </c>
      <c r="Z111" s="185" t="s">
        <v>496</v>
      </c>
      <c r="AA111" s="185" t="s">
        <v>20</v>
      </c>
      <c r="AB111" s="185" t="s">
        <v>12</v>
      </c>
      <c r="AC111" s="185">
        <v>21.7</v>
      </c>
      <c r="AD111" s="82"/>
      <c r="AG111" s="83"/>
      <c r="AL111" s="82"/>
      <c r="AO111" s="83"/>
      <c r="AP111" s="82"/>
      <c r="AS111" s="83"/>
      <c r="AW111" s="83"/>
      <c r="BA111" s="84"/>
    </row>
    <row r="112" spans="1:53" s="185" customFormat="1">
      <c r="A112" s="185">
        <v>2012</v>
      </c>
      <c r="B112" s="852"/>
      <c r="C112" s="917" t="s">
        <v>686</v>
      </c>
      <c r="D112" s="917"/>
      <c r="E112" s="185">
        <v>0</v>
      </c>
      <c r="G112" s="119"/>
      <c r="H112" s="185">
        <v>9</v>
      </c>
      <c r="I112" s="185">
        <v>6</v>
      </c>
      <c r="J112" s="126">
        <v>15</v>
      </c>
      <c r="K112" s="92">
        <f t="shared" si="4"/>
        <v>0</v>
      </c>
      <c r="L112" s="92">
        <f t="shared" si="4"/>
        <v>60</v>
      </c>
      <c r="M112" s="92">
        <f t="shared" si="4"/>
        <v>40</v>
      </c>
      <c r="N112" s="121">
        <f t="shared" si="5"/>
        <v>100</v>
      </c>
      <c r="O112" s="91"/>
      <c r="P112" s="92">
        <v>43.3</v>
      </c>
      <c r="Q112" s="92">
        <v>21.7</v>
      </c>
      <c r="R112" s="93">
        <f t="shared" si="6"/>
        <v>65</v>
      </c>
      <c r="S112" s="185">
        <v>2</v>
      </c>
      <c r="T112" s="839"/>
      <c r="U112" s="852"/>
      <c r="V112" s="82" t="s">
        <v>495</v>
      </c>
      <c r="W112" s="185" t="s">
        <v>17</v>
      </c>
      <c r="X112" s="185" t="s">
        <v>326</v>
      </c>
      <c r="Y112" s="83">
        <v>43.3</v>
      </c>
      <c r="Z112" s="185" t="s">
        <v>496</v>
      </c>
      <c r="AA112" s="185" t="s">
        <v>20</v>
      </c>
      <c r="AB112" s="185" t="s">
        <v>12</v>
      </c>
      <c r="AC112" s="185">
        <v>21.7</v>
      </c>
      <c r="AD112" s="82"/>
      <c r="AG112" s="83"/>
      <c r="AL112" s="82"/>
      <c r="AO112" s="83"/>
      <c r="AP112" s="82"/>
      <c r="AS112" s="83"/>
      <c r="AW112" s="83"/>
      <c r="BA112" s="84"/>
    </row>
    <row r="113" spans="1:53" s="185" customFormat="1">
      <c r="A113" s="185">
        <v>2012</v>
      </c>
      <c r="B113" s="852"/>
      <c r="C113" s="917" t="s">
        <v>686</v>
      </c>
      <c r="D113" s="917"/>
      <c r="E113" s="185">
        <v>366</v>
      </c>
      <c r="G113" s="119"/>
      <c r="H113" s="185">
        <v>9</v>
      </c>
      <c r="I113" s="185">
        <v>6</v>
      </c>
      <c r="J113" s="126">
        <v>15</v>
      </c>
      <c r="K113" s="92">
        <f t="shared" si="4"/>
        <v>0</v>
      </c>
      <c r="L113" s="92">
        <f t="shared" si="4"/>
        <v>60</v>
      </c>
      <c r="M113" s="92">
        <f t="shared" si="4"/>
        <v>40</v>
      </c>
      <c r="N113" s="121">
        <f t="shared" si="5"/>
        <v>100</v>
      </c>
      <c r="O113" s="91"/>
      <c r="P113" s="92">
        <v>43.3</v>
      </c>
      <c r="Q113" s="92">
        <v>21.7</v>
      </c>
      <c r="R113" s="93">
        <f t="shared" si="6"/>
        <v>65</v>
      </c>
      <c r="S113" s="185">
        <v>2</v>
      </c>
      <c r="T113" s="839"/>
      <c r="U113" s="852"/>
      <c r="V113" s="82" t="s">
        <v>495</v>
      </c>
      <c r="W113" s="185" t="s">
        <v>17</v>
      </c>
      <c r="X113" s="185" t="s">
        <v>326</v>
      </c>
      <c r="Y113" s="83">
        <v>43.3</v>
      </c>
      <c r="Z113" s="185" t="s">
        <v>496</v>
      </c>
      <c r="AA113" s="185" t="s">
        <v>20</v>
      </c>
      <c r="AB113" s="185" t="s">
        <v>12</v>
      </c>
      <c r="AC113" s="185">
        <v>21.7</v>
      </c>
      <c r="AD113" s="82"/>
      <c r="AG113" s="83"/>
      <c r="AL113" s="82"/>
      <c r="AO113" s="83"/>
      <c r="AP113" s="82"/>
      <c r="AS113" s="83"/>
      <c r="AW113" s="83"/>
      <c r="BA113" s="84"/>
    </row>
    <row r="114" spans="1:53" s="271" customFormat="1">
      <c r="A114" s="271">
        <v>2013</v>
      </c>
      <c r="B114" s="852"/>
      <c r="C114" s="917" t="s">
        <v>686</v>
      </c>
      <c r="D114" s="917"/>
      <c r="E114" s="271">
        <v>337</v>
      </c>
      <c r="G114" s="119"/>
      <c r="H114" s="271">
        <v>9</v>
      </c>
      <c r="I114" s="271">
        <v>6</v>
      </c>
      <c r="J114" s="126">
        <v>15</v>
      </c>
      <c r="K114" s="92">
        <f t="shared" si="4"/>
        <v>0</v>
      </c>
      <c r="L114" s="92">
        <f t="shared" si="4"/>
        <v>60</v>
      </c>
      <c r="M114" s="92">
        <f t="shared" si="4"/>
        <v>40</v>
      </c>
      <c r="N114" s="121">
        <f t="shared" si="5"/>
        <v>100</v>
      </c>
      <c r="O114" s="91"/>
      <c r="P114" s="92">
        <v>43.3</v>
      </c>
      <c r="Q114" s="92">
        <v>21.7</v>
      </c>
      <c r="R114" s="93">
        <f>O114+P114+Q114</f>
        <v>65</v>
      </c>
      <c r="S114" s="271">
        <v>2</v>
      </c>
      <c r="T114" s="839"/>
      <c r="U114" s="852"/>
      <c r="V114" s="82" t="s">
        <v>495</v>
      </c>
      <c r="W114" s="271" t="s">
        <v>17</v>
      </c>
      <c r="X114" s="271" t="s">
        <v>326</v>
      </c>
      <c r="Y114" s="83">
        <v>43.3</v>
      </c>
      <c r="Z114" s="271" t="s">
        <v>496</v>
      </c>
      <c r="AA114" s="271" t="s">
        <v>20</v>
      </c>
      <c r="AB114" s="271" t="s">
        <v>12</v>
      </c>
      <c r="AC114" s="271">
        <v>21.7</v>
      </c>
      <c r="AD114" s="82"/>
      <c r="AG114" s="83"/>
      <c r="AL114" s="82"/>
      <c r="AO114" s="83"/>
      <c r="AP114" s="82"/>
      <c r="AS114" s="83"/>
      <c r="AW114" s="83"/>
      <c r="BA114" s="84"/>
    </row>
    <row r="115" spans="1:53" s="292" customFormat="1">
      <c r="A115" s="292">
        <v>2013</v>
      </c>
      <c r="B115" s="836">
        <v>41612</v>
      </c>
      <c r="C115" s="916" t="s">
        <v>1248</v>
      </c>
      <c r="D115" s="916"/>
      <c r="E115" s="292">
        <f>365-E114</f>
        <v>28</v>
      </c>
      <c r="F115" s="292">
        <v>1</v>
      </c>
      <c r="G115" s="366">
        <v>7</v>
      </c>
      <c r="I115" s="292">
        <v>11</v>
      </c>
      <c r="J115" s="377">
        <v>18</v>
      </c>
      <c r="K115" s="336">
        <f>G115/$J115*100</f>
        <v>38.888888888888893</v>
      </c>
      <c r="L115" s="336">
        <f t="shared" si="4"/>
        <v>0</v>
      </c>
      <c r="M115" s="336">
        <f t="shared" si="4"/>
        <v>61.111111111111114</v>
      </c>
      <c r="N115" s="368">
        <f t="shared" si="5"/>
        <v>100</v>
      </c>
      <c r="O115" s="335">
        <v>21.7</v>
      </c>
      <c r="P115" s="336"/>
      <c r="Q115" s="336">
        <v>31.7</v>
      </c>
      <c r="R115" s="337">
        <f>O115+P115+Q115</f>
        <v>53.4</v>
      </c>
      <c r="S115" s="292">
        <v>2</v>
      </c>
      <c r="T115" s="838">
        <v>41567</v>
      </c>
      <c r="U115" s="836">
        <v>41612</v>
      </c>
      <c r="V115" s="299" t="s">
        <v>131</v>
      </c>
      <c r="W115" s="292" t="s">
        <v>22</v>
      </c>
      <c r="X115" s="292" t="s">
        <v>11</v>
      </c>
      <c r="Y115" s="300">
        <v>21.7</v>
      </c>
      <c r="Z115" s="292" t="s">
        <v>496</v>
      </c>
      <c r="AA115" s="292" t="s">
        <v>20</v>
      </c>
      <c r="AB115" s="292" t="s">
        <v>12</v>
      </c>
      <c r="AC115" s="292">
        <v>21.7</v>
      </c>
      <c r="AD115" s="299" t="s">
        <v>1263</v>
      </c>
      <c r="AE115" s="292" t="s">
        <v>1249</v>
      </c>
      <c r="AF115" s="292" t="s">
        <v>12</v>
      </c>
      <c r="AG115" s="300">
        <v>10</v>
      </c>
      <c r="AL115" s="299"/>
      <c r="AO115" s="300"/>
      <c r="AP115" s="299"/>
      <c r="AS115" s="300"/>
      <c r="AW115" s="300"/>
      <c r="BA115" s="301"/>
    </row>
    <row r="116" spans="1:53" s="469" customFormat="1">
      <c r="A116" s="469">
        <v>2014</v>
      </c>
      <c r="B116" s="836"/>
      <c r="C116" s="916" t="s">
        <v>1248</v>
      </c>
      <c r="D116" s="916"/>
      <c r="E116" s="469">
        <v>0</v>
      </c>
      <c r="G116" s="425">
        <v>7</v>
      </c>
      <c r="I116" s="469">
        <v>11</v>
      </c>
      <c r="J116" s="427">
        <v>18</v>
      </c>
      <c r="K116" s="423">
        <f>G116/$J116*100</f>
        <v>38.888888888888893</v>
      </c>
      <c r="L116" s="423">
        <f>H116/$J116*100</f>
        <v>0</v>
      </c>
      <c r="M116" s="423">
        <f>I116/$J116*100</f>
        <v>61.111111111111114</v>
      </c>
      <c r="N116" s="426">
        <f>K116+L116+M116</f>
        <v>100</v>
      </c>
      <c r="O116" s="422">
        <v>21.7</v>
      </c>
      <c r="P116" s="423"/>
      <c r="Q116" s="423">
        <v>31.7</v>
      </c>
      <c r="R116" s="424">
        <f>O116+P116+Q116</f>
        <v>53.4</v>
      </c>
      <c r="S116" s="469">
        <v>2</v>
      </c>
      <c r="T116" s="838"/>
      <c r="U116" s="836"/>
      <c r="V116" s="417" t="s">
        <v>131</v>
      </c>
      <c r="W116" s="469" t="s">
        <v>22</v>
      </c>
      <c r="X116" s="469" t="s">
        <v>11</v>
      </c>
      <c r="Y116" s="418">
        <v>21.7</v>
      </c>
      <c r="Z116" s="469" t="s">
        <v>496</v>
      </c>
      <c r="AA116" s="469" t="s">
        <v>20</v>
      </c>
      <c r="AB116" s="469" t="s">
        <v>12</v>
      </c>
      <c r="AC116" s="469">
        <v>21.7</v>
      </c>
      <c r="AD116" s="417" t="s">
        <v>1263</v>
      </c>
      <c r="AE116" s="469" t="s">
        <v>1249</v>
      </c>
      <c r="AF116" s="469" t="s">
        <v>12</v>
      </c>
      <c r="AG116" s="418">
        <v>10</v>
      </c>
      <c r="AL116" s="417"/>
      <c r="AO116" s="418"/>
      <c r="AP116" s="417"/>
      <c r="AS116" s="418"/>
      <c r="AW116" s="418"/>
      <c r="BA116" s="419"/>
    </row>
    <row r="117" spans="1:53" s="469" customFormat="1">
      <c r="A117" s="469">
        <v>2014</v>
      </c>
      <c r="B117" s="836"/>
      <c r="C117" s="916" t="s">
        <v>1248</v>
      </c>
      <c r="D117" s="916"/>
      <c r="E117" s="469">
        <v>365</v>
      </c>
      <c r="G117" s="425">
        <v>7</v>
      </c>
      <c r="I117" s="469">
        <v>11</v>
      </c>
      <c r="J117" s="427">
        <v>18</v>
      </c>
      <c r="K117" s="423">
        <f>G117/$J117*100</f>
        <v>38.888888888888893</v>
      </c>
      <c r="L117" s="423">
        <f>H117/$J117*100</f>
        <v>0</v>
      </c>
      <c r="M117" s="423">
        <f>I117/$J117*100</f>
        <v>61.111111111111114</v>
      </c>
      <c r="N117" s="426">
        <f>K117+L117+M117</f>
        <v>100</v>
      </c>
      <c r="O117" s="422">
        <v>21.7</v>
      </c>
      <c r="P117" s="423"/>
      <c r="Q117" s="423">
        <v>31.7</v>
      </c>
      <c r="R117" s="424">
        <f>O117+P117+Q117</f>
        <v>53.4</v>
      </c>
      <c r="S117" s="469">
        <v>2</v>
      </c>
      <c r="T117" s="838"/>
      <c r="U117" s="836"/>
      <c r="V117" s="417" t="s">
        <v>131</v>
      </c>
      <c r="W117" s="469" t="s">
        <v>22</v>
      </c>
      <c r="X117" s="469" t="s">
        <v>11</v>
      </c>
      <c r="Y117" s="418">
        <v>21.7</v>
      </c>
      <c r="Z117" s="469" t="s">
        <v>496</v>
      </c>
      <c r="AA117" s="469" t="s">
        <v>20</v>
      </c>
      <c r="AB117" s="469" t="s">
        <v>12</v>
      </c>
      <c r="AC117" s="469">
        <v>21.7</v>
      </c>
      <c r="AD117" s="417" t="s">
        <v>1263</v>
      </c>
      <c r="AE117" s="469" t="s">
        <v>1249</v>
      </c>
      <c r="AF117" s="469" t="s">
        <v>12</v>
      </c>
      <c r="AG117" s="418">
        <v>10</v>
      </c>
      <c r="AL117" s="417"/>
      <c r="AO117" s="418"/>
      <c r="AP117" s="417"/>
      <c r="AS117" s="418"/>
      <c r="AW117" s="418"/>
      <c r="BA117" s="419"/>
    </row>
    <row r="118" spans="1:53" s="608" customFormat="1">
      <c r="A118" s="608">
        <v>2015</v>
      </c>
      <c r="B118" s="836"/>
      <c r="C118" s="916" t="s">
        <v>1248</v>
      </c>
      <c r="D118" s="916"/>
      <c r="E118" s="608">
        <v>0</v>
      </c>
      <c r="G118" s="539">
        <v>7</v>
      </c>
      <c r="I118" s="608">
        <v>11</v>
      </c>
      <c r="J118" s="541">
        <v>18</v>
      </c>
      <c r="K118" s="537">
        <f t="shared" ref="K118:K119" si="7">G118/$J118*100</f>
        <v>38.888888888888893</v>
      </c>
      <c r="L118" s="537">
        <f t="shared" ref="L118:L119" si="8">H118/$J118*100</f>
        <v>0</v>
      </c>
      <c r="M118" s="537">
        <f t="shared" ref="M118:M119" si="9">I118/$J118*100</f>
        <v>61.111111111111114</v>
      </c>
      <c r="N118" s="540">
        <f t="shared" ref="N118:N119" si="10">K118+L118+M118</f>
        <v>100</v>
      </c>
      <c r="O118" s="536">
        <v>21.7</v>
      </c>
      <c r="P118" s="537"/>
      <c r="Q118" s="537">
        <v>31.7</v>
      </c>
      <c r="R118" s="538">
        <f>O118+P118+Q118</f>
        <v>53.4</v>
      </c>
      <c r="S118" s="608">
        <v>2</v>
      </c>
      <c r="T118" s="838"/>
      <c r="U118" s="836"/>
      <c r="V118" s="532" t="s">
        <v>131</v>
      </c>
      <c r="W118" s="608" t="s">
        <v>22</v>
      </c>
      <c r="X118" s="608" t="s">
        <v>11</v>
      </c>
      <c r="Y118" s="533">
        <v>21.7</v>
      </c>
      <c r="Z118" s="608" t="s">
        <v>496</v>
      </c>
      <c r="AA118" s="608" t="s">
        <v>20</v>
      </c>
      <c r="AB118" s="608" t="s">
        <v>12</v>
      </c>
      <c r="AC118" s="608">
        <v>21.7</v>
      </c>
      <c r="AD118" s="532" t="s">
        <v>1263</v>
      </c>
      <c r="AE118" s="608" t="s">
        <v>1249</v>
      </c>
      <c r="AF118" s="608" t="s">
        <v>12</v>
      </c>
      <c r="AG118" s="533">
        <v>10</v>
      </c>
      <c r="AL118" s="532"/>
      <c r="AO118" s="533"/>
      <c r="AP118" s="532"/>
      <c r="AS118" s="533"/>
      <c r="AW118" s="533"/>
      <c r="BA118" s="534"/>
    </row>
    <row r="119" spans="1:53" s="608" customFormat="1">
      <c r="A119" s="608">
        <v>2015</v>
      </c>
      <c r="B119" s="836"/>
      <c r="C119" s="916" t="s">
        <v>1248</v>
      </c>
      <c r="D119" s="916"/>
      <c r="E119" s="608">
        <v>365</v>
      </c>
      <c r="G119" s="539">
        <v>7</v>
      </c>
      <c r="I119" s="608">
        <v>11</v>
      </c>
      <c r="J119" s="541">
        <v>18</v>
      </c>
      <c r="K119" s="537">
        <f t="shared" si="7"/>
        <v>38.888888888888893</v>
      </c>
      <c r="L119" s="537">
        <f t="shared" si="8"/>
        <v>0</v>
      </c>
      <c r="M119" s="537">
        <f t="shared" si="9"/>
        <v>61.111111111111114</v>
      </c>
      <c r="N119" s="540">
        <f t="shared" si="10"/>
        <v>100</v>
      </c>
      <c r="O119" s="536">
        <v>21.7</v>
      </c>
      <c r="P119" s="537"/>
      <c r="Q119" s="537">
        <v>31.7</v>
      </c>
      <c r="R119" s="538">
        <f t="shared" ref="R119" si="11">O119+P119+Q119</f>
        <v>53.4</v>
      </c>
      <c r="S119" s="608">
        <v>2</v>
      </c>
      <c r="T119" s="838"/>
      <c r="U119" s="836"/>
      <c r="V119" s="532" t="s">
        <v>131</v>
      </c>
      <c r="W119" s="608" t="s">
        <v>22</v>
      </c>
      <c r="X119" s="608" t="s">
        <v>11</v>
      </c>
      <c r="Y119" s="533">
        <v>21.7</v>
      </c>
      <c r="Z119" s="608" t="s">
        <v>496</v>
      </c>
      <c r="AA119" s="608" t="s">
        <v>20</v>
      </c>
      <c r="AB119" s="608" t="s">
        <v>12</v>
      </c>
      <c r="AC119" s="608">
        <v>21.7</v>
      </c>
      <c r="AD119" s="532" t="s">
        <v>1263</v>
      </c>
      <c r="AE119" s="608" t="s">
        <v>1249</v>
      </c>
      <c r="AF119" s="608" t="s">
        <v>12</v>
      </c>
      <c r="AG119" s="533">
        <v>10</v>
      </c>
      <c r="AL119" s="532"/>
      <c r="AO119" s="533"/>
      <c r="AP119" s="532"/>
      <c r="AS119" s="533"/>
      <c r="AW119" s="533"/>
      <c r="BA119" s="534"/>
    </row>
    <row r="120" spans="1:53" s="687" customFormat="1">
      <c r="A120" s="687">
        <v>2016</v>
      </c>
      <c r="B120" s="836"/>
      <c r="C120" s="916" t="s">
        <v>1248</v>
      </c>
      <c r="D120" s="916"/>
      <c r="E120" s="687">
        <v>0</v>
      </c>
      <c r="G120" s="539">
        <v>7</v>
      </c>
      <c r="I120" s="687">
        <v>11</v>
      </c>
      <c r="J120" s="541">
        <v>18</v>
      </c>
      <c r="K120" s="537">
        <f t="shared" ref="K120:K122" si="12">G120/$J120*100</f>
        <v>38.888888888888893</v>
      </c>
      <c r="L120" s="537">
        <f t="shared" ref="L120:L122" si="13">H120/$J120*100</f>
        <v>0</v>
      </c>
      <c r="M120" s="537">
        <f t="shared" ref="M120:M122" si="14">I120/$J120*100</f>
        <v>61.111111111111114</v>
      </c>
      <c r="N120" s="540">
        <f t="shared" ref="N120:N122" si="15">K120+L120+M120</f>
        <v>100</v>
      </c>
      <c r="O120" s="536">
        <v>21.7</v>
      </c>
      <c r="P120" s="537"/>
      <c r="Q120" s="537">
        <v>31.7</v>
      </c>
      <c r="R120" s="538">
        <f t="shared" ref="R120:R121" si="16">O120+P120+Q120</f>
        <v>53.4</v>
      </c>
      <c r="S120" s="687">
        <v>2</v>
      </c>
      <c r="T120" s="838"/>
      <c r="U120" s="836"/>
      <c r="V120" s="532" t="s">
        <v>131</v>
      </c>
      <c r="W120" s="687" t="s">
        <v>22</v>
      </c>
      <c r="X120" s="687" t="s">
        <v>11</v>
      </c>
      <c r="Y120" s="533">
        <v>21.7</v>
      </c>
      <c r="Z120" s="687" t="s">
        <v>496</v>
      </c>
      <c r="AA120" s="687" t="s">
        <v>20</v>
      </c>
      <c r="AB120" s="687" t="s">
        <v>12</v>
      </c>
      <c r="AC120" s="687">
        <v>21.7</v>
      </c>
      <c r="AD120" s="532" t="s">
        <v>1263</v>
      </c>
      <c r="AE120" s="687" t="s">
        <v>1249</v>
      </c>
      <c r="AF120" s="687" t="s">
        <v>12</v>
      </c>
      <c r="AG120" s="533">
        <v>10</v>
      </c>
      <c r="AL120" s="532"/>
      <c r="AO120" s="533"/>
      <c r="AP120" s="532"/>
      <c r="AS120" s="533"/>
      <c r="AW120" s="533"/>
      <c r="BA120" s="534"/>
    </row>
    <row r="121" spans="1:53" s="687" customFormat="1">
      <c r="A121" s="687">
        <v>2016</v>
      </c>
      <c r="B121" s="836"/>
      <c r="C121" s="916" t="s">
        <v>1248</v>
      </c>
      <c r="D121" s="916"/>
      <c r="E121" s="687">
        <v>366</v>
      </c>
      <c r="G121" s="539">
        <v>7</v>
      </c>
      <c r="I121" s="687">
        <v>11</v>
      </c>
      <c r="J121" s="541">
        <v>18</v>
      </c>
      <c r="K121" s="537">
        <f t="shared" si="12"/>
        <v>38.888888888888893</v>
      </c>
      <c r="L121" s="537">
        <f t="shared" si="13"/>
        <v>0</v>
      </c>
      <c r="M121" s="537">
        <f t="shared" si="14"/>
        <v>61.111111111111114</v>
      </c>
      <c r="N121" s="540">
        <f t="shared" si="15"/>
        <v>100</v>
      </c>
      <c r="O121" s="536">
        <v>21.7</v>
      </c>
      <c r="P121" s="537"/>
      <c r="Q121" s="537">
        <v>31.7</v>
      </c>
      <c r="R121" s="538">
        <f t="shared" si="16"/>
        <v>53.4</v>
      </c>
      <c r="S121" s="687">
        <v>2</v>
      </c>
      <c r="T121" s="838"/>
      <c r="U121" s="836"/>
      <c r="V121" s="532" t="s">
        <v>131</v>
      </c>
      <c r="W121" s="687" t="s">
        <v>22</v>
      </c>
      <c r="X121" s="687" t="s">
        <v>11</v>
      </c>
      <c r="Y121" s="533">
        <v>21.7</v>
      </c>
      <c r="Z121" s="687" t="s">
        <v>496</v>
      </c>
      <c r="AA121" s="687" t="s">
        <v>20</v>
      </c>
      <c r="AB121" s="687" t="s">
        <v>12</v>
      </c>
      <c r="AC121" s="687">
        <v>21.7</v>
      </c>
      <c r="AD121" s="532" t="s">
        <v>1263</v>
      </c>
      <c r="AE121" s="687" t="s">
        <v>1249</v>
      </c>
      <c r="AF121" s="687" t="s">
        <v>12</v>
      </c>
      <c r="AG121" s="533">
        <v>10</v>
      </c>
      <c r="AL121" s="532"/>
      <c r="AO121" s="533"/>
      <c r="AP121" s="532"/>
      <c r="AS121" s="533"/>
      <c r="AW121" s="533"/>
      <c r="BA121" s="534"/>
    </row>
    <row r="122" spans="1:53" s="726" customFormat="1">
      <c r="A122" s="726">
        <v>2017</v>
      </c>
      <c r="B122" s="836"/>
      <c r="C122" s="916" t="s">
        <v>1248</v>
      </c>
      <c r="D122" s="916"/>
      <c r="E122" s="726">
        <v>0</v>
      </c>
      <c r="G122" s="539">
        <v>7</v>
      </c>
      <c r="I122" s="726">
        <v>11</v>
      </c>
      <c r="J122" s="541">
        <v>18</v>
      </c>
      <c r="K122" s="537">
        <f t="shared" si="12"/>
        <v>38.888888888888893</v>
      </c>
      <c r="L122" s="537">
        <f t="shared" si="13"/>
        <v>0</v>
      </c>
      <c r="M122" s="537">
        <f t="shared" si="14"/>
        <v>61.111111111111114</v>
      </c>
      <c r="N122" s="540">
        <f t="shared" si="15"/>
        <v>100</v>
      </c>
      <c r="O122" s="536">
        <v>21.7</v>
      </c>
      <c r="P122" s="537"/>
      <c r="Q122" s="537">
        <v>31.7</v>
      </c>
      <c r="R122" s="538">
        <f t="shared" ref="R122:R123" si="17">O122+P122+Q122</f>
        <v>53.4</v>
      </c>
      <c r="S122" s="726">
        <v>2</v>
      </c>
      <c r="T122" s="838"/>
      <c r="U122" s="836"/>
      <c r="V122" s="532" t="s">
        <v>131</v>
      </c>
      <c r="W122" s="726" t="s">
        <v>22</v>
      </c>
      <c r="X122" s="726" t="s">
        <v>11</v>
      </c>
      <c r="Y122" s="533">
        <v>21.7</v>
      </c>
      <c r="Z122" s="726" t="s">
        <v>496</v>
      </c>
      <c r="AA122" s="726" t="s">
        <v>20</v>
      </c>
      <c r="AB122" s="726" t="s">
        <v>12</v>
      </c>
      <c r="AC122" s="726">
        <v>21.7</v>
      </c>
      <c r="AD122" s="532" t="s">
        <v>1263</v>
      </c>
      <c r="AE122" s="726" t="s">
        <v>1249</v>
      </c>
      <c r="AF122" s="726" t="s">
        <v>12</v>
      </c>
      <c r="AG122" s="533">
        <v>10</v>
      </c>
      <c r="AL122" s="532"/>
      <c r="AO122" s="533"/>
      <c r="AP122" s="532"/>
      <c r="AS122" s="533"/>
      <c r="AW122" s="533"/>
      <c r="BA122" s="534"/>
    </row>
    <row r="123" spans="1:53" s="726" customFormat="1">
      <c r="A123" s="726">
        <v>2017</v>
      </c>
      <c r="B123" s="836"/>
      <c r="C123" s="916" t="s">
        <v>1248</v>
      </c>
      <c r="D123" s="916"/>
      <c r="E123" s="726">
        <v>365</v>
      </c>
      <c r="G123" s="539">
        <v>7</v>
      </c>
      <c r="I123" s="726">
        <v>11</v>
      </c>
      <c r="J123" s="541">
        <v>18</v>
      </c>
      <c r="K123" s="537">
        <f t="shared" ref="K123" si="18">G123/$J123*100</f>
        <v>38.888888888888893</v>
      </c>
      <c r="L123" s="537">
        <f t="shared" ref="L123" si="19">H123/$J123*100</f>
        <v>0</v>
      </c>
      <c r="M123" s="537">
        <f t="shared" ref="M123" si="20">I123/$J123*100</f>
        <v>61.111111111111114</v>
      </c>
      <c r="N123" s="540">
        <f t="shared" ref="N123" si="21">K123+L123+M123</f>
        <v>100</v>
      </c>
      <c r="O123" s="536">
        <v>21.7</v>
      </c>
      <c r="P123" s="537"/>
      <c r="Q123" s="537">
        <v>31.7</v>
      </c>
      <c r="R123" s="538">
        <f t="shared" si="17"/>
        <v>53.4</v>
      </c>
      <c r="S123" s="726">
        <v>2</v>
      </c>
      <c r="T123" s="838"/>
      <c r="U123" s="836"/>
      <c r="V123" s="532" t="s">
        <v>131</v>
      </c>
      <c r="W123" s="726" t="s">
        <v>22</v>
      </c>
      <c r="X123" s="726" t="s">
        <v>11</v>
      </c>
      <c r="Y123" s="533">
        <v>21.7</v>
      </c>
      <c r="Z123" s="726" t="s">
        <v>496</v>
      </c>
      <c r="AA123" s="726" t="s">
        <v>20</v>
      </c>
      <c r="AB123" s="726" t="s">
        <v>12</v>
      </c>
      <c r="AC123" s="726">
        <v>21.7</v>
      </c>
      <c r="AD123" s="532" t="s">
        <v>1263</v>
      </c>
      <c r="AE123" s="726" t="s">
        <v>1249</v>
      </c>
      <c r="AF123" s="726" t="s">
        <v>12</v>
      </c>
      <c r="AG123" s="533">
        <v>10</v>
      </c>
      <c r="AL123" s="532"/>
      <c r="AO123" s="533"/>
      <c r="AP123" s="532"/>
      <c r="AS123" s="533"/>
      <c r="AW123" s="533"/>
      <c r="BA123" s="534"/>
    </row>
    <row r="124" spans="1:53" s="770" customFormat="1">
      <c r="A124" s="770">
        <v>2018</v>
      </c>
      <c r="B124" s="836"/>
      <c r="C124" s="916" t="s">
        <v>1248</v>
      </c>
      <c r="D124" s="916"/>
      <c r="E124" s="770">
        <v>338</v>
      </c>
      <c r="G124" s="539">
        <v>7</v>
      </c>
      <c r="I124" s="770">
        <v>11</v>
      </c>
      <c r="J124" s="541">
        <v>18</v>
      </c>
      <c r="K124" s="537">
        <f t="shared" ref="K124:K125" si="22">G124/$J124*100</f>
        <v>38.888888888888893</v>
      </c>
      <c r="L124" s="537">
        <f t="shared" ref="L124:L125" si="23">H124/$J124*100</f>
        <v>0</v>
      </c>
      <c r="M124" s="537">
        <f t="shared" ref="M124:M125" si="24">I124/$J124*100</f>
        <v>61.111111111111114</v>
      </c>
      <c r="N124" s="540">
        <f t="shared" ref="N124:N125" si="25">K124+L124+M124</f>
        <v>100</v>
      </c>
      <c r="O124" s="536">
        <v>21.7</v>
      </c>
      <c r="P124" s="537"/>
      <c r="Q124" s="537">
        <v>31.7</v>
      </c>
      <c r="R124" s="538">
        <f t="shared" ref="R124:R125" si="26">O124+P124+Q124</f>
        <v>53.4</v>
      </c>
      <c r="S124" s="770">
        <v>2</v>
      </c>
      <c r="T124" s="838"/>
      <c r="U124" s="836"/>
      <c r="V124" s="532" t="s">
        <v>131</v>
      </c>
      <c r="W124" s="770" t="s">
        <v>22</v>
      </c>
      <c r="X124" s="770" t="s">
        <v>11</v>
      </c>
      <c r="Y124" s="533">
        <v>21.7</v>
      </c>
      <c r="Z124" s="770" t="s">
        <v>496</v>
      </c>
      <c r="AA124" s="770" t="s">
        <v>20</v>
      </c>
      <c r="AB124" s="770" t="s">
        <v>12</v>
      </c>
      <c r="AC124" s="770">
        <v>21.7</v>
      </c>
      <c r="AD124" s="532" t="s">
        <v>1263</v>
      </c>
      <c r="AE124" s="770" t="s">
        <v>1249</v>
      </c>
      <c r="AF124" s="770" t="s">
        <v>12</v>
      </c>
      <c r="AG124" s="533">
        <v>10</v>
      </c>
      <c r="AL124" s="532"/>
      <c r="AO124" s="533"/>
      <c r="AP124" s="532"/>
      <c r="AS124" s="533"/>
      <c r="AW124" s="533"/>
      <c r="BA124" s="534"/>
    </row>
    <row r="125" spans="1:53" s="771" customFormat="1">
      <c r="A125" s="771">
        <v>2018</v>
      </c>
      <c r="B125" s="879">
        <v>43439</v>
      </c>
      <c r="C125" s="917" t="s">
        <v>1404</v>
      </c>
      <c r="D125" s="917"/>
      <c r="E125" s="771">
        <v>27</v>
      </c>
      <c r="F125" s="771">
        <v>1</v>
      </c>
      <c r="G125" s="498">
        <v>6</v>
      </c>
      <c r="I125" s="771">
        <v>11</v>
      </c>
      <c r="J125" s="500">
        <v>17</v>
      </c>
      <c r="K125" s="496">
        <f t="shared" si="22"/>
        <v>35.294117647058826</v>
      </c>
      <c r="L125" s="496">
        <f t="shared" si="23"/>
        <v>0</v>
      </c>
      <c r="M125" s="496">
        <f t="shared" si="24"/>
        <v>64.705882352941174</v>
      </c>
      <c r="N125" s="499">
        <f t="shared" si="25"/>
        <v>100</v>
      </c>
      <c r="O125" s="495">
        <v>20</v>
      </c>
      <c r="P125" s="496"/>
      <c r="Q125" s="496">
        <v>31.6</v>
      </c>
      <c r="R125" s="499">
        <f t="shared" si="26"/>
        <v>51.6</v>
      </c>
      <c r="S125" s="481">
        <v>2</v>
      </c>
      <c r="T125" s="839">
        <v>43387</v>
      </c>
      <c r="U125" s="852">
        <v>43439</v>
      </c>
      <c r="V125" s="492" t="s">
        <v>131</v>
      </c>
      <c r="W125" s="771" t="s">
        <v>22</v>
      </c>
      <c r="X125" s="771" t="s">
        <v>11</v>
      </c>
      <c r="Y125" s="493">
        <v>20</v>
      </c>
      <c r="Z125" s="771" t="s">
        <v>496</v>
      </c>
      <c r="AA125" s="771" t="s">
        <v>20</v>
      </c>
      <c r="AB125" s="771" t="s">
        <v>12</v>
      </c>
      <c r="AC125" s="771">
        <v>16.600000000000001</v>
      </c>
      <c r="AD125" s="492" t="s">
        <v>1263</v>
      </c>
      <c r="AE125" s="771" t="s">
        <v>1249</v>
      </c>
      <c r="AF125" s="771" t="s">
        <v>12</v>
      </c>
      <c r="AG125" s="493">
        <v>15</v>
      </c>
      <c r="AL125" s="492"/>
      <c r="AO125" s="493"/>
      <c r="AP125" s="492"/>
      <c r="AS125" s="493"/>
      <c r="AW125" s="493"/>
      <c r="BA125" s="494"/>
    </row>
    <row r="126" spans="1:53" s="799" customFormat="1">
      <c r="A126" s="799">
        <v>2019</v>
      </c>
      <c r="B126" s="879"/>
      <c r="C126" s="917" t="s">
        <v>1404</v>
      </c>
      <c r="D126" s="917"/>
      <c r="E126" s="799">
        <v>0</v>
      </c>
      <c r="G126" s="498">
        <v>6</v>
      </c>
      <c r="I126" s="799">
        <v>11</v>
      </c>
      <c r="J126" s="500">
        <v>17</v>
      </c>
      <c r="K126" s="496">
        <f t="shared" ref="K126:K127" si="27">G126/$J126*100</f>
        <v>35.294117647058826</v>
      </c>
      <c r="L126" s="496">
        <f t="shared" ref="L126:L127" si="28">H126/$J126*100</f>
        <v>0</v>
      </c>
      <c r="M126" s="496">
        <f t="shared" ref="M126:M127" si="29">I126/$J126*100</f>
        <v>64.705882352941174</v>
      </c>
      <c r="N126" s="499">
        <f t="shared" ref="N126:N127" si="30">K126+L126+M126</f>
        <v>100</v>
      </c>
      <c r="O126" s="495">
        <v>20</v>
      </c>
      <c r="P126" s="496"/>
      <c r="Q126" s="496">
        <v>31.6</v>
      </c>
      <c r="R126" s="499">
        <f t="shared" ref="R126:R127" si="31">O126+P126+Q126</f>
        <v>51.6</v>
      </c>
      <c r="S126" s="481">
        <v>2</v>
      </c>
      <c r="T126" s="839"/>
      <c r="U126" s="852"/>
      <c r="V126" s="492" t="s">
        <v>131</v>
      </c>
      <c r="W126" s="799" t="s">
        <v>22</v>
      </c>
      <c r="X126" s="799" t="s">
        <v>11</v>
      </c>
      <c r="Y126" s="493">
        <v>20</v>
      </c>
      <c r="Z126" s="799" t="s">
        <v>496</v>
      </c>
      <c r="AA126" s="799" t="s">
        <v>20</v>
      </c>
      <c r="AB126" s="799" t="s">
        <v>12</v>
      </c>
      <c r="AC126" s="799">
        <v>16.600000000000001</v>
      </c>
      <c r="AD126" s="492" t="s">
        <v>1263</v>
      </c>
      <c r="AE126" s="799" t="s">
        <v>1249</v>
      </c>
      <c r="AF126" s="799" t="s">
        <v>12</v>
      </c>
      <c r="AG126" s="493">
        <v>15</v>
      </c>
    </row>
    <row r="127" spans="1:53" s="799" customFormat="1">
      <c r="A127" s="799">
        <v>2019</v>
      </c>
      <c r="B127" s="879"/>
      <c r="C127" s="917" t="s">
        <v>1404</v>
      </c>
      <c r="D127" s="917"/>
      <c r="E127" s="799">
        <v>365</v>
      </c>
      <c r="G127" s="498">
        <v>6</v>
      </c>
      <c r="I127" s="799">
        <v>11</v>
      </c>
      <c r="J127" s="500">
        <v>17</v>
      </c>
      <c r="K127" s="496">
        <f t="shared" si="27"/>
        <v>35.294117647058826</v>
      </c>
      <c r="L127" s="496">
        <f t="shared" si="28"/>
        <v>0</v>
      </c>
      <c r="M127" s="496">
        <f t="shared" si="29"/>
        <v>64.705882352941174</v>
      </c>
      <c r="N127" s="499">
        <f t="shared" si="30"/>
        <v>100</v>
      </c>
      <c r="O127" s="495">
        <v>20</v>
      </c>
      <c r="P127" s="496"/>
      <c r="Q127" s="496">
        <v>31.6</v>
      </c>
      <c r="R127" s="499">
        <f t="shared" si="31"/>
        <v>51.6</v>
      </c>
      <c r="S127" s="481">
        <v>2</v>
      </c>
      <c r="T127" s="839"/>
      <c r="U127" s="852"/>
      <c r="V127" s="492" t="s">
        <v>131</v>
      </c>
      <c r="W127" s="799" t="s">
        <v>22</v>
      </c>
      <c r="X127" s="799" t="s">
        <v>11</v>
      </c>
      <c r="Y127" s="493">
        <v>20</v>
      </c>
      <c r="Z127" s="799" t="s">
        <v>496</v>
      </c>
      <c r="AA127" s="799" t="s">
        <v>20</v>
      </c>
      <c r="AB127" s="799" t="s">
        <v>12</v>
      </c>
      <c r="AC127" s="799">
        <v>16.600000000000001</v>
      </c>
      <c r="AD127" s="492" t="s">
        <v>1263</v>
      </c>
      <c r="AE127" s="799" t="s">
        <v>1249</v>
      </c>
      <c r="AF127" s="799" t="s">
        <v>12</v>
      </c>
      <c r="AG127" s="493">
        <v>15</v>
      </c>
    </row>
    <row r="129" spans="1:30" s="2" customFormat="1" ht="18" customHeight="1">
      <c r="B129" s="22" t="s">
        <v>1269</v>
      </c>
      <c r="H129" s="6"/>
    </row>
    <row r="130" spans="1:30" s="2" customFormat="1" ht="9" customHeight="1">
      <c r="H130" s="6"/>
    </row>
    <row r="131" spans="1:30" s="317" customFormat="1" ht="9" customHeight="1">
      <c r="A131" s="315"/>
      <c r="B131" s="316" t="s">
        <v>1220</v>
      </c>
      <c r="C131" s="316"/>
      <c r="D131" s="316"/>
      <c r="E131" s="316"/>
      <c r="F131" s="316"/>
      <c r="G131" s="316" t="s">
        <v>1221</v>
      </c>
      <c r="H131" s="316"/>
      <c r="I131" s="316"/>
      <c r="J131" s="316"/>
      <c r="K131" s="316"/>
      <c r="L131" s="316"/>
      <c r="M131" s="316"/>
      <c r="N131" s="316"/>
      <c r="R131" s="895" t="s">
        <v>1222</v>
      </c>
      <c r="S131" s="895"/>
      <c r="T131" s="895"/>
      <c r="U131" s="895"/>
      <c r="V131" s="895"/>
      <c r="W131" s="895"/>
      <c r="X131" s="318"/>
      <c r="Y131" s="318"/>
      <c r="AA131" s="318"/>
      <c r="AB131" s="318"/>
      <c r="AC131" s="318"/>
      <c r="AD131" s="318"/>
    </row>
    <row r="132" spans="1:30" s="322" customFormat="1" ht="9" customHeight="1">
      <c r="A132" s="319"/>
      <c r="B132" s="320" t="s">
        <v>1224</v>
      </c>
      <c r="C132" s="321"/>
      <c r="D132" s="321"/>
      <c r="E132" s="321"/>
      <c r="F132" s="321"/>
      <c r="G132" s="320" t="s">
        <v>1223</v>
      </c>
      <c r="H132" s="321"/>
      <c r="I132" s="321"/>
      <c r="J132" s="321"/>
      <c r="K132" s="321"/>
      <c r="L132" s="321"/>
      <c r="M132" s="321"/>
      <c r="N132" s="321"/>
      <c r="R132" s="323" t="s">
        <v>1225</v>
      </c>
      <c r="S132" s="324"/>
      <c r="T132" s="325"/>
      <c r="U132" s="325"/>
      <c r="V132" s="325"/>
      <c r="W132" s="323" t="s">
        <v>1226</v>
      </c>
      <c r="X132" s="325"/>
      <c r="Y132" s="325"/>
      <c r="AA132" s="325"/>
      <c r="AB132" s="325"/>
      <c r="AC132" s="325"/>
      <c r="AD132" s="325"/>
    </row>
    <row r="133" spans="1:30" s="307" customFormat="1" ht="12" customHeight="1">
      <c r="A133" s="326" t="s">
        <v>3</v>
      </c>
      <c r="B133" s="327" t="s">
        <v>8</v>
      </c>
      <c r="C133" s="327" t="s">
        <v>9</v>
      </c>
      <c r="D133" s="327" t="s">
        <v>10</v>
      </c>
      <c r="E133" s="328" t="s">
        <v>1200</v>
      </c>
      <c r="F133" s="327"/>
      <c r="G133" s="307" t="s">
        <v>3</v>
      </c>
      <c r="H133" s="896" t="s">
        <v>0</v>
      </c>
      <c r="I133" s="896"/>
      <c r="J133" s="896" t="s">
        <v>1</v>
      </c>
      <c r="K133" s="896"/>
      <c r="L133" s="896" t="s">
        <v>2</v>
      </c>
      <c r="M133" s="896"/>
      <c r="N133" s="897" t="s">
        <v>1200</v>
      </c>
      <c r="O133" s="897"/>
      <c r="P133" s="329"/>
      <c r="Q133" s="329"/>
      <c r="R133" s="330" t="s">
        <v>3</v>
      </c>
      <c r="S133" s="331" t="s">
        <v>136</v>
      </c>
      <c r="T133" s="329" t="s">
        <v>134</v>
      </c>
      <c r="U133" s="327" t="s">
        <v>135</v>
      </c>
      <c r="V133" s="329"/>
      <c r="W133" s="332" t="s">
        <v>26</v>
      </c>
    </row>
    <row r="134" spans="1:30" s="243" customFormat="1">
      <c r="A134" s="243">
        <v>1959</v>
      </c>
      <c r="B134" s="230">
        <f>(K6*($E6/365)) + (K7*($E7/365))</f>
        <v>36.399217221135025</v>
      </c>
      <c r="C134" s="230">
        <f>(L6*($E6/365)) + (L7*($E7/365))</f>
        <v>56.066536203522496</v>
      </c>
      <c r="D134" s="230">
        <f>(M6*($E6/365)) + (M7*($E7/365))</f>
        <v>7.5342465753424657</v>
      </c>
      <c r="E134" s="231">
        <f>B134+C134+D134</f>
        <v>99.999999999999986</v>
      </c>
      <c r="G134" s="243">
        <v>1959</v>
      </c>
      <c r="H134" s="927">
        <f>(O6/$R6*100*($E6/365))+(O7/$R7*100*($E7/365))</f>
        <v>29.229674435153889</v>
      </c>
      <c r="I134" s="927"/>
      <c r="J134" s="927">
        <f>(P6/$R6*100*($E6/365))+(P7/$R7*100*($E7/365))</f>
        <v>65.924690725344988</v>
      </c>
      <c r="K134" s="927"/>
      <c r="L134" s="927">
        <f>(Q6/$R6*100*($E6/365))+(Q7/$R7*100*($E7/365))</f>
        <v>4.8456348395011242</v>
      </c>
      <c r="M134" s="927"/>
      <c r="N134" s="926">
        <f>H134+J134+L134</f>
        <v>100.00000000000001</v>
      </c>
      <c r="O134" s="926"/>
      <c r="R134" s="243">
        <v>1959</v>
      </c>
      <c r="S134" s="230">
        <f>(O6*($E6/365)) + (O7*($E7/365))</f>
        <v>18.005479452054793</v>
      </c>
      <c r="T134" s="230">
        <f>(P6*($E6/365)) + (P7*($E7/365))</f>
        <v>41.846575342465748</v>
      </c>
      <c r="U134" s="230">
        <f>(Q6*($E6/365)) + (Q7*($E7/365))</f>
        <v>3.5712328767123283</v>
      </c>
      <c r="V134" s="244"/>
      <c r="W134" s="244">
        <f>S134+T134+U134</f>
        <v>63.42328767123287</v>
      </c>
    </row>
    <row r="135" spans="1:30">
      <c r="A135" s="1">
        <v>1960</v>
      </c>
      <c r="B135" s="8">
        <f>(K8*($E8/366))+(K9*($E9/366))</f>
        <v>42.857142857142854</v>
      </c>
      <c r="C135" s="8">
        <f>(L8*($E8/366))+(L9*($E9/366))</f>
        <v>57.142857142857139</v>
      </c>
      <c r="D135" s="8">
        <f>(M8*($E8/366))+(M9*($E9/366))</f>
        <v>0</v>
      </c>
      <c r="E135" s="48">
        <f>B135+C135+D135</f>
        <v>100</v>
      </c>
      <c r="G135" s="1">
        <v>1960</v>
      </c>
      <c r="H135" s="918">
        <f>(O8/$R8*100*($E8/366))+(O9/$R9*100*($E9/366))</f>
        <v>34.415584415584419</v>
      </c>
      <c r="I135" s="918"/>
      <c r="J135" s="918">
        <f>(P8/$R8*100*($E8/366))+(P9/$R9*100*($E9/366))</f>
        <v>65.584415584415595</v>
      </c>
      <c r="K135" s="918"/>
      <c r="L135" s="918">
        <f>(Q8/$R8*100*($E8/366))+(Q9/$R9*100*($E9/366))</f>
        <v>0</v>
      </c>
      <c r="M135" s="918"/>
      <c r="N135" s="919">
        <f>H135+J135+L135</f>
        <v>100.00000000000001</v>
      </c>
      <c r="O135" s="919"/>
      <c r="R135" s="1">
        <v>1960</v>
      </c>
      <c r="S135" s="8">
        <f>(O8*($E8/366))+(O9*($E9/366))</f>
        <v>21.2</v>
      </c>
      <c r="T135" s="8">
        <f>(P8*($E8/366))+(P9*($E9/366))</f>
        <v>40.4</v>
      </c>
      <c r="U135" s="8">
        <f>(Q8*($E8/366))+(Q9*($E9/366))</f>
        <v>0</v>
      </c>
      <c r="V135" s="7"/>
      <c r="W135" s="7">
        <f>S135+T135+U135</f>
        <v>61.599999999999994</v>
      </c>
    </row>
    <row r="136" spans="1:30">
      <c r="A136" s="1">
        <v>1961</v>
      </c>
      <c r="B136" s="8">
        <f>(K10*($E10/365))+(K11*($E11/365))</f>
        <v>42.857142857142854</v>
      </c>
      <c r="C136" s="8">
        <f>(L10*($E10/365))+(L11*($E11/365))</f>
        <v>57.142857142857139</v>
      </c>
      <c r="D136" s="8">
        <f>(M10*($E10/365))+(M11*($E11/365))</f>
        <v>0</v>
      </c>
      <c r="E136" s="48">
        <f t="shared" ref="E136:E188" si="32">B136+C136+D136</f>
        <v>100</v>
      </c>
      <c r="G136" s="1">
        <v>1961</v>
      </c>
      <c r="H136" s="918">
        <f>(O10/$R10*100*($E10/365))+(O11/$R11*100*($E11/365))</f>
        <v>34.415584415584419</v>
      </c>
      <c r="I136" s="918"/>
      <c r="J136" s="918">
        <f>(P10/$R10*100*($E10/365))+(P11/$R11*100*($E11/365))</f>
        <v>65.584415584415595</v>
      </c>
      <c r="K136" s="918"/>
      <c r="L136" s="918">
        <f>(Q10/$R10*100*($E10/365))+(Q11/$R11*100*($E11/365))</f>
        <v>0</v>
      </c>
      <c r="M136" s="918"/>
      <c r="N136" s="887">
        <f t="shared" ref="N136:N187" si="33">H136+J136+L136</f>
        <v>100.00000000000001</v>
      </c>
      <c r="O136" s="887"/>
      <c r="R136" s="1">
        <v>1961</v>
      </c>
      <c r="S136" s="8">
        <f>(O10*($E10/365))+(O11*($E11/365))</f>
        <v>21.2</v>
      </c>
      <c r="T136" s="8">
        <f>(P10*($E10/365))+(P11*($E11/365))</f>
        <v>40.4</v>
      </c>
      <c r="U136" s="8">
        <f>(Q10*($E10/365))+(Q11*($E11/365))</f>
        <v>0</v>
      </c>
      <c r="V136" s="7"/>
      <c r="W136" s="7">
        <f t="shared" ref="W136:W188" si="34">S136+T136+U136</f>
        <v>61.599999999999994</v>
      </c>
    </row>
    <row r="137" spans="1:30">
      <c r="A137" s="1">
        <v>1962</v>
      </c>
      <c r="B137" s="8">
        <f>(K12*($E12/365))+(K13*($E13/365))</f>
        <v>42.857142857142854</v>
      </c>
      <c r="C137" s="8">
        <f>(L12*($E12/365))+(L13*($E13/365))</f>
        <v>57.142857142857139</v>
      </c>
      <c r="D137" s="8">
        <f>(M12*($E12/365))+(M13*($E13/365))</f>
        <v>0</v>
      </c>
      <c r="E137" s="48">
        <f t="shared" si="32"/>
        <v>100</v>
      </c>
      <c r="G137" s="1">
        <v>1962</v>
      </c>
      <c r="H137" s="918">
        <f>(O12/$R12*100*($E12/365))+(O13/$R13*100*($E13/365))</f>
        <v>34.415584415584419</v>
      </c>
      <c r="I137" s="918"/>
      <c r="J137" s="918">
        <f>(P12/$R12*100*($E12/365))+(P13/$R13*100*($E13/365))</f>
        <v>65.584415584415595</v>
      </c>
      <c r="K137" s="918"/>
      <c r="L137" s="918">
        <f>(Q12/$R12*100*($E12/365))+(Q13/$R13*100*($E13/365))</f>
        <v>0</v>
      </c>
      <c r="M137" s="918"/>
      <c r="N137" s="887">
        <f t="shared" si="33"/>
        <v>100.00000000000001</v>
      </c>
      <c r="O137" s="887"/>
      <c r="R137" s="1">
        <v>1962</v>
      </c>
      <c r="S137" s="8">
        <f>(O12*($E12/365))+(O13*($E13/365))</f>
        <v>21.2</v>
      </c>
      <c r="T137" s="8">
        <f>(P12*($E12/365))+(P13*($E13/365))</f>
        <v>40.4</v>
      </c>
      <c r="U137" s="8">
        <f>(Q12*($E12/365))+(Q13*($E13/365))</f>
        <v>0</v>
      </c>
      <c r="V137" s="7"/>
      <c r="W137" s="7">
        <f t="shared" si="34"/>
        <v>61.599999999999994</v>
      </c>
    </row>
    <row r="138" spans="1:30">
      <c r="A138" s="1">
        <v>1963</v>
      </c>
      <c r="B138" s="8">
        <f>(K14*($E14/365))+(K15*($E15/365))</f>
        <v>42.857142857142854</v>
      </c>
      <c r="C138" s="8">
        <f>(L14*($E14/365))+(L15*($E15/365))</f>
        <v>57.142857142857139</v>
      </c>
      <c r="D138" s="8">
        <f>(M14*($E14/365))+(M15*($E15/365))</f>
        <v>0</v>
      </c>
      <c r="E138" s="48">
        <f t="shared" si="32"/>
        <v>100</v>
      </c>
      <c r="G138" s="1">
        <v>1963</v>
      </c>
      <c r="H138" s="918">
        <f>(O14/$R14*100*($E14/365))+(O15/$R15*100*($E15/365))</f>
        <v>34.415584415584419</v>
      </c>
      <c r="I138" s="918"/>
      <c r="J138" s="918">
        <f>(P14/$R14*100*($E14/365))+(P15/$R15*100*($E15/365))</f>
        <v>65.584415584415595</v>
      </c>
      <c r="K138" s="918"/>
      <c r="L138" s="918">
        <f>(Q14/$R14*100*($E14/365))+(Q15/$R15*100*($E15/365))</f>
        <v>0</v>
      </c>
      <c r="M138" s="918"/>
      <c r="N138" s="887">
        <f t="shared" si="33"/>
        <v>100.00000000000001</v>
      </c>
      <c r="O138" s="887"/>
      <c r="R138" s="1">
        <v>1963</v>
      </c>
      <c r="S138" s="8">
        <f>(O14*($E14/365))+(O15*($E15/365))</f>
        <v>21.2</v>
      </c>
      <c r="T138" s="8">
        <f>(P14*($E14/365))+(P15*($E15/365))</f>
        <v>40.4</v>
      </c>
      <c r="U138" s="8">
        <f>(Q14*($E14/365))+(Q15*($E15/365))</f>
        <v>0</v>
      </c>
      <c r="V138" s="7"/>
      <c r="W138" s="7">
        <f t="shared" si="34"/>
        <v>61.599999999999994</v>
      </c>
    </row>
    <row r="139" spans="1:30">
      <c r="A139" s="1">
        <v>1964</v>
      </c>
      <c r="B139" s="8">
        <f>(K16*($E16/366))+(K17*($E17/366))</f>
        <v>23.302107728337237</v>
      </c>
      <c r="C139" s="8">
        <f>(L16*($E16/366))+(L17*($E17/366))</f>
        <v>53.883684621389541</v>
      </c>
      <c r="D139" s="8">
        <f>(M16*($E16/366))+(M17*($E17/366))</f>
        <v>22.814207650273225</v>
      </c>
      <c r="E139" s="48">
        <f t="shared" si="32"/>
        <v>100</v>
      </c>
      <c r="G139" s="1">
        <v>1964</v>
      </c>
      <c r="H139" s="918">
        <f>(O16/$R16*100*($E16/366))+(O17/$R17*100*($E17/366))</f>
        <v>18.712298630331421</v>
      </c>
      <c r="I139" s="918"/>
      <c r="J139" s="918">
        <f>(P16/$R16*100*($E16/366))+(P17/$R17*100*($E17/366))</f>
        <v>59.008201711198652</v>
      </c>
      <c r="K139" s="918"/>
      <c r="L139" s="918">
        <f>(Q16/$R16*100*($E16/366))+(Q17/$R17*100*($E17/366))</f>
        <v>22.279499658469945</v>
      </c>
      <c r="M139" s="918"/>
      <c r="N139" s="887">
        <f t="shared" si="33"/>
        <v>100.00000000000001</v>
      </c>
      <c r="O139" s="887"/>
      <c r="R139" s="1">
        <v>1964</v>
      </c>
      <c r="S139" s="8">
        <f>(O16*($E16/366))+(O17*($E17/366))</f>
        <v>11.526775956284153</v>
      </c>
      <c r="T139" s="8">
        <f>(P16*($E16/366))+(P17*($E17/366))</f>
        <v>39.898087431693988</v>
      </c>
      <c r="U139" s="8">
        <f>(Q16*($E16/366))+(Q17*($E17/366))</f>
        <v>17.110655737704917</v>
      </c>
      <c r="V139" s="7"/>
      <c r="W139" s="7">
        <f t="shared" si="34"/>
        <v>68.535519125683066</v>
      </c>
    </row>
    <row r="140" spans="1:30">
      <c r="A140" s="1">
        <v>1965</v>
      </c>
      <c r="B140" s="8">
        <f>(K18*($E18/365))+(K19*($E19/365))</f>
        <v>0</v>
      </c>
      <c r="C140" s="8">
        <f>(L18*($E18/365))+(L19*($E19/365))</f>
        <v>50</v>
      </c>
      <c r="D140" s="8">
        <f>(M18*($E18/365))+(M19*($E19/365))</f>
        <v>50</v>
      </c>
      <c r="E140" s="48">
        <f t="shared" si="32"/>
        <v>100</v>
      </c>
      <c r="G140" s="1">
        <v>1965</v>
      </c>
      <c r="H140" s="918">
        <f>(O18/$R18*100*($E18/365))+(O19/$R19*100*($E19/365))</f>
        <v>0</v>
      </c>
      <c r="I140" s="918"/>
      <c r="J140" s="918">
        <f>(P18/$R18*100*($E18/365))+(P19/$R19*100*($E19/365))</f>
        <v>51.171875</v>
      </c>
      <c r="K140" s="918"/>
      <c r="L140" s="918">
        <f>(Q18/$R18*100*($E18/365))+(Q19/$R19*100*($E19/365))</f>
        <v>48.828125</v>
      </c>
      <c r="M140" s="918"/>
      <c r="N140" s="887">
        <f t="shared" si="33"/>
        <v>100</v>
      </c>
      <c r="O140" s="887"/>
      <c r="R140" s="1">
        <v>1965</v>
      </c>
      <c r="S140" s="8">
        <f>(O18*($E18/365))+(O19*($E19/365))</f>
        <v>0</v>
      </c>
      <c r="T140" s="8">
        <f>(P18*($E18/365))+(P19*($E19/365))</f>
        <v>39.299999999999997</v>
      </c>
      <c r="U140" s="8">
        <f>(Q18*($E18/365))+(Q19*($E19/365))</f>
        <v>37.5</v>
      </c>
      <c r="V140" s="7"/>
      <c r="W140" s="7">
        <f t="shared" si="34"/>
        <v>76.8</v>
      </c>
    </row>
    <row r="141" spans="1:30">
      <c r="A141" s="1">
        <v>1966</v>
      </c>
      <c r="B141" s="8">
        <f>(K20*($E20/365))+(K21*($E21/365))</f>
        <v>0</v>
      </c>
      <c r="C141" s="8">
        <f>(L20*($E20/365))+(L21*($E21/365))</f>
        <v>50</v>
      </c>
      <c r="D141" s="8">
        <f>(M20*($E20/365))+(M21*($E21/365))</f>
        <v>50</v>
      </c>
      <c r="E141" s="48">
        <f t="shared" si="32"/>
        <v>100</v>
      </c>
      <c r="G141" s="1">
        <v>1966</v>
      </c>
      <c r="H141" s="918">
        <f>(O20/$R20*100*($E20/365))+(O21/$R21*100*($E21/365))</f>
        <v>0</v>
      </c>
      <c r="I141" s="918"/>
      <c r="J141" s="918">
        <f>(P20/$R20*100*($E20/365))+(P21/$R21*100*($E21/365))</f>
        <v>51.171875</v>
      </c>
      <c r="K141" s="918"/>
      <c r="L141" s="918">
        <f>(Q20/$R20*100*($E20/365))+(Q21/$R21*100*($E21/365))</f>
        <v>48.828125</v>
      </c>
      <c r="M141" s="918"/>
      <c r="N141" s="887">
        <f t="shared" si="33"/>
        <v>100</v>
      </c>
      <c r="O141" s="887"/>
      <c r="R141" s="1">
        <v>1966</v>
      </c>
      <c r="S141" s="8">
        <f>(O20*($E20/365))+(O21*($E21/365))</f>
        <v>0</v>
      </c>
      <c r="T141" s="8">
        <f>(P20*($E20/365))+(P21*($E21/365))</f>
        <v>39.299999999999997</v>
      </c>
      <c r="U141" s="8">
        <f>(Q20*($E20/365))+(Q21*($E21/365))</f>
        <v>37.5</v>
      </c>
      <c r="V141" s="7"/>
      <c r="W141" s="7">
        <f t="shared" si="34"/>
        <v>76.8</v>
      </c>
    </row>
    <row r="142" spans="1:30">
      <c r="A142" s="1">
        <v>1967</v>
      </c>
      <c r="B142" s="8">
        <f>(K22*($E22/365))+(K23*($E23/365))</f>
        <v>0</v>
      </c>
      <c r="C142" s="8">
        <f>(L22*($E22/365))+(L23*($E23/365))</f>
        <v>50.000000000000007</v>
      </c>
      <c r="D142" s="8">
        <f>(M22*($E22/365))+(M23*($E23/365))</f>
        <v>50.000000000000007</v>
      </c>
      <c r="E142" s="48">
        <f t="shared" si="32"/>
        <v>100.00000000000001</v>
      </c>
      <c r="G142" s="1">
        <v>1967</v>
      </c>
      <c r="H142" s="918">
        <f>(O22/$R22*100*($E22/365))+(O23/$R23*100*($E23/365))</f>
        <v>0</v>
      </c>
      <c r="I142" s="918"/>
      <c r="J142" s="918">
        <f>(P22/$R22*100*($E22/365))+(P23/$R23*100*($E23/365))</f>
        <v>51.171875</v>
      </c>
      <c r="K142" s="918"/>
      <c r="L142" s="918">
        <f>(Q22/$R22*100*($E22/365))+(Q23/$R23*100*($E23/365))</f>
        <v>48.828125</v>
      </c>
      <c r="M142" s="918"/>
      <c r="N142" s="887">
        <f t="shared" si="33"/>
        <v>100</v>
      </c>
      <c r="O142" s="887"/>
      <c r="R142" s="1">
        <v>1967</v>
      </c>
      <c r="S142" s="8">
        <f>(O22*($E22/365))+(O23*($E23/365))</f>
        <v>0</v>
      </c>
      <c r="T142" s="8">
        <f>(P22*($E22/365))+(P23*($E23/365))</f>
        <v>39.299999999999997</v>
      </c>
      <c r="U142" s="8">
        <f>(Q22*($E22/365))+(Q23*($E23/365))</f>
        <v>37.5</v>
      </c>
      <c r="V142" s="7"/>
      <c r="W142" s="7">
        <f t="shared" si="34"/>
        <v>76.8</v>
      </c>
    </row>
    <row r="143" spans="1:30">
      <c r="A143" s="1">
        <v>1968</v>
      </c>
      <c r="B143" s="8">
        <f>(K24*($E24/366))+(K25*($E25/366))</f>
        <v>0</v>
      </c>
      <c r="C143" s="8">
        <f>(L24*($E24/366))+(L25*($E25/366))</f>
        <v>50</v>
      </c>
      <c r="D143" s="8">
        <f>(M24*($E24/366))+(M25*($E25/366))</f>
        <v>50</v>
      </c>
      <c r="E143" s="48">
        <f t="shared" si="32"/>
        <v>100</v>
      </c>
      <c r="G143" s="1">
        <v>1968</v>
      </c>
      <c r="H143" s="918">
        <f>(O24/$R24*100*($E24/366))+(O25/$R25*100*($E25/366))</f>
        <v>0</v>
      </c>
      <c r="I143" s="918"/>
      <c r="J143" s="918">
        <f>(P24/$R24*100*($E24/366))+(P25/$R25*100*($E25/366))</f>
        <v>51.171875</v>
      </c>
      <c r="K143" s="918"/>
      <c r="L143" s="918">
        <f>(Q24/$R24*100*($E24/366))+(Q25/$R25*100*($E25/366))</f>
        <v>48.828125</v>
      </c>
      <c r="M143" s="918"/>
      <c r="N143" s="887">
        <f t="shared" si="33"/>
        <v>100</v>
      </c>
      <c r="O143" s="887"/>
      <c r="R143" s="1">
        <v>1968</v>
      </c>
      <c r="S143" s="8">
        <f>(O24*($E24/366))+(O25*($E25/366))</f>
        <v>0</v>
      </c>
      <c r="T143" s="8">
        <f>(P24*($E24/366))+(P25*($E25/366))</f>
        <v>39.299999999999997</v>
      </c>
      <c r="U143" s="8">
        <f>(Q24*($E24/366))+(Q25*($E25/366))</f>
        <v>37.5</v>
      </c>
      <c r="V143" s="7"/>
      <c r="W143" s="7">
        <f t="shared" si="34"/>
        <v>76.8</v>
      </c>
    </row>
    <row r="144" spans="1:30">
      <c r="A144" s="1">
        <v>1969</v>
      </c>
      <c r="B144" s="8">
        <f>(K26*($E26/365))+(K27*($E27/365))</f>
        <v>39.334637964774949</v>
      </c>
      <c r="C144" s="8">
        <f>(L26*($E26/365))+(L27*($E27/365))</f>
        <v>56.55577299412915</v>
      </c>
      <c r="D144" s="8">
        <f>(M26*($E26/365))+(M27*($E27/365))</f>
        <v>4.10958904109589</v>
      </c>
      <c r="E144" s="48">
        <f t="shared" si="32"/>
        <v>99.999999999999986</v>
      </c>
      <c r="G144" s="1">
        <v>1969</v>
      </c>
      <c r="H144" s="918">
        <f>(O26/$R26*100*($E26/365))+(O27/$R27*100*($E27/365))</f>
        <v>31.504450255499851</v>
      </c>
      <c r="I144" s="918"/>
      <c r="J144" s="918">
        <f>(P26/$R26*100*($E26/365))+(P27/$R27*100*($E27/365))</f>
        <v>64.482279196554941</v>
      </c>
      <c r="K144" s="918"/>
      <c r="L144" s="918">
        <f>(Q26/$R26*100*($E26/365))+(Q27/$R27*100*($E27/365))</f>
        <v>4.0132705479452051</v>
      </c>
      <c r="M144" s="918"/>
      <c r="N144" s="887">
        <f t="shared" si="33"/>
        <v>100</v>
      </c>
      <c r="O144" s="887"/>
      <c r="R144" s="1">
        <v>1969</v>
      </c>
      <c r="S144" s="8">
        <f>(O26*($E26/365))+(O27*($E27/365))</f>
        <v>17.989041095890414</v>
      </c>
      <c r="T144" s="8">
        <f>(P26*($E26/365))+(P27*($E27/365))</f>
        <v>37.647945205479452</v>
      </c>
      <c r="U144" s="8">
        <f>(Q26*($E26/365))+(Q27*($E27/365))</f>
        <v>3.0821917808219177</v>
      </c>
      <c r="V144" s="7"/>
      <c r="W144" s="7">
        <f t="shared" si="34"/>
        <v>58.719178082191782</v>
      </c>
    </row>
    <row r="145" spans="1:23">
      <c r="A145" s="1">
        <v>1970</v>
      </c>
      <c r="B145" s="8">
        <f>(K28*($E28/365))+(K29*($E29/365))</f>
        <v>42.857142857142854</v>
      </c>
      <c r="C145" s="8">
        <f>(L28*($E28/365))+(L29*($E29/365))</f>
        <v>57.142857142857139</v>
      </c>
      <c r="D145" s="8">
        <f>(M28*($E28/365))+(M29*($E29/365))</f>
        <v>0</v>
      </c>
      <c r="E145" s="48">
        <f t="shared" si="32"/>
        <v>100</v>
      </c>
      <c r="G145" s="1">
        <v>1970</v>
      </c>
      <c r="H145" s="918">
        <f>(O28/$R28*100*($E28/365))+(O29/$R29*100*($E29/365))</f>
        <v>34.32574430823118</v>
      </c>
      <c r="I145" s="918"/>
      <c r="J145" s="918">
        <f>(P28/$R28*100*($E28/365))+(P29/$R29*100*($E29/365))</f>
        <v>65.67425569176882</v>
      </c>
      <c r="K145" s="918"/>
      <c r="L145" s="918">
        <f>(Q28/$R28*100*($E28/365))+(Q29/$R29*100*($E29/365))</f>
        <v>0</v>
      </c>
      <c r="M145" s="918"/>
      <c r="N145" s="887">
        <f t="shared" si="33"/>
        <v>100</v>
      </c>
      <c r="O145" s="887"/>
      <c r="R145" s="1">
        <v>1970</v>
      </c>
      <c r="S145" s="8">
        <f>(O28*($E28/365))+(O29*($E29/365))</f>
        <v>19.600000000000001</v>
      </c>
      <c r="T145" s="8">
        <f>(P28*($E28/365))+(P29*($E29/365))</f>
        <v>37.5</v>
      </c>
      <c r="U145" s="8">
        <f>(Q28*($E28/365))+(Q29*($E29/365))</f>
        <v>0</v>
      </c>
      <c r="V145" s="7"/>
      <c r="W145" s="7">
        <f t="shared" si="34"/>
        <v>57.1</v>
      </c>
    </row>
    <row r="146" spans="1:23">
      <c r="A146" s="1">
        <v>1971</v>
      </c>
      <c r="B146" s="8">
        <f>(K30*($E30/365))+(K31*($E31/365))</f>
        <v>42.857142857142854</v>
      </c>
      <c r="C146" s="8">
        <f>(L30*($E30/365))+(L31*($E31/365))</f>
        <v>57.142857142857139</v>
      </c>
      <c r="D146" s="8">
        <f>(M30*($E30/365))+(M31*($E31/365))</f>
        <v>0</v>
      </c>
      <c r="E146" s="48">
        <f t="shared" si="32"/>
        <v>100</v>
      </c>
      <c r="G146" s="1">
        <v>1971</v>
      </c>
      <c r="H146" s="918">
        <f>(O30/$R30*100*($E30/365))+(O31/$R31*100*($E31/365))</f>
        <v>34.32574430823118</v>
      </c>
      <c r="I146" s="918"/>
      <c r="J146" s="918">
        <f>(P30/$R30*100*($E30/365))+(P31/$R31*100*($E31/365))</f>
        <v>65.67425569176882</v>
      </c>
      <c r="K146" s="918"/>
      <c r="L146" s="918">
        <f>(Q30/$R30*100*($E30/365))+(Q31/$R31*100*($E31/365))</f>
        <v>0</v>
      </c>
      <c r="M146" s="918"/>
      <c r="N146" s="887">
        <f t="shared" si="33"/>
        <v>100</v>
      </c>
      <c r="O146" s="887"/>
      <c r="R146" s="1">
        <v>1971</v>
      </c>
      <c r="S146" s="8">
        <f>(O30*($E30/365))+(O31*($E31/365))</f>
        <v>19.600000000000001</v>
      </c>
      <c r="T146" s="8">
        <f>(P30*($E30/365))+(P31*($E31/365))</f>
        <v>37.5</v>
      </c>
      <c r="U146" s="8">
        <f>(Q30*($E30/365))+(Q31*($E31/365))</f>
        <v>0</v>
      </c>
      <c r="V146" s="7"/>
      <c r="W146" s="7">
        <f t="shared" si="34"/>
        <v>57.1</v>
      </c>
    </row>
    <row r="147" spans="1:23">
      <c r="A147" s="1">
        <v>1972</v>
      </c>
      <c r="B147" s="8">
        <f>(K32*($E32/366))+(K33*($E33/366))</f>
        <v>42.857142857142854</v>
      </c>
      <c r="C147" s="8">
        <f>(L32*($E32/366))+(L33*($E33/366))</f>
        <v>57.142857142857139</v>
      </c>
      <c r="D147" s="8">
        <f>(M32*($E32/366))+(M33*($E33/366))</f>
        <v>0</v>
      </c>
      <c r="E147" s="48">
        <f t="shared" si="32"/>
        <v>100</v>
      </c>
      <c r="G147" s="1">
        <v>1972</v>
      </c>
      <c r="H147" s="918">
        <f>(O32/$R32*100*($E32/366))+(O33/$R33*100*($E33/366))</f>
        <v>34.32574430823118</v>
      </c>
      <c r="I147" s="918"/>
      <c r="J147" s="918">
        <f>(P32/$R32*100*($E32/366))+(P33/$R33*100*($E33/366))</f>
        <v>65.67425569176882</v>
      </c>
      <c r="K147" s="918"/>
      <c r="L147" s="918">
        <f>(Q32/$R32*100*($E32/366))+(Q33/$R33*100*($E33/366))</f>
        <v>0</v>
      </c>
      <c r="M147" s="918"/>
      <c r="N147" s="887">
        <f t="shared" si="33"/>
        <v>100</v>
      </c>
      <c r="O147" s="887"/>
      <c r="R147" s="1">
        <v>1972</v>
      </c>
      <c r="S147" s="8">
        <f>(O32*($E32/366))+(O33*($E33/366))</f>
        <v>19.600000000000001</v>
      </c>
      <c r="T147" s="8">
        <f>(P32*($E32/366))+(P33*($E33/366))</f>
        <v>37.5</v>
      </c>
      <c r="U147" s="8">
        <f>(Q32*($E32/366))+(Q33*($E33/366))</f>
        <v>0</v>
      </c>
      <c r="V147" s="7"/>
      <c r="W147" s="7">
        <f t="shared" si="34"/>
        <v>57.1</v>
      </c>
    </row>
    <row r="148" spans="1:23">
      <c r="A148" s="1">
        <v>1973</v>
      </c>
      <c r="B148" s="8">
        <f>(K34*($E34/365))+(K35*($E35/365))</f>
        <v>42.857142857142854</v>
      </c>
      <c r="C148" s="8">
        <f>(L34*($E34/365))+(L35*($E35/365))</f>
        <v>57.142857142857139</v>
      </c>
      <c r="D148" s="8">
        <f>(M34*($E34/365))+(M35*($E35/365))</f>
        <v>0</v>
      </c>
      <c r="E148" s="48">
        <f t="shared" si="32"/>
        <v>100</v>
      </c>
      <c r="G148" s="1">
        <v>1973</v>
      </c>
      <c r="H148" s="918">
        <f>(O34/$R34*100*($E34/365))+(O35/$R35*100*($E35/365))</f>
        <v>34.32574430823118</v>
      </c>
      <c r="I148" s="918"/>
      <c r="J148" s="918">
        <f>(P34/$R34*100*($E34/365))+(P35/$R35*100*($E35/365))</f>
        <v>65.67425569176882</v>
      </c>
      <c r="K148" s="918"/>
      <c r="L148" s="918">
        <f>(Q34/$R34*100*($E34/365))+(Q35/$R35*100*($E35/365))</f>
        <v>0</v>
      </c>
      <c r="M148" s="918"/>
      <c r="N148" s="887">
        <f t="shared" si="33"/>
        <v>100</v>
      </c>
      <c r="O148" s="887"/>
      <c r="R148" s="1">
        <v>1973</v>
      </c>
      <c r="S148" s="8">
        <f>(O34*($E34/365))+(O35*($E35/365))</f>
        <v>19.600000000000001</v>
      </c>
      <c r="T148" s="8">
        <f>(P34*($E34/365))+(P35*($E35/365))</f>
        <v>37.5</v>
      </c>
      <c r="U148" s="8">
        <f>(Q34*($E34/365))+(Q35*($E35/365))</f>
        <v>0</v>
      </c>
      <c r="V148" s="7"/>
      <c r="W148" s="7">
        <f t="shared" si="34"/>
        <v>57.1</v>
      </c>
    </row>
    <row r="149" spans="1:23">
      <c r="A149" s="1">
        <v>1974</v>
      </c>
      <c r="B149" s="8">
        <f>(K36*($E36/365))+(K37*($E37/365))</f>
        <v>46.771037181996078</v>
      </c>
      <c r="C149" s="8">
        <f>(L36*($E36/365))+(L37*($E37/365))</f>
        <v>25.831702544031309</v>
      </c>
      <c r="D149" s="8">
        <f>(M36*($E36/365))+(M37*($E37/365))</f>
        <v>27.397260273972602</v>
      </c>
      <c r="E149" s="48">
        <f t="shared" si="32"/>
        <v>99.999999999999986</v>
      </c>
      <c r="G149" s="1">
        <v>1974</v>
      </c>
      <c r="H149" s="918">
        <f>(O36/$R36*100*($E36/365))+(O37/$R37*100*($E37/365))</f>
        <v>40.252929423094713</v>
      </c>
      <c r="I149" s="918"/>
      <c r="J149" s="918">
        <f>(P36/$R36*100*($E36/365))+(P37/$R37*100*($E37/365))</f>
        <v>29.68836216203248</v>
      </c>
      <c r="K149" s="918"/>
      <c r="L149" s="918">
        <f>(Q36/$R36*100*($E36/365))+(Q37/$R37*100*($E37/365))</f>
        <v>30.0587084148728</v>
      </c>
      <c r="M149" s="918"/>
      <c r="N149" s="887">
        <f t="shared" si="33"/>
        <v>99.999999999999986</v>
      </c>
      <c r="O149" s="887"/>
      <c r="R149" s="1">
        <v>1974</v>
      </c>
      <c r="S149" s="8">
        <f>(O36*($E36/365))+(O37*($E37/365))</f>
        <v>21.846575342465751</v>
      </c>
      <c r="T149" s="8">
        <f>(P36*($E36/365))+(P37*($E37/365))</f>
        <v>16.952054794520546</v>
      </c>
      <c r="U149" s="8">
        <f>(Q36*($E36/365))+(Q37*($E37/365))</f>
        <v>15.780821917808218</v>
      </c>
      <c r="V149" s="7"/>
      <c r="W149" s="7">
        <f t="shared" si="34"/>
        <v>54.579452054794515</v>
      </c>
    </row>
    <row r="150" spans="1:23">
      <c r="A150" s="1">
        <v>1975</v>
      </c>
      <c r="B150" s="8">
        <f>(K38*($E38/365))+(K39*($E39/365))</f>
        <v>50</v>
      </c>
      <c r="C150" s="8">
        <f>(L38*($E38/365))+(L39*($E39/365))</f>
        <v>0</v>
      </c>
      <c r="D150" s="8">
        <f>(M38*($E38/365))+(M39*($E39/365))</f>
        <v>50</v>
      </c>
      <c r="E150" s="48">
        <f t="shared" si="32"/>
        <v>100</v>
      </c>
      <c r="G150" s="1">
        <v>1975</v>
      </c>
      <c r="H150" s="918">
        <f>(O38/$R38*100*($E38/365))+(O39/$R39*100*($E39/365))</f>
        <v>45.142857142857139</v>
      </c>
      <c r="I150" s="918"/>
      <c r="J150" s="918">
        <f>(P38/$R38*100*($E38/365))+(P39/$R39*100*($E39/365))</f>
        <v>0</v>
      </c>
      <c r="K150" s="918"/>
      <c r="L150" s="918">
        <f>(Q38/$R38*100*($E38/365))+(Q39/$R39*100*($E39/365))</f>
        <v>54.857142857142861</v>
      </c>
      <c r="M150" s="918"/>
      <c r="N150" s="887">
        <f t="shared" si="33"/>
        <v>100</v>
      </c>
      <c r="O150" s="887"/>
      <c r="R150" s="1">
        <v>1975</v>
      </c>
      <c r="S150" s="8">
        <f>(O38*($E38/365))+(O39*($E39/365))</f>
        <v>23.7</v>
      </c>
      <c r="T150" s="8">
        <f>(P38*($E38/365))+(P39*($E39/365))</f>
        <v>0</v>
      </c>
      <c r="U150" s="8">
        <f>(Q38*($E38/365))+(Q39*($E39/365))</f>
        <v>28.8</v>
      </c>
      <c r="V150" s="7"/>
      <c r="W150" s="7">
        <f t="shared" si="34"/>
        <v>52.5</v>
      </c>
    </row>
    <row r="151" spans="1:23">
      <c r="A151" s="1">
        <v>1976</v>
      </c>
      <c r="B151" s="8">
        <f>(K40*($E40/366))+(K41*($E41/366))</f>
        <v>50</v>
      </c>
      <c r="C151" s="8">
        <f>(L40*($E40/366))+(L41*($E41/366))</f>
        <v>0</v>
      </c>
      <c r="D151" s="8">
        <f>(M40*($E40/366))+(M41*($E41/366))</f>
        <v>50</v>
      </c>
      <c r="E151" s="48">
        <f t="shared" si="32"/>
        <v>100</v>
      </c>
      <c r="G151" s="1">
        <v>1976</v>
      </c>
      <c r="H151" s="918">
        <f>(O40/$R40*100*($E40/366))+(O41/$R41*100*($E41/366))</f>
        <v>45.142857142857139</v>
      </c>
      <c r="I151" s="918"/>
      <c r="J151" s="918">
        <f>(P40/$R40*100*($E40/366))+(P41/$R41*100*($E41/366))</f>
        <v>0</v>
      </c>
      <c r="K151" s="918"/>
      <c r="L151" s="918">
        <f>(Q40/$R40*100*($E40/366))+(Q41/$R41*100*($E41/366))</f>
        <v>54.857142857142861</v>
      </c>
      <c r="M151" s="918"/>
      <c r="N151" s="887">
        <f t="shared" si="33"/>
        <v>100</v>
      </c>
      <c r="O151" s="887"/>
      <c r="R151" s="1">
        <v>1976</v>
      </c>
      <c r="S151" s="8">
        <f>(O40*($E40/366))+(O41*($E41/366))</f>
        <v>23.7</v>
      </c>
      <c r="T151" s="8">
        <f>(P40*($E40/366))+(P41*($E41/366))</f>
        <v>0</v>
      </c>
      <c r="U151" s="8">
        <f>(Q40*($E40/366))+(Q41*($E41/366))</f>
        <v>28.8</v>
      </c>
      <c r="V151" s="7"/>
      <c r="W151" s="7">
        <f t="shared" si="34"/>
        <v>52.5</v>
      </c>
    </row>
    <row r="152" spans="1:23">
      <c r="A152" s="1">
        <v>1977</v>
      </c>
      <c r="B152" s="8">
        <f>(K42*($E42/365))+(K43*($E43/365))</f>
        <v>50</v>
      </c>
      <c r="C152" s="8">
        <f>(L42*($E42/365))+(L43*($E43/365))</f>
        <v>0</v>
      </c>
      <c r="D152" s="8">
        <f>(M42*($E42/365))+(M43*($E43/365))</f>
        <v>50</v>
      </c>
      <c r="E152" s="48">
        <f t="shared" si="32"/>
        <v>100</v>
      </c>
      <c r="G152" s="1">
        <v>1977</v>
      </c>
      <c r="H152" s="918">
        <f>(O42/$R42*100*($E42/365))+(O43/$R43*100*($E43/365))</f>
        <v>45.142857142857139</v>
      </c>
      <c r="I152" s="918"/>
      <c r="J152" s="918">
        <f>(P42/$R42*100*($E42/365))+(P43/$R43*100*($E43/365))</f>
        <v>0</v>
      </c>
      <c r="K152" s="918"/>
      <c r="L152" s="918">
        <f>(Q42/$R42*100*($E42/365))+(Q43/$R43*100*($E43/365))</f>
        <v>54.857142857142861</v>
      </c>
      <c r="M152" s="918"/>
      <c r="N152" s="887">
        <f t="shared" si="33"/>
        <v>100</v>
      </c>
      <c r="O152" s="887"/>
      <c r="R152" s="1">
        <v>1977</v>
      </c>
      <c r="S152" s="8">
        <f>(O42*($E42/365))+(O43*($E43/365))</f>
        <v>23.7</v>
      </c>
      <c r="T152" s="8">
        <f>(P42*($E42/365))+(P43*($E43/365))</f>
        <v>0</v>
      </c>
      <c r="U152" s="8">
        <f>(Q42*($E42/365))+(Q43*($E43/365))</f>
        <v>28.8</v>
      </c>
      <c r="V152" s="7"/>
      <c r="W152" s="7">
        <f t="shared" si="34"/>
        <v>52.5</v>
      </c>
    </row>
    <row r="153" spans="1:23">
      <c r="A153" s="1">
        <v>1978</v>
      </c>
      <c r="B153" s="8">
        <f>(K44*($E44/365))+(K45*($E45/365))</f>
        <v>50</v>
      </c>
      <c r="C153" s="8">
        <f>(L44*($E44/365))+(L45*($E45/365))</f>
        <v>0</v>
      </c>
      <c r="D153" s="8">
        <f>(M44*($E44/365))+(M45*($E45/365))</f>
        <v>50</v>
      </c>
      <c r="E153" s="48">
        <f t="shared" si="32"/>
        <v>100</v>
      </c>
      <c r="G153" s="1">
        <v>1978</v>
      </c>
      <c r="H153" s="918">
        <f>(O44/$R44*100*($E44/365))+(O45/$R45*100*($E45/365))</f>
        <v>45.142857142857139</v>
      </c>
      <c r="I153" s="918"/>
      <c r="J153" s="918">
        <f>(P44/$R44*100*($E44/365))+(P45/$R45*100*($E45/365))</f>
        <v>0</v>
      </c>
      <c r="K153" s="918"/>
      <c r="L153" s="918">
        <f>(Q44/$R44*100*($E44/365))+(Q45/$R45*100*($E45/365))</f>
        <v>54.857142857142861</v>
      </c>
      <c r="M153" s="918"/>
      <c r="N153" s="887">
        <f t="shared" si="33"/>
        <v>100</v>
      </c>
      <c r="O153" s="887"/>
      <c r="R153" s="1">
        <v>1978</v>
      </c>
      <c r="S153" s="8">
        <f>(O44*($E44/365))+(O45*($E45/365))</f>
        <v>23.7</v>
      </c>
      <c r="T153" s="8">
        <f>(P44*($E44/365))+(P45*($E45/365))</f>
        <v>0</v>
      </c>
      <c r="U153" s="8">
        <f>(Q44*($E44/365))+(Q45*($E45/365))</f>
        <v>28.8</v>
      </c>
      <c r="V153" s="7"/>
      <c r="W153" s="7">
        <f t="shared" si="34"/>
        <v>52.5</v>
      </c>
    </row>
    <row r="154" spans="1:23">
      <c r="A154" s="1">
        <v>1979</v>
      </c>
      <c r="B154" s="8">
        <f>(K46*($E46/365))+(K47*($E47/365))</f>
        <v>52.587519025875196</v>
      </c>
      <c r="C154" s="8">
        <f>(L46*($E46/365))+(L47*($E47/365))</f>
        <v>20.700152207001519</v>
      </c>
      <c r="D154" s="8">
        <f>(M46*($E46/365))+(M47*($E47/365))</f>
        <v>26.712328767123289</v>
      </c>
      <c r="E154" s="48">
        <f t="shared" si="32"/>
        <v>100</v>
      </c>
      <c r="G154" s="1">
        <v>1979</v>
      </c>
      <c r="H154" s="918">
        <f>(O46/$R46*100*($E46/365))+(O47/$R47*100*($E47/365))</f>
        <v>42.014749638068395</v>
      </c>
      <c r="I154" s="918"/>
      <c r="J154" s="918">
        <f>(P46/$R46*100*($E46/365))+(P47/$R47*100*($E47/365))</f>
        <v>28.678009657430632</v>
      </c>
      <c r="K154" s="918"/>
      <c r="L154" s="918">
        <f>(Q46/$R46*100*($E46/365))+(Q47/$R47*100*($E47/365))</f>
        <v>29.30724070450098</v>
      </c>
      <c r="M154" s="918"/>
      <c r="N154" s="887">
        <f t="shared" si="33"/>
        <v>100.00000000000001</v>
      </c>
      <c r="O154" s="887"/>
      <c r="R154" s="1">
        <v>1979</v>
      </c>
      <c r="S154" s="8">
        <f>(O46*($E46/365))+(O47*($E47/365))</f>
        <v>24.491780821917807</v>
      </c>
      <c r="T154" s="8">
        <f>(P46*($E46/365))+(P47*($E47/365))</f>
        <v>18.956164383561646</v>
      </c>
      <c r="U154" s="8">
        <f>(Q46*($E46/365))+(Q47*($E47/365))</f>
        <v>15.386301369863014</v>
      </c>
      <c r="V154" s="7"/>
      <c r="W154" s="7">
        <f t="shared" si="34"/>
        <v>58.834246575342469</v>
      </c>
    </row>
    <row r="155" spans="1:23">
      <c r="A155" s="1">
        <v>1980</v>
      </c>
      <c r="B155" s="8">
        <f>(K48*($E48/366))+(K49*($E49/366))</f>
        <v>55.555555555555557</v>
      </c>
      <c r="C155" s="8">
        <f>(L48*($E48/366))+(L49*($E49/366))</f>
        <v>44.444444444444443</v>
      </c>
      <c r="D155" s="8">
        <f>(M48*($E48/366))+(M49*($E49/366))</f>
        <v>0</v>
      </c>
      <c r="E155" s="48">
        <f t="shared" si="32"/>
        <v>100</v>
      </c>
      <c r="G155" s="1">
        <v>1980</v>
      </c>
      <c r="H155" s="918">
        <f>(O48/$R48*100*($E48/366))+(O49/$R49*100*($E49/366))</f>
        <v>38.426626323751897</v>
      </c>
      <c r="I155" s="918"/>
      <c r="J155" s="918">
        <f>(P48/$R48*100*($E48/366))+(P49/$R49*100*($E49/366))</f>
        <v>61.573373676248124</v>
      </c>
      <c r="K155" s="918"/>
      <c r="L155" s="918">
        <f>(Q48/$R48*100*($E48/366))+(Q49/$R49*100*($E49/366))</f>
        <v>0</v>
      </c>
      <c r="M155" s="918"/>
      <c r="N155" s="887">
        <f t="shared" si="33"/>
        <v>100.00000000000003</v>
      </c>
      <c r="O155" s="887"/>
      <c r="R155" s="1">
        <v>1980</v>
      </c>
      <c r="S155" s="8">
        <f>(O48*($E48/366))+(O49*($E49/366))</f>
        <v>25.4</v>
      </c>
      <c r="T155" s="8">
        <f>(P48*($E48/366))+(P49*($E49/366))</f>
        <v>40.700000000000003</v>
      </c>
      <c r="U155" s="8">
        <f>(Q48*($E48/366))+(Q49*($E49/366))</f>
        <v>0</v>
      </c>
      <c r="V155" s="7"/>
      <c r="W155" s="7">
        <f t="shared" si="34"/>
        <v>66.099999999999994</v>
      </c>
    </row>
    <row r="156" spans="1:23">
      <c r="A156" s="1">
        <v>1981</v>
      </c>
      <c r="B156" s="8">
        <f>(K50*($E50/365))+(K51*($E51/365))</f>
        <v>55.555555555555557</v>
      </c>
      <c r="C156" s="8">
        <f>(L50*($E50/365))+(L51*($E51/365))</f>
        <v>44.444444444444443</v>
      </c>
      <c r="D156" s="8">
        <f>(M50*($E50/365))+(M51*($E51/365))</f>
        <v>0</v>
      </c>
      <c r="E156" s="48">
        <f t="shared" si="32"/>
        <v>100</v>
      </c>
      <c r="G156" s="1">
        <v>1981</v>
      </c>
      <c r="H156" s="918">
        <f>(O50/$R50*100*($E50/365))+(O51/$R51*100*($E51/365))</f>
        <v>38.426626323751897</v>
      </c>
      <c r="I156" s="918"/>
      <c r="J156" s="918">
        <f>(P50/$R50*100*($E50/365))+(P51/$R51*100*($E51/365))</f>
        <v>61.573373676248124</v>
      </c>
      <c r="K156" s="918"/>
      <c r="L156" s="918">
        <f>(Q50/$R50*100*($E50/365))+(Q51/$R51*100*($E51/365))</f>
        <v>0</v>
      </c>
      <c r="M156" s="918"/>
      <c r="N156" s="887">
        <f t="shared" si="33"/>
        <v>100.00000000000003</v>
      </c>
      <c r="O156" s="887"/>
      <c r="R156" s="1">
        <v>1981</v>
      </c>
      <c r="S156" s="8">
        <f>(O50*($E50/365))+(O51*($E51/365))</f>
        <v>25.4</v>
      </c>
      <c r="T156" s="8">
        <f>(P50*($E50/365))+(P51*($E51/365))</f>
        <v>40.700000000000003</v>
      </c>
      <c r="U156" s="8">
        <f>(Q50*($E50/365))+(Q51*($E51/365))</f>
        <v>0</v>
      </c>
      <c r="V156" s="7"/>
      <c r="W156" s="7">
        <f t="shared" si="34"/>
        <v>66.099999999999994</v>
      </c>
    </row>
    <row r="157" spans="1:23">
      <c r="A157" s="1">
        <v>1982</v>
      </c>
      <c r="B157" s="8">
        <f>(K52*($E52/365))+(K53*($E53/365))</f>
        <v>55.555555555555557</v>
      </c>
      <c r="C157" s="8">
        <f>(L52*($E52/365))+(L53*($E53/365))</f>
        <v>44.444444444444443</v>
      </c>
      <c r="D157" s="8">
        <f>(M52*($E52/365))+(M53*($E53/365))</f>
        <v>0</v>
      </c>
      <c r="E157" s="48">
        <f t="shared" si="32"/>
        <v>100</v>
      </c>
      <c r="G157" s="1">
        <v>1982</v>
      </c>
      <c r="H157" s="918">
        <f>(O52/$R52*100*($E52/365))+(O53/$R53*100*($E53/365))</f>
        <v>38.426626323751897</v>
      </c>
      <c r="I157" s="918"/>
      <c r="J157" s="918">
        <f>(P52/$R52*100*($E52/365))+(P53/$R53*100*($E53/365))</f>
        <v>61.573373676248124</v>
      </c>
      <c r="K157" s="918"/>
      <c r="L157" s="918">
        <f>(Q52/$R52*100*($E52/365))+(Q53/$R53*100*($E53/365))</f>
        <v>0</v>
      </c>
      <c r="M157" s="918"/>
      <c r="N157" s="887">
        <f t="shared" si="33"/>
        <v>100.00000000000003</v>
      </c>
      <c r="O157" s="887"/>
      <c r="R157" s="1">
        <v>1982</v>
      </c>
      <c r="S157" s="8">
        <f>(O52*($E52/365))+(O53*($E53/365))</f>
        <v>25.4</v>
      </c>
      <c r="T157" s="8">
        <f>(P52*($E52/365))+(P53*($E53/365))</f>
        <v>40.700000000000003</v>
      </c>
      <c r="U157" s="8">
        <f>(Q52*($E52/365))+(Q53*($E53/365))</f>
        <v>0</v>
      </c>
      <c r="V157" s="7"/>
      <c r="W157" s="7">
        <f t="shared" si="34"/>
        <v>66.099999999999994</v>
      </c>
    </row>
    <row r="158" spans="1:23">
      <c r="A158" s="1">
        <v>1983</v>
      </c>
      <c r="B158" s="8">
        <f>(K54*($E54/365))+(K55*($E55/365))</f>
        <v>55.555555555555557</v>
      </c>
      <c r="C158" s="8">
        <f>(L54*($E54/365))+(L55*($E55/365))</f>
        <v>44.444444444444443</v>
      </c>
      <c r="D158" s="8">
        <f>(M54*($E54/365))+(M55*($E55/365))</f>
        <v>0</v>
      </c>
      <c r="E158" s="48">
        <f t="shared" si="32"/>
        <v>100</v>
      </c>
      <c r="G158" s="1">
        <v>1983</v>
      </c>
      <c r="H158" s="918">
        <f>(O54/$R54*100*($E54/365))+(O55/$R55*100*($E55/365))</f>
        <v>38.426626323751897</v>
      </c>
      <c r="I158" s="918"/>
      <c r="J158" s="918">
        <f>(P54/$R54*100*($E54/365))+(P55/$R55*100*($E55/365))</f>
        <v>61.573373676248124</v>
      </c>
      <c r="K158" s="918"/>
      <c r="L158" s="918">
        <f>(Q54/$R54*100*($E54/365))+(Q55/$R55*100*($E55/365))</f>
        <v>0</v>
      </c>
      <c r="M158" s="918"/>
      <c r="N158" s="887">
        <f t="shared" si="33"/>
        <v>100.00000000000003</v>
      </c>
      <c r="O158" s="887"/>
      <c r="R158" s="1">
        <v>1983</v>
      </c>
      <c r="S158" s="8">
        <f>(O54*($E54/365))+(O55*($E55/365))</f>
        <v>25.4</v>
      </c>
      <c r="T158" s="8">
        <f>(P54*($E54/365))+(P55*($E55/365))</f>
        <v>40.700000000000003</v>
      </c>
      <c r="U158" s="8">
        <f>(Q54*($E54/365))+(Q55*($E55/365))</f>
        <v>0</v>
      </c>
      <c r="V158" s="7"/>
      <c r="W158" s="7">
        <f t="shared" si="34"/>
        <v>66.099999999999994</v>
      </c>
    </row>
    <row r="159" spans="1:23">
      <c r="A159" s="1">
        <v>1984</v>
      </c>
      <c r="B159" s="8">
        <f>(K56*($E56/366))+(K57*($E57/366))</f>
        <v>30.510018214936252</v>
      </c>
      <c r="C159" s="8">
        <f>(L56*($E56/366))+(L57*($E57/366))</f>
        <v>49.453551912568308</v>
      </c>
      <c r="D159" s="8">
        <f>(M56*($E56/366))+(M57*($E57/366))</f>
        <v>20.036429872495447</v>
      </c>
      <c r="E159" s="48">
        <f t="shared" si="32"/>
        <v>100.00000000000001</v>
      </c>
      <c r="G159" s="1">
        <v>1984</v>
      </c>
      <c r="H159" s="918">
        <f>(O56/$R56*100*($E56/366))+(O57/$R57*100*($E57/366))</f>
        <v>21.103147243371946</v>
      </c>
      <c r="I159" s="918"/>
      <c r="J159" s="918">
        <f>(P56/$R56*100*($E56/366))+(P57/$R57*100*($E57/366))</f>
        <v>58.330948381243317</v>
      </c>
      <c r="K159" s="918"/>
      <c r="L159" s="918">
        <f>(Q56/$R56*100*($E56/366))+(Q57/$R57*100*($E57/366))</f>
        <v>20.565904375384754</v>
      </c>
      <c r="M159" s="918"/>
      <c r="N159" s="887">
        <f t="shared" si="33"/>
        <v>100.00000000000003</v>
      </c>
      <c r="O159" s="887"/>
      <c r="R159" s="1">
        <v>1984</v>
      </c>
      <c r="S159" s="8">
        <f>(O56*($E56/366))+(O57*($E57/366))</f>
        <v>13.949180327868852</v>
      </c>
      <c r="T159" s="8">
        <f>(P56*($E56/366))+(P57*($E57/366))</f>
        <v>39.978688524590169</v>
      </c>
      <c r="U159" s="8">
        <f>(Q56*($E56/366))+(Q57*($E57/366))</f>
        <v>14.786885245901638</v>
      </c>
      <c r="V159" s="7"/>
      <c r="W159" s="7">
        <f t="shared" si="34"/>
        <v>68.714754098360658</v>
      </c>
    </row>
    <row r="160" spans="1:23">
      <c r="A160" s="1">
        <v>1985</v>
      </c>
      <c r="B160" s="8">
        <f>(K58*($E58/365))+(K59*($E59/365))</f>
        <v>0</v>
      </c>
      <c r="C160" s="8">
        <f>(L58*($E58/365))+(L59*($E59/365))</f>
        <v>55.555555555555557</v>
      </c>
      <c r="D160" s="8">
        <f>(M58*($E58/365))+(M59*($E59/365))</f>
        <v>44.444444444444443</v>
      </c>
      <c r="E160" s="48">
        <f t="shared" si="32"/>
        <v>100</v>
      </c>
      <c r="G160" s="1">
        <v>1985</v>
      </c>
      <c r="H160" s="918">
        <f>(O58/$R58*100*($E58/365))+(O59/$R59*100*($E59/365))</f>
        <v>0</v>
      </c>
      <c r="I160" s="918"/>
      <c r="J160" s="918">
        <f>(P58/$R58*100*($E58/365))+(P59/$R59*100*($E59/365))</f>
        <v>54.381084840055628</v>
      </c>
      <c r="K160" s="918"/>
      <c r="L160" s="918">
        <f>(Q58/$R58*100*($E58/365))+(Q59/$R59*100*($E59/365))</f>
        <v>45.618915159944365</v>
      </c>
      <c r="M160" s="918"/>
      <c r="N160" s="887">
        <f t="shared" si="33"/>
        <v>100</v>
      </c>
      <c r="O160" s="887"/>
      <c r="R160" s="1">
        <v>1985</v>
      </c>
      <c r="S160" s="8">
        <f>(O58*($E58/365))+(O59*($E59/365))</f>
        <v>0</v>
      </c>
      <c r="T160" s="8">
        <f>(P58*($E58/365))+(P59*($E59/365))</f>
        <v>39.1</v>
      </c>
      <c r="U160" s="8">
        <f>(Q58*($E58/365))+(Q59*($E59/365))</f>
        <v>32.799999999999997</v>
      </c>
      <c r="V160" s="7"/>
      <c r="W160" s="7">
        <f t="shared" si="34"/>
        <v>71.900000000000006</v>
      </c>
    </row>
    <row r="161" spans="1:23">
      <c r="A161" s="1">
        <v>1986</v>
      </c>
      <c r="B161" s="8">
        <f>(K60*($E60/365))+(K61*($E61/365))</f>
        <v>0</v>
      </c>
      <c r="C161" s="8">
        <f>(L60*($E60/365))+(L61*($E61/365))</f>
        <v>55.555555555555557</v>
      </c>
      <c r="D161" s="8">
        <f>(M60*($E60/365))+(M61*($E61/365))</f>
        <v>44.444444444444443</v>
      </c>
      <c r="E161" s="48">
        <f t="shared" si="32"/>
        <v>100</v>
      </c>
      <c r="G161" s="1">
        <v>1986</v>
      </c>
      <c r="H161" s="918">
        <f>(O60/$R60*100*($E60/365))+(O61/$R61*100*($E61/365))</f>
        <v>0</v>
      </c>
      <c r="I161" s="918"/>
      <c r="J161" s="918">
        <f>(P60/$R60*100*($E60/365))+(P61/$R61*100*($E61/365))</f>
        <v>54.381084840055628</v>
      </c>
      <c r="K161" s="918"/>
      <c r="L161" s="918">
        <f>(Q60/$R60*100*($E60/365))+(Q61/$R61*100*($E61/365))</f>
        <v>45.618915159944365</v>
      </c>
      <c r="M161" s="918"/>
      <c r="N161" s="887">
        <f t="shared" si="33"/>
        <v>100</v>
      </c>
      <c r="O161" s="887"/>
      <c r="R161" s="1">
        <v>1986</v>
      </c>
      <c r="S161" s="8">
        <f>(O60*($E60/365))+(O61*($E61/365))</f>
        <v>0</v>
      </c>
      <c r="T161" s="8">
        <f>(P60*($E60/365))+(P61*($E61/365))</f>
        <v>39.1</v>
      </c>
      <c r="U161" s="8">
        <f>(Q60*($E60/365))+(Q61*($E61/365))</f>
        <v>32.799999999999997</v>
      </c>
      <c r="V161" s="7"/>
      <c r="W161" s="7">
        <f t="shared" si="34"/>
        <v>71.900000000000006</v>
      </c>
    </row>
    <row r="162" spans="1:23">
      <c r="A162" s="1">
        <v>1987</v>
      </c>
      <c r="B162" s="8">
        <f>(K62*($E62/365))+(K63*($E63/365))</f>
        <v>0</v>
      </c>
      <c r="C162" s="8">
        <f>(L62*($E62/365))+(L63*($E63/365))</f>
        <v>55.555555555555557</v>
      </c>
      <c r="D162" s="8">
        <f>(M62*($E62/365))+(M63*($E63/365))</f>
        <v>44.444444444444443</v>
      </c>
      <c r="E162" s="48">
        <f t="shared" si="32"/>
        <v>100</v>
      </c>
      <c r="G162" s="1">
        <v>1987</v>
      </c>
      <c r="H162" s="918">
        <f>(O62/$R62*100*($E62/365))+(O63/$R63*100*($E63/365))</f>
        <v>0</v>
      </c>
      <c r="I162" s="918"/>
      <c r="J162" s="918">
        <f>(P62/$R62*100*($E62/365))+(P63/$R63*100*($E63/365))</f>
        <v>54.381084840055628</v>
      </c>
      <c r="K162" s="918"/>
      <c r="L162" s="918">
        <f>(Q62/$R62*100*($E62/365))+(Q63/$R63*100*($E63/365))</f>
        <v>45.618915159944365</v>
      </c>
      <c r="M162" s="918"/>
      <c r="N162" s="887">
        <f t="shared" si="33"/>
        <v>100</v>
      </c>
      <c r="O162" s="887"/>
      <c r="R162" s="1">
        <v>1987</v>
      </c>
      <c r="S162" s="8">
        <f>(O62*($E62/365))+(O63*($E63/365))</f>
        <v>0</v>
      </c>
      <c r="T162" s="8">
        <f>(P62*($E62/365))+(P63*($E63/365))</f>
        <v>39.1</v>
      </c>
      <c r="U162" s="8">
        <f>(Q62*($E62/365))+(Q63*($E63/365))</f>
        <v>32.799999999999997</v>
      </c>
      <c r="V162" s="7"/>
      <c r="W162" s="7">
        <f t="shared" si="34"/>
        <v>71.900000000000006</v>
      </c>
    </row>
    <row r="163" spans="1:23">
      <c r="A163" s="1">
        <v>1988</v>
      </c>
      <c r="B163" s="8">
        <f>(K64*($E64/366))+(K65*($E65/366))</f>
        <v>0</v>
      </c>
      <c r="C163" s="8">
        <f>(L64*($E64/366))+(L65*($E65/366))</f>
        <v>55.555555555555557</v>
      </c>
      <c r="D163" s="8">
        <f>(M64*($E64/366))+(M65*($E65/366))</f>
        <v>44.444444444444443</v>
      </c>
      <c r="E163" s="48">
        <f t="shared" si="32"/>
        <v>100</v>
      </c>
      <c r="G163" s="1">
        <v>1988</v>
      </c>
      <c r="H163" s="918">
        <f>(O64/$R64*100*($E64/366))+(O65/$R65*100*($E65/366))</f>
        <v>0</v>
      </c>
      <c r="I163" s="918"/>
      <c r="J163" s="918">
        <f>(P64/$R64*100*($E64/366))+(P65/$R65*100*($E65/366))</f>
        <v>54.381084840055628</v>
      </c>
      <c r="K163" s="918"/>
      <c r="L163" s="918">
        <f>(Q64/$R64*100*($E64/366))+(Q65/$R65*100*($E65/366))</f>
        <v>45.618915159944365</v>
      </c>
      <c r="M163" s="918"/>
      <c r="N163" s="887">
        <f t="shared" si="33"/>
        <v>100</v>
      </c>
      <c r="O163" s="887"/>
      <c r="R163" s="1">
        <v>1988</v>
      </c>
      <c r="S163" s="8">
        <f>(O64*($E64/366))+(O65*($E65/366))</f>
        <v>0</v>
      </c>
      <c r="T163" s="8">
        <f>(P64*($E64/366))+(P65*($E65/366))</f>
        <v>39.1</v>
      </c>
      <c r="U163" s="8">
        <f>(Q64*($E64/366))+(Q65*($E65/366))</f>
        <v>32.799999999999997</v>
      </c>
      <c r="V163" s="7"/>
      <c r="W163" s="7">
        <f t="shared" si="34"/>
        <v>71.900000000000006</v>
      </c>
    </row>
    <row r="164" spans="1:23">
      <c r="A164" s="1">
        <v>1989</v>
      </c>
      <c r="B164" s="8">
        <f>(K66*($E66/365))+(K67*($E67/365))</f>
        <v>0</v>
      </c>
      <c r="C164" s="8">
        <f>(L66*($E66/365))+(L67*($E67/365))</f>
        <v>57.637747336377473</v>
      </c>
      <c r="D164" s="8">
        <f>(M66*($E66/365))+(M67*($E67/365))</f>
        <v>42.362252663622527</v>
      </c>
      <c r="E164" s="48">
        <f t="shared" si="32"/>
        <v>100</v>
      </c>
      <c r="G164" s="1">
        <v>1989</v>
      </c>
      <c r="H164" s="918">
        <f>(O66/$R66*100*($E66/365))+(O67/$R67*100*($E67/365))</f>
        <v>0</v>
      </c>
      <c r="I164" s="918"/>
      <c r="J164" s="918">
        <f>(P66/$R66*100*($E66/365))+(P67/$R67*100*($E67/365))</f>
        <v>54.681578181321058</v>
      </c>
      <c r="K164" s="918"/>
      <c r="L164" s="918">
        <f>(Q66/$R66*100*($E66/365))+(Q67/$R67*100*($E67/365))</f>
        <v>45.318421818678942</v>
      </c>
      <c r="M164" s="918"/>
      <c r="N164" s="887">
        <f t="shared" si="33"/>
        <v>100</v>
      </c>
      <c r="O164" s="887"/>
      <c r="R164" s="1">
        <v>1989</v>
      </c>
      <c r="S164" s="8">
        <f>(O66*($E66/365))+(O67*($E67/365))</f>
        <v>0</v>
      </c>
      <c r="T164" s="8">
        <f>(P66*($E66/365))+(P67*($E67/365))</f>
        <v>37.97561643835617</v>
      </c>
      <c r="U164" s="8">
        <f>(Q66*($E66/365))+(Q67*($E67/365))</f>
        <v>31.48821917808219</v>
      </c>
      <c r="V164" s="7"/>
      <c r="W164" s="7">
        <f t="shared" si="34"/>
        <v>69.463835616438359</v>
      </c>
    </row>
    <row r="165" spans="1:23">
      <c r="A165" s="1">
        <v>1990</v>
      </c>
      <c r="B165" s="8">
        <f>(K68*($E68/365))+(K69*($E69/365))</f>
        <v>0</v>
      </c>
      <c r="C165" s="8">
        <f>(L68*($E68/365))+(L69*($E69/365))</f>
        <v>60</v>
      </c>
      <c r="D165" s="8">
        <f>(M68*($E68/365))+(M69*($E69/365))</f>
        <v>40</v>
      </c>
      <c r="E165" s="48">
        <f t="shared" si="32"/>
        <v>100</v>
      </c>
      <c r="G165" s="1">
        <v>1990</v>
      </c>
      <c r="H165" s="918">
        <f>(O68/$R68*100*($E68/365))+(O69/$R69*100*($E69/365))</f>
        <v>0</v>
      </c>
      <c r="I165" s="918"/>
      <c r="J165" s="918">
        <f>(P68/$R68*100*($E68/365))+(P69/$R69*100*($E69/365))</f>
        <v>55.022488755622192</v>
      </c>
      <c r="K165" s="918"/>
      <c r="L165" s="918">
        <f>(Q68/$R68*100*($E68/365))+(Q69/$R69*100*($E69/365))</f>
        <v>44.977511244377808</v>
      </c>
      <c r="M165" s="918"/>
      <c r="N165" s="887">
        <f t="shared" si="33"/>
        <v>100</v>
      </c>
      <c r="O165" s="887"/>
      <c r="R165" s="1">
        <v>1990</v>
      </c>
      <c r="S165" s="8">
        <f>(O68*($E68/365))+(O69*($E69/365))</f>
        <v>0</v>
      </c>
      <c r="T165" s="8">
        <f>(P68*($E68/365))+(P69*($E69/365))</f>
        <v>36.700000000000003</v>
      </c>
      <c r="U165" s="8">
        <f>(Q68*($E68/365))+(Q69*($E69/365))</f>
        <v>30</v>
      </c>
      <c r="V165" s="7"/>
      <c r="W165" s="7">
        <f t="shared" si="34"/>
        <v>66.7</v>
      </c>
    </row>
    <row r="166" spans="1:23">
      <c r="A166" s="1">
        <v>1991</v>
      </c>
      <c r="B166" s="8">
        <f>(K70*($E70/365))+(K71*($E71/365))</f>
        <v>0</v>
      </c>
      <c r="C166" s="8">
        <f>(L70*($E70/365))+(L71*($E71/365))</f>
        <v>60</v>
      </c>
      <c r="D166" s="8">
        <f>(M70*($E70/365))+(M71*($E71/365))</f>
        <v>40</v>
      </c>
      <c r="E166" s="48">
        <f t="shared" si="32"/>
        <v>100</v>
      </c>
      <c r="G166" s="1">
        <v>1991</v>
      </c>
      <c r="H166" s="918">
        <f>(O70/$R70*100*($E70/365))+(O71/$R71*100*($E71/365))</f>
        <v>0</v>
      </c>
      <c r="I166" s="918"/>
      <c r="J166" s="918">
        <f>(P70/$R70*100*($E70/365))+(P71/$R71*100*($E71/365))</f>
        <v>55.022488755622192</v>
      </c>
      <c r="K166" s="918"/>
      <c r="L166" s="918">
        <f>(Q70/$R70*100*($E70/365))+(Q71/$R71*100*($E71/365))</f>
        <v>44.977511244377808</v>
      </c>
      <c r="M166" s="918"/>
      <c r="N166" s="887">
        <f t="shared" si="33"/>
        <v>100</v>
      </c>
      <c r="O166" s="887"/>
      <c r="R166" s="1">
        <v>1991</v>
      </c>
      <c r="S166" s="8">
        <f>(O70*($E70/365))+(O71*($E71/365))</f>
        <v>0</v>
      </c>
      <c r="T166" s="8">
        <f>(P70*($E70/365))+(P71*($E71/365))</f>
        <v>36.700000000000003</v>
      </c>
      <c r="U166" s="8">
        <f>(Q70*($E70/365))+(Q71*($E71/365))</f>
        <v>30</v>
      </c>
      <c r="V166" s="7"/>
      <c r="W166" s="7">
        <f t="shared" si="34"/>
        <v>66.7</v>
      </c>
    </row>
    <row r="167" spans="1:23">
      <c r="A167" s="1">
        <v>1992</v>
      </c>
      <c r="B167" s="8">
        <f>(K72*($E72/366))+(K73*($E73/366))</f>
        <v>0</v>
      </c>
      <c r="C167" s="8">
        <f>(L72*($E72/366))+(L73*($E73/366))</f>
        <v>60</v>
      </c>
      <c r="D167" s="8">
        <f>(M72*($E72/366))+(M73*($E73/366))</f>
        <v>40</v>
      </c>
      <c r="E167" s="48">
        <f t="shared" si="32"/>
        <v>100</v>
      </c>
      <c r="G167" s="1">
        <v>1992</v>
      </c>
      <c r="H167" s="918">
        <f>(O72/$R72*100*($E72/366))+(O73/$R73*100*($E73/366))</f>
        <v>0</v>
      </c>
      <c r="I167" s="918"/>
      <c r="J167" s="918">
        <f>(P72/$R72*100*($E72/366))+(P73/$R73*100*($E73/366))</f>
        <v>55.022488755622192</v>
      </c>
      <c r="K167" s="918"/>
      <c r="L167" s="918">
        <f>(Q72/$R72*100*($E72/366))+(Q73/$R73*100*($E73/366))</f>
        <v>44.977511244377808</v>
      </c>
      <c r="M167" s="918"/>
      <c r="N167" s="887">
        <f t="shared" si="33"/>
        <v>100</v>
      </c>
      <c r="O167" s="887"/>
      <c r="R167" s="1">
        <v>1992</v>
      </c>
      <c r="S167" s="8">
        <f>(O72*($E72/366))+(O73*($E73/366))</f>
        <v>0</v>
      </c>
      <c r="T167" s="8">
        <f>(P72*($E72/366))+(P73*($E73/366))</f>
        <v>36.700000000000003</v>
      </c>
      <c r="U167" s="8">
        <f>(Q72*($E72/366))+(Q73*($E73/366))</f>
        <v>30</v>
      </c>
      <c r="V167" s="7"/>
      <c r="W167" s="7">
        <f t="shared" si="34"/>
        <v>66.7</v>
      </c>
    </row>
    <row r="168" spans="1:23">
      <c r="A168" s="1">
        <v>1993</v>
      </c>
      <c r="B168" s="8">
        <f>(K74*($E74/365))+(K75*($E75/365))</f>
        <v>0</v>
      </c>
      <c r="C168" s="8">
        <f>(L74*($E74/365))+(L75*($E75/365))</f>
        <v>60</v>
      </c>
      <c r="D168" s="8">
        <f>(M74*($E74/365))+(M75*($E75/365))</f>
        <v>40</v>
      </c>
      <c r="E168" s="48">
        <f t="shared" si="32"/>
        <v>100</v>
      </c>
      <c r="G168" s="1">
        <v>1993</v>
      </c>
      <c r="H168" s="918">
        <f>(O74/$R74*100*($E74/365))+(O75/$R75*100*($E75/365))</f>
        <v>0</v>
      </c>
      <c r="I168" s="918"/>
      <c r="J168" s="918">
        <f>(P74/$R74*100*($E74/365))+(P75/$R75*100*($E75/365))</f>
        <v>55.022488755622192</v>
      </c>
      <c r="K168" s="918"/>
      <c r="L168" s="918">
        <f>(Q74/$R74*100*($E74/365))+(Q75/$R75*100*($E75/365))</f>
        <v>44.977511244377808</v>
      </c>
      <c r="M168" s="918"/>
      <c r="N168" s="887">
        <f t="shared" si="33"/>
        <v>100</v>
      </c>
      <c r="O168" s="887"/>
      <c r="R168" s="1">
        <v>1993</v>
      </c>
      <c r="S168" s="8">
        <f>(O74*($E74/365))+(O75*($E75/365))</f>
        <v>0</v>
      </c>
      <c r="T168" s="8">
        <f>(P74*($E74/365))+(P75*($E75/365))</f>
        <v>36.700000000000003</v>
      </c>
      <c r="U168" s="8">
        <f>(Q74*($E74/365))+(Q75*($E75/365))</f>
        <v>30</v>
      </c>
      <c r="V168" s="7"/>
      <c r="W168" s="7">
        <f t="shared" si="34"/>
        <v>66.7</v>
      </c>
    </row>
    <row r="169" spans="1:23">
      <c r="A169" s="1">
        <v>1994</v>
      </c>
      <c r="B169" s="8">
        <f>(K76*($E76/365))+(K77*($E77/365))</f>
        <v>0</v>
      </c>
      <c r="C169" s="8">
        <f>(L76*($E76/365))+(L77*($E77/365))</f>
        <v>55.287671232876718</v>
      </c>
      <c r="D169" s="8">
        <f>(M76*($E76/365))+(M77*($E77/365))</f>
        <v>44.712328767123296</v>
      </c>
      <c r="E169" s="48">
        <f t="shared" si="32"/>
        <v>100.00000000000001</v>
      </c>
      <c r="G169" s="1">
        <v>1994</v>
      </c>
      <c r="H169" s="918">
        <f>(O76/$R76*100*($E76/365))+(O77/$R77*100*($E77/365))</f>
        <v>0</v>
      </c>
      <c r="I169" s="918"/>
      <c r="J169" s="918">
        <f>(P76/$R76*100*($E76/365))+(P77/$R77*100*($E77/365))</f>
        <v>55.149613403387256</v>
      </c>
      <c r="K169" s="918"/>
      <c r="L169" s="918">
        <f>(Q76/$R76*100*($E76/365))+(Q77/$R77*100*($E77/365))</f>
        <v>44.850386596612751</v>
      </c>
      <c r="M169" s="918"/>
      <c r="N169" s="887">
        <f t="shared" si="33"/>
        <v>100</v>
      </c>
      <c r="O169" s="887"/>
      <c r="R169" s="1">
        <v>1994</v>
      </c>
      <c r="S169" s="8">
        <f>(O76*($E76/365))+(O77*($E77/365))</f>
        <v>0</v>
      </c>
      <c r="T169" s="8">
        <f>(P76*($E76/365))+(P77*($E77/365))</f>
        <v>35.89890410958904</v>
      </c>
      <c r="U169" s="8">
        <f>(Q76*($E76/365))+(Q77*($E77/365))</f>
        <v>29.198904109589044</v>
      </c>
      <c r="V169" s="7"/>
      <c r="W169" s="7">
        <f t="shared" si="34"/>
        <v>65.097808219178091</v>
      </c>
    </row>
    <row r="170" spans="1:23">
      <c r="A170" s="1">
        <v>1995</v>
      </c>
      <c r="B170" s="8">
        <f>(K78*($E78/365))+(K79*($E79/365))</f>
        <v>0</v>
      </c>
      <c r="C170" s="8">
        <f>(L78*($E78/365))+(L79*($E79/365))</f>
        <v>50</v>
      </c>
      <c r="D170" s="8">
        <f>(M78*($E78/365))+(M79*($E79/365))</f>
        <v>50</v>
      </c>
      <c r="E170" s="48">
        <f t="shared" si="32"/>
        <v>100</v>
      </c>
      <c r="G170" s="1">
        <v>1995</v>
      </c>
      <c r="H170" s="918">
        <f>(O78/$R78*100*($E78/365))+(O79/$R79*100*($E79/365))</f>
        <v>0</v>
      </c>
      <c r="I170" s="918"/>
      <c r="J170" s="918">
        <f>(P78/$R78*100*($E78/365))+(P79/$R79*100*($E79/365))</f>
        <v>55.292259083728275</v>
      </c>
      <c r="K170" s="918"/>
      <c r="L170" s="918">
        <f>(Q78/$R78*100*($E78/365))+(Q79/$R79*100*($E79/365))</f>
        <v>44.707740916271717</v>
      </c>
      <c r="M170" s="918"/>
      <c r="N170" s="887">
        <f t="shared" si="33"/>
        <v>100</v>
      </c>
      <c r="O170" s="887"/>
      <c r="R170" s="1">
        <v>1995</v>
      </c>
      <c r="S170" s="8">
        <f>(O78*($E78/365))+(O79*($E79/365))</f>
        <v>0</v>
      </c>
      <c r="T170" s="8">
        <f>(P78*($E78/365))+(P79*($E79/365))</f>
        <v>35</v>
      </c>
      <c r="U170" s="8">
        <f>(Q78*($E78/365))+(Q79*($E79/365))</f>
        <v>28.299999999999997</v>
      </c>
      <c r="V170" s="7"/>
      <c r="W170" s="7">
        <f t="shared" si="34"/>
        <v>63.3</v>
      </c>
    </row>
    <row r="171" spans="1:23">
      <c r="A171" s="1">
        <v>1996</v>
      </c>
      <c r="B171" s="8">
        <f>(K80*($E80/366))+(K81*($E81/366))</f>
        <v>0</v>
      </c>
      <c r="C171" s="8">
        <f>(L80*($E80/366))+(L81*($E81/366))</f>
        <v>50</v>
      </c>
      <c r="D171" s="8">
        <f>(M80*($E80/366))+(M81*($E81/366))</f>
        <v>50</v>
      </c>
      <c r="E171" s="48">
        <f t="shared" si="32"/>
        <v>100</v>
      </c>
      <c r="G171" s="1">
        <v>1996</v>
      </c>
      <c r="H171" s="918">
        <f>(O80/$R80*100*($E80/366))+(O81/$R81*100*($E81/366))</f>
        <v>0</v>
      </c>
      <c r="I171" s="918"/>
      <c r="J171" s="918">
        <f>(P80/$R80*100*($E80/366))+(P81/$R81*100*($E81/366))</f>
        <v>55.292259083728283</v>
      </c>
      <c r="K171" s="918"/>
      <c r="L171" s="918">
        <f>(Q80/$R80*100*($E80/366))+(Q81/$R81*100*($E81/366))</f>
        <v>44.707740916271725</v>
      </c>
      <c r="M171" s="918"/>
      <c r="N171" s="887">
        <f t="shared" si="33"/>
        <v>100</v>
      </c>
      <c r="O171" s="887"/>
      <c r="R171" s="1">
        <v>1996</v>
      </c>
      <c r="S171" s="8">
        <f>(O80*($E80/366))+(O81*($E81/366))</f>
        <v>0</v>
      </c>
      <c r="T171" s="8">
        <f>(P80*($E80/366))+(P81*($E81/366))</f>
        <v>35</v>
      </c>
      <c r="U171" s="8">
        <f>(Q80*($E80/366))+(Q81*($E81/366))</f>
        <v>28.3</v>
      </c>
      <c r="V171" s="7"/>
      <c r="W171" s="7">
        <f t="shared" si="34"/>
        <v>63.3</v>
      </c>
    </row>
    <row r="172" spans="1:23">
      <c r="A172" s="1">
        <v>1997</v>
      </c>
      <c r="B172" s="8">
        <f>(K82*($E82/365))+(K83*($E83/365))</f>
        <v>0</v>
      </c>
      <c r="C172" s="8">
        <f>(L82*($E82/365))+(L83*($E83/365))</f>
        <v>50</v>
      </c>
      <c r="D172" s="8">
        <f>(M82*($E82/365))+(M83*($E83/365))</f>
        <v>50</v>
      </c>
      <c r="E172" s="48">
        <f t="shared" si="32"/>
        <v>100</v>
      </c>
      <c r="G172" s="1">
        <v>1997</v>
      </c>
      <c r="H172" s="918">
        <f>(O82/$R82*100*($E82/365))+(O83/$R83*100*($E83/365))</f>
        <v>0</v>
      </c>
      <c r="I172" s="918"/>
      <c r="J172" s="918">
        <f>(P82/$R82*100*($E82/365))+(P83/$R83*100*($E83/365))</f>
        <v>55.292259083728283</v>
      </c>
      <c r="K172" s="918"/>
      <c r="L172" s="918">
        <f>(Q82/$R82*100*($E82/365))+(Q83/$R83*100*($E83/365))</f>
        <v>44.707740916271725</v>
      </c>
      <c r="M172" s="918"/>
      <c r="N172" s="887">
        <f t="shared" si="33"/>
        <v>100</v>
      </c>
      <c r="O172" s="887"/>
      <c r="R172" s="1">
        <v>1997</v>
      </c>
      <c r="S172" s="8">
        <f>(O82*($E82/365))+(O83*($E83/365))</f>
        <v>0</v>
      </c>
      <c r="T172" s="8">
        <f>(P82*($E82/365))+(P83*($E83/365))</f>
        <v>35</v>
      </c>
      <c r="U172" s="8">
        <f>(Q82*($E82/365))+(Q83*($E83/365))</f>
        <v>28.3</v>
      </c>
      <c r="V172" s="7"/>
      <c r="W172" s="7">
        <f t="shared" si="34"/>
        <v>63.3</v>
      </c>
    </row>
    <row r="173" spans="1:23">
      <c r="A173" s="1">
        <v>1998</v>
      </c>
      <c r="B173" s="8">
        <f>(K84*($E84/365))+(K85*($E85/365))</f>
        <v>0</v>
      </c>
      <c r="C173" s="8">
        <f>(L84*($E84/365))+(L85*($E85/365))</f>
        <v>50</v>
      </c>
      <c r="D173" s="8">
        <f>(M84*($E84/365))+(M85*($E85/365))</f>
        <v>50</v>
      </c>
      <c r="E173" s="48">
        <f t="shared" si="32"/>
        <v>100</v>
      </c>
      <c r="G173" s="1">
        <v>1998</v>
      </c>
      <c r="H173" s="918">
        <f>(O84/$R84*100*($E84/365))+(O85/$R85*100*($E85/365))</f>
        <v>0</v>
      </c>
      <c r="I173" s="918"/>
      <c r="J173" s="918">
        <f>(P84/$R84*100*($E84/365))+(P85/$R85*100*($E85/365))</f>
        <v>55.292259083728283</v>
      </c>
      <c r="K173" s="918"/>
      <c r="L173" s="918">
        <f>(Q84/$R84*100*($E84/365))+(Q85/$R85*100*($E85/365))</f>
        <v>44.707740916271725</v>
      </c>
      <c r="M173" s="918"/>
      <c r="N173" s="887">
        <f t="shared" si="33"/>
        <v>100</v>
      </c>
      <c r="O173" s="887"/>
      <c r="R173" s="1">
        <v>1998</v>
      </c>
      <c r="S173" s="8">
        <f>(O84*($E84/365))+(O85*($E85/365))</f>
        <v>0</v>
      </c>
      <c r="T173" s="8">
        <f>(P84*($E84/365))+(P85*($E85/365))</f>
        <v>35</v>
      </c>
      <c r="U173" s="8">
        <f>(Q84*($E84/365))+(Q85*($E85/365))</f>
        <v>28.3</v>
      </c>
      <c r="V173" s="7"/>
      <c r="W173" s="7">
        <f t="shared" si="34"/>
        <v>63.3</v>
      </c>
    </row>
    <row r="174" spans="1:23">
      <c r="A174" s="1">
        <v>1999</v>
      </c>
      <c r="B174" s="8">
        <f>(K86*($E86/365))+(K87*($E87/365))</f>
        <v>15.890410958904111</v>
      </c>
      <c r="C174" s="8">
        <f>(L86*($E86/365))+(L87*($E87/365))</f>
        <v>50</v>
      </c>
      <c r="D174" s="8">
        <f>(M86*($E86/365))+(M87*($E87/365))</f>
        <v>34.109589041095887</v>
      </c>
      <c r="E174" s="48">
        <f t="shared" si="32"/>
        <v>100</v>
      </c>
      <c r="G174" s="1">
        <v>1999</v>
      </c>
      <c r="H174" s="918">
        <f>(O86/$R86*100*($E86/365))+(O87/$R87*100*($E87/365))</f>
        <v>14.012708076635018</v>
      </c>
      <c r="I174" s="918"/>
      <c r="J174" s="918">
        <f>(P86/$R86*100*($E86/365))+(P87/$R87*100*($E87/365))</f>
        <v>55.488038531168655</v>
      </c>
      <c r="K174" s="918"/>
      <c r="L174" s="918">
        <f>(Q86/$R86*100*($E86/365))+(Q87/$R87*100*($E87/365))</f>
        <v>30.499253392196326</v>
      </c>
      <c r="M174" s="918"/>
      <c r="N174" s="887">
        <f t="shared" si="33"/>
        <v>100</v>
      </c>
      <c r="O174" s="887"/>
      <c r="R174" s="1">
        <v>1999</v>
      </c>
      <c r="S174" s="8">
        <f>(O86*($E86/365))+(O87*($E87/365))</f>
        <v>7.9452054794520555</v>
      </c>
      <c r="T174" s="8">
        <f>(P86*($E86/365))+(P87*($E87/365))</f>
        <v>33.951232876712325</v>
      </c>
      <c r="U174" s="8">
        <f>(Q86*($E86/365))+(Q87*($E87/365))</f>
        <v>19.306027397260273</v>
      </c>
      <c r="V174" s="7"/>
      <c r="W174" s="7">
        <f t="shared" si="34"/>
        <v>61.202465753424654</v>
      </c>
    </row>
    <row r="175" spans="1:23">
      <c r="A175" s="1">
        <v>2000</v>
      </c>
      <c r="B175" s="8">
        <f>(K88*($E88/366))+(K89*($E89/366))</f>
        <v>50</v>
      </c>
      <c r="C175" s="8">
        <f>(L88*($E88/366))+(L89*($E89/366))</f>
        <v>50</v>
      </c>
      <c r="D175" s="8">
        <f>(M88*($E88/366))+(M89*($E89/366))</f>
        <v>0</v>
      </c>
      <c r="E175" s="48">
        <f t="shared" si="32"/>
        <v>100</v>
      </c>
      <c r="G175" s="1">
        <v>2000</v>
      </c>
      <c r="H175" s="918">
        <f>(O88/$R88*100*($E88/366))+(O89/$R89*100*($E89/366))</f>
        <v>44.091710758377424</v>
      </c>
      <c r="I175" s="918"/>
      <c r="J175" s="918">
        <f>(P88/$R88*100*($E88/366))+(P89/$R89*100*($E89/366))</f>
        <v>55.908289241622569</v>
      </c>
      <c r="K175" s="918"/>
      <c r="L175" s="918">
        <f>(Q88/$R88*100*($E88/366))+(Q89/$R89*100*($E89/366))</f>
        <v>0</v>
      </c>
      <c r="M175" s="918"/>
      <c r="N175" s="887">
        <f t="shared" si="33"/>
        <v>100</v>
      </c>
      <c r="O175" s="887"/>
      <c r="R175" s="1">
        <v>2000</v>
      </c>
      <c r="S175" s="8">
        <f>(O88*($E88/366))+(O89*($E89/366))</f>
        <v>25</v>
      </c>
      <c r="T175" s="8">
        <f>(P88*($E88/366))+(P89*($E89/366))</f>
        <v>31.7</v>
      </c>
      <c r="U175" s="8">
        <f>(Q88*($E88/366))+(Q89*($E89/366))</f>
        <v>0</v>
      </c>
      <c r="V175" s="7"/>
      <c r="W175" s="7">
        <f t="shared" si="34"/>
        <v>56.7</v>
      </c>
    </row>
    <row r="176" spans="1:23">
      <c r="A176" s="1">
        <v>2001</v>
      </c>
      <c r="B176" s="8">
        <f>(K90*($E90/365))+(K91*($E91/365))</f>
        <v>50</v>
      </c>
      <c r="C176" s="8">
        <f>(L90*($E90/365))+(L91*($E91/365))</f>
        <v>50</v>
      </c>
      <c r="D176" s="8">
        <f>(M90*($E90/365))+(M91*($E91/365))</f>
        <v>0</v>
      </c>
      <c r="E176" s="48">
        <f t="shared" si="32"/>
        <v>100</v>
      </c>
      <c r="G176" s="1">
        <v>2001</v>
      </c>
      <c r="H176" s="918">
        <f>(O90/$R90*100*($E90/365))+(O91/$R91*100*($E91/365))</f>
        <v>44.091710758377424</v>
      </c>
      <c r="I176" s="918"/>
      <c r="J176" s="918">
        <f>(P90/$R90*100*($E90/365))+(P91/$R91*100*($E91/365))</f>
        <v>55.908289241622569</v>
      </c>
      <c r="K176" s="918"/>
      <c r="L176" s="918">
        <f>(Q90/$R90*100*($E90/365))+(Q91/$R91*100*($E91/365))</f>
        <v>0</v>
      </c>
      <c r="M176" s="918"/>
      <c r="N176" s="887">
        <f t="shared" si="33"/>
        <v>100</v>
      </c>
      <c r="O176" s="887"/>
      <c r="R176" s="1">
        <v>2001</v>
      </c>
      <c r="S176" s="8">
        <f>(O90*($E90/365))+(O91*($E91/365))</f>
        <v>25</v>
      </c>
      <c r="T176" s="8">
        <f>(P90*($E90/365))+(P91*($E91/365))</f>
        <v>31.7</v>
      </c>
      <c r="U176" s="8">
        <f>(Q90*($E90/365))+(Q91*($E91/365))</f>
        <v>0</v>
      </c>
      <c r="V176" s="7"/>
      <c r="W176" s="7">
        <f t="shared" si="34"/>
        <v>56.7</v>
      </c>
    </row>
    <row r="177" spans="1:23">
      <c r="A177" s="1">
        <v>2002</v>
      </c>
      <c r="B177" s="8">
        <f>(K92*($E92/365))+(K93*($E93/365))</f>
        <v>50</v>
      </c>
      <c r="C177" s="8">
        <f>(L92*($E92/365))+(L93*($E93/365))</f>
        <v>50</v>
      </c>
      <c r="D177" s="8">
        <f>(M92*($E92/365))+(M93*($E93/365))</f>
        <v>0</v>
      </c>
      <c r="E177" s="48">
        <f t="shared" si="32"/>
        <v>100</v>
      </c>
      <c r="G177" s="1">
        <v>2002</v>
      </c>
      <c r="H177" s="918">
        <f>(O92/$R92*100*($E92/365))+(O93/$R93*100*($E93/365))</f>
        <v>44.091710758377424</v>
      </c>
      <c r="I177" s="918"/>
      <c r="J177" s="918">
        <f>(P92/$R92*100*($E92/365))+(P93/$R93*100*($E93/365))</f>
        <v>55.908289241622569</v>
      </c>
      <c r="K177" s="918"/>
      <c r="L177" s="918">
        <f>(Q92/$R92*100*($E92/365))+(Q93/$R93*100*($E93/365))</f>
        <v>0</v>
      </c>
      <c r="M177" s="918"/>
      <c r="N177" s="887">
        <f t="shared" si="33"/>
        <v>100</v>
      </c>
      <c r="O177" s="887"/>
      <c r="R177" s="1">
        <v>2002</v>
      </c>
      <c r="S177" s="8">
        <f>(O92*($E92/365))+(O93*($E93/365))</f>
        <v>25</v>
      </c>
      <c r="T177" s="8">
        <f>(P92*($E92/365))+(P93*($E93/365))</f>
        <v>31.7</v>
      </c>
      <c r="U177" s="8">
        <f>(Q92*($E92/365))+(Q93*($E93/365))</f>
        <v>0</v>
      </c>
      <c r="V177" s="7"/>
      <c r="W177" s="7">
        <f t="shared" si="34"/>
        <v>56.7</v>
      </c>
    </row>
    <row r="178" spans="1:23">
      <c r="A178" s="1">
        <v>2003</v>
      </c>
      <c r="B178" s="8">
        <f>(K94*($E94/365))+(K95*($E95/365))</f>
        <v>50</v>
      </c>
      <c r="C178" s="8">
        <f>(L94*($E94/365))+(L95*($E95/365))</f>
        <v>50</v>
      </c>
      <c r="D178" s="8">
        <f>(M94*($E94/365))+(M95*($E95/365))</f>
        <v>0</v>
      </c>
      <c r="E178" s="48">
        <f t="shared" si="32"/>
        <v>100</v>
      </c>
      <c r="G178" s="1">
        <v>2003</v>
      </c>
      <c r="H178" s="918">
        <f>(O94/$R94*100*($E94/365))+(O95/$R95*100*($E95/365))</f>
        <v>44.091710758377424</v>
      </c>
      <c r="I178" s="918"/>
      <c r="J178" s="918">
        <f>(P94/$R94*100*($E94/365))+(P95/$R95*100*($E95/365))</f>
        <v>55.908289241622569</v>
      </c>
      <c r="K178" s="918"/>
      <c r="L178" s="918">
        <f>(Q94/$R94*100*($E94/365))+(Q95/$R95*100*($E95/365))</f>
        <v>0</v>
      </c>
      <c r="M178" s="918"/>
      <c r="N178" s="887">
        <f t="shared" si="33"/>
        <v>100</v>
      </c>
      <c r="O178" s="887"/>
      <c r="R178" s="1">
        <v>2003</v>
      </c>
      <c r="S178" s="8">
        <f>(O94*($E94/365))+(O95*($E95/365))</f>
        <v>25</v>
      </c>
      <c r="T178" s="8">
        <f>(P94*($E94/365))+(P95*($E95/365))</f>
        <v>31.7</v>
      </c>
      <c r="U178" s="8">
        <f>(Q94*($E94/365))+(Q95*($E95/365))</f>
        <v>0</v>
      </c>
      <c r="V178" s="7"/>
      <c r="W178" s="7">
        <f t="shared" si="34"/>
        <v>56.7</v>
      </c>
    </row>
    <row r="179" spans="1:23">
      <c r="A179" s="1">
        <v>2004</v>
      </c>
      <c r="B179" s="8">
        <f>(K96*($E96/366))+(K97*($E97/366))</f>
        <v>28.961748633879779</v>
      </c>
      <c r="C179" s="8">
        <f>(L96*($E96/366))+(L97*($E97/366))</f>
        <v>54.207650273224047</v>
      </c>
      <c r="D179" s="8">
        <f>(M96*($E96/366))+(M97*($E97/366))</f>
        <v>16.830601092896174</v>
      </c>
      <c r="E179" s="48">
        <f t="shared" si="32"/>
        <v>100</v>
      </c>
      <c r="G179" s="1">
        <v>2004</v>
      </c>
      <c r="H179" s="918">
        <f>(O96/$R96*100*($E96/366))+(O97/$R97*100*($E97/366))</f>
        <v>25.539460876437197</v>
      </c>
      <c r="I179" s="918"/>
      <c r="J179" s="918">
        <f>(P96/$R96*100*($E96/366))+(P97/$R97*100*($E97/366))</f>
        <v>58.972663710273665</v>
      </c>
      <c r="K179" s="918"/>
      <c r="L179" s="918">
        <f>(Q96/$R96*100*($E96/366))+(Q97/$R97*100*($E97/366))</f>
        <v>15.487875413289137</v>
      </c>
      <c r="M179" s="918"/>
      <c r="N179" s="887">
        <f t="shared" si="33"/>
        <v>99.999999999999986</v>
      </c>
      <c r="O179" s="887"/>
      <c r="R179" s="1">
        <v>2004</v>
      </c>
      <c r="S179" s="8">
        <f>(O96*($E96/366))+(O97*($E97/366))</f>
        <v>14.480874316939889</v>
      </c>
      <c r="T179" s="8">
        <f>(P96*($E96/366))+(P97*($E97/366))</f>
        <v>35.192349726775959</v>
      </c>
      <c r="U179" s="8">
        <f>(Q96*($E96/366))+(Q97*($E97/366))</f>
        <v>9.8038251366120228</v>
      </c>
      <c r="V179" s="7"/>
      <c r="W179" s="7">
        <f t="shared" si="34"/>
        <v>59.477049180327867</v>
      </c>
    </row>
    <row r="180" spans="1:23">
      <c r="A180" s="1">
        <v>2005</v>
      </c>
      <c r="B180" s="8">
        <f>(K98*($E98/365))+(K99*($E99/365))</f>
        <v>0</v>
      </c>
      <c r="C180" s="8">
        <f>(L98*($E98/365))+(L99*($E99/365))</f>
        <v>60</v>
      </c>
      <c r="D180" s="8">
        <f>(M98*($E98/365))+(M99*($E99/365))</f>
        <v>40</v>
      </c>
      <c r="E180" s="48">
        <f t="shared" si="32"/>
        <v>100</v>
      </c>
      <c r="G180" s="1">
        <v>2005</v>
      </c>
      <c r="H180" s="918">
        <f>(O98/$R98*100*($E98/365))+(O99/$R99*100*($E99/365))</f>
        <v>0</v>
      </c>
      <c r="I180" s="918"/>
      <c r="J180" s="918">
        <f>(P98/$R98*100*($E98/365))+(P99/$R99*100*($E99/365))</f>
        <v>63.191153238546605</v>
      </c>
      <c r="K180" s="918"/>
      <c r="L180" s="918">
        <f>(Q98/$R98*100*($E98/365))+(Q99/$R99*100*($E99/365))</f>
        <v>36.808846761453403</v>
      </c>
      <c r="M180" s="918"/>
      <c r="N180" s="887">
        <f t="shared" si="33"/>
        <v>100</v>
      </c>
      <c r="O180" s="887"/>
      <c r="R180" s="1">
        <v>2005</v>
      </c>
      <c r="S180" s="8">
        <f>(O98*($E98/365))+(O99*($E99/365))</f>
        <v>0</v>
      </c>
      <c r="T180" s="8">
        <f>(P98*($E98/365))+(P99*($E99/365))</f>
        <v>40</v>
      </c>
      <c r="U180" s="8">
        <f>(Q98*($E98/365))+(Q99*($E99/365))</f>
        <v>23.3</v>
      </c>
      <c r="V180" s="7"/>
      <c r="W180" s="7">
        <f t="shared" si="34"/>
        <v>63.3</v>
      </c>
    </row>
    <row r="181" spans="1:23">
      <c r="A181" s="1">
        <v>2006</v>
      </c>
      <c r="B181" s="8">
        <f>(K100*($E100/365))+(K101*($E101/365))</f>
        <v>0</v>
      </c>
      <c r="C181" s="8">
        <f>(L100*($E100/365))+(L101*($E101/365))</f>
        <v>60</v>
      </c>
      <c r="D181" s="8">
        <f>(M100*($E100/365))+(M101*($E101/365))</f>
        <v>40</v>
      </c>
      <c r="E181" s="48">
        <f t="shared" si="32"/>
        <v>100</v>
      </c>
      <c r="G181" s="1">
        <v>2006</v>
      </c>
      <c r="H181" s="918">
        <f>(O100/$R100*100*($E100/365))+(O101/$R101*100*($E101/365))</f>
        <v>0</v>
      </c>
      <c r="I181" s="918"/>
      <c r="J181" s="918">
        <f>(P100/$R100*100*($E100/365))+(P101/$R101*100*($E101/365))</f>
        <v>63.191153238546605</v>
      </c>
      <c r="K181" s="918"/>
      <c r="L181" s="918">
        <f>(Q100/$R100*100*($E100/365))+(Q101/$R101*100*($E101/365))</f>
        <v>36.808846761453403</v>
      </c>
      <c r="M181" s="918"/>
      <c r="N181" s="887">
        <f t="shared" si="33"/>
        <v>100</v>
      </c>
      <c r="O181" s="887"/>
      <c r="R181" s="1">
        <v>2006</v>
      </c>
      <c r="S181" s="8">
        <f>(O100*($E100/365))+(O101*($E101/365))</f>
        <v>0</v>
      </c>
      <c r="T181" s="8">
        <f>(P100*($E100/365))+(P101*($E101/365))</f>
        <v>40</v>
      </c>
      <c r="U181" s="8">
        <f>(Q100*($E100/365))+(Q101*($E101/365))</f>
        <v>23.3</v>
      </c>
      <c r="V181" s="7"/>
      <c r="W181" s="7">
        <f t="shared" si="34"/>
        <v>63.3</v>
      </c>
    </row>
    <row r="182" spans="1:23">
      <c r="A182" s="1">
        <v>2007</v>
      </c>
      <c r="B182" s="8">
        <f>(K102*($E102/365))+(K103*($E103/365))</f>
        <v>0</v>
      </c>
      <c r="C182" s="8">
        <f>(L102*($E102/365))+(L103*($E103/365))</f>
        <v>60</v>
      </c>
      <c r="D182" s="8">
        <f>(M102*($E102/365))+(M103*($E103/365))</f>
        <v>40</v>
      </c>
      <c r="E182" s="48">
        <f t="shared" si="32"/>
        <v>100</v>
      </c>
      <c r="G182" s="1">
        <v>2007</v>
      </c>
      <c r="H182" s="918">
        <f>(O102/$R102*100*($E102/365))+(O103/$R103*100*($E103/365))</f>
        <v>0</v>
      </c>
      <c r="I182" s="918"/>
      <c r="J182" s="918">
        <f>(P102/$R102*100*($E102/365))+(P103/$R103*100*($E103/365))</f>
        <v>63.191153238546605</v>
      </c>
      <c r="K182" s="918"/>
      <c r="L182" s="918">
        <f>(Q102/$R102*100*($E102/365))+(Q103/$R103*100*($E103/365))</f>
        <v>36.808846761453403</v>
      </c>
      <c r="M182" s="918"/>
      <c r="N182" s="887">
        <f t="shared" si="33"/>
        <v>100</v>
      </c>
      <c r="O182" s="887"/>
      <c r="R182" s="1">
        <v>2007</v>
      </c>
      <c r="S182" s="8">
        <f>(O102*($E102/365))+(O103*($E103/365))</f>
        <v>0</v>
      </c>
      <c r="T182" s="8">
        <f>(P102*($E102/365))+(P103*($E103/365))</f>
        <v>40</v>
      </c>
      <c r="U182" s="8">
        <f>(Q102*($E102/365))+(Q103*($E103/365))</f>
        <v>23.3</v>
      </c>
      <c r="V182" s="7"/>
      <c r="W182" s="7">
        <f t="shared" si="34"/>
        <v>63.3</v>
      </c>
    </row>
    <row r="183" spans="1:23">
      <c r="A183" s="1">
        <v>2008</v>
      </c>
      <c r="B183" s="8">
        <f>(K104*($E104/366))+(K105*($E105/366))</f>
        <v>0</v>
      </c>
      <c r="C183" s="8">
        <f>(L104*($E104/366))+(L105*($E105/366))</f>
        <v>60</v>
      </c>
      <c r="D183" s="8">
        <f>(M104*($E104/366))+(M105*($E105/366))</f>
        <v>40</v>
      </c>
      <c r="E183" s="48">
        <f t="shared" si="32"/>
        <v>100</v>
      </c>
      <c r="G183" s="1">
        <v>2008</v>
      </c>
      <c r="H183" s="918">
        <f>(O104/$R104*100*($E104/366))+(O105/$R105*100*($E105/366))</f>
        <v>0</v>
      </c>
      <c r="I183" s="918"/>
      <c r="J183" s="918">
        <f>(P104/$R104*100*($E104/366))+(P105/$R105*100*($E105/366))</f>
        <v>63.191153238546605</v>
      </c>
      <c r="K183" s="918"/>
      <c r="L183" s="918">
        <f>(Q104/$R104*100*($E104/366))+(Q105/$R105*100*($E105/366))</f>
        <v>36.808846761453403</v>
      </c>
      <c r="M183" s="918"/>
      <c r="N183" s="887">
        <f t="shared" si="33"/>
        <v>100</v>
      </c>
      <c r="O183" s="887"/>
      <c r="R183" s="1">
        <v>2008</v>
      </c>
      <c r="S183" s="8">
        <f>(O104*($E104/366))+(O105*($E105/366))</f>
        <v>0</v>
      </c>
      <c r="T183" s="8">
        <f>(P104*($E104/366))+(P105*($E105/366))</f>
        <v>40</v>
      </c>
      <c r="U183" s="8">
        <f>(Q104*($E104/366))+(Q105*($E105/366))</f>
        <v>23.3</v>
      </c>
      <c r="V183" s="7"/>
      <c r="W183" s="7">
        <f t="shared" si="34"/>
        <v>63.3</v>
      </c>
    </row>
    <row r="184" spans="1:23">
      <c r="A184" s="1">
        <v>2009</v>
      </c>
      <c r="B184" s="8">
        <f>(K106*($E106/365))+(K107*($E107/365))</f>
        <v>0</v>
      </c>
      <c r="C184" s="8">
        <f>(L106*($E106/365))+(L107*($E107/365))</f>
        <v>60</v>
      </c>
      <c r="D184" s="8">
        <f>(M106*($E106/365))+(M107*($E107/365))</f>
        <v>40</v>
      </c>
      <c r="E184" s="48">
        <f t="shared" si="32"/>
        <v>100</v>
      </c>
      <c r="G184" s="1">
        <v>2009</v>
      </c>
      <c r="H184" s="918">
        <f>(O106/$R106*100*($E106/365))+(O107/$R107*100*($E107/365))</f>
        <v>0</v>
      </c>
      <c r="I184" s="918"/>
      <c r="J184" s="918">
        <f>(P106/$R106*100*($E106/365))+(P107/$R107*100*($E107/365))</f>
        <v>64.710949082513068</v>
      </c>
      <c r="K184" s="918"/>
      <c r="L184" s="918">
        <f>(Q106/$R106*100*($E106/365))+(Q107/$R107*100*($E107/365))</f>
        <v>35.289050917486946</v>
      </c>
      <c r="M184" s="918"/>
      <c r="N184" s="887">
        <f t="shared" si="33"/>
        <v>100.00000000000001</v>
      </c>
      <c r="O184" s="887"/>
      <c r="R184" s="1">
        <v>2009</v>
      </c>
      <c r="S184" s="8">
        <f>(O106*($E106/365))+(O107*($E107/365))</f>
        <v>0</v>
      </c>
      <c r="T184" s="8">
        <f>(P106*($E106/365))+(P107*($E107/365))</f>
        <v>41.46465753424657</v>
      </c>
      <c r="U184" s="8">
        <f>(Q106*($E106/365))+(Q107*($E107/365))</f>
        <v>22.589863013698633</v>
      </c>
      <c r="V184" s="7"/>
      <c r="W184" s="7">
        <f t="shared" si="34"/>
        <v>64.054520547945202</v>
      </c>
    </row>
    <row r="185" spans="1:23">
      <c r="A185" s="1">
        <v>2010</v>
      </c>
      <c r="B185" s="8">
        <f>(K108*($E108/365))+(K109*($E109/365))</f>
        <v>0</v>
      </c>
      <c r="C185" s="8">
        <f>(L108*($E108/365))+(L109*($E109/365))</f>
        <v>60</v>
      </c>
      <c r="D185" s="8">
        <f>(M108*($E108/365))+(M109*($E109/365))</f>
        <v>40</v>
      </c>
      <c r="E185" s="48">
        <f t="shared" si="32"/>
        <v>100</v>
      </c>
      <c r="G185" s="1">
        <v>2010</v>
      </c>
      <c r="H185" s="918">
        <f>(O108/$R108*100*($E108/365))+(O109/$R109*100*($E109/365))</f>
        <v>0</v>
      </c>
      <c r="I185" s="918"/>
      <c r="J185" s="918">
        <f>(P108/$R108*100*($E108/365))+(P109/$R109*100*($E109/365))</f>
        <v>66.615384615384613</v>
      </c>
      <c r="K185" s="918"/>
      <c r="L185" s="918">
        <f>(Q108/$R108*100*($E108/365))+(Q109/$R109*100*($E109/365))</f>
        <v>33.384615384615387</v>
      </c>
      <c r="M185" s="918"/>
      <c r="N185" s="887">
        <f t="shared" si="33"/>
        <v>100</v>
      </c>
      <c r="O185" s="887"/>
      <c r="R185" s="1">
        <v>2010</v>
      </c>
      <c r="S185" s="8">
        <f>(O108*($E108/365))+(O109*($E109/365))</f>
        <v>0</v>
      </c>
      <c r="T185" s="8">
        <f>(P108*($E108/365))+(P109*($E109/365))</f>
        <v>43.3</v>
      </c>
      <c r="U185" s="8">
        <f>(Q108*($E108/365))+(Q109*($E109/365))</f>
        <v>21.7</v>
      </c>
      <c r="V185" s="7"/>
      <c r="W185" s="7">
        <f t="shared" si="34"/>
        <v>65</v>
      </c>
    </row>
    <row r="186" spans="1:23">
      <c r="A186" s="1">
        <v>2011</v>
      </c>
      <c r="B186" s="8">
        <f>(K110*($E110/365))+(K111*($E111/365))</f>
        <v>0</v>
      </c>
      <c r="C186" s="8">
        <f>(L110*($E110/365))+(L111*($E111/365))</f>
        <v>60</v>
      </c>
      <c r="D186" s="8">
        <f>(M110*($E110/365))+(M111*($E111/365))</f>
        <v>40</v>
      </c>
      <c r="E186" s="48">
        <f t="shared" si="32"/>
        <v>100</v>
      </c>
      <c r="G186" s="1">
        <v>2011</v>
      </c>
      <c r="H186" s="918">
        <f>(O110/$R110*100*($E110/365))+(O111/$R111*100*($E111/365))</f>
        <v>0</v>
      </c>
      <c r="I186" s="918"/>
      <c r="J186" s="918">
        <f>(P110/$R110*100*($E110/365))+(P111/$R111*100*($E111/365))</f>
        <v>66.615384615384613</v>
      </c>
      <c r="K186" s="918"/>
      <c r="L186" s="918">
        <f>(Q110/$R110*100*($E110/365))+(Q111/$R111*100*($E111/365))</f>
        <v>33.384615384615387</v>
      </c>
      <c r="M186" s="918"/>
      <c r="N186" s="887">
        <f t="shared" si="33"/>
        <v>100</v>
      </c>
      <c r="O186" s="887"/>
      <c r="R186" s="1">
        <v>2011</v>
      </c>
      <c r="S186" s="8">
        <f>(O110*($E110/365))+(O111*($E111/365))</f>
        <v>0</v>
      </c>
      <c r="T186" s="8">
        <f>(P110*($E110/365))+(P111*($E111/365))</f>
        <v>43.3</v>
      </c>
      <c r="U186" s="8">
        <f>(Q110*($E110/365))+(Q111*($E111/365))</f>
        <v>21.7</v>
      </c>
      <c r="V186" s="7"/>
      <c r="W186" s="7">
        <f t="shared" si="34"/>
        <v>65</v>
      </c>
    </row>
    <row r="187" spans="1:23">
      <c r="A187" s="1">
        <v>2012</v>
      </c>
      <c r="B187" s="8">
        <f>(K112*($E112/366))+(K113*($E113/366))</f>
        <v>0</v>
      </c>
      <c r="C187" s="8">
        <f>(L112*($E112/366))+(L113*($E113/366))</f>
        <v>60</v>
      </c>
      <c r="D187" s="8">
        <f>(M112*($E112/366))+(M113*($E113/366))</f>
        <v>40</v>
      </c>
      <c r="E187" s="48">
        <f t="shared" si="32"/>
        <v>100</v>
      </c>
      <c r="G187" s="1">
        <v>2012</v>
      </c>
      <c r="H187" s="918">
        <f>(O112/$R112*100*($E112/366))+(O113/$R113*100*($E113/366))</f>
        <v>0</v>
      </c>
      <c r="I187" s="918"/>
      <c r="J187" s="918">
        <f>(P112/$R112*100*($E112/366))+(P113/$R113*100*($E113/366))</f>
        <v>66.615384615384613</v>
      </c>
      <c r="K187" s="918"/>
      <c r="L187" s="918">
        <f>(Q112/$R112*100*($E112/366))+(Q113/$R113*100*($E113/366))</f>
        <v>33.384615384615387</v>
      </c>
      <c r="M187" s="918"/>
      <c r="N187" s="887">
        <f t="shared" si="33"/>
        <v>100</v>
      </c>
      <c r="O187" s="887"/>
      <c r="R187" s="1">
        <v>2012</v>
      </c>
      <c r="S187" s="8">
        <f>(O112*($E112/366))+(O113*($E113/366))</f>
        <v>0</v>
      </c>
      <c r="T187" s="8">
        <f>(P112*($E112/366))+(P113*($E113/366))</f>
        <v>43.3</v>
      </c>
      <c r="U187" s="8">
        <f>(Q112*($E112/366))+(Q113*($E113/366))</f>
        <v>21.7</v>
      </c>
      <c r="V187" s="7"/>
      <c r="W187" s="7">
        <f t="shared" si="34"/>
        <v>65</v>
      </c>
    </row>
    <row r="188" spans="1:23">
      <c r="A188" s="1">
        <v>2013</v>
      </c>
      <c r="B188" s="8">
        <f>(K114*($E114/365))+(K115*($E115/365))</f>
        <v>2.9832572298325726</v>
      </c>
      <c r="C188" s="8">
        <f>(L114*($E114/365))+(L115*($E115/365))</f>
        <v>55.397260273972599</v>
      </c>
      <c r="D188" s="8">
        <f>(M114*($E114/365))+(M115*($E115/365))</f>
        <v>41.619482496194827</v>
      </c>
      <c r="E188" s="270">
        <f t="shared" si="32"/>
        <v>100</v>
      </c>
      <c r="G188" s="1">
        <v>2013</v>
      </c>
      <c r="H188" s="918">
        <f>(O114/$R114*100*($E114/365))+(O115/$R115*100*($E115/365))</f>
        <v>3.1173362064542611</v>
      </c>
      <c r="I188" s="918"/>
      <c r="J188" s="918">
        <f>(P114/$R114*100*($E114/365))+(P115/$R115*100*($E115/365))</f>
        <v>61.50516332982086</v>
      </c>
      <c r="K188" s="918"/>
      <c r="L188" s="918">
        <f>(Q114/$R114*100*($E114/365))+(Q115/$R115*100*($E115/365))</f>
        <v>35.377500463724878</v>
      </c>
      <c r="M188" s="918"/>
      <c r="N188" s="887">
        <f>H188+J188+L188</f>
        <v>100</v>
      </c>
      <c r="O188" s="887"/>
      <c r="R188" s="1">
        <v>2013</v>
      </c>
      <c r="S188" s="8">
        <f>(O114*($E114/365))+(O115*($E115/365))</f>
        <v>1.6646575342465755</v>
      </c>
      <c r="T188" s="8">
        <f>(P114*($E114/365))+(P115*($E115/365))</f>
        <v>39.978356164383555</v>
      </c>
      <c r="U188" s="8">
        <f>(Q114*($E114/365))+(Q115*($E115/365))</f>
        <v>22.467123287671232</v>
      </c>
      <c r="W188" s="7">
        <f t="shared" si="34"/>
        <v>64.110136986301356</v>
      </c>
    </row>
    <row r="189" spans="1:23">
      <c r="A189" s="1">
        <v>2014</v>
      </c>
      <c r="B189" s="8">
        <f>(K116*($E116/365))+(K117*($E117/365))</f>
        <v>38.888888888888893</v>
      </c>
      <c r="C189" s="8">
        <f>(L116*($E116/365))+(L117*($E117/365))</f>
        <v>0</v>
      </c>
      <c r="D189" s="8">
        <f>(M116*($E116/365))+(M117*($E117/365))</f>
        <v>61.111111111111114</v>
      </c>
      <c r="E189" s="467">
        <f>B189+C189+D189</f>
        <v>100</v>
      </c>
      <c r="G189" s="1">
        <v>2014</v>
      </c>
      <c r="H189" s="918">
        <f>(O116/$R116*100*($E116/365))+(O117/$R117*100*($E117/365))</f>
        <v>40.636704119850187</v>
      </c>
      <c r="I189" s="918"/>
      <c r="J189" s="918">
        <f>(P116/$R116*100*($E116/365))+(P117/$R117*100*($E117/365))</f>
        <v>0</v>
      </c>
      <c r="K189" s="918"/>
      <c r="L189" s="918">
        <f>(Q116/$R116*100*($E116/365))+(Q117/$R117*100*($E117/365))</f>
        <v>59.363295880149813</v>
      </c>
      <c r="M189" s="918"/>
      <c r="N189" s="887">
        <f>H189+J189+L189</f>
        <v>100</v>
      </c>
      <c r="O189" s="887"/>
      <c r="R189" s="1">
        <v>2014</v>
      </c>
      <c r="S189" s="8">
        <f>(O116*($E116/365))+(O117*($E117/365))</f>
        <v>21.7</v>
      </c>
      <c r="T189" s="8">
        <f>(P116*($E116/365))+(P117*($E117/365))</f>
        <v>0</v>
      </c>
      <c r="U189" s="8">
        <f>(Q116*($E116/365))+(Q117*($E117/365))</f>
        <v>31.7</v>
      </c>
      <c r="W189" s="7">
        <f>S189+T189+U189</f>
        <v>53.4</v>
      </c>
    </row>
    <row r="190" spans="1:23" s="611" customFormat="1">
      <c r="A190" s="611">
        <v>2015</v>
      </c>
      <c r="B190" s="605">
        <f>(K118*($E118/365))+(K119*($E119/365))</f>
        <v>38.888888888888893</v>
      </c>
      <c r="C190" s="605">
        <f>(L118*($E118/365))+(L119*($E119/365))</f>
        <v>0</v>
      </c>
      <c r="D190" s="605">
        <f>(M118*($E118/365))+(M119*($E119/365))</f>
        <v>61.111111111111114</v>
      </c>
      <c r="E190" s="606">
        <f>B190+C190+D190</f>
        <v>100</v>
      </c>
      <c r="G190" s="611">
        <v>2015</v>
      </c>
      <c r="H190" s="918">
        <f>(O118/$R118*100*($E118/365))+(O119/$R119*100*($E119/365))</f>
        <v>40.636704119850187</v>
      </c>
      <c r="I190" s="918"/>
      <c r="J190" s="918">
        <f>(P118/$R118*100*($E118/365))+(P119/$R119*100*($E119/365))</f>
        <v>0</v>
      </c>
      <c r="K190" s="918"/>
      <c r="L190" s="918">
        <f>(Q118/$R118*100*($E118/365))+(Q119/$R119*100*($E119/365))</f>
        <v>59.363295880149813</v>
      </c>
      <c r="M190" s="918"/>
      <c r="N190" s="887">
        <f>H190+J190+L190</f>
        <v>100</v>
      </c>
      <c r="O190" s="887"/>
      <c r="R190" s="611">
        <v>2015</v>
      </c>
      <c r="S190" s="605">
        <f>(O118*($E118/365))+(O119*($E119/365))</f>
        <v>21.7</v>
      </c>
      <c r="T190" s="605">
        <f>(P118*($E118/365))+(P119*($E119/365))</f>
        <v>0</v>
      </c>
      <c r="U190" s="605">
        <f>(Q118*($E118/365))+(Q119*($E119/365))</f>
        <v>31.7</v>
      </c>
      <c r="W190" s="610">
        <f>S190+T190+U190</f>
        <v>53.4</v>
      </c>
    </row>
    <row r="191" spans="1:23" s="690" customFormat="1">
      <c r="A191" s="690">
        <v>2016</v>
      </c>
      <c r="B191" s="684">
        <f>(K120*($E120/366))+(K121*($E121/366))</f>
        <v>38.888888888888893</v>
      </c>
      <c r="C191" s="684">
        <f>(L120*($E120/366))+(L121*($E121/366))</f>
        <v>0</v>
      </c>
      <c r="D191" s="684">
        <f>(M120*($E120/366))+(M121*($E121/366))</f>
        <v>61.111111111111114</v>
      </c>
      <c r="E191" s="685">
        <f>B191+C191+D191</f>
        <v>100</v>
      </c>
      <c r="G191" s="690">
        <v>2016</v>
      </c>
      <c r="H191" s="918">
        <f>(O120/$R120*100*($E120/366))+(O121/$R121*100*($E121/366))</f>
        <v>40.636704119850187</v>
      </c>
      <c r="I191" s="918"/>
      <c r="J191" s="918">
        <f>(P120/$R120*100*($E120/366))+(P121/$R121*100*($E121/366))</f>
        <v>0</v>
      </c>
      <c r="K191" s="918"/>
      <c r="L191" s="918">
        <f>(Q120/$R120*100*($E120/366))+(Q121/$R121*100*($E121/366))</f>
        <v>59.363295880149813</v>
      </c>
      <c r="M191" s="918"/>
      <c r="N191" s="887">
        <f>H191+J191+L191</f>
        <v>100</v>
      </c>
      <c r="O191" s="887"/>
      <c r="R191" s="690">
        <v>2016</v>
      </c>
      <c r="S191" s="684">
        <f>(O120*($E120/366))+(O121*($E121/366))</f>
        <v>21.7</v>
      </c>
      <c r="T191" s="684">
        <f>(P120*($E120/366))+(P121*($E121/366))</f>
        <v>0</v>
      </c>
      <c r="U191" s="684">
        <f>(Q120*($E120/366))+(Q121*($E121/366))</f>
        <v>31.7</v>
      </c>
      <c r="W191" s="688">
        <f>S191+T191+U191</f>
        <v>53.4</v>
      </c>
    </row>
    <row r="192" spans="1:23">
      <c r="A192" s="749">
        <v>2017</v>
      </c>
      <c r="B192" s="744">
        <f>(K122*($E122/365))+(K123*($E123/365))</f>
        <v>38.888888888888893</v>
      </c>
      <c r="C192" s="744">
        <f t="shared" ref="C192:D192" si="35">(L122*($E122/365))+(L123*($E123/365))</f>
        <v>0</v>
      </c>
      <c r="D192" s="744">
        <f t="shared" si="35"/>
        <v>61.111111111111114</v>
      </c>
      <c r="E192" s="745">
        <f>B192+C192+D192</f>
        <v>100</v>
      </c>
      <c r="F192" s="749"/>
      <c r="G192" s="749">
        <v>2017</v>
      </c>
      <c r="H192" s="918">
        <f>(O122/$R122*100*($E122/365))+(O123/$R123*100*($E123/365))</f>
        <v>40.636704119850187</v>
      </c>
      <c r="I192" s="918"/>
      <c r="J192" s="918">
        <f>(P122/$R122*100*($E122/365))+(P123/$R123*100*($E123/365))</f>
        <v>0</v>
      </c>
      <c r="K192" s="918"/>
      <c r="L192" s="918">
        <f>(Q122/$R122*100*($E122/365))+(Q123/$R123*100*($E123/365))</f>
        <v>59.363295880149813</v>
      </c>
      <c r="M192" s="918"/>
      <c r="N192" s="887">
        <f>H192+J192+L192</f>
        <v>100</v>
      </c>
      <c r="O192" s="887"/>
      <c r="P192" s="749"/>
      <c r="Q192" s="749"/>
      <c r="R192" s="749">
        <v>2017</v>
      </c>
      <c r="S192" s="744">
        <f>(O122*($E122/365))+(O123*($E123/365))</f>
        <v>21.7</v>
      </c>
      <c r="T192" s="744">
        <f t="shared" ref="T192:U192" si="36">(P122*($E122/365))+(P123*($E123/365))</f>
        <v>0</v>
      </c>
      <c r="U192" s="744">
        <f t="shared" si="36"/>
        <v>31.7</v>
      </c>
      <c r="V192" s="744"/>
      <c r="W192" s="746">
        <f>S192+T192+U192</f>
        <v>53.4</v>
      </c>
    </row>
    <row r="193" spans="1:23">
      <c r="A193" s="775">
        <v>2018</v>
      </c>
      <c r="B193" s="772">
        <f>(K124*($E124/365))+(K125*($E125/365))</f>
        <v>38.622974303876802</v>
      </c>
      <c r="C193" s="772">
        <f>(L124*($E124/365))+(L125*($E125/365))</f>
        <v>0</v>
      </c>
      <c r="D193" s="772">
        <f>(M124*($E124/365))+(M125*($E125/365))</f>
        <v>61.377025696123198</v>
      </c>
      <c r="E193" s="773">
        <f t="shared" ref="E193" si="37">B193+C193+D193</f>
        <v>100</v>
      </c>
      <c r="F193" s="775"/>
      <c r="G193" s="775">
        <v>2018</v>
      </c>
      <c r="H193" s="918">
        <f>(O124/$R124*100*($E124/365))+(O125/$R125*100*($E125/365))</f>
        <v>40.497856494291341</v>
      </c>
      <c r="I193" s="918"/>
      <c r="J193" s="918">
        <f>(P124/$R124*100*($E124/365))+(P125/$R125*100*($E125/365))</f>
        <v>0</v>
      </c>
      <c r="K193" s="918"/>
      <c r="L193" s="918">
        <f>(Q124/$R124*100*($E124/365))+(Q125/$R125*100*($E125/365))</f>
        <v>59.502143505708659</v>
      </c>
      <c r="M193" s="918"/>
      <c r="N193" s="887">
        <f t="shared" ref="N193" si="38">H193+J193+L193</f>
        <v>100</v>
      </c>
      <c r="O193" s="887"/>
      <c r="P193" s="775"/>
      <c r="Q193" s="775"/>
      <c r="R193" s="775">
        <v>2018</v>
      </c>
      <c r="S193" s="772">
        <f>(O124*($E124/365))+(O125*($E125/365))</f>
        <v>21.574246575342464</v>
      </c>
      <c r="T193" s="772">
        <f>(P124*($E124/365))+(P125*($E125/365))</f>
        <v>0</v>
      </c>
      <c r="U193" s="772">
        <f>(Q124*($E124/365))+(Q125*($E125/365))</f>
        <v>31.692602739726023</v>
      </c>
      <c r="V193" s="772"/>
      <c r="W193" s="774">
        <f t="shared" ref="W193" si="39">S193+T193+U193</f>
        <v>53.266849315068484</v>
      </c>
    </row>
    <row r="194" spans="1:23">
      <c r="A194" s="802">
        <v>2019</v>
      </c>
      <c r="B194" s="798">
        <f>(K126*($E126/365))+(K127*($E127/365))</f>
        <v>35.294117647058826</v>
      </c>
      <c r="C194" s="798">
        <f>(L126*($E126/365))+(L127*($E127/365))</f>
        <v>0</v>
      </c>
      <c r="D194" s="798">
        <f>(M126*($E126/365))+(M127*($E127/365))</f>
        <v>64.705882352941174</v>
      </c>
      <c r="E194" s="797">
        <f t="shared" ref="E194" si="40">B194+C194+D194</f>
        <v>100</v>
      </c>
      <c r="F194" s="802"/>
      <c r="G194" s="802">
        <v>2019</v>
      </c>
      <c r="H194" s="918">
        <f>(O126/$R126*100*($E126/365))+(O127/$R127*100*($E127/365))</f>
        <v>38.759689922480618</v>
      </c>
      <c r="I194" s="918"/>
      <c r="J194" s="918">
        <f>(P126/$R126*100*($E126/365))+(P127/$R127*100*($E127/365))</f>
        <v>0</v>
      </c>
      <c r="K194" s="918"/>
      <c r="L194" s="918">
        <f>(Q126/$R126*100*($E126/365))+(Q127/$R127*100*($E127/365))</f>
        <v>61.240310077519375</v>
      </c>
      <c r="M194" s="918"/>
      <c r="N194" s="887">
        <f t="shared" ref="N194" si="41">H194+J194+L194</f>
        <v>100</v>
      </c>
      <c r="O194" s="887"/>
      <c r="P194" s="802"/>
      <c r="Q194" s="802"/>
      <c r="R194" s="802">
        <v>2019</v>
      </c>
      <c r="S194" s="798">
        <f>(O126*($E126/365))+(O127*($E127/365))</f>
        <v>20</v>
      </c>
      <c r="T194" s="798">
        <f>(P126*($E126/365))+(P127*($E127/365))</f>
        <v>0</v>
      </c>
      <c r="U194" s="798">
        <f>(Q126*($E126/365))+(Q127*($E127/365))</f>
        <v>31.6</v>
      </c>
      <c r="V194" s="798"/>
      <c r="W194" s="801">
        <f t="shared" ref="W194" si="42">S194+T194+U194</f>
        <v>51.6</v>
      </c>
    </row>
    <row r="195" spans="1:23">
      <c r="A195" s="802"/>
      <c r="F195" s="802"/>
      <c r="G195" s="802"/>
      <c r="P195" s="802"/>
      <c r="Q195" s="802"/>
      <c r="R195" s="802"/>
    </row>
  </sheetData>
  <mergeCells count="392">
    <mergeCell ref="C126:D126"/>
    <mergeCell ref="C127:D127"/>
    <mergeCell ref="H194:I194"/>
    <mergeCell ref="J194:K194"/>
    <mergeCell ref="L194:M194"/>
    <mergeCell ref="N194:O194"/>
    <mergeCell ref="H192:I192"/>
    <mergeCell ref="J192:K192"/>
    <mergeCell ref="L192:M192"/>
    <mergeCell ref="N192:O192"/>
    <mergeCell ref="J147:K147"/>
    <mergeCell ref="L147:M147"/>
    <mergeCell ref="N147:O147"/>
    <mergeCell ref="H148:I148"/>
    <mergeCell ref="J148:K148"/>
    <mergeCell ref="L148:M148"/>
    <mergeCell ref="N148:O148"/>
    <mergeCell ref="J149:K149"/>
    <mergeCell ref="L149:M149"/>
    <mergeCell ref="N149:O149"/>
    <mergeCell ref="H150:I150"/>
    <mergeCell ref="J150:K150"/>
    <mergeCell ref="L150:M150"/>
    <mergeCell ref="H153:I153"/>
    <mergeCell ref="C122:D122"/>
    <mergeCell ref="C123:D123"/>
    <mergeCell ref="H191:I191"/>
    <mergeCell ref="J191:K191"/>
    <mergeCell ref="L191:M191"/>
    <mergeCell ref="N191:O191"/>
    <mergeCell ref="N141:O141"/>
    <mergeCell ref="N142:O142"/>
    <mergeCell ref="N139:O139"/>
    <mergeCell ref="H140:I140"/>
    <mergeCell ref="J140:K140"/>
    <mergeCell ref="L140:M140"/>
    <mergeCell ref="N140:O140"/>
    <mergeCell ref="H145:I145"/>
    <mergeCell ref="J145:K145"/>
    <mergeCell ref="L145:M145"/>
    <mergeCell ref="N145:O145"/>
    <mergeCell ref="H146:I146"/>
    <mergeCell ref="J146:K146"/>
    <mergeCell ref="L146:M146"/>
    <mergeCell ref="N146:O146"/>
    <mergeCell ref="H143:I143"/>
    <mergeCell ref="N150:O150"/>
    <mergeCell ref="H147:I147"/>
    <mergeCell ref="C118:D118"/>
    <mergeCell ref="C119:D119"/>
    <mergeCell ref="H190:I190"/>
    <mergeCell ref="J190:K190"/>
    <mergeCell ref="L190:M190"/>
    <mergeCell ref="N190:O190"/>
    <mergeCell ref="H189:I189"/>
    <mergeCell ref="J189:K189"/>
    <mergeCell ref="L189:M189"/>
    <mergeCell ref="N189:O189"/>
    <mergeCell ref="J143:K143"/>
    <mergeCell ref="L143:M143"/>
    <mergeCell ref="N143:O143"/>
    <mergeCell ref="H144:I144"/>
    <mergeCell ref="J144:K144"/>
    <mergeCell ref="L144:M144"/>
    <mergeCell ref="N144:O144"/>
    <mergeCell ref="H149:I149"/>
    <mergeCell ref="N188:O188"/>
    <mergeCell ref="N134:O134"/>
    <mergeCell ref="N136:O136"/>
    <mergeCell ref="H137:I137"/>
    <mergeCell ref="N137:O137"/>
    <mergeCell ref="N138:O138"/>
    <mergeCell ref="C114:D114"/>
    <mergeCell ref="C115:D115"/>
    <mergeCell ref="H188:I188"/>
    <mergeCell ref="J188:K188"/>
    <mergeCell ref="L188:M188"/>
    <mergeCell ref="J134:K134"/>
    <mergeCell ref="L134:M134"/>
    <mergeCell ref="H136:I136"/>
    <mergeCell ref="J136:K136"/>
    <mergeCell ref="L136:M136"/>
    <mergeCell ref="J137:K137"/>
    <mergeCell ref="L137:M137"/>
    <mergeCell ref="H138:I138"/>
    <mergeCell ref="J138:K138"/>
    <mergeCell ref="L138:M138"/>
    <mergeCell ref="H141:I141"/>
    <mergeCell ref="J141:K141"/>
    <mergeCell ref="L141:M141"/>
    <mergeCell ref="H142:I142"/>
    <mergeCell ref="J142:K142"/>
    <mergeCell ref="L142:M142"/>
    <mergeCell ref="H139:I139"/>
    <mergeCell ref="J139:K139"/>
    <mergeCell ref="L139:M139"/>
    <mergeCell ref="C116:D116"/>
    <mergeCell ref="C117:D117"/>
    <mergeCell ref="C120:D120"/>
    <mergeCell ref="C121:D12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C107:D107"/>
    <mergeCell ref="C108:D108"/>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31:W131"/>
    <mergeCell ref="H133:I133"/>
    <mergeCell ref="J133:K133"/>
    <mergeCell ref="L133:M133"/>
    <mergeCell ref="N133:O133"/>
    <mergeCell ref="H135:I135"/>
    <mergeCell ref="J135:K135"/>
    <mergeCell ref="L135:M135"/>
    <mergeCell ref="N135:O135"/>
    <mergeCell ref="H134:I134"/>
    <mergeCell ref="J153:K153"/>
    <mergeCell ref="L153:M153"/>
    <mergeCell ref="N153:O153"/>
    <mergeCell ref="H154:I154"/>
    <mergeCell ref="J154:K154"/>
    <mergeCell ref="L154:M154"/>
    <mergeCell ref="N154:O154"/>
    <mergeCell ref="H151:I151"/>
    <mergeCell ref="J151:K151"/>
    <mergeCell ref="L151:M151"/>
    <mergeCell ref="N151:O151"/>
    <mergeCell ref="H152:I152"/>
    <mergeCell ref="J152:K152"/>
    <mergeCell ref="L152:M152"/>
    <mergeCell ref="N152:O152"/>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69:I169"/>
    <mergeCell ref="H170:I170"/>
    <mergeCell ref="H171:I171"/>
    <mergeCell ref="H172:I172"/>
    <mergeCell ref="H173:I173"/>
    <mergeCell ref="H174:I174"/>
    <mergeCell ref="H163:I163"/>
    <mergeCell ref="H164:I164"/>
    <mergeCell ref="H165:I165"/>
    <mergeCell ref="H166:I166"/>
    <mergeCell ref="H167:I167"/>
    <mergeCell ref="H168:I168"/>
    <mergeCell ref="H181:I181"/>
    <mergeCell ref="H182:I182"/>
    <mergeCell ref="H183:I183"/>
    <mergeCell ref="H184:I184"/>
    <mergeCell ref="H185:I185"/>
    <mergeCell ref="H186:I186"/>
    <mergeCell ref="H175:I175"/>
    <mergeCell ref="H176:I176"/>
    <mergeCell ref="H177:I177"/>
    <mergeCell ref="H178:I178"/>
    <mergeCell ref="H179:I179"/>
    <mergeCell ref="H180:I180"/>
    <mergeCell ref="J169:K169"/>
    <mergeCell ref="J170:K170"/>
    <mergeCell ref="J171:K171"/>
    <mergeCell ref="J172:K172"/>
    <mergeCell ref="J173:K173"/>
    <mergeCell ref="J174:K174"/>
    <mergeCell ref="J163:K163"/>
    <mergeCell ref="J164:K164"/>
    <mergeCell ref="J165:K165"/>
    <mergeCell ref="J166:K166"/>
    <mergeCell ref="J167:K167"/>
    <mergeCell ref="J168:K168"/>
    <mergeCell ref="N172:O172"/>
    <mergeCell ref="N173:O173"/>
    <mergeCell ref="J187:K187"/>
    <mergeCell ref="L163:M163"/>
    <mergeCell ref="L164:M164"/>
    <mergeCell ref="L165:M165"/>
    <mergeCell ref="L166:M166"/>
    <mergeCell ref="L167:M167"/>
    <mergeCell ref="L168:M168"/>
    <mergeCell ref="L169:M169"/>
    <mergeCell ref="L170:M170"/>
    <mergeCell ref="L171:M171"/>
    <mergeCell ref="J181:K181"/>
    <mergeCell ref="J182:K182"/>
    <mergeCell ref="J183:K183"/>
    <mergeCell ref="J184:K184"/>
    <mergeCell ref="J185:K185"/>
    <mergeCell ref="J186:K186"/>
    <mergeCell ref="J175:K175"/>
    <mergeCell ref="J176:K176"/>
    <mergeCell ref="J177:K177"/>
    <mergeCell ref="J178:K178"/>
    <mergeCell ref="J179:K179"/>
    <mergeCell ref="J180:K180"/>
    <mergeCell ref="C124:D124"/>
    <mergeCell ref="C125:D125"/>
    <mergeCell ref="H193:I193"/>
    <mergeCell ref="J193:K193"/>
    <mergeCell ref="L193:M193"/>
    <mergeCell ref="N193:O193"/>
    <mergeCell ref="AT4:AW4"/>
    <mergeCell ref="L187:M187"/>
    <mergeCell ref="N163:O163"/>
    <mergeCell ref="N164:O164"/>
    <mergeCell ref="N165:O165"/>
    <mergeCell ref="N166:O166"/>
    <mergeCell ref="N167:O167"/>
    <mergeCell ref="N168:O168"/>
    <mergeCell ref="L178:M178"/>
    <mergeCell ref="L179:M179"/>
    <mergeCell ref="L182:M182"/>
    <mergeCell ref="L183:M183"/>
    <mergeCell ref="L172:M172"/>
    <mergeCell ref="L173:M173"/>
    <mergeCell ref="L174:M174"/>
    <mergeCell ref="L175:M175"/>
    <mergeCell ref="L176:M176"/>
    <mergeCell ref="L177:M177"/>
    <mergeCell ref="AX4:BA4"/>
    <mergeCell ref="H187:I187"/>
    <mergeCell ref="N187:O187"/>
    <mergeCell ref="N181:O181"/>
    <mergeCell ref="N182:O182"/>
    <mergeCell ref="N183:O183"/>
    <mergeCell ref="N184:O184"/>
    <mergeCell ref="N185:O185"/>
    <mergeCell ref="N186:O186"/>
    <mergeCell ref="L184:M184"/>
    <mergeCell ref="L185:M185"/>
    <mergeCell ref="N175:O175"/>
    <mergeCell ref="N176:O176"/>
    <mergeCell ref="N177:O177"/>
    <mergeCell ref="N178:O178"/>
    <mergeCell ref="N179:O179"/>
    <mergeCell ref="N180:O180"/>
    <mergeCell ref="N174:O174"/>
    <mergeCell ref="L186:M186"/>
    <mergeCell ref="L180:M180"/>
    <mergeCell ref="L181:M181"/>
    <mergeCell ref="N169:O169"/>
    <mergeCell ref="N170:O170"/>
    <mergeCell ref="N171:O17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A175"/>
  <sheetViews>
    <sheetView zoomScale="183" zoomScaleNormal="120" workbookViewId="0">
      <pane xSplit="1" ySplit="5" topLeftCell="B6" activePane="bottomRight" state="frozen"/>
      <selection pane="topRight" activeCell="B1" sqref="B1"/>
      <selection pane="bottomLeft" activeCell="A6" sqref="A6"/>
      <selection pane="bottomRight" activeCell="T113" sqref="T6:U113"/>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62</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6" customFormat="1">
      <c r="A6" s="416">
        <v>1966</v>
      </c>
      <c r="B6" s="836"/>
      <c r="C6" s="916"/>
      <c r="D6" s="916"/>
      <c r="E6" s="416">
        <v>90</v>
      </c>
      <c r="F6" s="416"/>
      <c r="G6" s="425"/>
      <c r="H6" s="416"/>
      <c r="I6" s="416"/>
      <c r="J6" s="427"/>
      <c r="K6" s="423"/>
      <c r="L6" s="423"/>
      <c r="M6" s="423"/>
      <c r="N6" s="426"/>
      <c r="O6" s="422"/>
      <c r="P6" s="423"/>
      <c r="Q6" s="423"/>
      <c r="R6" s="424"/>
      <c r="S6" s="416"/>
      <c r="T6" s="838"/>
      <c r="U6" s="836"/>
      <c r="V6" s="417"/>
      <c r="W6" s="416"/>
      <c r="X6" s="416"/>
      <c r="Y6" s="429"/>
      <c r="Z6" s="416"/>
      <c r="AA6" s="416"/>
      <c r="AB6" s="416"/>
      <c r="AC6" s="416"/>
      <c r="AD6" s="417"/>
      <c r="AE6" s="416"/>
      <c r="AF6" s="416"/>
      <c r="AG6" s="418"/>
      <c r="AH6" s="416"/>
      <c r="AI6" s="416"/>
      <c r="AJ6" s="416"/>
      <c r="AK6" s="416"/>
      <c r="AL6" s="417"/>
      <c r="AM6" s="416"/>
      <c r="AN6" s="416"/>
      <c r="AO6" s="418"/>
      <c r="AP6" s="417"/>
      <c r="AQ6" s="416"/>
      <c r="AR6" s="416"/>
      <c r="AS6" s="418"/>
      <c r="AT6" s="416"/>
      <c r="AU6" s="416"/>
      <c r="AV6" s="416"/>
      <c r="AW6" s="418"/>
      <c r="AX6" s="416"/>
      <c r="AY6" s="416"/>
      <c r="AZ6" s="416"/>
      <c r="BA6" s="419"/>
    </row>
    <row r="7" spans="1:53" s="16" customFormat="1">
      <c r="A7" s="404">
        <v>1966</v>
      </c>
      <c r="B7" s="852">
        <v>24198</v>
      </c>
      <c r="C7" s="917" t="s">
        <v>1276</v>
      </c>
      <c r="D7" s="917"/>
      <c r="E7" s="404">
        <f>365-E6</f>
        <v>275</v>
      </c>
      <c r="F7" s="404">
        <v>1</v>
      </c>
      <c r="G7" s="411"/>
      <c r="H7" s="404">
        <v>8</v>
      </c>
      <c r="I7" s="404"/>
      <c r="J7" s="413">
        <v>8</v>
      </c>
      <c r="K7" s="409">
        <f t="shared" ref="K7:K38" si="0">G7/J7*100</f>
        <v>0</v>
      </c>
      <c r="L7" s="409">
        <f t="shared" ref="L7:L38" si="1">H7/J7*100</f>
        <v>100</v>
      </c>
      <c r="M7" s="409">
        <f t="shared" ref="M7:M38" si="2">I7/J7*100</f>
        <v>0</v>
      </c>
      <c r="N7" s="412">
        <f t="shared" ref="N7:N38" si="3">K7+L7+M7</f>
        <v>100</v>
      </c>
      <c r="O7" s="408"/>
      <c r="P7" s="409">
        <v>56</v>
      </c>
      <c r="Q7" s="409"/>
      <c r="R7" s="410">
        <f t="shared" ref="R7:R38" si="4">O7+P7+Q7</f>
        <v>56</v>
      </c>
      <c r="S7" s="404">
        <v>1</v>
      </c>
      <c r="T7" s="839">
        <v>24194</v>
      </c>
      <c r="U7" s="852"/>
      <c r="V7" s="405" t="s">
        <v>986</v>
      </c>
      <c r="W7" s="404" t="s">
        <v>17</v>
      </c>
      <c r="X7" s="404" t="s">
        <v>18</v>
      </c>
      <c r="Y7" s="415">
        <v>56</v>
      </c>
      <c r="Z7" s="404"/>
      <c r="AA7" s="404"/>
      <c r="AB7" s="404"/>
      <c r="AC7" s="404"/>
      <c r="AD7" s="405"/>
      <c r="AE7" s="404"/>
      <c r="AF7" s="404"/>
      <c r="AG7" s="406"/>
      <c r="AH7" s="404"/>
      <c r="AI7" s="404"/>
      <c r="AJ7" s="404"/>
      <c r="AK7" s="404"/>
      <c r="AL7" s="405"/>
      <c r="AM7" s="404"/>
      <c r="AN7" s="404"/>
      <c r="AO7" s="406"/>
      <c r="AP7" s="405"/>
      <c r="AQ7" s="404"/>
      <c r="AR7" s="404"/>
      <c r="AS7" s="406"/>
      <c r="AT7" s="404"/>
      <c r="AU7" s="404"/>
      <c r="AV7" s="404"/>
      <c r="AW7" s="406"/>
      <c r="AX7" s="404"/>
      <c r="AY7" s="404"/>
      <c r="AZ7" s="404"/>
      <c r="BA7" s="407"/>
    </row>
    <row r="8" spans="1:53" s="16" customFormat="1">
      <c r="A8" s="404">
        <v>1967</v>
      </c>
      <c r="B8" s="852"/>
      <c r="C8" s="917" t="s">
        <v>1276</v>
      </c>
      <c r="D8" s="917"/>
      <c r="E8" s="404">
        <v>0</v>
      </c>
      <c r="F8" s="404"/>
      <c r="G8" s="411"/>
      <c r="H8" s="404">
        <v>8</v>
      </c>
      <c r="I8" s="404"/>
      <c r="J8" s="413">
        <v>8</v>
      </c>
      <c r="K8" s="409">
        <f t="shared" si="0"/>
        <v>0</v>
      </c>
      <c r="L8" s="409">
        <f t="shared" si="1"/>
        <v>100</v>
      </c>
      <c r="M8" s="409">
        <f t="shared" si="2"/>
        <v>0</v>
      </c>
      <c r="N8" s="412">
        <f t="shared" si="3"/>
        <v>100</v>
      </c>
      <c r="O8" s="408"/>
      <c r="P8" s="409">
        <v>56</v>
      </c>
      <c r="Q8" s="409"/>
      <c r="R8" s="410">
        <f t="shared" si="4"/>
        <v>56</v>
      </c>
      <c r="S8" s="404">
        <v>1</v>
      </c>
      <c r="T8" s="839"/>
      <c r="U8" s="852"/>
      <c r="V8" s="405" t="s">
        <v>986</v>
      </c>
      <c r="W8" s="404" t="s">
        <v>17</v>
      </c>
      <c r="X8" s="404" t="s">
        <v>18</v>
      </c>
      <c r="Y8" s="415">
        <v>56</v>
      </c>
      <c r="Z8" s="404"/>
      <c r="AA8" s="404"/>
      <c r="AB8" s="404"/>
      <c r="AC8" s="404"/>
      <c r="AD8" s="405"/>
      <c r="AE8" s="404"/>
      <c r="AF8" s="404"/>
      <c r="AG8" s="406"/>
      <c r="AH8" s="404"/>
      <c r="AI8" s="404"/>
      <c r="AJ8" s="404"/>
      <c r="AK8" s="404"/>
      <c r="AL8" s="405"/>
      <c r="AM8" s="404"/>
      <c r="AN8" s="404"/>
      <c r="AO8" s="406"/>
      <c r="AP8" s="405"/>
      <c r="AQ8" s="404"/>
      <c r="AR8" s="404"/>
      <c r="AS8" s="406"/>
      <c r="AT8" s="404"/>
      <c r="AU8" s="404"/>
      <c r="AV8" s="404"/>
      <c r="AW8" s="406"/>
      <c r="AX8" s="404"/>
      <c r="AY8" s="404"/>
      <c r="AZ8" s="404"/>
      <c r="BA8" s="407"/>
    </row>
    <row r="9" spans="1:53" s="16" customFormat="1">
      <c r="A9" s="404">
        <v>1967</v>
      </c>
      <c r="B9" s="852"/>
      <c r="C9" s="917" t="s">
        <v>1276</v>
      </c>
      <c r="D9" s="917"/>
      <c r="E9" s="404">
        <v>365</v>
      </c>
      <c r="F9" s="404"/>
      <c r="G9" s="411"/>
      <c r="H9" s="404">
        <v>8</v>
      </c>
      <c r="I9" s="404"/>
      <c r="J9" s="413">
        <v>8</v>
      </c>
      <c r="K9" s="409">
        <f t="shared" si="0"/>
        <v>0</v>
      </c>
      <c r="L9" s="409">
        <f t="shared" si="1"/>
        <v>100</v>
      </c>
      <c r="M9" s="409">
        <f t="shared" si="2"/>
        <v>0</v>
      </c>
      <c r="N9" s="412">
        <f t="shared" si="3"/>
        <v>100</v>
      </c>
      <c r="O9" s="408"/>
      <c r="P9" s="409">
        <v>56</v>
      </c>
      <c r="Q9" s="409"/>
      <c r="R9" s="410">
        <f t="shared" si="4"/>
        <v>56</v>
      </c>
      <c r="S9" s="404">
        <v>1</v>
      </c>
      <c r="T9" s="839"/>
      <c r="U9" s="852"/>
      <c r="V9" s="405" t="s">
        <v>986</v>
      </c>
      <c r="W9" s="404" t="s">
        <v>17</v>
      </c>
      <c r="X9" s="404" t="s">
        <v>18</v>
      </c>
      <c r="Y9" s="415">
        <v>56</v>
      </c>
      <c r="Z9" s="404"/>
      <c r="AA9" s="404"/>
      <c r="AB9" s="404"/>
      <c r="AC9" s="404"/>
      <c r="AD9" s="405"/>
      <c r="AE9" s="404"/>
      <c r="AF9" s="404"/>
      <c r="AG9" s="406"/>
      <c r="AH9" s="404"/>
      <c r="AI9" s="404"/>
      <c r="AJ9" s="404"/>
      <c r="AK9" s="404"/>
      <c r="AL9" s="405"/>
      <c r="AM9" s="404"/>
      <c r="AN9" s="404"/>
      <c r="AO9" s="406"/>
      <c r="AP9" s="405"/>
      <c r="AQ9" s="404"/>
      <c r="AR9" s="404"/>
      <c r="AS9" s="406"/>
      <c r="AT9" s="404"/>
      <c r="AU9" s="404"/>
      <c r="AV9" s="404"/>
      <c r="AW9" s="406"/>
      <c r="AX9" s="404"/>
      <c r="AY9" s="404"/>
      <c r="AZ9" s="404"/>
      <c r="BA9" s="407"/>
    </row>
    <row r="10" spans="1:53" s="16" customFormat="1">
      <c r="A10" s="404">
        <v>1968</v>
      </c>
      <c r="B10" s="852"/>
      <c r="C10" s="917" t="s">
        <v>1276</v>
      </c>
      <c r="D10" s="917"/>
      <c r="E10" s="404">
        <v>0</v>
      </c>
      <c r="F10" s="404"/>
      <c r="G10" s="411"/>
      <c r="H10" s="404">
        <v>8</v>
      </c>
      <c r="I10" s="404"/>
      <c r="J10" s="413">
        <v>8</v>
      </c>
      <c r="K10" s="409">
        <f t="shared" si="0"/>
        <v>0</v>
      </c>
      <c r="L10" s="409">
        <f t="shared" si="1"/>
        <v>100</v>
      </c>
      <c r="M10" s="409">
        <f t="shared" si="2"/>
        <v>0</v>
      </c>
      <c r="N10" s="412">
        <f t="shared" si="3"/>
        <v>100</v>
      </c>
      <c r="O10" s="408"/>
      <c r="P10" s="409">
        <v>56</v>
      </c>
      <c r="Q10" s="409"/>
      <c r="R10" s="410">
        <f t="shared" si="4"/>
        <v>56</v>
      </c>
      <c r="S10" s="404">
        <v>1</v>
      </c>
      <c r="T10" s="839"/>
      <c r="U10" s="852"/>
      <c r="V10" s="405" t="s">
        <v>986</v>
      </c>
      <c r="W10" s="404" t="s">
        <v>17</v>
      </c>
      <c r="X10" s="404" t="s">
        <v>18</v>
      </c>
      <c r="Y10" s="415">
        <v>56</v>
      </c>
      <c r="Z10" s="404"/>
      <c r="AA10" s="404"/>
      <c r="AB10" s="404"/>
      <c r="AC10" s="404"/>
      <c r="AD10" s="405"/>
      <c r="AE10" s="404"/>
      <c r="AF10" s="404"/>
      <c r="AG10" s="406"/>
      <c r="AH10" s="404"/>
      <c r="AI10" s="404"/>
      <c r="AJ10" s="404"/>
      <c r="AK10" s="404"/>
      <c r="AL10" s="405"/>
      <c r="AM10" s="404"/>
      <c r="AN10" s="404"/>
      <c r="AO10" s="406"/>
      <c r="AP10" s="405"/>
      <c r="AQ10" s="404"/>
      <c r="AR10" s="404"/>
      <c r="AS10" s="406"/>
      <c r="AT10" s="404"/>
      <c r="AU10" s="404"/>
      <c r="AV10" s="404"/>
      <c r="AW10" s="406"/>
      <c r="AX10" s="404"/>
      <c r="AY10" s="404"/>
      <c r="AZ10" s="404"/>
      <c r="BA10" s="407"/>
    </row>
    <row r="11" spans="1:53" s="16" customFormat="1">
      <c r="A11" s="404">
        <v>1968</v>
      </c>
      <c r="B11" s="852"/>
      <c r="C11" s="917" t="s">
        <v>1276</v>
      </c>
      <c r="D11" s="917"/>
      <c r="E11" s="404">
        <v>366</v>
      </c>
      <c r="F11" s="404"/>
      <c r="G11" s="411"/>
      <c r="H11" s="404">
        <v>8</v>
      </c>
      <c r="I11" s="404"/>
      <c r="J11" s="413">
        <v>8</v>
      </c>
      <c r="K11" s="409">
        <f t="shared" si="0"/>
        <v>0</v>
      </c>
      <c r="L11" s="409">
        <f t="shared" si="1"/>
        <v>100</v>
      </c>
      <c r="M11" s="409">
        <f t="shared" si="2"/>
        <v>0</v>
      </c>
      <c r="N11" s="412">
        <f t="shared" si="3"/>
        <v>100</v>
      </c>
      <c r="O11" s="408"/>
      <c r="P11" s="409">
        <v>56</v>
      </c>
      <c r="Q11" s="409"/>
      <c r="R11" s="410">
        <f t="shared" si="4"/>
        <v>56</v>
      </c>
      <c r="S11" s="404">
        <v>1</v>
      </c>
      <c r="T11" s="839"/>
      <c r="U11" s="852"/>
      <c r="V11" s="405" t="s">
        <v>986</v>
      </c>
      <c r="W11" s="404" t="s">
        <v>17</v>
      </c>
      <c r="X11" s="404" t="s">
        <v>18</v>
      </c>
      <c r="Y11" s="415">
        <v>56</v>
      </c>
      <c r="Z11" s="404"/>
      <c r="AA11" s="404"/>
      <c r="AB11" s="404"/>
      <c r="AC11" s="404"/>
      <c r="AD11" s="405"/>
      <c r="AE11" s="404"/>
      <c r="AF11" s="404"/>
      <c r="AG11" s="406"/>
      <c r="AH11" s="404"/>
      <c r="AI11" s="404"/>
      <c r="AJ11" s="404"/>
      <c r="AK11" s="404"/>
      <c r="AL11" s="405"/>
      <c r="AM11" s="404"/>
      <c r="AN11" s="404"/>
      <c r="AO11" s="406"/>
      <c r="AP11" s="405"/>
      <c r="AQ11" s="404"/>
      <c r="AR11" s="404"/>
      <c r="AS11" s="406"/>
      <c r="AT11" s="404"/>
      <c r="AU11" s="404"/>
      <c r="AV11" s="404"/>
      <c r="AW11" s="406"/>
      <c r="AX11" s="404"/>
      <c r="AY11" s="404"/>
      <c r="AZ11" s="404"/>
      <c r="BA11" s="407"/>
    </row>
    <row r="12" spans="1:53" s="16" customFormat="1">
      <c r="A12" s="404">
        <v>1969</v>
      </c>
      <c r="B12" s="852"/>
      <c r="C12" s="917" t="s">
        <v>1276</v>
      </c>
      <c r="D12" s="917"/>
      <c r="E12" s="404">
        <v>0</v>
      </c>
      <c r="F12" s="404"/>
      <c r="G12" s="411"/>
      <c r="H12" s="404">
        <v>8</v>
      </c>
      <c r="I12" s="404"/>
      <c r="J12" s="413">
        <v>8</v>
      </c>
      <c r="K12" s="409">
        <f t="shared" si="0"/>
        <v>0</v>
      </c>
      <c r="L12" s="409">
        <f t="shared" si="1"/>
        <v>100</v>
      </c>
      <c r="M12" s="409">
        <f t="shared" si="2"/>
        <v>0</v>
      </c>
      <c r="N12" s="412">
        <f t="shared" si="3"/>
        <v>100</v>
      </c>
      <c r="O12" s="408"/>
      <c r="P12" s="409">
        <v>56</v>
      </c>
      <c r="Q12" s="409"/>
      <c r="R12" s="410">
        <f t="shared" si="4"/>
        <v>56</v>
      </c>
      <c r="S12" s="404">
        <v>1</v>
      </c>
      <c r="T12" s="839"/>
      <c r="U12" s="852"/>
      <c r="V12" s="405" t="s">
        <v>986</v>
      </c>
      <c r="W12" s="404" t="s">
        <v>17</v>
      </c>
      <c r="X12" s="404" t="s">
        <v>18</v>
      </c>
      <c r="Y12" s="415">
        <v>56</v>
      </c>
      <c r="Z12" s="404"/>
      <c r="AA12" s="404"/>
      <c r="AB12" s="404"/>
      <c r="AC12" s="404"/>
      <c r="AD12" s="405"/>
      <c r="AE12" s="404"/>
      <c r="AF12" s="404"/>
      <c r="AG12" s="406"/>
      <c r="AH12" s="404"/>
      <c r="AI12" s="404"/>
      <c r="AJ12" s="404"/>
      <c r="AK12" s="404"/>
      <c r="AL12" s="405"/>
      <c r="AM12" s="404"/>
      <c r="AN12" s="404"/>
      <c r="AO12" s="406"/>
      <c r="AP12" s="405"/>
      <c r="AQ12" s="404"/>
      <c r="AR12" s="404"/>
      <c r="AS12" s="406"/>
      <c r="AT12" s="404"/>
      <c r="AU12" s="404"/>
      <c r="AV12" s="404"/>
      <c r="AW12" s="406"/>
      <c r="AX12" s="404"/>
      <c r="AY12" s="404"/>
      <c r="AZ12" s="404"/>
      <c r="BA12" s="407"/>
    </row>
    <row r="13" spans="1:53" s="16" customFormat="1">
      <c r="A13" s="404">
        <v>1969</v>
      </c>
      <c r="B13" s="852"/>
      <c r="C13" s="917" t="s">
        <v>1276</v>
      </c>
      <c r="D13" s="917"/>
      <c r="E13" s="404">
        <v>365</v>
      </c>
      <c r="F13" s="404"/>
      <c r="G13" s="411"/>
      <c r="H13" s="404">
        <v>8</v>
      </c>
      <c r="I13" s="404"/>
      <c r="J13" s="413">
        <v>8</v>
      </c>
      <c r="K13" s="409">
        <f t="shared" si="0"/>
        <v>0</v>
      </c>
      <c r="L13" s="409">
        <f t="shared" si="1"/>
        <v>100</v>
      </c>
      <c r="M13" s="409">
        <f t="shared" si="2"/>
        <v>0</v>
      </c>
      <c r="N13" s="412">
        <f t="shared" si="3"/>
        <v>100</v>
      </c>
      <c r="O13" s="408"/>
      <c r="P13" s="409">
        <v>56</v>
      </c>
      <c r="Q13" s="409"/>
      <c r="R13" s="410">
        <f t="shared" si="4"/>
        <v>56</v>
      </c>
      <c r="S13" s="404">
        <v>1</v>
      </c>
      <c r="T13" s="839"/>
      <c r="U13" s="852"/>
      <c r="V13" s="405" t="s">
        <v>986</v>
      </c>
      <c r="W13" s="404" t="s">
        <v>17</v>
      </c>
      <c r="X13" s="404" t="s">
        <v>18</v>
      </c>
      <c r="Y13" s="415">
        <v>56</v>
      </c>
      <c r="Z13" s="404"/>
      <c r="AA13" s="404"/>
      <c r="AB13" s="404"/>
      <c r="AC13" s="404"/>
      <c r="AD13" s="405"/>
      <c r="AE13" s="404"/>
      <c r="AF13" s="404"/>
      <c r="AG13" s="406"/>
      <c r="AH13" s="404"/>
      <c r="AI13" s="404"/>
      <c r="AJ13" s="404"/>
      <c r="AK13" s="404"/>
      <c r="AL13" s="405"/>
      <c r="AM13" s="404"/>
      <c r="AN13" s="404"/>
      <c r="AO13" s="406"/>
      <c r="AP13" s="405"/>
      <c r="AQ13" s="404"/>
      <c r="AR13" s="404"/>
      <c r="AS13" s="406"/>
      <c r="AT13" s="404"/>
      <c r="AU13" s="404"/>
      <c r="AV13" s="404"/>
      <c r="AW13" s="406"/>
      <c r="AX13" s="404"/>
      <c r="AY13" s="404"/>
      <c r="AZ13" s="404"/>
      <c r="BA13" s="407"/>
    </row>
    <row r="14" spans="1:53" s="16" customFormat="1">
      <c r="A14" s="404">
        <v>1970</v>
      </c>
      <c r="B14" s="852"/>
      <c r="C14" s="917" t="s">
        <v>1276</v>
      </c>
      <c r="D14" s="917"/>
      <c r="E14" s="404">
        <v>0</v>
      </c>
      <c r="F14" s="404"/>
      <c r="G14" s="411"/>
      <c r="H14" s="404">
        <v>8</v>
      </c>
      <c r="I14" s="404"/>
      <c r="J14" s="413">
        <v>8</v>
      </c>
      <c r="K14" s="409">
        <f t="shared" si="0"/>
        <v>0</v>
      </c>
      <c r="L14" s="409">
        <f t="shared" si="1"/>
        <v>100</v>
      </c>
      <c r="M14" s="409">
        <f t="shared" si="2"/>
        <v>0</v>
      </c>
      <c r="N14" s="412">
        <f t="shared" si="3"/>
        <v>100</v>
      </c>
      <c r="O14" s="408"/>
      <c r="P14" s="409">
        <v>56</v>
      </c>
      <c r="Q14" s="409"/>
      <c r="R14" s="410">
        <f t="shared" si="4"/>
        <v>56</v>
      </c>
      <c r="S14" s="404">
        <v>1</v>
      </c>
      <c r="T14" s="839"/>
      <c r="U14" s="852"/>
      <c r="V14" s="405" t="s">
        <v>986</v>
      </c>
      <c r="W14" s="404" t="s">
        <v>17</v>
      </c>
      <c r="X14" s="404" t="s">
        <v>18</v>
      </c>
      <c r="Y14" s="415">
        <v>56</v>
      </c>
      <c r="Z14" s="404"/>
      <c r="AA14" s="404"/>
      <c r="AB14" s="404"/>
      <c r="AC14" s="404"/>
      <c r="AD14" s="405"/>
      <c r="AE14" s="404"/>
      <c r="AF14" s="404"/>
      <c r="AG14" s="406"/>
      <c r="AH14" s="404"/>
      <c r="AI14" s="404"/>
      <c r="AJ14" s="404"/>
      <c r="AK14" s="404"/>
      <c r="AL14" s="405"/>
      <c r="AM14" s="404"/>
      <c r="AN14" s="404"/>
      <c r="AO14" s="406"/>
      <c r="AP14" s="405"/>
      <c r="AQ14" s="404"/>
      <c r="AR14" s="404"/>
      <c r="AS14" s="406"/>
      <c r="AT14" s="404"/>
      <c r="AU14" s="404"/>
      <c r="AV14" s="404"/>
      <c r="AW14" s="406"/>
      <c r="AX14" s="404"/>
      <c r="AY14" s="404"/>
      <c r="AZ14" s="404"/>
      <c r="BA14" s="407"/>
    </row>
    <row r="15" spans="1:53" s="16" customFormat="1">
      <c r="A15" s="404">
        <v>1970</v>
      </c>
      <c r="B15" s="852"/>
      <c r="C15" s="917" t="s">
        <v>1276</v>
      </c>
      <c r="D15" s="917"/>
      <c r="E15" s="404">
        <v>365</v>
      </c>
      <c r="F15" s="404"/>
      <c r="G15" s="411"/>
      <c r="H15" s="404">
        <v>8</v>
      </c>
      <c r="I15" s="404"/>
      <c r="J15" s="413">
        <v>8</v>
      </c>
      <c r="K15" s="409">
        <f t="shared" si="0"/>
        <v>0</v>
      </c>
      <c r="L15" s="409">
        <f t="shared" si="1"/>
        <v>100</v>
      </c>
      <c r="M15" s="409">
        <f t="shared" si="2"/>
        <v>0</v>
      </c>
      <c r="N15" s="412">
        <f t="shared" si="3"/>
        <v>100</v>
      </c>
      <c r="O15" s="408"/>
      <c r="P15" s="409">
        <v>56</v>
      </c>
      <c r="Q15" s="409"/>
      <c r="R15" s="410">
        <f t="shared" si="4"/>
        <v>56</v>
      </c>
      <c r="S15" s="404">
        <v>1</v>
      </c>
      <c r="T15" s="839"/>
      <c r="U15" s="852"/>
      <c r="V15" s="405" t="s">
        <v>986</v>
      </c>
      <c r="W15" s="404" t="s">
        <v>17</v>
      </c>
      <c r="X15" s="404" t="s">
        <v>18</v>
      </c>
      <c r="Y15" s="415">
        <v>56</v>
      </c>
      <c r="Z15" s="404"/>
      <c r="AA15" s="404"/>
      <c r="AB15" s="404"/>
      <c r="AC15" s="404"/>
      <c r="AD15" s="405"/>
      <c r="AE15" s="404"/>
      <c r="AF15" s="404"/>
      <c r="AG15" s="406"/>
      <c r="AH15" s="404"/>
      <c r="AI15" s="404"/>
      <c r="AJ15" s="404"/>
      <c r="AK15" s="404"/>
      <c r="AL15" s="405"/>
      <c r="AM15" s="404"/>
      <c r="AN15" s="404"/>
      <c r="AO15" s="406"/>
      <c r="AP15" s="405"/>
      <c r="AQ15" s="404"/>
      <c r="AR15" s="404"/>
      <c r="AS15" s="406"/>
      <c r="AT15" s="404"/>
      <c r="AU15" s="404"/>
      <c r="AV15" s="404"/>
      <c r="AW15" s="406"/>
      <c r="AX15" s="404"/>
      <c r="AY15" s="404"/>
      <c r="AZ15" s="404"/>
      <c r="BA15" s="407"/>
    </row>
    <row r="16" spans="1:53" s="16" customFormat="1">
      <c r="A16" s="404">
        <v>1971</v>
      </c>
      <c r="B16" s="852"/>
      <c r="C16" s="917" t="s">
        <v>1276</v>
      </c>
      <c r="D16" s="917"/>
      <c r="E16" s="404">
        <v>171</v>
      </c>
      <c r="F16" s="404"/>
      <c r="G16" s="411"/>
      <c r="H16" s="404">
        <v>8</v>
      </c>
      <c r="I16" s="404"/>
      <c r="J16" s="413">
        <v>8</v>
      </c>
      <c r="K16" s="409">
        <f t="shared" si="0"/>
        <v>0</v>
      </c>
      <c r="L16" s="409">
        <f t="shared" si="1"/>
        <v>100</v>
      </c>
      <c r="M16" s="409">
        <f t="shared" si="2"/>
        <v>0</v>
      </c>
      <c r="N16" s="412">
        <f t="shared" si="3"/>
        <v>100</v>
      </c>
      <c r="O16" s="408"/>
      <c r="P16" s="409">
        <v>56</v>
      </c>
      <c r="Q16" s="409"/>
      <c r="R16" s="410">
        <f t="shared" si="4"/>
        <v>56</v>
      </c>
      <c r="S16" s="404">
        <v>1</v>
      </c>
      <c r="T16" s="839"/>
      <c r="U16" s="852"/>
      <c r="V16" s="405" t="s">
        <v>986</v>
      </c>
      <c r="W16" s="404" t="s">
        <v>17</v>
      </c>
      <c r="X16" s="404" t="s">
        <v>18</v>
      </c>
      <c r="Y16" s="415">
        <v>56</v>
      </c>
      <c r="Z16" s="404"/>
      <c r="AA16" s="404"/>
      <c r="AB16" s="404"/>
      <c r="AC16" s="404"/>
      <c r="AD16" s="405"/>
      <c r="AE16" s="404"/>
      <c r="AF16" s="404"/>
      <c r="AG16" s="406"/>
      <c r="AH16" s="404"/>
      <c r="AI16" s="404"/>
      <c r="AJ16" s="404"/>
      <c r="AK16" s="404"/>
      <c r="AL16" s="405"/>
      <c r="AM16" s="404"/>
      <c r="AN16" s="404"/>
      <c r="AO16" s="406"/>
      <c r="AP16" s="405"/>
      <c r="AQ16" s="404"/>
      <c r="AR16" s="404"/>
      <c r="AS16" s="406"/>
      <c r="AT16" s="404"/>
      <c r="AU16" s="404"/>
      <c r="AV16" s="404"/>
      <c r="AW16" s="406"/>
      <c r="AX16" s="404"/>
      <c r="AY16" s="404"/>
      <c r="AZ16" s="404"/>
      <c r="BA16" s="407"/>
    </row>
    <row r="17" spans="1:53" s="16" customFormat="1">
      <c r="A17" s="416">
        <v>1971</v>
      </c>
      <c r="B17" s="836">
        <v>26105</v>
      </c>
      <c r="C17" s="916" t="s">
        <v>1277</v>
      </c>
      <c r="D17" s="916"/>
      <c r="E17" s="416">
        <f>365-E16</f>
        <v>194</v>
      </c>
      <c r="F17" s="416">
        <v>1</v>
      </c>
      <c r="G17" s="425"/>
      <c r="H17" s="416"/>
      <c r="I17" s="416">
        <v>9</v>
      </c>
      <c r="J17" s="427">
        <v>9</v>
      </c>
      <c r="K17" s="423">
        <f t="shared" si="0"/>
        <v>0</v>
      </c>
      <c r="L17" s="423">
        <f t="shared" si="1"/>
        <v>0</v>
      </c>
      <c r="M17" s="423">
        <f t="shared" si="2"/>
        <v>100</v>
      </c>
      <c r="N17" s="426">
        <f t="shared" si="3"/>
        <v>100</v>
      </c>
      <c r="O17" s="422"/>
      <c r="P17" s="423"/>
      <c r="Q17" s="423">
        <v>50.9</v>
      </c>
      <c r="R17" s="424">
        <f t="shared" si="4"/>
        <v>50.9</v>
      </c>
      <c r="S17" s="420">
        <v>1</v>
      </c>
      <c r="T17" s="838">
        <v>26098</v>
      </c>
      <c r="U17" s="836">
        <v>26105</v>
      </c>
      <c r="V17" s="417" t="s">
        <v>989</v>
      </c>
      <c r="W17" s="416" t="s">
        <v>20</v>
      </c>
      <c r="X17" s="416" t="s">
        <v>12</v>
      </c>
      <c r="Y17" s="418">
        <v>50.9</v>
      </c>
      <c r="Z17" s="416"/>
      <c r="AA17" s="416"/>
      <c r="AB17" s="416"/>
      <c r="AC17" s="416"/>
      <c r="AD17" s="417"/>
      <c r="AE17" s="416"/>
      <c r="AF17" s="416"/>
      <c r="AG17" s="418"/>
      <c r="AH17" s="416"/>
      <c r="AI17" s="416"/>
      <c r="AJ17" s="416"/>
      <c r="AK17" s="416"/>
      <c r="AL17" s="417"/>
      <c r="AM17" s="416"/>
      <c r="AN17" s="416"/>
      <c r="AO17" s="418"/>
      <c r="AP17" s="417"/>
      <c r="AQ17" s="416"/>
      <c r="AR17" s="416"/>
      <c r="AS17" s="418"/>
      <c r="AT17" s="416"/>
      <c r="AU17" s="416"/>
      <c r="AV17" s="416"/>
      <c r="AW17" s="418"/>
      <c r="AX17" s="416"/>
      <c r="AY17" s="416"/>
      <c r="AZ17" s="416"/>
      <c r="BA17" s="419"/>
    </row>
    <row r="18" spans="1:53" s="16" customFormat="1">
      <c r="A18" s="416">
        <v>1972</v>
      </c>
      <c r="B18" s="836"/>
      <c r="C18" s="916" t="s">
        <v>1277</v>
      </c>
      <c r="D18" s="916"/>
      <c r="E18" s="416">
        <v>0</v>
      </c>
      <c r="F18" s="416"/>
      <c r="G18" s="425"/>
      <c r="H18" s="416"/>
      <c r="I18" s="416">
        <v>9</v>
      </c>
      <c r="J18" s="427">
        <v>9</v>
      </c>
      <c r="K18" s="423">
        <f t="shared" si="0"/>
        <v>0</v>
      </c>
      <c r="L18" s="423">
        <f t="shared" si="1"/>
        <v>0</v>
      </c>
      <c r="M18" s="423">
        <f t="shared" si="2"/>
        <v>100</v>
      </c>
      <c r="N18" s="426">
        <f t="shared" si="3"/>
        <v>100</v>
      </c>
      <c r="O18" s="422"/>
      <c r="P18" s="423"/>
      <c r="Q18" s="423">
        <v>50.9</v>
      </c>
      <c r="R18" s="424">
        <f t="shared" si="4"/>
        <v>50.9</v>
      </c>
      <c r="S18" s="420">
        <v>1</v>
      </c>
      <c r="T18" s="838"/>
      <c r="U18" s="836"/>
      <c r="V18" s="417" t="s">
        <v>989</v>
      </c>
      <c r="W18" s="416" t="s">
        <v>20</v>
      </c>
      <c r="X18" s="416" t="s">
        <v>12</v>
      </c>
      <c r="Y18" s="418">
        <v>50.9</v>
      </c>
      <c r="Z18" s="416"/>
      <c r="AA18" s="416"/>
      <c r="AB18" s="416"/>
      <c r="AC18" s="416"/>
      <c r="AD18" s="417"/>
      <c r="AE18" s="416"/>
      <c r="AF18" s="416"/>
      <c r="AG18" s="418"/>
      <c r="AH18" s="416"/>
      <c r="AI18" s="416"/>
      <c r="AJ18" s="416"/>
      <c r="AK18" s="416"/>
      <c r="AL18" s="417"/>
      <c r="AM18" s="416"/>
      <c r="AN18" s="416"/>
      <c r="AO18" s="418"/>
      <c r="AP18" s="417"/>
      <c r="AQ18" s="416"/>
      <c r="AR18" s="416"/>
      <c r="AS18" s="418"/>
      <c r="AT18" s="416"/>
      <c r="AU18" s="416"/>
      <c r="AV18" s="416"/>
      <c r="AW18" s="418"/>
      <c r="AX18" s="416"/>
      <c r="AY18" s="416"/>
      <c r="AZ18" s="416"/>
      <c r="BA18" s="419"/>
    </row>
    <row r="19" spans="1:53" s="16" customFormat="1">
      <c r="A19" s="416">
        <v>1972</v>
      </c>
      <c r="B19" s="836"/>
      <c r="C19" s="916" t="s">
        <v>1277</v>
      </c>
      <c r="D19" s="916"/>
      <c r="E19" s="416">
        <v>366</v>
      </c>
      <c r="F19" s="416"/>
      <c r="G19" s="425"/>
      <c r="H19" s="416"/>
      <c r="I19" s="416">
        <v>9</v>
      </c>
      <c r="J19" s="427">
        <v>9</v>
      </c>
      <c r="K19" s="423">
        <f t="shared" si="0"/>
        <v>0</v>
      </c>
      <c r="L19" s="423">
        <f t="shared" si="1"/>
        <v>0</v>
      </c>
      <c r="M19" s="423">
        <f t="shared" si="2"/>
        <v>100</v>
      </c>
      <c r="N19" s="426">
        <f t="shared" si="3"/>
        <v>100</v>
      </c>
      <c r="O19" s="422"/>
      <c r="P19" s="423"/>
      <c r="Q19" s="423">
        <v>50.9</v>
      </c>
      <c r="R19" s="424">
        <f t="shared" si="4"/>
        <v>50.9</v>
      </c>
      <c r="S19" s="420">
        <v>1</v>
      </c>
      <c r="T19" s="838"/>
      <c r="U19" s="836"/>
      <c r="V19" s="417" t="s">
        <v>989</v>
      </c>
      <c r="W19" s="416" t="s">
        <v>20</v>
      </c>
      <c r="X19" s="416" t="s">
        <v>12</v>
      </c>
      <c r="Y19" s="418">
        <v>50.9</v>
      </c>
      <c r="Z19" s="416"/>
      <c r="AA19" s="416"/>
      <c r="AB19" s="416"/>
      <c r="AC19" s="416"/>
      <c r="AD19" s="417"/>
      <c r="AE19" s="416"/>
      <c r="AF19" s="416"/>
      <c r="AG19" s="418"/>
      <c r="AH19" s="416"/>
      <c r="AI19" s="416"/>
      <c r="AJ19" s="416"/>
      <c r="AK19" s="416"/>
      <c r="AL19" s="417"/>
      <c r="AM19" s="416"/>
      <c r="AN19" s="416"/>
      <c r="AO19" s="418"/>
      <c r="AP19" s="417"/>
      <c r="AQ19" s="416"/>
      <c r="AR19" s="416"/>
      <c r="AS19" s="418"/>
      <c r="AT19" s="416"/>
      <c r="AU19" s="416"/>
      <c r="AV19" s="416"/>
      <c r="AW19" s="418"/>
      <c r="AX19" s="416"/>
      <c r="AY19" s="416"/>
      <c r="AZ19" s="416"/>
      <c r="BA19" s="419"/>
    </row>
    <row r="20" spans="1:53" s="16" customFormat="1">
      <c r="A20" s="416">
        <v>1973</v>
      </c>
      <c r="B20" s="836"/>
      <c r="C20" s="916" t="s">
        <v>1277</v>
      </c>
      <c r="D20" s="916"/>
      <c r="E20" s="416">
        <v>0</v>
      </c>
      <c r="F20" s="416"/>
      <c r="G20" s="425"/>
      <c r="H20" s="416"/>
      <c r="I20" s="416">
        <v>9</v>
      </c>
      <c r="J20" s="427">
        <v>9</v>
      </c>
      <c r="K20" s="423">
        <f t="shared" si="0"/>
        <v>0</v>
      </c>
      <c r="L20" s="423">
        <f t="shared" si="1"/>
        <v>0</v>
      </c>
      <c r="M20" s="423">
        <f t="shared" si="2"/>
        <v>100</v>
      </c>
      <c r="N20" s="426">
        <f t="shared" si="3"/>
        <v>100</v>
      </c>
      <c r="O20" s="422"/>
      <c r="P20" s="423"/>
      <c r="Q20" s="423">
        <v>50.9</v>
      </c>
      <c r="R20" s="424">
        <f t="shared" si="4"/>
        <v>50.9</v>
      </c>
      <c r="S20" s="420">
        <v>1</v>
      </c>
      <c r="T20" s="838"/>
      <c r="U20" s="836"/>
      <c r="V20" s="417" t="s">
        <v>989</v>
      </c>
      <c r="W20" s="416" t="s">
        <v>20</v>
      </c>
      <c r="X20" s="416" t="s">
        <v>12</v>
      </c>
      <c r="Y20" s="418">
        <v>50.9</v>
      </c>
      <c r="Z20" s="416"/>
      <c r="AA20" s="416"/>
      <c r="AB20" s="416"/>
      <c r="AC20" s="416"/>
      <c r="AD20" s="417"/>
      <c r="AE20" s="416"/>
      <c r="AF20" s="416"/>
      <c r="AG20" s="418"/>
      <c r="AH20" s="416"/>
      <c r="AI20" s="416"/>
      <c r="AJ20" s="416"/>
      <c r="AK20" s="416"/>
      <c r="AL20" s="417"/>
      <c r="AM20" s="416"/>
      <c r="AN20" s="416"/>
      <c r="AO20" s="418"/>
      <c r="AP20" s="417"/>
      <c r="AQ20" s="416"/>
      <c r="AR20" s="416"/>
      <c r="AS20" s="418"/>
      <c r="AT20" s="416"/>
      <c r="AU20" s="416"/>
      <c r="AV20" s="416"/>
      <c r="AW20" s="418"/>
      <c r="AX20" s="416"/>
      <c r="AY20" s="416"/>
      <c r="AZ20" s="416"/>
      <c r="BA20" s="419"/>
    </row>
    <row r="21" spans="1:53" s="16" customFormat="1">
      <c r="A21" s="416">
        <v>1973</v>
      </c>
      <c r="B21" s="836"/>
      <c r="C21" s="916" t="s">
        <v>1277</v>
      </c>
      <c r="D21" s="916"/>
      <c r="E21" s="416">
        <v>365</v>
      </c>
      <c r="F21" s="416"/>
      <c r="G21" s="425"/>
      <c r="H21" s="416"/>
      <c r="I21" s="416">
        <v>9</v>
      </c>
      <c r="J21" s="427">
        <v>9</v>
      </c>
      <c r="K21" s="423">
        <f t="shared" si="0"/>
        <v>0</v>
      </c>
      <c r="L21" s="423">
        <f t="shared" si="1"/>
        <v>0</v>
      </c>
      <c r="M21" s="423">
        <f t="shared" si="2"/>
        <v>100</v>
      </c>
      <c r="N21" s="426">
        <f t="shared" si="3"/>
        <v>100</v>
      </c>
      <c r="O21" s="422"/>
      <c r="P21" s="423"/>
      <c r="Q21" s="423">
        <v>50.9</v>
      </c>
      <c r="R21" s="424">
        <f t="shared" si="4"/>
        <v>50.9</v>
      </c>
      <c r="S21" s="420">
        <v>1</v>
      </c>
      <c r="T21" s="838"/>
      <c r="U21" s="836"/>
      <c r="V21" s="417" t="s">
        <v>989</v>
      </c>
      <c r="W21" s="416" t="s">
        <v>20</v>
      </c>
      <c r="X21" s="416" t="s">
        <v>12</v>
      </c>
      <c r="Y21" s="418">
        <v>50.9</v>
      </c>
      <c r="Z21" s="416"/>
      <c r="AA21" s="416"/>
      <c r="AB21" s="416"/>
      <c r="AC21" s="416"/>
      <c r="AD21" s="417"/>
      <c r="AE21" s="416"/>
      <c r="AF21" s="416"/>
      <c r="AG21" s="418"/>
      <c r="AH21" s="416"/>
      <c r="AI21" s="416"/>
      <c r="AJ21" s="416"/>
      <c r="AK21" s="416"/>
      <c r="AL21" s="417"/>
      <c r="AM21" s="416"/>
      <c r="AN21" s="416"/>
      <c r="AO21" s="418"/>
      <c r="AP21" s="417"/>
      <c r="AQ21" s="416"/>
      <c r="AR21" s="416"/>
      <c r="AS21" s="418"/>
      <c r="AT21" s="416"/>
      <c r="AU21" s="416"/>
      <c r="AV21" s="416"/>
      <c r="AW21" s="418"/>
      <c r="AX21" s="416"/>
      <c r="AY21" s="416"/>
      <c r="AZ21" s="416"/>
      <c r="BA21" s="419"/>
    </row>
    <row r="22" spans="1:53" s="16" customFormat="1">
      <c r="A22" s="416">
        <v>1974</v>
      </c>
      <c r="B22" s="836"/>
      <c r="C22" s="916" t="s">
        <v>1277</v>
      </c>
      <c r="D22" s="916"/>
      <c r="E22" s="416">
        <v>0</v>
      </c>
      <c r="F22" s="416"/>
      <c r="G22" s="425"/>
      <c r="H22" s="416"/>
      <c r="I22" s="416">
        <v>9</v>
      </c>
      <c r="J22" s="427">
        <v>9</v>
      </c>
      <c r="K22" s="423">
        <f t="shared" si="0"/>
        <v>0</v>
      </c>
      <c r="L22" s="423">
        <f t="shared" si="1"/>
        <v>0</v>
      </c>
      <c r="M22" s="423">
        <f t="shared" si="2"/>
        <v>100</v>
      </c>
      <c r="N22" s="426">
        <f t="shared" si="3"/>
        <v>100</v>
      </c>
      <c r="O22" s="422"/>
      <c r="P22" s="423"/>
      <c r="Q22" s="423">
        <v>50.9</v>
      </c>
      <c r="R22" s="424">
        <f t="shared" si="4"/>
        <v>50.9</v>
      </c>
      <c r="S22" s="420">
        <v>1</v>
      </c>
      <c r="T22" s="838"/>
      <c r="U22" s="836"/>
      <c r="V22" s="417" t="s">
        <v>989</v>
      </c>
      <c r="W22" s="416" t="s">
        <v>20</v>
      </c>
      <c r="X22" s="416" t="s">
        <v>12</v>
      </c>
      <c r="Y22" s="418">
        <v>50.9</v>
      </c>
      <c r="Z22" s="416"/>
      <c r="AA22" s="416"/>
      <c r="AB22" s="416"/>
      <c r="AC22" s="416"/>
      <c r="AD22" s="417"/>
      <c r="AE22" s="416"/>
      <c r="AF22" s="416"/>
      <c r="AG22" s="418"/>
      <c r="AH22" s="416"/>
      <c r="AI22" s="416"/>
      <c r="AJ22" s="416"/>
      <c r="AK22" s="416"/>
      <c r="AL22" s="417"/>
      <c r="AM22" s="416"/>
      <c r="AN22" s="416"/>
      <c r="AO22" s="418"/>
      <c r="AP22" s="417"/>
      <c r="AQ22" s="416"/>
      <c r="AR22" s="416"/>
      <c r="AS22" s="418"/>
      <c r="AT22" s="416"/>
      <c r="AU22" s="416"/>
      <c r="AV22" s="416"/>
      <c r="AW22" s="418"/>
      <c r="AX22" s="416"/>
      <c r="AY22" s="416"/>
      <c r="AZ22" s="416"/>
      <c r="BA22" s="419"/>
    </row>
    <row r="23" spans="1:53" s="16" customFormat="1">
      <c r="A23" s="416">
        <v>1974</v>
      </c>
      <c r="B23" s="836"/>
      <c r="C23" s="916" t="s">
        <v>1277</v>
      </c>
      <c r="D23" s="916"/>
      <c r="E23" s="416">
        <v>365</v>
      </c>
      <c r="F23" s="416"/>
      <c r="G23" s="425"/>
      <c r="H23" s="416"/>
      <c r="I23" s="416">
        <v>9</v>
      </c>
      <c r="J23" s="427">
        <v>9</v>
      </c>
      <c r="K23" s="423">
        <f t="shared" si="0"/>
        <v>0</v>
      </c>
      <c r="L23" s="423">
        <f t="shared" si="1"/>
        <v>0</v>
      </c>
      <c r="M23" s="423">
        <f t="shared" si="2"/>
        <v>100</v>
      </c>
      <c r="N23" s="426">
        <f t="shared" si="3"/>
        <v>100</v>
      </c>
      <c r="O23" s="422"/>
      <c r="P23" s="423"/>
      <c r="Q23" s="423">
        <v>50.9</v>
      </c>
      <c r="R23" s="424">
        <f t="shared" si="4"/>
        <v>50.9</v>
      </c>
      <c r="S23" s="420">
        <v>1</v>
      </c>
      <c r="T23" s="838"/>
      <c r="U23" s="836"/>
      <c r="V23" s="417" t="s">
        <v>989</v>
      </c>
      <c r="W23" s="416" t="s">
        <v>20</v>
      </c>
      <c r="X23" s="416" t="s">
        <v>12</v>
      </c>
      <c r="Y23" s="418">
        <v>50.9</v>
      </c>
      <c r="Z23" s="416"/>
      <c r="AA23" s="416"/>
      <c r="AB23" s="416"/>
      <c r="AC23" s="416"/>
      <c r="AD23" s="417"/>
      <c r="AE23" s="416"/>
      <c r="AF23" s="416"/>
      <c r="AG23" s="418"/>
      <c r="AH23" s="416"/>
      <c r="AI23" s="416"/>
      <c r="AJ23" s="416"/>
      <c r="AK23" s="416"/>
      <c r="AL23" s="417"/>
      <c r="AM23" s="416"/>
      <c r="AN23" s="416"/>
      <c r="AO23" s="418"/>
      <c r="AP23" s="417"/>
      <c r="AQ23" s="416"/>
      <c r="AR23" s="416"/>
      <c r="AS23" s="418"/>
      <c r="AT23" s="416"/>
      <c r="AU23" s="416"/>
      <c r="AV23" s="416"/>
      <c r="AW23" s="418"/>
      <c r="AX23" s="416"/>
      <c r="AY23" s="416"/>
      <c r="AZ23" s="416"/>
      <c r="BA23" s="419"/>
    </row>
    <row r="24" spans="1:53" s="16" customFormat="1">
      <c r="A24" s="416">
        <v>1975</v>
      </c>
      <c r="B24" s="836"/>
      <c r="C24" s="916" t="s">
        <v>1277</v>
      </c>
      <c r="D24" s="916"/>
      <c r="E24" s="416">
        <v>0</v>
      </c>
      <c r="F24" s="416"/>
      <c r="G24" s="425"/>
      <c r="H24" s="416"/>
      <c r="I24" s="416">
        <v>9</v>
      </c>
      <c r="J24" s="427">
        <v>9</v>
      </c>
      <c r="K24" s="423">
        <f t="shared" si="0"/>
        <v>0</v>
      </c>
      <c r="L24" s="423">
        <f t="shared" si="1"/>
        <v>0</v>
      </c>
      <c r="M24" s="423">
        <f t="shared" si="2"/>
        <v>100</v>
      </c>
      <c r="N24" s="426">
        <f t="shared" si="3"/>
        <v>100</v>
      </c>
      <c r="O24" s="422"/>
      <c r="P24" s="423"/>
      <c r="Q24" s="423">
        <v>50.9</v>
      </c>
      <c r="R24" s="424">
        <f t="shared" si="4"/>
        <v>50.9</v>
      </c>
      <c r="S24" s="420">
        <v>1</v>
      </c>
      <c r="T24" s="838"/>
      <c r="U24" s="836"/>
      <c r="V24" s="417" t="s">
        <v>989</v>
      </c>
      <c r="W24" s="416" t="s">
        <v>20</v>
      </c>
      <c r="X24" s="416" t="s">
        <v>12</v>
      </c>
      <c r="Y24" s="418">
        <v>50.9</v>
      </c>
      <c r="Z24" s="416"/>
      <c r="AA24" s="416"/>
      <c r="AB24" s="416"/>
      <c r="AC24" s="416"/>
      <c r="AD24" s="417"/>
      <c r="AE24" s="416"/>
      <c r="AF24" s="416"/>
      <c r="AG24" s="418"/>
      <c r="AH24" s="416"/>
      <c r="AI24" s="416"/>
      <c r="AJ24" s="416"/>
      <c r="AK24" s="416"/>
      <c r="AL24" s="417"/>
      <c r="AM24" s="416"/>
      <c r="AN24" s="416"/>
      <c r="AO24" s="418"/>
      <c r="AP24" s="417"/>
      <c r="AQ24" s="416"/>
      <c r="AR24" s="416"/>
      <c r="AS24" s="418"/>
      <c r="AT24" s="416"/>
      <c r="AU24" s="416"/>
      <c r="AV24" s="416"/>
      <c r="AW24" s="418"/>
      <c r="AX24" s="416"/>
      <c r="AY24" s="416"/>
      <c r="AZ24" s="416"/>
      <c r="BA24" s="419"/>
    </row>
    <row r="25" spans="1:53" s="16" customFormat="1">
      <c r="A25" s="416">
        <v>1975</v>
      </c>
      <c r="B25" s="836"/>
      <c r="C25" s="916" t="s">
        <v>1277</v>
      </c>
      <c r="D25" s="916"/>
      <c r="E25" s="416">
        <v>365</v>
      </c>
      <c r="F25" s="416"/>
      <c r="G25" s="425"/>
      <c r="H25" s="416"/>
      <c r="I25" s="416">
        <v>9</v>
      </c>
      <c r="J25" s="427">
        <v>9</v>
      </c>
      <c r="K25" s="423">
        <f t="shared" si="0"/>
        <v>0</v>
      </c>
      <c r="L25" s="423">
        <f t="shared" si="1"/>
        <v>0</v>
      </c>
      <c r="M25" s="423">
        <f t="shared" si="2"/>
        <v>100</v>
      </c>
      <c r="N25" s="426">
        <f t="shared" si="3"/>
        <v>100</v>
      </c>
      <c r="O25" s="422"/>
      <c r="P25" s="423"/>
      <c r="Q25" s="423">
        <v>50.9</v>
      </c>
      <c r="R25" s="424">
        <f t="shared" si="4"/>
        <v>50.9</v>
      </c>
      <c r="S25" s="420">
        <v>1</v>
      </c>
      <c r="T25" s="838"/>
      <c r="U25" s="836"/>
      <c r="V25" s="417" t="s">
        <v>989</v>
      </c>
      <c r="W25" s="416" t="s">
        <v>20</v>
      </c>
      <c r="X25" s="416" t="s">
        <v>12</v>
      </c>
      <c r="Y25" s="418">
        <v>50.9</v>
      </c>
      <c r="Z25" s="416"/>
      <c r="AA25" s="416"/>
      <c r="AB25" s="416"/>
      <c r="AC25" s="416"/>
      <c r="AD25" s="417"/>
      <c r="AE25" s="416"/>
      <c r="AF25" s="416"/>
      <c r="AG25" s="418"/>
      <c r="AH25" s="416"/>
      <c r="AI25" s="416"/>
      <c r="AJ25" s="416"/>
      <c r="AK25" s="416"/>
      <c r="AL25" s="417"/>
      <c r="AM25" s="416"/>
      <c r="AN25" s="416"/>
      <c r="AO25" s="418"/>
      <c r="AP25" s="417"/>
      <c r="AQ25" s="416"/>
      <c r="AR25" s="416"/>
      <c r="AS25" s="418"/>
      <c r="AT25" s="416"/>
      <c r="AU25" s="416"/>
      <c r="AV25" s="416"/>
      <c r="AW25" s="418"/>
      <c r="AX25" s="416"/>
      <c r="AY25" s="416"/>
      <c r="AZ25" s="416"/>
      <c r="BA25" s="419"/>
    </row>
    <row r="26" spans="1:53" s="16" customFormat="1">
      <c r="A26" s="416">
        <v>1976</v>
      </c>
      <c r="B26" s="836"/>
      <c r="C26" s="916" t="s">
        <v>1277</v>
      </c>
      <c r="D26" s="916"/>
      <c r="E26" s="416">
        <v>265</v>
      </c>
      <c r="F26" s="416"/>
      <c r="G26" s="425"/>
      <c r="H26" s="416"/>
      <c r="I26" s="416">
        <v>9</v>
      </c>
      <c r="J26" s="427">
        <v>9</v>
      </c>
      <c r="K26" s="423">
        <f t="shared" si="0"/>
        <v>0</v>
      </c>
      <c r="L26" s="423">
        <f t="shared" si="1"/>
        <v>0</v>
      </c>
      <c r="M26" s="423">
        <f t="shared" si="2"/>
        <v>100</v>
      </c>
      <c r="N26" s="426">
        <f t="shared" si="3"/>
        <v>100</v>
      </c>
      <c r="O26" s="422"/>
      <c r="P26" s="423"/>
      <c r="Q26" s="423">
        <v>50.9</v>
      </c>
      <c r="R26" s="424">
        <f t="shared" si="4"/>
        <v>50.9</v>
      </c>
      <c r="S26" s="420">
        <v>1</v>
      </c>
      <c r="T26" s="838"/>
      <c r="U26" s="836"/>
      <c r="V26" s="417" t="s">
        <v>989</v>
      </c>
      <c r="W26" s="416" t="s">
        <v>20</v>
      </c>
      <c r="X26" s="416" t="s">
        <v>12</v>
      </c>
      <c r="Y26" s="418">
        <v>50.9</v>
      </c>
      <c r="Z26" s="416"/>
      <c r="AA26" s="416"/>
      <c r="AB26" s="416"/>
      <c r="AC26" s="416"/>
      <c r="AD26" s="417"/>
      <c r="AE26" s="416"/>
      <c r="AF26" s="416"/>
      <c r="AG26" s="418"/>
      <c r="AH26" s="416"/>
      <c r="AI26" s="416"/>
      <c r="AJ26" s="416"/>
      <c r="AK26" s="416"/>
      <c r="AL26" s="417"/>
      <c r="AM26" s="416"/>
      <c r="AN26" s="416"/>
      <c r="AO26" s="418"/>
      <c r="AP26" s="417"/>
      <c r="AQ26" s="416"/>
      <c r="AR26" s="416"/>
      <c r="AS26" s="418"/>
      <c r="AT26" s="416"/>
      <c r="AU26" s="416"/>
      <c r="AV26" s="416"/>
      <c r="AW26" s="418"/>
      <c r="AX26" s="416"/>
      <c r="AY26" s="416"/>
      <c r="AZ26" s="416"/>
      <c r="BA26" s="419"/>
    </row>
    <row r="27" spans="1:53" s="16" customFormat="1">
      <c r="A27" s="404">
        <v>1976</v>
      </c>
      <c r="B27" s="852">
        <v>28025</v>
      </c>
      <c r="C27" s="917" t="s">
        <v>1278</v>
      </c>
      <c r="D27" s="917"/>
      <c r="E27" s="404">
        <f>366-E26</f>
        <v>101</v>
      </c>
      <c r="F27" s="404">
        <v>1</v>
      </c>
      <c r="G27" s="411"/>
      <c r="H27" s="404"/>
      <c r="I27" s="404">
        <v>12</v>
      </c>
      <c r="J27" s="413">
        <v>12</v>
      </c>
      <c r="K27" s="409">
        <f t="shared" si="0"/>
        <v>0</v>
      </c>
      <c r="L27" s="409">
        <f t="shared" si="1"/>
        <v>0</v>
      </c>
      <c r="M27" s="409">
        <f t="shared" si="2"/>
        <v>100</v>
      </c>
      <c r="N27" s="412">
        <f t="shared" si="3"/>
        <v>100</v>
      </c>
      <c r="O27" s="408"/>
      <c r="P27" s="409"/>
      <c r="Q27" s="409">
        <v>52.3</v>
      </c>
      <c r="R27" s="410">
        <f t="shared" si="4"/>
        <v>52.3</v>
      </c>
      <c r="S27" s="404">
        <v>1</v>
      </c>
      <c r="T27" s="839">
        <v>28021</v>
      </c>
      <c r="U27" s="852">
        <v>28025</v>
      </c>
      <c r="V27" s="405" t="s">
        <v>989</v>
      </c>
      <c r="W27" s="404" t="s">
        <v>20</v>
      </c>
      <c r="X27" s="404" t="s">
        <v>12</v>
      </c>
      <c r="Y27" s="406">
        <v>52.3</v>
      </c>
      <c r="Z27" s="404"/>
      <c r="AA27" s="404"/>
      <c r="AB27" s="404"/>
      <c r="AC27" s="404"/>
      <c r="AD27" s="405"/>
      <c r="AE27" s="404"/>
      <c r="AF27" s="404"/>
      <c r="AG27" s="406"/>
      <c r="AH27" s="404"/>
      <c r="AI27" s="404"/>
      <c r="AJ27" s="404"/>
      <c r="AK27" s="404"/>
      <c r="AL27" s="405"/>
      <c r="AM27" s="404"/>
      <c r="AN27" s="404"/>
      <c r="AO27" s="406"/>
      <c r="AP27" s="405"/>
      <c r="AQ27" s="404"/>
      <c r="AR27" s="404"/>
      <c r="AS27" s="406"/>
      <c r="AT27" s="404"/>
      <c r="AU27" s="404"/>
      <c r="AV27" s="404"/>
      <c r="AW27" s="406"/>
      <c r="AX27" s="404"/>
      <c r="AY27" s="404"/>
      <c r="AZ27" s="404"/>
      <c r="BA27" s="407"/>
    </row>
    <row r="28" spans="1:53" s="16" customFormat="1">
      <c r="A28" s="404">
        <v>1977</v>
      </c>
      <c r="B28" s="852"/>
      <c r="C28" s="917" t="s">
        <v>1278</v>
      </c>
      <c r="D28" s="917"/>
      <c r="E28" s="404">
        <v>0</v>
      </c>
      <c r="F28" s="404"/>
      <c r="G28" s="411"/>
      <c r="H28" s="404"/>
      <c r="I28" s="404">
        <v>12</v>
      </c>
      <c r="J28" s="413">
        <v>12</v>
      </c>
      <c r="K28" s="409">
        <f t="shared" si="0"/>
        <v>0</v>
      </c>
      <c r="L28" s="409">
        <f t="shared" si="1"/>
        <v>0</v>
      </c>
      <c r="M28" s="409">
        <f t="shared" si="2"/>
        <v>100</v>
      </c>
      <c r="N28" s="412">
        <f t="shared" si="3"/>
        <v>100</v>
      </c>
      <c r="O28" s="408"/>
      <c r="P28" s="409"/>
      <c r="Q28" s="409">
        <v>52.3</v>
      </c>
      <c r="R28" s="410">
        <f t="shared" si="4"/>
        <v>52.3</v>
      </c>
      <c r="S28" s="404">
        <v>1</v>
      </c>
      <c r="T28" s="839"/>
      <c r="U28" s="852"/>
      <c r="V28" s="405" t="s">
        <v>989</v>
      </c>
      <c r="W28" s="404" t="s">
        <v>20</v>
      </c>
      <c r="X28" s="404" t="s">
        <v>12</v>
      </c>
      <c r="Y28" s="406">
        <v>52.3</v>
      </c>
      <c r="Z28" s="404"/>
      <c r="AA28" s="404"/>
      <c r="AB28" s="404"/>
      <c r="AC28" s="404"/>
      <c r="AD28" s="405"/>
      <c r="AE28" s="404"/>
      <c r="AF28" s="404"/>
      <c r="AG28" s="406"/>
      <c r="AH28" s="404"/>
      <c r="AI28" s="404"/>
      <c r="AJ28" s="404"/>
      <c r="AK28" s="404"/>
      <c r="AL28" s="405"/>
      <c r="AM28" s="404"/>
      <c r="AN28" s="404"/>
      <c r="AO28" s="406"/>
      <c r="AP28" s="405"/>
      <c r="AQ28" s="404"/>
      <c r="AR28" s="404"/>
      <c r="AS28" s="406"/>
      <c r="AT28" s="404"/>
      <c r="AU28" s="404"/>
      <c r="AV28" s="404"/>
      <c r="AW28" s="406"/>
      <c r="AX28" s="404"/>
      <c r="AY28" s="404"/>
      <c r="AZ28" s="404"/>
      <c r="BA28" s="407"/>
    </row>
    <row r="29" spans="1:53" s="16" customFormat="1">
      <c r="A29" s="404">
        <v>1977</v>
      </c>
      <c r="B29" s="852"/>
      <c r="C29" s="917" t="s">
        <v>1278</v>
      </c>
      <c r="D29" s="917"/>
      <c r="E29" s="404">
        <v>365</v>
      </c>
      <c r="F29" s="404"/>
      <c r="G29" s="411"/>
      <c r="H29" s="404"/>
      <c r="I29" s="404">
        <v>12</v>
      </c>
      <c r="J29" s="413">
        <v>12</v>
      </c>
      <c r="K29" s="409">
        <f t="shared" si="0"/>
        <v>0</v>
      </c>
      <c r="L29" s="409">
        <f t="shared" si="1"/>
        <v>0</v>
      </c>
      <c r="M29" s="409">
        <f t="shared" si="2"/>
        <v>100</v>
      </c>
      <c r="N29" s="412">
        <f t="shared" si="3"/>
        <v>100</v>
      </c>
      <c r="O29" s="408"/>
      <c r="P29" s="409"/>
      <c r="Q29" s="409">
        <v>52.3</v>
      </c>
      <c r="R29" s="410">
        <f t="shared" si="4"/>
        <v>52.3</v>
      </c>
      <c r="S29" s="404">
        <v>1</v>
      </c>
      <c r="T29" s="839"/>
      <c r="U29" s="852"/>
      <c r="V29" s="405" t="s">
        <v>989</v>
      </c>
      <c r="W29" s="404" t="s">
        <v>20</v>
      </c>
      <c r="X29" s="404" t="s">
        <v>12</v>
      </c>
      <c r="Y29" s="406">
        <v>52.3</v>
      </c>
      <c r="Z29" s="404"/>
      <c r="AA29" s="404"/>
      <c r="AB29" s="404"/>
      <c r="AC29" s="404"/>
      <c r="AD29" s="405"/>
      <c r="AE29" s="404"/>
      <c r="AF29" s="404"/>
      <c r="AG29" s="406"/>
      <c r="AH29" s="404"/>
      <c r="AI29" s="404"/>
      <c r="AJ29" s="404"/>
      <c r="AK29" s="404"/>
      <c r="AL29" s="405"/>
      <c r="AM29" s="404"/>
      <c r="AN29" s="404"/>
      <c r="AO29" s="406"/>
      <c r="AP29" s="405"/>
      <c r="AQ29" s="404"/>
      <c r="AR29" s="404"/>
      <c r="AS29" s="406"/>
      <c r="AT29" s="404"/>
      <c r="AU29" s="404"/>
      <c r="AV29" s="404"/>
      <c r="AW29" s="406"/>
      <c r="AX29" s="404"/>
      <c r="AY29" s="404"/>
      <c r="AZ29" s="404"/>
      <c r="BA29" s="407"/>
    </row>
    <row r="30" spans="1:53" s="16" customFormat="1">
      <c r="A30" s="404">
        <v>1978</v>
      </c>
      <c r="B30" s="852"/>
      <c r="C30" s="917" t="s">
        <v>1278</v>
      </c>
      <c r="D30" s="917"/>
      <c r="E30" s="404">
        <v>0</v>
      </c>
      <c r="F30" s="404"/>
      <c r="G30" s="411"/>
      <c r="H30" s="404"/>
      <c r="I30" s="404">
        <v>12</v>
      </c>
      <c r="J30" s="413">
        <v>12</v>
      </c>
      <c r="K30" s="409">
        <f t="shared" si="0"/>
        <v>0</v>
      </c>
      <c r="L30" s="409">
        <f t="shared" si="1"/>
        <v>0</v>
      </c>
      <c r="M30" s="409">
        <f t="shared" si="2"/>
        <v>100</v>
      </c>
      <c r="N30" s="412">
        <f t="shared" si="3"/>
        <v>100</v>
      </c>
      <c r="O30" s="408"/>
      <c r="P30" s="409"/>
      <c r="Q30" s="409">
        <v>52.3</v>
      </c>
      <c r="R30" s="410">
        <f t="shared" si="4"/>
        <v>52.3</v>
      </c>
      <c r="S30" s="404">
        <v>1</v>
      </c>
      <c r="T30" s="839"/>
      <c r="U30" s="852"/>
      <c r="V30" s="405" t="s">
        <v>989</v>
      </c>
      <c r="W30" s="404" t="s">
        <v>20</v>
      </c>
      <c r="X30" s="404" t="s">
        <v>12</v>
      </c>
      <c r="Y30" s="406">
        <v>52.3</v>
      </c>
      <c r="Z30" s="404"/>
      <c r="AA30" s="404"/>
      <c r="AB30" s="404"/>
      <c r="AC30" s="404"/>
      <c r="AD30" s="405"/>
      <c r="AE30" s="404"/>
      <c r="AF30" s="404"/>
      <c r="AG30" s="406"/>
      <c r="AH30" s="404"/>
      <c r="AI30" s="404"/>
      <c r="AJ30" s="404"/>
      <c r="AK30" s="404"/>
      <c r="AL30" s="405"/>
      <c r="AM30" s="404"/>
      <c r="AN30" s="404"/>
      <c r="AO30" s="406"/>
      <c r="AP30" s="405"/>
      <c r="AQ30" s="404"/>
      <c r="AR30" s="404"/>
      <c r="AS30" s="406"/>
      <c r="AT30" s="404"/>
      <c r="AU30" s="404"/>
      <c r="AV30" s="404"/>
      <c r="AW30" s="406"/>
      <c r="AX30" s="404"/>
      <c r="AY30" s="404"/>
      <c r="AZ30" s="404"/>
      <c r="BA30" s="407"/>
    </row>
    <row r="31" spans="1:53" s="16" customFormat="1">
      <c r="A31" s="404">
        <v>1978</v>
      </c>
      <c r="B31" s="852"/>
      <c r="C31" s="917" t="s">
        <v>1278</v>
      </c>
      <c r="D31" s="917"/>
      <c r="E31" s="404">
        <v>365</v>
      </c>
      <c r="F31" s="404"/>
      <c r="G31" s="411"/>
      <c r="H31" s="404"/>
      <c r="I31" s="404">
        <v>12</v>
      </c>
      <c r="J31" s="413">
        <v>12</v>
      </c>
      <c r="K31" s="409">
        <f t="shared" si="0"/>
        <v>0</v>
      </c>
      <c r="L31" s="409">
        <f t="shared" si="1"/>
        <v>0</v>
      </c>
      <c r="M31" s="409">
        <f t="shared" si="2"/>
        <v>100</v>
      </c>
      <c r="N31" s="412">
        <f t="shared" si="3"/>
        <v>100</v>
      </c>
      <c r="O31" s="408"/>
      <c r="P31" s="409"/>
      <c r="Q31" s="409">
        <v>52.3</v>
      </c>
      <c r="R31" s="410">
        <f t="shared" si="4"/>
        <v>52.3</v>
      </c>
      <c r="S31" s="404">
        <v>1</v>
      </c>
      <c r="T31" s="839"/>
      <c r="U31" s="852"/>
      <c r="V31" s="405" t="s">
        <v>989</v>
      </c>
      <c r="W31" s="404" t="s">
        <v>20</v>
      </c>
      <c r="X31" s="404" t="s">
        <v>12</v>
      </c>
      <c r="Y31" s="406">
        <v>52.3</v>
      </c>
      <c r="Z31" s="404"/>
      <c r="AA31" s="404"/>
      <c r="AB31" s="404"/>
      <c r="AC31" s="404"/>
      <c r="AD31" s="405"/>
      <c r="AE31" s="404"/>
      <c r="AF31" s="404"/>
      <c r="AG31" s="406"/>
      <c r="AH31" s="404"/>
      <c r="AI31" s="404"/>
      <c r="AJ31" s="404"/>
      <c r="AK31" s="404"/>
      <c r="AL31" s="405"/>
      <c r="AM31" s="404"/>
      <c r="AN31" s="404"/>
      <c r="AO31" s="406"/>
      <c r="AP31" s="405"/>
      <c r="AQ31" s="404"/>
      <c r="AR31" s="404"/>
      <c r="AS31" s="406"/>
      <c r="AT31" s="404"/>
      <c r="AU31" s="404"/>
      <c r="AV31" s="404"/>
      <c r="AW31" s="406"/>
      <c r="AX31" s="404"/>
      <c r="AY31" s="404"/>
      <c r="AZ31" s="404"/>
      <c r="BA31" s="407"/>
    </row>
    <row r="32" spans="1:53" s="16" customFormat="1">
      <c r="A32" s="404">
        <v>1979</v>
      </c>
      <c r="B32" s="852"/>
      <c r="C32" s="917" t="s">
        <v>1278</v>
      </c>
      <c r="D32" s="917"/>
      <c r="E32" s="404">
        <v>0</v>
      </c>
      <c r="F32" s="404"/>
      <c r="G32" s="411"/>
      <c r="H32" s="404"/>
      <c r="I32" s="404">
        <v>12</v>
      </c>
      <c r="J32" s="413">
        <v>12</v>
      </c>
      <c r="K32" s="409">
        <f t="shared" si="0"/>
        <v>0</v>
      </c>
      <c r="L32" s="409">
        <f t="shared" si="1"/>
        <v>0</v>
      </c>
      <c r="M32" s="409">
        <f t="shared" si="2"/>
        <v>100</v>
      </c>
      <c r="N32" s="412">
        <f t="shared" si="3"/>
        <v>100</v>
      </c>
      <c r="O32" s="408"/>
      <c r="P32" s="409"/>
      <c r="Q32" s="409">
        <v>52.3</v>
      </c>
      <c r="R32" s="410">
        <f t="shared" si="4"/>
        <v>52.3</v>
      </c>
      <c r="S32" s="404">
        <v>1</v>
      </c>
      <c r="T32" s="839"/>
      <c r="U32" s="852"/>
      <c r="V32" s="405" t="s">
        <v>989</v>
      </c>
      <c r="W32" s="404" t="s">
        <v>20</v>
      </c>
      <c r="X32" s="404" t="s">
        <v>12</v>
      </c>
      <c r="Y32" s="406">
        <v>52.3</v>
      </c>
      <c r="Z32" s="404"/>
      <c r="AA32" s="404"/>
      <c r="AB32" s="404"/>
      <c r="AC32" s="404"/>
      <c r="AD32" s="405"/>
      <c r="AE32" s="404"/>
      <c r="AF32" s="404"/>
      <c r="AG32" s="406"/>
      <c r="AH32" s="404"/>
      <c r="AI32" s="404"/>
      <c r="AJ32" s="404"/>
      <c r="AK32" s="404"/>
      <c r="AL32" s="405"/>
      <c r="AM32" s="404"/>
      <c r="AN32" s="404"/>
      <c r="AO32" s="406"/>
      <c r="AP32" s="405"/>
      <c r="AQ32" s="404"/>
      <c r="AR32" s="404"/>
      <c r="AS32" s="406"/>
      <c r="AT32" s="404"/>
      <c r="AU32" s="404"/>
      <c r="AV32" s="404"/>
      <c r="AW32" s="406"/>
      <c r="AX32" s="404"/>
      <c r="AY32" s="404"/>
      <c r="AZ32" s="404"/>
      <c r="BA32" s="407"/>
    </row>
    <row r="33" spans="1:53" s="16" customFormat="1">
      <c r="A33" s="404">
        <v>1979</v>
      </c>
      <c r="B33" s="852"/>
      <c r="C33" s="917" t="s">
        <v>1278</v>
      </c>
      <c r="D33" s="917"/>
      <c r="E33" s="404">
        <v>365</v>
      </c>
      <c r="F33" s="404"/>
      <c r="G33" s="411"/>
      <c r="H33" s="404"/>
      <c r="I33" s="404">
        <v>12</v>
      </c>
      <c r="J33" s="413">
        <v>12</v>
      </c>
      <c r="K33" s="409">
        <f t="shared" si="0"/>
        <v>0</v>
      </c>
      <c r="L33" s="409">
        <f t="shared" si="1"/>
        <v>0</v>
      </c>
      <c r="M33" s="409">
        <f t="shared" si="2"/>
        <v>100</v>
      </c>
      <c r="N33" s="412">
        <f t="shared" si="3"/>
        <v>100</v>
      </c>
      <c r="O33" s="408"/>
      <c r="P33" s="409"/>
      <c r="Q33" s="409">
        <v>52.3</v>
      </c>
      <c r="R33" s="410">
        <f t="shared" si="4"/>
        <v>52.3</v>
      </c>
      <c r="S33" s="404">
        <v>1</v>
      </c>
      <c r="T33" s="839"/>
      <c r="U33" s="852"/>
      <c r="V33" s="405" t="s">
        <v>989</v>
      </c>
      <c r="W33" s="404" t="s">
        <v>20</v>
      </c>
      <c r="X33" s="404" t="s">
        <v>12</v>
      </c>
      <c r="Y33" s="406">
        <v>52.3</v>
      </c>
      <c r="Z33" s="404"/>
      <c r="AA33" s="404"/>
      <c r="AB33" s="404"/>
      <c r="AC33" s="404"/>
      <c r="AD33" s="405"/>
      <c r="AE33" s="404"/>
      <c r="AF33" s="404"/>
      <c r="AG33" s="406"/>
      <c r="AH33" s="404"/>
      <c r="AI33" s="404"/>
      <c r="AJ33" s="404"/>
      <c r="AK33" s="404"/>
      <c r="AL33" s="405"/>
      <c r="AM33" s="404"/>
      <c r="AN33" s="404"/>
      <c r="AO33" s="406"/>
      <c r="AP33" s="405"/>
      <c r="AQ33" s="404"/>
      <c r="AR33" s="404"/>
      <c r="AS33" s="406"/>
      <c r="AT33" s="404"/>
      <c r="AU33" s="404"/>
      <c r="AV33" s="404"/>
      <c r="AW33" s="406"/>
      <c r="AX33" s="404"/>
      <c r="AY33" s="404"/>
      <c r="AZ33" s="404"/>
      <c r="BA33" s="407"/>
    </row>
    <row r="34" spans="1:53" s="16" customFormat="1">
      <c r="A34" s="404">
        <v>1980</v>
      </c>
      <c r="B34" s="852"/>
      <c r="C34" s="917" t="s">
        <v>1278</v>
      </c>
      <c r="D34" s="917"/>
      <c r="E34" s="404">
        <v>0</v>
      </c>
      <c r="F34" s="404"/>
      <c r="G34" s="411"/>
      <c r="H34" s="404"/>
      <c r="I34" s="404">
        <v>12</v>
      </c>
      <c r="J34" s="413">
        <v>12</v>
      </c>
      <c r="K34" s="409">
        <f t="shared" si="0"/>
        <v>0</v>
      </c>
      <c r="L34" s="409">
        <f t="shared" si="1"/>
        <v>0</v>
      </c>
      <c r="M34" s="409">
        <f t="shared" si="2"/>
        <v>100</v>
      </c>
      <c r="N34" s="412">
        <f t="shared" si="3"/>
        <v>100</v>
      </c>
      <c r="O34" s="408"/>
      <c r="P34" s="409"/>
      <c r="Q34" s="409">
        <v>52.3</v>
      </c>
      <c r="R34" s="410">
        <f t="shared" si="4"/>
        <v>52.3</v>
      </c>
      <c r="S34" s="404">
        <v>1</v>
      </c>
      <c r="T34" s="839"/>
      <c r="U34" s="852"/>
      <c r="V34" s="405" t="s">
        <v>989</v>
      </c>
      <c r="W34" s="404" t="s">
        <v>20</v>
      </c>
      <c r="X34" s="404" t="s">
        <v>12</v>
      </c>
      <c r="Y34" s="406">
        <v>52.3</v>
      </c>
      <c r="Z34" s="404"/>
      <c r="AA34" s="404"/>
      <c r="AB34" s="404"/>
      <c r="AC34" s="404"/>
      <c r="AD34" s="405"/>
      <c r="AE34" s="404"/>
      <c r="AF34" s="404"/>
      <c r="AG34" s="406"/>
      <c r="AH34" s="404"/>
      <c r="AI34" s="404"/>
      <c r="AJ34" s="404"/>
      <c r="AK34" s="404"/>
      <c r="AL34" s="405"/>
      <c r="AM34" s="404"/>
      <c r="AN34" s="404"/>
      <c r="AO34" s="406"/>
      <c r="AP34" s="405"/>
      <c r="AQ34" s="404"/>
      <c r="AR34" s="404"/>
      <c r="AS34" s="406"/>
      <c r="AT34" s="404"/>
      <c r="AU34" s="404"/>
      <c r="AV34" s="404"/>
      <c r="AW34" s="406"/>
      <c r="AX34" s="404"/>
      <c r="AY34" s="404"/>
      <c r="AZ34" s="404"/>
      <c r="BA34" s="407"/>
    </row>
    <row r="35" spans="1:53" s="16" customFormat="1">
      <c r="A35" s="404">
        <v>1980</v>
      </c>
      <c r="B35" s="852"/>
      <c r="C35" s="917" t="s">
        <v>1278</v>
      </c>
      <c r="D35" s="917"/>
      <c r="E35" s="404">
        <v>366</v>
      </c>
      <c r="F35" s="404"/>
      <c r="G35" s="411"/>
      <c r="H35" s="404"/>
      <c r="I35" s="404">
        <v>12</v>
      </c>
      <c r="J35" s="413">
        <v>12</v>
      </c>
      <c r="K35" s="409">
        <f t="shared" si="0"/>
        <v>0</v>
      </c>
      <c r="L35" s="409">
        <f t="shared" si="1"/>
        <v>0</v>
      </c>
      <c r="M35" s="409">
        <f t="shared" si="2"/>
        <v>100</v>
      </c>
      <c r="N35" s="412">
        <f t="shared" si="3"/>
        <v>100</v>
      </c>
      <c r="O35" s="408"/>
      <c r="P35" s="409"/>
      <c r="Q35" s="409">
        <v>52.3</v>
      </c>
      <c r="R35" s="410">
        <f t="shared" si="4"/>
        <v>52.3</v>
      </c>
      <c r="S35" s="404">
        <v>1</v>
      </c>
      <c r="T35" s="839"/>
      <c r="U35" s="852"/>
      <c r="V35" s="405" t="s">
        <v>989</v>
      </c>
      <c r="W35" s="404" t="s">
        <v>20</v>
      </c>
      <c r="X35" s="404" t="s">
        <v>12</v>
      </c>
      <c r="Y35" s="406">
        <v>52.3</v>
      </c>
      <c r="Z35" s="404"/>
      <c r="AA35" s="404"/>
      <c r="AB35" s="404"/>
      <c r="AC35" s="404"/>
      <c r="AD35" s="405"/>
      <c r="AE35" s="404"/>
      <c r="AF35" s="404"/>
      <c r="AG35" s="406"/>
      <c r="AH35" s="404"/>
      <c r="AI35" s="404"/>
      <c r="AJ35" s="404"/>
      <c r="AK35" s="404"/>
      <c r="AL35" s="405"/>
      <c r="AM35" s="404"/>
      <c r="AN35" s="404"/>
      <c r="AO35" s="406"/>
      <c r="AP35" s="405"/>
      <c r="AQ35" s="404"/>
      <c r="AR35" s="404"/>
      <c r="AS35" s="406"/>
      <c r="AT35" s="404"/>
      <c r="AU35" s="404"/>
      <c r="AV35" s="404"/>
      <c r="AW35" s="406"/>
      <c r="AX35" s="404"/>
      <c r="AY35" s="404"/>
      <c r="AZ35" s="404"/>
      <c r="BA35" s="407"/>
    </row>
    <row r="36" spans="1:53" s="16" customFormat="1">
      <c r="A36" s="404">
        <v>1981</v>
      </c>
      <c r="B36" s="852"/>
      <c r="C36" s="917" t="s">
        <v>1278</v>
      </c>
      <c r="D36" s="917"/>
      <c r="E36" s="404">
        <v>351</v>
      </c>
      <c r="F36" s="404"/>
      <c r="G36" s="411"/>
      <c r="H36" s="404"/>
      <c r="I36" s="404">
        <v>12</v>
      </c>
      <c r="J36" s="413">
        <v>12</v>
      </c>
      <c r="K36" s="409">
        <f t="shared" si="0"/>
        <v>0</v>
      </c>
      <c r="L36" s="409">
        <f t="shared" si="1"/>
        <v>0</v>
      </c>
      <c r="M36" s="409">
        <f t="shared" si="2"/>
        <v>100</v>
      </c>
      <c r="N36" s="412">
        <f t="shared" si="3"/>
        <v>100</v>
      </c>
      <c r="O36" s="408"/>
      <c r="P36" s="409"/>
      <c r="Q36" s="409">
        <v>52.3</v>
      </c>
      <c r="R36" s="410">
        <f t="shared" si="4"/>
        <v>52.3</v>
      </c>
      <c r="S36" s="404">
        <v>1</v>
      </c>
      <c r="T36" s="839"/>
      <c r="U36" s="852"/>
      <c r="V36" s="405" t="s">
        <v>989</v>
      </c>
      <c r="W36" s="404" t="s">
        <v>20</v>
      </c>
      <c r="X36" s="404" t="s">
        <v>12</v>
      </c>
      <c r="Y36" s="406">
        <v>52.3</v>
      </c>
      <c r="Z36" s="404"/>
      <c r="AA36" s="404"/>
      <c r="AB36" s="404"/>
      <c r="AC36" s="404"/>
      <c r="AD36" s="405"/>
      <c r="AE36" s="404"/>
      <c r="AF36" s="404"/>
      <c r="AG36" s="406"/>
      <c r="AH36" s="404"/>
      <c r="AI36" s="404"/>
      <c r="AJ36" s="404"/>
      <c r="AK36" s="404"/>
      <c r="AL36" s="405"/>
      <c r="AM36" s="404"/>
      <c r="AN36" s="404"/>
      <c r="AO36" s="406"/>
      <c r="AP36" s="405"/>
      <c r="AQ36" s="404"/>
      <c r="AR36" s="404"/>
      <c r="AS36" s="406"/>
      <c r="AT36" s="404"/>
      <c r="AU36" s="404"/>
      <c r="AV36" s="404"/>
      <c r="AW36" s="406"/>
      <c r="AX36" s="404"/>
      <c r="AY36" s="404"/>
      <c r="AZ36" s="404"/>
      <c r="BA36" s="407"/>
    </row>
    <row r="37" spans="1:53" s="16" customFormat="1">
      <c r="A37" s="416">
        <v>1981</v>
      </c>
      <c r="B37" s="836">
        <v>29938</v>
      </c>
      <c r="C37" s="916" t="s">
        <v>1279</v>
      </c>
      <c r="D37" s="916"/>
      <c r="E37" s="416">
        <f>365-E36</f>
        <v>14</v>
      </c>
      <c r="F37" s="416">
        <v>1</v>
      </c>
      <c r="G37" s="425"/>
      <c r="H37" s="416"/>
      <c r="I37" s="416">
        <v>14</v>
      </c>
      <c r="J37" s="427">
        <v>14</v>
      </c>
      <c r="K37" s="423">
        <f t="shared" si="0"/>
        <v>0</v>
      </c>
      <c r="L37" s="423">
        <f t="shared" si="1"/>
        <v>0</v>
      </c>
      <c r="M37" s="423">
        <f t="shared" si="2"/>
        <v>100</v>
      </c>
      <c r="N37" s="426">
        <f t="shared" si="3"/>
        <v>100</v>
      </c>
      <c r="O37" s="422"/>
      <c r="P37" s="423"/>
      <c r="Q37" s="423">
        <v>52.3</v>
      </c>
      <c r="R37" s="424">
        <f t="shared" si="4"/>
        <v>52.3</v>
      </c>
      <c r="S37" s="420">
        <v>1</v>
      </c>
      <c r="T37" s="838">
        <v>29932</v>
      </c>
      <c r="U37" s="836">
        <v>29938</v>
      </c>
      <c r="V37" s="417" t="s">
        <v>989</v>
      </c>
      <c r="W37" s="416" t="s">
        <v>20</v>
      </c>
      <c r="X37" s="416" t="s">
        <v>12</v>
      </c>
      <c r="Y37" s="418">
        <v>47.7</v>
      </c>
      <c r="Z37" s="416"/>
      <c r="AA37" s="416"/>
      <c r="AB37" s="416"/>
      <c r="AC37" s="416"/>
      <c r="AD37" s="417"/>
      <c r="AE37" s="416"/>
      <c r="AF37" s="416"/>
      <c r="AG37" s="418"/>
      <c r="AH37" s="416"/>
      <c r="AI37" s="416"/>
      <c r="AJ37" s="416"/>
      <c r="AK37" s="416"/>
      <c r="AL37" s="417"/>
      <c r="AM37" s="416"/>
      <c r="AN37" s="416"/>
      <c r="AO37" s="418"/>
      <c r="AP37" s="417"/>
      <c r="AQ37" s="416"/>
      <c r="AR37" s="416"/>
      <c r="AS37" s="418"/>
      <c r="AT37" s="416"/>
      <c r="AU37" s="416"/>
      <c r="AV37" s="416"/>
      <c r="AW37" s="418"/>
      <c r="AX37" s="416"/>
      <c r="AY37" s="416"/>
      <c r="AZ37" s="416"/>
      <c r="BA37" s="419"/>
    </row>
    <row r="38" spans="1:53" s="16" customFormat="1">
      <c r="A38" s="416">
        <v>1982</v>
      </c>
      <c r="B38" s="836"/>
      <c r="C38" s="916" t="s">
        <v>1279</v>
      </c>
      <c r="D38" s="916"/>
      <c r="E38" s="416">
        <v>0</v>
      </c>
      <c r="F38" s="416"/>
      <c r="G38" s="425"/>
      <c r="H38" s="416"/>
      <c r="I38" s="416">
        <v>14</v>
      </c>
      <c r="J38" s="427">
        <v>14</v>
      </c>
      <c r="K38" s="423">
        <f t="shared" si="0"/>
        <v>0</v>
      </c>
      <c r="L38" s="423">
        <f t="shared" si="1"/>
        <v>0</v>
      </c>
      <c r="M38" s="423">
        <f t="shared" si="2"/>
        <v>100</v>
      </c>
      <c r="N38" s="426">
        <f t="shared" si="3"/>
        <v>100</v>
      </c>
      <c r="O38" s="422"/>
      <c r="P38" s="423"/>
      <c r="Q38" s="423">
        <v>52.3</v>
      </c>
      <c r="R38" s="424">
        <f t="shared" si="4"/>
        <v>52.3</v>
      </c>
      <c r="S38" s="420">
        <v>1</v>
      </c>
      <c r="T38" s="838"/>
      <c r="U38" s="836"/>
      <c r="V38" s="417" t="s">
        <v>989</v>
      </c>
      <c r="W38" s="416" t="s">
        <v>20</v>
      </c>
      <c r="X38" s="416" t="s">
        <v>12</v>
      </c>
      <c r="Y38" s="418">
        <v>47.7</v>
      </c>
      <c r="Z38" s="416"/>
      <c r="AA38" s="416"/>
      <c r="AB38" s="416"/>
      <c r="AC38" s="416"/>
      <c r="AD38" s="417"/>
      <c r="AE38" s="416"/>
      <c r="AF38" s="416"/>
      <c r="AG38" s="418"/>
      <c r="AH38" s="416"/>
      <c r="AI38" s="416"/>
      <c r="AJ38" s="416"/>
      <c r="AK38" s="416"/>
      <c r="AL38" s="417"/>
      <c r="AM38" s="416"/>
      <c r="AN38" s="416"/>
      <c r="AO38" s="418"/>
      <c r="AP38" s="417"/>
      <c r="AQ38" s="416"/>
      <c r="AR38" s="416"/>
      <c r="AS38" s="418"/>
      <c r="AT38" s="416"/>
      <c r="AU38" s="416"/>
      <c r="AV38" s="416"/>
      <c r="AW38" s="418"/>
      <c r="AX38" s="416"/>
      <c r="AY38" s="416"/>
      <c r="AZ38" s="416"/>
      <c r="BA38" s="419"/>
    </row>
    <row r="39" spans="1:53" s="16" customFormat="1">
      <c r="A39" s="416">
        <v>1982</v>
      </c>
      <c r="B39" s="836"/>
      <c r="C39" s="916" t="s">
        <v>1279</v>
      </c>
      <c r="D39" s="916"/>
      <c r="E39" s="416">
        <v>365</v>
      </c>
      <c r="F39" s="416"/>
      <c r="G39" s="425"/>
      <c r="H39" s="416"/>
      <c r="I39" s="416">
        <v>14</v>
      </c>
      <c r="J39" s="427">
        <v>14</v>
      </c>
      <c r="K39" s="423">
        <f t="shared" ref="K39:K70" si="5">G39/J39*100</f>
        <v>0</v>
      </c>
      <c r="L39" s="423">
        <f t="shared" ref="L39:L70" si="6">H39/J39*100</f>
        <v>0</v>
      </c>
      <c r="M39" s="423">
        <f t="shared" ref="M39:M70" si="7">I39/J39*100</f>
        <v>100</v>
      </c>
      <c r="N39" s="426">
        <f t="shared" ref="N39:N70" si="8">K39+L39+M39</f>
        <v>100</v>
      </c>
      <c r="O39" s="422"/>
      <c r="P39" s="423"/>
      <c r="Q39" s="423">
        <v>52.3</v>
      </c>
      <c r="R39" s="424">
        <f t="shared" ref="R39:R70" si="9">O39+P39+Q39</f>
        <v>52.3</v>
      </c>
      <c r="S39" s="420">
        <v>1</v>
      </c>
      <c r="T39" s="838"/>
      <c r="U39" s="836"/>
      <c r="V39" s="417" t="s">
        <v>989</v>
      </c>
      <c r="W39" s="416" t="s">
        <v>20</v>
      </c>
      <c r="X39" s="416" t="s">
        <v>12</v>
      </c>
      <c r="Y39" s="418">
        <v>47.7</v>
      </c>
      <c r="Z39" s="416"/>
      <c r="AA39" s="416"/>
      <c r="AB39" s="416"/>
      <c r="AC39" s="416"/>
      <c r="AD39" s="417"/>
      <c r="AE39" s="416"/>
      <c r="AF39" s="416"/>
      <c r="AG39" s="418"/>
      <c r="AH39" s="416"/>
      <c r="AI39" s="416"/>
      <c r="AJ39" s="416"/>
      <c r="AK39" s="416"/>
      <c r="AL39" s="417"/>
      <c r="AM39" s="416"/>
      <c r="AN39" s="416"/>
      <c r="AO39" s="418"/>
      <c r="AP39" s="417"/>
      <c r="AQ39" s="416"/>
      <c r="AR39" s="416"/>
      <c r="AS39" s="418"/>
      <c r="AT39" s="416"/>
      <c r="AU39" s="416"/>
      <c r="AV39" s="416"/>
      <c r="AW39" s="418"/>
      <c r="AX39" s="416"/>
      <c r="AY39" s="416"/>
      <c r="AZ39" s="416"/>
      <c r="BA39" s="419"/>
    </row>
    <row r="40" spans="1:53" s="16" customFormat="1">
      <c r="A40" s="416">
        <v>1983</v>
      </c>
      <c r="B40" s="836"/>
      <c r="C40" s="916" t="s">
        <v>1279</v>
      </c>
      <c r="D40" s="916"/>
      <c r="E40" s="416">
        <v>0</v>
      </c>
      <c r="F40" s="416"/>
      <c r="G40" s="425"/>
      <c r="H40" s="416"/>
      <c r="I40" s="416">
        <v>14</v>
      </c>
      <c r="J40" s="427">
        <v>14</v>
      </c>
      <c r="K40" s="423">
        <f t="shared" si="5"/>
        <v>0</v>
      </c>
      <c r="L40" s="423">
        <f t="shared" si="6"/>
        <v>0</v>
      </c>
      <c r="M40" s="423">
        <f t="shared" si="7"/>
        <v>100</v>
      </c>
      <c r="N40" s="426">
        <f t="shared" si="8"/>
        <v>100</v>
      </c>
      <c r="O40" s="422"/>
      <c r="P40" s="423"/>
      <c r="Q40" s="423">
        <v>52.3</v>
      </c>
      <c r="R40" s="424">
        <f t="shared" si="9"/>
        <v>52.3</v>
      </c>
      <c r="S40" s="420">
        <v>1</v>
      </c>
      <c r="T40" s="838"/>
      <c r="U40" s="836"/>
      <c r="V40" s="417" t="s">
        <v>989</v>
      </c>
      <c r="W40" s="416" t="s">
        <v>20</v>
      </c>
      <c r="X40" s="416" t="s">
        <v>12</v>
      </c>
      <c r="Y40" s="418">
        <v>47.7</v>
      </c>
      <c r="Z40" s="416"/>
      <c r="AA40" s="416"/>
      <c r="AB40" s="416"/>
      <c r="AC40" s="416"/>
      <c r="AD40" s="417"/>
      <c r="AE40" s="416"/>
      <c r="AF40" s="416"/>
      <c r="AG40" s="418"/>
      <c r="AH40" s="416"/>
      <c r="AI40" s="416"/>
      <c r="AJ40" s="416"/>
      <c r="AK40" s="416"/>
      <c r="AL40" s="417"/>
      <c r="AM40" s="416"/>
      <c r="AN40" s="416"/>
      <c r="AO40" s="418"/>
      <c r="AP40" s="417"/>
      <c r="AQ40" s="416"/>
      <c r="AR40" s="416"/>
      <c r="AS40" s="418"/>
      <c r="AT40" s="416"/>
      <c r="AU40" s="416"/>
      <c r="AV40" s="416"/>
      <c r="AW40" s="418"/>
      <c r="AX40" s="416"/>
      <c r="AY40" s="416"/>
      <c r="AZ40" s="416"/>
      <c r="BA40" s="419"/>
    </row>
    <row r="41" spans="1:53" s="16" customFormat="1">
      <c r="A41" s="416">
        <v>1983</v>
      </c>
      <c r="B41" s="836"/>
      <c r="C41" s="916" t="s">
        <v>1279</v>
      </c>
      <c r="D41" s="916"/>
      <c r="E41" s="416">
        <v>365</v>
      </c>
      <c r="F41" s="416"/>
      <c r="G41" s="425"/>
      <c r="H41" s="416"/>
      <c r="I41" s="416">
        <v>14</v>
      </c>
      <c r="J41" s="427">
        <v>14</v>
      </c>
      <c r="K41" s="423">
        <f t="shared" si="5"/>
        <v>0</v>
      </c>
      <c r="L41" s="423">
        <f t="shared" si="6"/>
        <v>0</v>
      </c>
      <c r="M41" s="423">
        <f t="shared" si="7"/>
        <v>100</v>
      </c>
      <c r="N41" s="426">
        <f t="shared" si="8"/>
        <v>100</v>
      </c>
      <c r="O41" s="422"/>
      <c r="P41" s="423"/>
      <c r="Q41" s="423">
        <v>52.3</v>
      </c>
      <c r="R41" s="424">
        <f t="shared" si="9"/>
        <v>52.3</v>
      </c>
      <c r="S41" s="420">
        <v>1</v>
      </c>
      <c r="T41" s="838"/>
      <c r="U41" s="836"/>
      <c r="V41" s="417" t="s">
        <v>989</v>
      </c>
      <c r="W41" s="416" t="s">
        <v>20</v>
      </c>
      <c r="X41" s="416" t="s">
        <v>12</v>
      </c>
      <c r="Y41" s="418">
        <v>47.7</v>
      </c>
      <c r="Z41" s="416"/>
      <c r="AA41" s="416"/>
      <c r="AB41" s="416"/>
      <c r="AC41" s="416"/>
      <c r="AD41" s="417"/>
      <c r="AE41" s="416"/>
      <c r="AF41" s="416"/>
      <c r="AG41" s="418"/>
      <c r="AH41" s="416"/>
      <c r="AI41" s="416"/>
      <c r="AJ41" s="416"/>
      <c r="AK41" s="416"/>
      <c r="AL41" s="417"/>
      <c r="AM41" s="416"/>
      <c r="AN41" s="416"/>
      <c r="AO41" s="418"/>
      <c r="AP41" s="417"/>
      <c r="AQ41" s="416"/>
      <c r="AR41" s="416"/>
      <c r="AS41" s="418"/>
      <c r="AT41" s="416"/>
      <c r="AU41" s="416"/>
      <c r="AV41" s="416"/>
      <c r="AW41" s="418"/>
      <c r="AX41" s="416"/>
      <c r="AY41" s="416"/>
      <c r="AZ41" s="416"/>
      <c r="BA41" s="419"/>
    </row>
    <row r="42" spans="1:53" s="16" customFormat="1">
      <c r="A42" s="416">
        <v>1984</v>
      </c>
      <c r="B42" s="836"/>
      <c r="C42" s="916" t="s">
        <v>1279</v>
      </c>
      <c r="D42" s="916"/>
      <c r="E42" s="416">
        <v>357</v>
      </c>
      <c r="F42" s="416"/>
      <c r="G42" s="425"/>
      <c r="H42" s="416"/>
      <c r="I42" s="416">
        <v>14</v>
      </c>
      <c r="J42" s="427">
        <v>14</v>
      </c>
      <c r="K42" s="423">
        <f t="shared" si="5"/>
        <v>0</v>
      </c>
      <c r="L42" s="423">
        <f t="shared" si="6"/>
        <v>0</v>
      </c>
      <c r="M42" s="423">
        <f t="shared" si="7"/>
        <v>100</v>
      </c>
      <c r="N42" s="426">
        <f t="shared" si="8"/>
        <v>100</v>
      </c>
      <c r="O42" s="422"/>
      <c r="P42" s="423"/>
      <c r="Q42" s="423">
        <v>52.3</v>
      </c>
      <c r="R42" s="424">
        <f t="shared" si="9"/>
        <v>52.3</v>
      </c>
      <c r="S42" s="420">
        <v>1</v>
      </c>
      <c r="T42" s="838"/>
      <c r="U42" s="836"/>
      <c r="V42" s="417" t="s">
        <v>989</v>
      </c>
      <c r="W42" s="416" t="s">
        <v>20</v>
      </c>
      <c r="X42" s="416" t="s">
        <v>12</v>
      </c>
      <c r="Y42" s="418">
        <v>47.7</v>
      </c>
      <c r="Z42" s="416"/>
      <c r="AA42" s="416"/>
      <c r="AB42" s="416"/>
      <c r="AC42" s="416"/>
      <c r="AD42" s="417"/>
      <c r="AE42" s="416"/>
      <c r="AF42" s="416"/>
      <c r="AG42" s="418"/>
      <c r="AH42" s="416"/>
      <c r="AI42" s="416"/>
      <c r="AJ42" s="416"/>
      <c r="AK42" s="416"/>
      <c r="AL42" s="417"/>
      <c r="AM42" s="416"/>
      <c r="AN42" s="416"/>
      <c r="AO42" s="418"/>
      <c r="AP42" s="417"/>
      <c r="AQ42" s="416"/>
      <c r="AR42" s="416"/>
      <c r="AS42" s="418"/>
      <c r="AT42" s="416"/>
      <c r="AU42" s="416"/>
      <c r="AV42" s="416"/>
      <c r="AW42" s="418"/>
      <c r="AX42" s="416"/>
      <c r="AY42" s="416"/>
      <c r="AZ42" s="416"/>
      <c r="BA42" s="419"/>
    </row>
    <row r="43" spans="1:53" s="16" customFormat="1">
      <c r="A43" s="404">
        <v>1984</v>
      </c>
      <c r="B43" s="852">
        <v>31039</v>
      </c>
      <c r="C43" s="917" t="s">
        <v>1280</v>
      </c>
      <c r="D43" s="917"/>
      <c r="E43" s="404">
        <f>366-E42</f>
        <v>9</v>
      </c>
      <c r="F43" s="404">
        <v>2</v>
      </c>
      <c r="G43" s="411"/>
      <c r="H43" s="404"/>
      <c r="I43" s="404">
        <v>12</v>
      </c>
      <c r="J43" s="413">
        <v>12</v>
      </c>
      <c r="K43" s="409">
        <f t="shared" si="5"/>
        <v>0</v>
      </c>
      <c r="L43" s="409">
        <f t="shared" si="6"/>
        <v>0</v>
      </c>
      <c r="M43" s="409">
        <f t="shared" si="7"/>
        <v>100</v>
      </c>
      <c r="N43" s="412">
        <f t="shared" si="8"/>
        <v>100</v>
      </c>
      <c r="O43" s="408"/>
      <c r="P43" s="409"/>
      <c r="Q43" s="409">
        <v>52.3</v>
      </c>
      <c r="R43" s="410">
        <f t="shared" si="9"/>
        <v>52.3</v>
      </c>
      <c r="S43" s="404">
        <v>1</v>
      </c>
      <c r="T43" s="839"/>
      <c r="U43" s="852">
        <v>31039</v>
      </c>
      <c r="V43" s="405" t="s">
        <v>989</v>
      </c>
      <c r="W43" s="404" t="s">
        <v>20</v>
      </c>
      <c r="X43" s="404" t="s">
        <v>12</v>
      </c>
      <c r="Y43" s="406">
        <v>47.7</v>
      </c>
      <c r="Z43" s="404"/>
      <c r="AA43" s="404"/>
      <c r="AB43" s="404"/>
      <c r="AC43" s="404"/>
      <c r="AD43" s="405"/>
      <c r="AE43" s="404"/>
      <c r="AF43" s="404"/>
      <c r="AG43" s="406"/>
      <c r="AH43" s="404"/>
      <c r="AI43" s="404"/>
      <c r="AJ43" s="404"/>
      <c r="AK43" s="404"/>
      <c r="AL43" s="405"/>
      <c r="AM43" s="404"/>
      <c r="AN43" s="404"/>
      <c r="AO43" s="406"/>
      <c r="AP43" s="405"/>
      <c r="AQ43" s="404"/>
      <c r="AR43" s="404"/>
      <c r="AS43" s="406"/>
      <c r="AT43" s="404"/>
      <c r="AU43" s="404"/>
      <c r="AV43" s="404"/>
      <c r="AW43" s="406"/>
      <c r="AX43" s="404"/>
      <c r="AY43" s="404"/>
      <c r="AZ43" s="404"/>
      <c r="BA43" s="407"/>
    </row>
    <row r="44" spans="1:53" s="16" customFormat="1">
      <c r="A44" s="404">
        <v>1985</v>
      </c>
      <c r="B44" s="852"/>
      <c r="C44" s="917" t="s">
        <v>1280</v>
      </c>
      <c r="D44" s="917"/>
      <c r="E44" s="404">
        <v>0</v>
      </c>
      <c r="F44" s="404"/>
      <c r="G44" s="411"/>
      <c r="H44" s="404"/>
      <c r="I44" s="404">
        <v>12</v>
      </c>
      <c r="J44" s="413">
        <v>12</v>
      </c>
      <c r="K44" s="409">
        <f t="shared" si="5"/>
        <v>0</v>
      </c>
      <c r="L44" s="409">
        <f t="shared" si="6"/>
        <v>0</v>
      </c>
      <c r="M44" s="409">
        <f t="shared" si="7"/>
        <v>100</v>
      </c>
      <c r="N44" s="412">
        <f t="shared" si="8"/>
        <v>100</v>
      </c>
      <c r="O44" s="408"/>
      <c r="P44" s="409"/>
      <c r="Q44" s="409">
        <v>52.3</v>
      </c>
      <c r="R44" s="410">
        <f t="shared" si="9"/>
        <v>52.3</v>
      </c>
      <c r="S44" s="404">
        <v>1</v>
      </c>
      <c r="T44" s="839"/>
      <c r="U44" s="852"/>
      <c r="V44" s="405" t="s">
        <v>989</v>
      </c>
      <c r="W44" s="404" t="s">
        <v>20</v>
      </c>
      <c r="X44" s="404" t="s">
        <v>12</v>
      </c>
      <c r="Y44" s="406">
        <v>47.7</v>
      </c>
      <c r="Z44" s="404"/>
      <c r="AA44" s="404"/>
      <c r="AB44" s="404"/>
      <c r="AC44" s="404"/>
      <c r="AD44" s="405"/>
      <c r="AE44" s="404"/>
      <c r="AF44" s="404"/>
      <c r="AG44" s="406"/>
      <c r="AH44" s="404"/>
      <c r="AI44" s="404"/>
      <c r="AJ44" s="404"/>
      <c r="AK44" s="404"/>
      <c r="AL44" s="405"/>
      <c r="AM44" s="404"/>
      <c r="AN44" s="404"/>
      <c r="AO44" s="406"/>
      <c r="AP44" s="405"/>
      <c r="AQ44" s="404"/>
      <c r="AR44" s="404"/>
      <c r="AS44" s="406"/>
      <c r="AT44" s="404"/>
      <c r="AU44" s="404"/>
      <c r="AV44" s="404"/>
      <c r="AW44" s="406"/>
      <c r="AX44" s="404"/>
      <c r="AY44" s="404"/>
      <c r="AZ44" s="404"/>
      <c r="BA44" s="407"/>
    </row>
    <row r="45" spans="1:53" s="16" customFormat="1">
      <c r="A45" s="404">
        <v>1985</v>
      </c>
      <c r="B45" s="852"/>
      <c r="C45" s="917" t="s">
        <v>1280</v>
      </c>
      <c r="D45" s="917"/>
      <c r="E45" s="404">
        <v>365</v>
      </c>
      <c r="F45" s="404"/>
      <c r="G45" s="411"/>
      <c r="H45" s="404"/>
      <c r="I45" s="404">
        <v>12</v>
      </c>
      <c r="J45" s="413">
        <v>12</v>
      </c>
      <c r="K45" s="409">
        <f t="shared" si="5"/>
        <v>0</v>
      </c>
      <c r="L45" s="409">
        <f t="shared" si="6"/>
        <v>0</v>
      </c>
      <c r="M45" s="409">
        <f t="shared" si="7"/>
        <v>100</v>
      </c>
      <c r="N45" s="412">
        <f t="shared" si="8"/>
        <v>100</v>
      </c>
      <c r="O45" s="408"/>
      <c r="P45" s="409"/>
      <c r="Q45" s="409">
        <v>52.3</v>
      </c>
      <c r="R45" s="410">
        <f t="shared" si="9"/>
        <v>52.3</v>
      </c>
      <c r="S45" s="404">
        <v>1</v>
      </c>
      <c r="T45" s="839"/>
      <c r="U45" s="852"/>
      <c r="V45" s="405" t="s">
        <v>989</v>
      </c>
      <c r="W45" s="404" t="s">
        <v>20</v>
      </c>
      <c r="X45" s="404" t="s">
        <v>12</v>
      </c>
      <c r="Y45" s="406">
        <v>47.7</v>
      </c>
      <c r="Z45" s="404"/>
      <c r="AA45" s="404"/>
      <c r="AB45" s="404"/>
      <c r="AC45" s="404"/>
      <c r="AD45" s="405"/>
      <c r="AE45" s="404"/>
      <c r="AF45" s="404"/>
      <c r="AG45" s="406"/>
      <c r="AH45" s="404"/>
      <c r="AI45" s="404"/>
      <c r="AJ45" s="404"/>
      <c r="AK45" s="404"/>
      <c r="AL45" s="405"/>
      <c r="AM45" s="404"/>
      <c r="AN45" s="404"/>
      <c r="AO45" s="406"/>
      <c r="AP45" s="405"/>
      <c r="AQ45" s="404"/>
      <c r="AR45" s="404"/>
      <c r="AS45" s="406"/>
      <c r="AT45" s="404"/>
      <c r="AU45" s="404"/>
      <c r="AV45" s="404"/>
      <c r="AW45" s="406"/>
      <c r="AX45" s="404"/>
      <c r="AY45" s="404"/>
      <c r="AZ45" s="404"/>
      <c r="BA45" s="407"/>
    </row>
    <row r="46" spans="1:53" s="16" customFormat="1">
      <c r="A46" s="404">
        <v>1986</v>
      </c>
      <c r="B46" s="852"/>
      <c r="C46" s="917" t="s">
        <v>1280</v>
      </c>
      <c r="D46" s="917"/>
      <c r="E46" s="404">
        <v>0</v>
      </c>
      <c r="F46" s="404"/>
      <c r="G46" s="411"/>
      <c r="H46" s="404"/>
      <c r="I46" s="404">
        <v>12</v>
      </c>
      <c r="J46" s="413">
        <v>12</v>
      </c>
      <c r="K46" s="409">
        <f t="shared" si="5"/>
        <v>0</v>
      </c>
      <c r="L46" s="409">
        <f t="shared" si="6"/>
        <v>0</v>
      </c>
      <c r="M46" s="409">
        <f t="shared" si="7"/>
        <v>100</v>
      </c>
      <c r="N46" s="412">
        <f t="shared" si="8"/>
        <v>100</v>
      </c>
      <c r="O46" s="408"/>
      <c r="P46" s="409"/>
      <c r="Q46" s="409">
        <v>52.3</v>
      </c>
      <c r="R46" s="410">
        <f t="shared" si="9"/>
        <v>52.3</v>
      </c>
      <c r="S46" s="404">
        <v>1</v>
      </c>
      <c r="T46" s="839"/>
      <c r="U46" s="852"/>
      <c r="V46" s="405" t="s">
        <v>989</v>
      </c>
      <c r="W46" s="404" t="s">
        <v>20</v>
      </c>
      <c r="X46" s="404" t="s">
        <v>12</v>
      </c>
      <c r="Y46" s="406">
        <v>47.7</v>
      </c>
      <c r="Z46" s="404"/>
      <c r="AA46" s="404"/>
      <c r="AB46" s="404"/>
      <c r="AC46" s="404"/>
      <c r="AD46" s="405"/>
      <c r="AE46" s="404"/>
      <c r="AF46" s="404"/>
      <c r="AG46" s="406"/>
      <c r="AH46" s="404"/>
      <c r="AI46" s="404"/>
      <c r="AJ46" s="404"/>
      <c r="AK46" s="404"/>
      <c r="AL46" s="405"/>
      <c r="AM46" s="404"/>
      <c r="AN46" s="404"/>
      <c r="AO46" s="406"/>
      <c r="AP46" s="405"/>
      <c r="AQ46" s="404"/>
      <c r="AR46" s="404"/>
      <c r="AS46" s="406"/>
      <c r="AT46" s="404"/>
      <c r="AU46" s="404"/>
      <c r="AV46" s="404"/>
      <c r="AW46" s="406"/>
      <c r="AX46" s="404"/>
      <c r="AY46" s="404"/>
      <c r="AZ46" s="404"/>
      <c r="BA46" s="407"/>
    </row>
    <row r="47" spans="1:53" s="16" customFormat="1">
      <c r="A47" s="404">
        <v>1986</v>
      </c>
      <c r="B47" s="852"/>
      <c r="C47" s="917" t="s">
        <v>1280</v>
      </c>
      <c r="D47" s="917"/>
      <c r="E47" s="404">
        <v>365</v>
      </c>
      <c r="F47" s="404"/>
      <c r="G47" s="411"/>
      <c r="H47" s="404"/>
      <c r="I47" s="404">
        <v>12</v>
      </c>
      <c r="J47" s="413">
        <v>12</v>
      </c>
      <c r="K47" s="409">
        <f t="shared" si="5"/>
        <v>0</v>
      </c>
      <c r="L47" s="409">
        <f t="shared" si="6"/>
        <v>0</v>
      </c>
      <c r="M47" s="409">
        <f t="shared" si="7"/>
        <v>100</v>
      </c>
      <c r="N47" s="412">
        <f t="shared" si="8"/>
        <v>100</v>
      </c>
      <c r="O47" s="408"/>
      <c r="P47" s="409"/>
      <c r="Q47" s="409">
        <v>52.3</v>
      </c>
      <c r="R47" s="410">
        <f t="shared" si="9"/>
        <v>52.3</v>
      </c>
      <c r="S47" s="404">
        <v>1</v>
      </c>
      <c r="T47" s="839"/>
      <c r="U47" s="852"/>
      <c r="V47" s="405" t="s">
        <v>989</v>
      </c>
      <c r="W47" s="404" t="s">
        <v>20</v>
      </c>
      <c r="X47" s="404" t="s">
        <v>12</v>
      </c>
      <c r="Y47" s="406">
        <v>47.7</v>
      </c>
      <c r="Z47" s="404"/>
      <c r="AA47" s="404"/>
      <c r="AB47" s="404"/>
      <c r="AC47" s="404"/>
      <c r="AD47" s="405"/>
      <c r="AE47" s="404"/>
      <c r="AF47" s="404"/>
      <c r="AG47" s="406"/>
      <c r="AH47" s="404"/>
      <c r="AI47" s="404"/>
      <c r="AJ47" s="404"/>
      <c r="AK47" s="404"/>
      <c r="AL47" s="405"/>
      <c r="AM47" s="404"/>
      <c r="AN47" s="404"/>
      <c r="AO47" s="406"/>
      <c r="AP47" s="405"/>
      <c r="AQ47" s="404"/>
      <c r="AR47" s="404"/>
      <c r="AS47" s="406"/>
      <c r="AT47" s="404"/>
      <c r="AU47" s="404"/>
      <c r="AV47" s="404"/>
      <c r="AW47" s="406"/>
      <c r="AX47" s="404"/>
      <c r="AY47" s="404"/>
      <c r="AZ47" s="404"/>
      <c r="BA47" s="407"/>
    </row>
    <row r="48" spans="1:53" s="16" customFormat="1">
      <c r="A48" s="404">
        <v>1987</v>
      </c>
      <c r="B48" s="852"/>
      <c r="C48" s="917" t="s">
        <v>1280</v>
      </c>
      <c r="D48" s="917"/>
      <c r="E48" s="404">
        <v>133</v>
      </c>
      <c r="F48" s="404"/>
      <c r="G48" s="411"/>
      <c r="H48" s="404"/>
      <c r="I48" s="404">
        <v>12</v>
      </c>
      <c r="J48" s="413">
        <v>12</v>
      </c>
      <c r="K48" s="409">
        <f t="shared" si="5"/>
        <v>0</v>
      </c>
      <c r="L48" s="409">
        <f t="shared" si="6"/>
        <v>0</v>
      </c>
      <c r="M48" s="409">
        <f t="shared" si="7"/>
        <v>100</v>
      </c>
      <c r="N48" s="412">
        <f t="shared" si="8"/>
        <v>100</v>
      </c>
      <c r="O48" s="408"/>
      <c r="P48" s="409"/>
      <c r="Q48" s="409">
        <v>52.3</v>
      </c>
      <c r="R48" s="410">
        <f t="shared" si="9"/>
        <v>52.3</v>
      </c>
      <c r="S48" s="404">
        <v>1</v>
      </c>
      <c r="T48" s="839"/>
      <c r="U48" s="852"/>
      <c r="V48" s="405" t="s">
        <v>989</v>
      </c>
      <c r="W48" s="404" t="s">
        <v>20</v>
      </c>
      <c r="X48" s="404" t="s">
        <v>12</v>
      </c>
      <c r="Y48" s="406">
        <v>47.7</v>
      </c>
      <c r="Z48" s="404"/>
      <c r="AA48" s="404"/>
      <c r="AB48" s="404"/>
      <c r="AC48" s="404"/>
      <c r="AD48" s="405"/>
      <c r="AE48" s="404"/>
      <c r="AF48" s="404"/>
      <c r="AG48" s="406"/>
      <c r="AH48" s="404"/>
      <c r="AI48" s="404"/>
      <c r="AJ48" s="404"/>
      <c r="AK48" s="404"/>
      <c r="AL48" s="405"/>
      <c r="AM48" s="404"/>
      <c r="AN48" s="404"/>
      <c r="AO48" s="406"/>
      <c r="AP48" s="405"/>
      <c r="AQ48" s="404"/>
      <c r="AR48" s="404"/>
      <c r="AS48" s="406"/>
      <c r="AT48" s="404"/>
      <c r="AU48" s="404"/>
      <c r="AV48" s="404"/>
      <c r="AW48" s="406"/>
      <c r="AX48" s="404"/>
      <c r="AY48" s="404"/>
      <c r="AZ48" s="404"/>
      <c r="BA48" s="407"/>
    </row>
    <row r="49" spans="1:53" s="16" customFormat="1">
      <c r="A49" s="416">
        <v>1987</v>
      </c>
      <c r="B49" s="836">
        <v>31911</v>
      </c>
      <c r="C49" s="916" t="s">
        <v>985</v>
      </c>
      <c r="D49" s="916"/>
      <c r="E49" s="416">
        <f>365-E48</f>
        <v>232</v>
      </c>
      <c r="F49" s="416">
        <v>1</v>
      </c>
      <c r="G49" s="425"/>
      <c r="H49" s="416">
        <v>10</v>
      </c>
      <c r="I49" s="416"/>
      <c r="J49" s="427">
        <v>10</v>
      </c>
      <c r="K49" s="423">
        <f t="shared" si="5"/>
        <v>0</v>
      </c>
      <c r="L49" s="423">
        <f t="shared" si="6"/>
        <v>100</v>
      </c>
      <c r="M49" s="423">
        <f t="shared" si="7"/>
        <v>0</v>
      </c>
      <c r="N49" s="426">
        <f t="shared" si="8"/>
        <v>100</v>
      </c>
      <c r="O49" s="422"/>
      <c r="P49" s="423">
        <v>50.7</v>
      </c>
      <c r="Q49" s="423"/>
      <c r="R49" s="424">
        <f t="shared" si="9"/>
        <v>50.7</v>
      </c>
      <c r="S49" s="420">
        <v>1</v>
      </c>
      <c r="T49" s="838">
        <v>31906</v>
      </c>
      <c r="U49" s="836">
        <v>31911</v>
      </c>
      <c r="V49" s="417" t="s">
        <v>986</v>
      </c>
      <c r="W49" s="416" t="s">
        <v>17</v>
      </c>
      <c r="X49" s="416" t="s">
        <v>18</v>
      </c>
      <c r="Y49" s="418">
        <v>50.7</v>
      </c>
      <c r="Z49" s="416"/>
      <c r="AA49" s="416"/>
      <c r="AB49" s="416"/>
      <c r="AC49" s="416"/>
      <c r="AD49" s="417"/>
      <c r="AE49" s="416"/>
      <c r="AF49" s="416"/>
      <c r="AG49" s="418"/>
      <c r="AH49" s="416"/>
      <c r="AI49" s="416"/>
      <c r="AJ49" s="416"/>
      <c r="AK49" s="416"/>
      <c r="AL49" s="417"/>
      <c r="AM49" s="416"/>
      <c r="AN49" s="416"/>
      <c r="AO49" s="418"/>
      <c r="AP49" s="417"/>
      <c r="AQ49" s="416"/>
      <c r="AR49" s="416"/>
      <c r="AS49" s="418"/>
      <c r="AT49" s="416"/>
      <c r="AU49" s="416"/>
      <c r="AV49" s="416"/>
      <c r="AW49" s="418"/>
      <c r="AX49" s="416"/>
      <c r="AY49" s="416"/>
      <c r="AZ49" s="416"/>
      <c r="BA49" s="419"/>
    </row>
    <row r="50" spans="1:53" s="16" customFormat="1">
      <c r="A50" s="416">
        <v>1988</v>
      </c>
      <c r="B50" s="836"/>
      <c r="C50" s="916" t="s">
        <v>985</v>
      </c>
      <c r="D50" s="916"/>
      <c r="E50" s="416">
        <v>0</v>
      </c>
      <c r="F50" s="416"/>
      <c r="G50" s="425"/>
      <c r="H50" s="416">
        <v>10</v>
      </c>
      <c r="I50" s="416"/>
      <c r="J50" s="427">
        <v>10</v>
      </c>
      <c r="K50" s="423">
        <f t="shared" si="5"/>
        <v>0</v>
      </c>
      <c r="L50" s="423">
        <f t="shared" si="6"/>
        <v>100</v>
      </c>
      <c r="M50" s="423">
        <f t="shared" si="7"/>
        <v>0</v>
      </c>
      <c r="N50" s="426">
        <f t="shared" si="8"/>
        <v>100</v>
      </c>
      <c r="O50" s="422"/>
      <c r="P50" s="423">
        <v>50.7</v>
      </c>
      <c r="Q50" s="423"/>
      <c r="R50" s="424">
        <f t="shared" si="9"/>
        <v>50.7</v>
      </c>
      <c r="S50" s="420">
        <v>1</v>
      </c>
      <c r="T50" s="838"/>
      <c r="U50" s="836"/>
      <c r="V50" s="417" t="s">
        <v>986</v>
      </c>
      <c r="W50" s="416" t="s">
        <v>17</v>
      </c>
      <c r="X50" s="416" t="s">
        <v>18</v>
      </c>
      <c r="Y50" s="418">
        <v>50.7</v>
      </c>
      <c r="Z50" s="416"/>
      <c r="AA50" s="416"/>
      <c r="AB50" s="416"/>
      <c r="AC50" s="416"/>
      <c r="AD50" s="417"/>
      <c r="AE50" s="416"/>
      <c r="AF50" s="416"/>
      <c r="AG50" s="418"/>
      <c r="AH50" s="416"/>
      <c r="AI50" s="416"/>
      <c r="AJ50" s="416"/>
      <c r="AK50" s="416"/>
      <c r="AL50" s="417"/>
      <c r="AM50" s="416"/>
      <c r="AN50" s="416"/>
      <c r="AO50" s="418"/>
      <c r="AP50" s="417"/>
      <c r="AQ50" s="416"/>
      <c r="AR50" s="416"/>
      <c r="AS50" s="418"/>
      <c r="AT50" s="416"/>
      <c r="AU50" s="416"/>
      <c r="AV50" s="416"/>
      <c r="AW50" s="418"/>
      <c r="AX50" s="416"/>
      <c r="AY50" s="416"/>
      <c r="AZ50" s="416"/>
      <c r="BA50" s="419"/>
    </row>
    <row r="51" spans="1:53" s="16" customFormat="1">
      <c r="A51" s="416">
        <v>1988</v>
      </c>
      <c r="B51" s="836"/>
      <c r="C51" s="916" t="s">
        <v>985</v>
      </c>
      <c r="D51" s="916"/>
      <c r="E51" s="416">
        <v>366</v>
      </c>
      <c r="F51" s="416"/>
      <c r="G51" s="425"/>
      <c r="H51" s="416">
        <v>10</v>
      </c>
      <c r="I51" s="416"/>
      <c r="J51" s="427">
        <v>10</v>
      </c>
      <c r="K51" s="423">
        <f t="shared" si="5"/>
        <v>0</v>
      </c>
      <c r="L51" s="423">
        <f t="shared" si="6"/>
        <v>100</v>
      </c>
      <c r="M51" s="423">
        <f t="shared" si="7"/>
        <v>0</v>
      </c>
      <c r="N51" s="426">
        <f t="shared" si="8"/>
        <v>100</v>
      </c>
      <c r="O51" s="422"/>
      <c r="P51" s="423">
        <v>50.7</v>
      </c>
      <c r="Q51" s="423"/>
      <c r="R51" s="424">
        <f t="shared" si="9"/>
        <v>50.7</v>
      </c>
      <c r="S51" s="420">
        <v>1</v>
      </c>
      <c r="T51" s="838"/>
      <c r="U51" s="836"/>
      <c r="V51" s="417" t="s">
        <v>986</v>
      </c>
      <c r="W51" s="416" t="s">
        <v>17</v>
      </c>
      <c r="X51" s="416" t="s">
        <v>18</v>
      </c>
      <c r="Y51" s="418">
        <v>50.7</v>
      </c>
      <c r="Z51" s="416"/>
      <c r="AA51" s="416"/>
      <c r="AB51" s="416"/>
      <c r="AC51" s="416"/>
      <c r="AD51" s="417"/>
      <c r="AE51" s="416"/>
      <c r="AF51" s="416"/>
      <c r="AG51" s="418"/>
      <c r="AH51" s="416"/>
      <c r="AI51" s="416"/>
      <c r="AJ51" s="416"/>
      <c r="AK51" s="416"/>
      <c r="AL51" s="417"/>
      <c r="AM51" s="416"/>
      <c r="AN51" s="416"/>
      <c r="AO51" s="418"/>
      <c r="AP51" s="417"/>
      <c r="AQ51" s="416"/>
      <c r="AR51" s="416"/>
      <c r="AS51" s="418"/>
      <c r="AT51" s="416"/>
      <c r="AU51" s="416"/>
      <c r="AV51" s="416"/>
      <c r="AW51" s="418"/>
      <c r="AX51" s="416"/>
      <c r="AY51" s="416"/>
      <c r="AZ51" s="416"/>
      <c r="BA51" s="419"/>
    </row>
    <row r="52" spans="1:53" s="16" customFormat="1">
      <c r="A52" s="416">
        <v>1989</v>
      </c>
      <c r="B52" s="836"/>
      <c r="C52" s="916" t="s">
        <v>985</v>
      </c>
      <c r="D52" s="916"/>
      <c r="E52" s="416">
        <v>0</v>
      </c>
      <c r="F52" s="416"/>
      <c r="G52" s="425"/>
      <c r="H52" s="416">
        <v>10</v>
      </c>
      <c r="I52" s="416"/>
      <c r="J52" s="427">
        <v>10</v>
      </c>
      <c r="K52" s="423">
        <f t="shared" si="5"/>
        <v>0</v>
      </c>
      <c r="L52" s="423">
        <f t="shared" si="6"/>
        <v>100</v>
      </c>
      <c r="M52" s="423">
        <f t="shared" si="7"/>
        <v>0</v>
      </c>
      <c r="N52" s="426">
        <f t="shared" si="8"/>
        <v>100</v>
      </c>
      <c r="O52" s="422"/>
      <c r="P52" s="423">
        <v>50.7</v>
      </c>
      <c r="Q52" s="423"/>
      <c r="R52" s="424">
        <f t="shared" si="9"/>
        <v>50.7</v>
      </c>
      <c r="S52" s="420">
        <v>1</v>
      </c>
      <c r="T52" s="838"/>
      <c r="U52" s="836"/>
      <c r="V52" s="417" t="s">
        <v>986</v>
      </c>
      <c r="W52" s="416" t="s">
        <v>17</v>
      </c>
      <c r="X52" s="416" t="s">
        <v>18</v>
      </c>
      <c r="Y52" s="418">
        <v>50.7</v>
      </c>
      <c r="Z52" s="416"/>
      <c r="AA52" s="416"/>
      <c r="AB52" s="416"/>
      <c r="AC52" s="416"/>
      <c r="AD52" s="417"/>
      <c r="AE52" s="416"/>
      <c r="AF52" s="416"/>
      <c r="AG52" s="418"/>
      <c r="AH52" s="416"/>
      <c r="AI52" s="416"/>
      <c r="AJ52" s="416"/>
      <c r="AK52" s="416"/>
      <c r="AL52" s="417"/>
      <c r="AM52" s="416"/>
      <c r="AN52" s="416"/>
      <c r="AO52" s="418"/>
      <c r="AP52" s="417"/>
      <c r="AQ52" s="416"/>
      <c r="AR52" s="416"/>
      <c r="AS52" s="418"/>
      <c r="AT52" s="416"/>
      <c r="AU52" s="416"/>
      <c r="AV52" s="416"/>
      <c r="AW52" s="418"/>
      <c r="AX52" s="416"/>
      <c r="AY52" s="416"/>
      <c r="AZ52" s="416"/>
      <c r="BA52" s="419"/>
    </row>
    <row r="53" spans="1:53" s="16" customFormat="1">
      <c r="A53" s="416">
        <v>1989</v>
      </c>
      <c r="B53" s="836"/>
      <c r="C53" s="916" t="s">
        <v>985</v>
      </c>
      <c r="D53" s="916"/>
      <c r="E53" s="416">
        <v>365</v>
      </c>
      <c r="F53" s="416"/>
      <c r="G53" s="425"/>
      <c r="H53" s="416">
        <v>10</v>
      </c>
      <c r="I53" s="416"/>
      <c r="J53" s="427">
        <v>10</v>
      </c>
      <c r="K53" s="423">
        <f t="shared" si="5"/>
        <v>0</v>
      </c>
      <c r="L53" s="423">
        <f t="shared" si="6"/>
        <v>100</v>
      </c>
      <c r="M53" s="423">
        <f t="shared" si="7"/>
        <v>0</v>
      </c>
      <c r="N53" s="426">
        <f t="shared" si="8"/>
        <v>100</v>
      </c>
      <c r="O53" s="422"/>
      <c r="P53" s="423">
        <v>50.7</v>
      </c>
      <c r="Q53" s="423"/>
      <c r="R53" s="424">
        <f t="shared" si="9"/>
        <v>50.7</v>
      </c>
      <c r="S53" s="420">
        <v>1</v>
      </c>
      <c r="T53" s="838"/>
      <c r="U53" s="836"/>
      <c r="V53" s="417" t="s">
        <v>986</v>
      </c>
      <c r="W53" s="416" t="s">
        <v>17</v>
      </c>
      <c r="X53" s="416" t="s">
        <v>18</v>
      </c>
      <c r="Y53" s="418">
        <v>50.7</v>
      </c>
      <c r="Z53" s="416"/>
      <c r="AA53" s="416"/>
      <c r="AB53" s="416"/>
      <c r="AC53" s="416"/>
      <c r="AD53" s="417"/>
      <c r="AE53" s="416"/>
      <c r="AF53" s="416"/>
      <c r="AG53" s="418"/>
      <c r="AH53" s="416"/>
      <c r="AI53" s="416"/>
      <c r="AJ53" s="416"/>
      <c r="AK53" s="416"/>
      <c r="AL53" s="417"/>
      <c r="AM53" s="416"/>
      <c r="AN53" s="416"/>
      <c r="AO53" s="418"/>
      <c r="AP53" s="417"/>
      <c r="AQ53" s="416"/>
      <c r="AR53" s="416"/>
      <c r="AS53" s="418"/>
      <c r="AT53" s="416"/>
      <c r="AU53" s="416"/>
      <c r="AV53" s="416"/>
      <c r="AW53" s="418"/>
      <c r="AX53" s="416"/>
      <c r="AY53" s="416"/>
      <c r="AZ53" s="416"/>
      <c r="BA53" s="419"/>
    </row>
    <row r="54" spans="1:53" s="16" customFormat="1">
      <c r="A54" s="416">
        <v>1990</v>
      </c>
      <c r="B54" s="836"/>
      <c r="C54" s="916" t="s">
        <v>985</v>
      </c>
      <c r="D54" s="916"/>
      <c r="E54" s="416">
        <v>0</v>
      </c>
      <c r="F54" s="416"/>
      <c r="G54" s="425"/>
      <c r="H54" s="416">
        <v>10</v>
      </c>
      <c r="I54" s="416"/>
      <c r="J54" s="427">
        <v>10</v>
      </c>
      <c r="K54" s="423">
        <f t="shared" si="5"/>
        <v>0</v>
      </c>
      <c r="L54" s="423">
        <f t="shared" si="6"/>
        <v>100</v>
      </c>
      <c r="M54" s="423">
        <f t="shared" si="7"/>
        <v>0</v>
      </c>
      <c r="N54" s="426">
        <f t="shared" si="8"/>
        <v>100</v>
      </c>
      <c r="O54" s="422"/>
      <c r="P54" s="423">
        <v>50.7</v>
      </c>
      <c r="Q54" s="423"/>
      <c r="R54" s="424">
        <f t="shared" si="9"/>
        <v>50.7</v>
      </c>
      <c r="S54" s="420">
        <v>1</v>
      </c>
      <c r="T54" s="838"/>
      <c r="U54" s="836"/>
      <c r="V54" s="417" t="s">
        <v>986</v>
      </c>
      <c r="W54" s="416" t="s">
        <v>17</v>
      </c>
      <c r="X54" s="416" t="s">
        <v>18</v>
      </c>
      <c r="Y54" s="418">
        <v>50.7</v>
      </c>
      <c r="Z54" s="416"/>
      <c r="AA54" s="416"/>
      <c r="AB54" s="416"/>
      <c r="AC54" s="416"/>
      <c r="AD54" s="417"/>
      <c r="AE54" s="416"/>
      <c r="AF54" s="416"/>
      <c r="AG54" s="418"/>
      <c r="AH54" s="416"/>
      <c r="AI54" s="416"/>
      <c r="AJ54" s="416"/>
      <c r="AK54" s="416"/>
      <c r="AL54" s="417"/>
      <c r="AM54" s="416"/>
      <c r="AN54" s="416"/>
      <c r="AO54" s="418"/>
      <c r="AP54" s="417"/>
      <c r="AQ54" s="416"/>
      <c r="AR54" s="416"/>
      <c r="AS54" s="418"/>
      <c r="AT54" s="416"/>
      <c r="AU54" s="416"/>
      <c r="AV54" s="416"/>
      <c r="AW54" s="418"/>
      <c r="AX54" s="416"/>
      <c r="AY54" s="416"/>
      <c r="AZ54" s="416"/>
      <c r="BA54" s="419"/>
    </row>
    <row r="55" spans="1:53" s="16" customFormat="1">
      <c r="A55" s="416">
        <v>1990</v>
      </c>
      <c r="B55" s="836"/>
      <c r="C55" s="916" t="s">
        <v>985</v>
      </c>
      <c r="D55" s="916"/>
      <c r="E55" s="416">
        <f>365-E54</f>
        <v>365</v>
      </c>
      <c r="F55" s="416"/>
      <c r="G55" s="425"/>
      <c r="H55" s="416">
        <v>10</v>
      </c>
      <c r="I55" s="416"/>
      <c r="J55" s="427">
        <v>10</v>
      </c>
      <c r="K55" s="423">
        <f t="shared" si="5"/>
        <v>0</v>
      </c>
      <c r="L55" s="423">
        <f t="shared" si="6"/>
        <v>100</v>
      </c>
      <c r="M55" s="423">
        <f t="shared" si="7"/>
        <v>0</v>
      </c>
      <c r="N55" s="426">
        <f t="shared" si="8"/>
        <v>100</v>
      </c>
      <c r="O55" s="422"/>
      <c r="P55" s="423">
        <v>50.7</v>
      </c>
      <c r="Q55" s="423"/>
      <c r="R55" s="424">
        <f t="shared" si="9"/>
        <v>50.7</v>
      </c>
      <c r="S55" s="416">
        <v>1</v>
      </c>
      <c r="T55" s="838"/>
      <c r="U55" s="836"/>
      <c r="V55" s="417" t="s">
        <v>986</v>
      </c>
      <c r="W55" s="416" t="s">
        <v>17</v>
      </c>
      <c r="X55" s="416" t="s">
        <v>18</v>
      </c>
      <c r="Y55" s="418">
        <v>50.7</v>
      </c>
      <c r="Z55" s="416"/>
      <c r="AA55" s="416"/>
      <c r="AB55" s="416"/>
      <c r="AC55" s="416"/>
      <c r="AD55" s="417"/>
      <c r="AE55" s="416"/>
      <c r="AF55" s="416"/>
      <c r="AG55" s="418"/>
      <c r="AH55" s="416"/>
      <c r="AI55" s="416"/>
      <c r="AJ55" s="416"/>
      <c r="AK55" s="416"/>
      <c r="AL55" s="417"/>
      <c r="AM55" s="416"/>
      <c r="AN55" s="416"/>
      <c r="AO55" s="418"/>
      <c r="AP55" s="417"/>
      <c r="AQ55" s="416"/>
      <c r="AR55" s="416"/>
      <c r="AS55" s="418"/>
      <c r="AT55" s="416"/>
      <c r="AU55" s="416"/>
      <c r="AV55" s="416"/>
      <c r="AW55" s="418"/>
      <c r="AX55" s="416"/>
      <c r="AY55" s="416"/>
      <c r="AZ55" s="416"/>
      <c r="BA55" s="419"/>
    </row>
    <row r="56" spans="1:53" s="16" customFormat="1">
      <c r="A56" s="416">
        <v>1991</v>
      </c>
      <c r="B56" s="836"/>
      <c r="C56" s="916" t="s">
        <v>985</v>
      </c>
      <c r="D56" s="916"/>
      <c r="E56" s="416">
        <v>0</v>
      </c>
      <c r="F56" s="416"/>
      <c r="G56" s="425"/>
      <c r="H56" s="416">
        <v>10</v>
      </c>
      <c r="I56" s="416"/>
      <c r="J56" s="427">
        <v>10</v>
      </c>
      <c r="K56" s="423">
        <f t="shared" si="5"/>
        <v>0</v>
      </c>
      <c r="L56" s="423">
        <f t="shared" si="6"/>
        <v>100</v>
      </c>
      <c r="M56" s="423">
        <f t="shared" si="7"/>
        <v>0</v>
      </c>
      <c r="N56" s="426">
        <f t="shared" si="8"/>
        <v>100</v>
      </c>
      <c r="O56" s="422"/>
      <c r="P56" s="423">
        <v>50.7</v>
      </c>
      <c r="Q56" s="423"/>
      <c r="R56" s="424">
        <f t="shared" si="9"/>
        <v>50.7</v>
      </c>
      <c r="S56" s="416">
        <v>1</v>
      </c>
      <c r="T56" s="838"/>
      <c r="U56" s="836"/>
      <c r="V56" s="417" t="s">
        <v>986</v>
      </c>
      <c r="W56" s="416" t="s">
        <v>17</v>
      </c>
      <c r="X56" s="416" t="s">
        <v>18</v>
      </c>
      <c r="Y56" s="418">
        <v>50.7</v>
      </c>
      <c r="Z56" s="416"/>
      <c r="AA56" s="416"/>
      <c r="AB56" s="416"/>
      <c r="AC56" s="416"/>
      <c r="AD56" s="417"/>
      <c r="AE56" s="416"/>
      <c r="AF56" s="416"/>
      <c r="AG56" s="418"/>
      <c r="AH56" s="416"/>
      <c r="AI56" s="416"/>
      <c r="AJ56" s="416"/>
      <c r="AK56" s="416"/>
      <c r="AL56" s="417"/>
      <c r="AM56" s="416"/>
      <c r="AN56" s="416"/>
      <c r="AO56" s="418"/>
      <c r="AP56" s="417"/>
      <c r="AQ56" s="416"/>
      <c r="AR56" s="416"/>
      <c r="AS56" s="418"/>
      <c r="AT56" s="416"/>
      <c r="AU56" s="416"/>
      <c r="AV56" s="416"/>
      <c r="AW56" s="418"/>
      <c r="AX56" s="416"/>
      <c r="AY56" s="416"/>
      <c r="AZ56" s="416"/>
      <c r="BA56" s="419"/>
    </row>
    <row r="57" spans="1:53" s="16" customFormat="1">
      <c r="A57" s="416">
        <v>1991</v>
      </c>
      <c r="B57" s="836"/>
      <c r="C57" s="916" t="s">
        <v>985</v>
      </c>
      <c r="D57" s="916"/>
      <c r="E57" s="416">
        <f>365-E56</f>
        <v>365</v>
      </c>
      <c r="F57" s="416"/>
      <c r="G57" s="425"/>
      <c r="H57" s="416">
        <v>10</v>
      </c>
      <c r="I57" s="416"/>
      <c r="J57" s="427">
        <v>10</v>
      </c>
      <c r="K57" s="423">
        <f t="shared" si="5"/>
        <v>0</v>
      </c>
      <c r="L57" s="423">
        <f t="shared" si="6"/>
        <v>100</v>
      </c>
      <c r="M57" s="423">
        <f t="shared" si="7"/>
        <v>0</v>
      </c>
      <c r="N57" s="426">
        <f t="shared" si="8"/>
        <v>100</v>
      </c>
      <c r="O57" s="422"/>
      <c r="P57" s="423">
        <v>50.7</v>
      </c>
      <c r="Q57" s="423"/>
      <c r="R57" s="424">
        <f t="shared" si="9"/>
        <v>50.7</v>
      </c>
      <c r="S57" s="416">
        <v>1</v>
      </c>
      <c r="T57" s="838"/>
      <c r="U57" s="836"/>
      <c r="V57" s="417" t="s">
        <v>986</v>
      </c>
      <c r="W57" s="416" t="s">
        <v>17</v>
      </c>
      <c r="X57" s="416" t="s">
        <v>18</v>
      </c>
      <c r="Y57" s="418">
        <v>50.7</v>
      </c>
      <c r="Z57" s="416"/>
      <c r="AA57" s="416"/>
      <c r="AB57" s="416"/>
      <c r="AC57" s="416"/>
      <c r="AD57" s="417"/>
      <c r="AE57" s="416"/>
      <c r="AF57" s="416"/>
      <c r="AG57" s="418"/>
      <c r="AH57" s="416"/>
      <c r="AI57" s="416"/>
      <c r="AJ57" s="416"/>
      <c r="AK57" s="416"/>
      <c r="AL57" s="417"/>
      <c r="AM57" s="416"/>
      <c r="AN57" s="416"/>
      <c r="AO57" s="418"/>
      <c r="AP57" s="417"/>
      <c r="AQ57" s="416"/>
      <c r="AR57" s="416"/>
      <c r="AS57" s="418"/>
      <c r="AT57" s="416"/>
      <c r="AU57" s="416"/>
      <c r="AV57" s="416"/>
      <c r="AW57" s="418"/>
      <c r="AX57" s="416"/>
      <c r="AY57" s="416"/>
      <c r="AZ57" s="416"/>
      <c r="BA57" s="419"/>
    </row>
    <row r="58" spans="1:53" s="16" customFormat="1">
      <c r="A58" s="416">
        <v>1992</v>
      </c>
      <c r="B58" s="836"/>
      <c r="C58" s="916" t="s">
        <v>985</v>
      </c>
      <c r="D58" s="916"/>
      <c r="E58" s="416">
        <v>57</v>
      </c>
      <c r="F58" s="416"/>
      <c r="G58" s="425"/>
      <c r="H58" s="416">
        <v>10</v>
      </c>
      <c r="I58" s="416"/>
      <c r="J58" s="427">
        <v>10</v>
      </c>
      <c r="K58" s="423">
        <f t="shared" si="5"/>
        <v>0</v>
      </c>
      <c r="L58" s="423">
        <f t="shared" si="6"/>
        <v>100</v>
      </c>
      <c r="M58" s="423">
        <f t="shared" si="7"/>
        <v>0</v>
      </c>
      <c r="N58" s="426">
        <f t="shared" si="8"/>
        <v>100</v>
      </c>
      <c r="O58" s="422"/>
      <c r="P58" s="423">
        <v>50.7</v>
      </c>
      <c r="Q58" s="423"/>
      <c r="R58" s="424">
        <f t="shared" si="9"/>
        <v>50.7</v>
      </c>
      <c r="S58" s="416">
        <v>1</v>
      </c>
      <c r="T58" s="838"/>
      <c r="U58" s="836"/>
      <c r="V58" s="417" t="s">
        <v>986</v>
      </c>
      <c r="W58" s="416" t="s">
        <v>17</v>
      </c>
      <c r="X58" s="416" t="s">
        <v>18</v>
      </c>
      <c r="Y58" s="418">
        <v>50.7</v>
      </c>
      <c r="Z58" s="416"/>
      <c r="AA58" s="416"/>
      <c r="AB58" s="416"/>
      <c r="AC58" s="416"/>
      <c r="AD58" s="417"/>
      <c r="AE58" s="416"/>
      <c r="AF58" s="416"/>
      <c r="AG58" s="418"/>
      <c r="AH58" s="416"/>
      <c r="AI58" s="416"/>
      <c r="AJ58" s="416"/>
      <c r="AK58" s="416"/>
      <c r="AL58" s="417"/>
      <c r="AM58" s="416"/>
      <c r="AN58" s="416"/>
      <c r="AO58" s="418"/>
      <c r="AP58" s="417"/>
      <c r="AQ58" s="416"/>
      <c r="AR58" s="416"/>
      <c r="AS58" s="418"/>
      <c r="AT58" s="416"/>
      <c r="AU58" s="416"/>
      <c r="AV58" s="416"/>
      <c r="AW58" s="418"/>
      <c r="AX58" s="416"/>
      <c r="AY58" s="416"/>
      <c r="AZ58" s="416"/>
      <c r="BA58" s="419"/>
    </row>
    <row r="59" spans="1:53" s="16" customFormat="1">
      <c r="A59" s="404">
        <v>1992</v>
      </c>
      <c r="B59" s="852">
        <v>33661</v>
      </c>
      <c r="C59" s="917" t="s">
        <v>987</v>
      </c>
      <c r="D59" s="917"/>
      <c r="E59" s="404">
        <f>366-E58</f>
        <v>309</v>
      </c>
      <c r="F59" s="404">
        <v>1</v>
      </c>
      <c r="G59" s="411"/>
      <c r="H59" s="404">
        <v>13</v>
      </c>
      <c r="I59" s="404"/>
      <c r="J59" s="413">
        <v>13</v>
      </c>
      <c r="K59" s="409">
        <f t="shared" si="5"/>
        <v>0</v>
      </c>
      <c r="L59" s="409">
        <f t="shared" si="6"/>
        <v>100</v>
      </c>
      <c r="M59" s="409">
        <f t="shared" si="7"/>
        <v>0</v>
      </c>
      <c r="N59" s="412">
        <f t="shared" si="8"/>
        <v>100</v>
      </c>
      <c r="O59" s="408"/>
      <c r="P59" s="409">
        <v>52.3</v>
      </c>
      <c r="Q59" s="409"/>
      <c r="R59" s="410">
        <f t="shared" si="9"/>
        <v>52.3</v>
      </c>
      <c r="S59" s="404">
        <v>1</v>
      </c>
      <c r="T59" s="839">
        <v>33656</v>
      </c>
      <c r="U59" s="852">
        <v>33661</v>
      </c>
      <c r="V59" s="405" t="s">
        <v>986</v>
      </c>
      <c r="W59" s="404" t="s">
        <v>17</v>
      </c>
      <c r="X59" s="404" t="s">
        <v>18</v>
      </c>
      <c r="Y59" s="406">
        <v>52.3</v>
      </c>
      <c r="Z59" s="404"/>
      <c r="AA59" s="404"/>
      <c r="AB59" s="404"/>
      <c r="AC59" s="404"/>
      <c r="AD59" s="405"/>
      <c r="AE59" s="404"/>
      <c r="AF59" s="404"/>
      <c r="AG59" s="406"/>
      <c r="AH59" s="404"/>
      <c r="AI59" s="404"/>
      <c r="AJ59" s="404"/>
      <c r="AK59" s="404"/>
      <c r="AL59" s="405"/>
      <c r="AM59" s="404"/>
      <c r="AN59" s="404"/>
      <c r="AO59" s="406"/>
      <c r="AP59" s="405"/>
      <c r="AQ59" s="404"/>
      <c r="AR59" s="404"/>
      <c r="AS59" s="406"/>
      <c r="AT59" s="404"/>
      <c r="AU59" s="404"/>
      <c r="AV59" s="404"/>
      <c r="AW59" s="406"/>
      <c r="AX59" s="404"/>
      <c r="AY59" s="404"/>
      <c r="AZ59" s="404"/>
      <c r="BA59" s="407"/>
    </row>
    <row r="60" spans="1:53" s="16" customFormat="1">
      <c r="A60" s="404">
        <v>1993</v>
      </c>
      <c r="B60" s="852"/>
      <c r="C60" s="917" t="s">
        <v>987</v>
      </c>
      <c r="D60" s="917"/>
      <c r="E60" s="404">
        <v>0</v>
      </c>
      <c r="F60" s="404"/>
      <c r="G60" s="411"/>
      <c r="H60" s="404">
        <v>13</v>
      </c>
      <c r="I60" s="404"/>
      <c r="J60" s="413">
        <v>13</v>
      </c>
      <c r="K60" s="409">
        <f t="shared" si="5"/>
        <v>0</v>
      </c>
      <c r="L60" s="409">
        <f t="shared" si="6"/>
        <v>100</v>
      </c>
      <c r="M60" s="409">
        <f t="shared" si="7"/>
        <v>0</v>
      </c>
      <c r="N60" s="412">
        <f t="shared" si="8"/>
        <v>100</v>
      </c>
      <c r="O60" s="408"/>
      <c r="P60" s="409">
        <v>52.3</v>
      </c>
      <c r="Q60" s="409"/>
      <c r="R60" s="410">
        <f t="shared" si="9"/>
        <v>52.3</v>
      </c>
      <c r="S60" s="404">
        <v>1</v>
      </c>
      <c r="T60" s="839"/>
      <c r="U60" s="852"/>
      <c r="V60" s="405" t="s">
        <v>986</v>
      </c>
      <c r="W60" s="404" t="s">
        <v>17</v>
      </c>
      <c r="X60" s="404" t="s">
        <v>18</v>
      </c>
      <c r="Y60" s="406">
        <v>52.3</v>
      </c>
      <c r="Z60" s="404"/>
      <c r="AA60" s="404"/>
      <c r="AB60" s="404"/>
      <c r="AC60" s="404"/>
      <c r="AD60" s="405"/>
      <c r="AE60" s="404"/>
      <c r="AF60" s="404"/>
      <c r="AG60" s="406"/>
      <c r="AH60" s="404"/>
      <c r="AI60" s="404"/>
      <c r="AJ60" s="404"/>
      <c r="AK60" s="404"/>
      <c r="AL60" s="405"/>
      <c r="AM60" s="404"/>
      <c r="AN60" s="404"/>
      <c r="AO60" s="406"/>
      <c r="AP60" s="405"/>
      <c r="AQ60" s="404"/>
      <c r="AR60" s="404"/>
      <c r="AS60" s="406"/>
      <c r="AT60" s="404"/>
      <c r="AU60" s="404"/>
      <c r="AV60" s="404"/>
      <c r="AW60" s="406"/>
      <c r="AX60" s="404"/>
      <c r="AY60" s="404"/>
      <c r="AZ60" s="404"/>
      <c r="BA60" s="407"/>
    </row>
    <row r="61" spans="1:53" s="16" customFormat="1">
      <c r="A61" s="404">
        <v>1993</v>
      </c>
      <c r="B61" s="852"/>
      <c r="C61" s="917" t="s">
        <v>987</v>
      </c>
      <c r="D61" s="917"/>
      <c r="E61" s="404">
        <f>365-E60</f>
        <v>365</v>
      </c>
      <c r="F61" s="404"/>
      <c r="G61" s="411"/>
      <c r="H61" s="404">
        <v>13</v>
      </c>
      <c r="I61" s="404"/>
      <c r="J61" s="413">
        <v>13</v>
      </c>
      <c r="K61" s="409">
        <f t="shared" si="5"/>
        <v>0</v>
      </c>
      <c r="L61" s="409">
        <f t="shared" si="6"/>
        <v>100</v>
      </c>
      <c r="M61" s="409">
        <f t="shared" si="7"/>
        <v>0</v>
      </c>
      <c r="N61" s="412">
        <f t="shared" si="8"/>
        <v>100</v>
      </c>
      <c r="O61" s="408"/>
      <c r="P61" s="409">
        <v>52.3</v>
      </c>
      <c r="Q61" s="409"/>
      <c r="R61" s="410">
        <f t="shared" si="9"/>
        <v>52.3</v>
      </c>
      <c r="S61" s="404">
        <v>1</v>
      </c>
      <c r="T61" s="839"/>
      <c r="U61" s="852"/>
      <c r="V61" s="405" t="s">
        <v>986</v>
      </c>
      <c r="W61" s="404" t="s">
        <v>17</v>
      </c>
      <c r="X61" s="404" t="s">
        <v>18</v>
      </c>
      <c r="Y61" s="406">
        <v>52.3</v>
      </c>
      <c r="Z61" s="404"/>
      <c r="AA61" s="404"/>
      <c r="AB61" s="404"/>
      <c r="AC61" s="404"/>
      <c r="AD61" s="405"/>
      <c r="AE61" s="404"/>
      <c r="AF61" s="404"/>
      <c r="AG61" s="406"/>
      <c r="AH61" s="404"/>
      <c r="AI61" s="404"/>
      <c r="AJ61" s="404"/>
      <c r="AK61" s="404"/>
      <c r="AL61" s="405"/>
      <c r="AM61" s="404"/>
      <c r="AN61" s="404"/>
      <c r="AO61" s="406"/>
      <c r="AP61" s="405"/>
      <c r="AQ61" s="404"/>
      <c r="AR61" s="404"/>
      <c r="AS61" s="406"/>
      <c r="AT61" s="404"/>
      <c r="AU61" s="404"/>
      <c r="AV61" s="404"/>
      <c r="AW61" s="406"/>
      <c r="AX61" s="404"/>
      <c r="AY61" s="404"/>
      <c r="AZ61" s="404"/>
      <c r="BA61" s="407"/>
    </row>
    <row r="62" spans="1:53" s="16" customFormat="1">
      <c r="A62" s="404">
        <v>1994</v>
      </c>
      <c r="B62" s="852"/>
      <c r="C62" s="917" t="s">
        <v>987</v>
      </c>
      <c r="D62" s="917"/>
      <c r="E62" s="404">
        <v>0</v>
      </c>
      <c r="F62" s="404"/>
      <c r="G62" s="411"/>
      <c r="H62" s="404">
        <v>13</v>
      </c>
      <c r="I62" s="404"/>
      <c r="J62" s="413">
        <v>13</v>
      </c>
      <c r="K62" s="409">
        <f t="shared" si="5"/>
        <v>0</v>
      </c>
      <c r="L62" s="409">
        <f t="shared" si="6"/>
        <v>100</v>
      </c>
      <c r="M62" s="409">
        <f t="shared" si="7"/>
        <v>0</v>
      </c>
      <c r="N62" s="412">
        <f t="shared" si="8"/>
        <v>100</v>
      </c>
      <c r="O62" s="408"/>
      <c r="P62" s="409">
        <v>52.3</v>
      </c>
      <c r="Q62" s="409"/>
      <c r="R62" s="410">
        <f t="shared" si="9"/>
        <v>52.3</v>
      </c>
      <c r="S62" s="404">
        <v>1</v>
      </c>
      <c r="T62" s="839"/>
      <c r="U62" s="852"/>
      <c r="V62" s="405" t="s">
        <v>986</v>
      </c>
      <c r="W62" s="404" t="s">
        <v>17</v>
      </c>
      <c r="X62" s="404" t="s">
        <v>18</v>
      </c>
      <c r="Y62" s="406">
        <v>52.3</v>
      </c>
      <c r="Z62" s="404"/>
      <c r="AA62" s="404"/>
      <c r="AB62" s="404"/>
      <c r="AC62" s="404"/>
      <c r="AD62" s="405"/>
      <c r="AE62" s="404"/>
      <c r="AF62" s="404"/>
      <c r="AG62" s="406"/>
      <c r="AH62" s="404"/>
      <c r="AI62" s="404"/>
      <c r="AJ62" s="404"/>
      <c r="AK62" s="404"/>
      <c r="AL62" s="405"/>
      <c r="AM62" s="404"/>
      <c r="AN62" s="404"/>
      <c r="AO62" s="406"/>
      <c r="AP62" s="405"/>
      <c r="AQ62" s="404"/>
      <c r="AR62" s="404"/>
      <c r="AS62" s="406"/>
      <c r="AT62" s="404"/>
      <c r="AU62" s="404"/>
      <c r="AV62" s="404"/>
      <c r="AW62" s="406"/>
      <c r="AX62" s="404"/>
      <c r="AY62" s="404"/>
      <c r="AZ62" s="404"/>
      <c r="BA62" s="407"/>
    </row>
    <row r="63" spans="1:53" s="16" customFormat="1">
      <c r="A63" s="404">
        <v>1994</v>
      </c>
      <c r="B63" s="852"/>
      <c r="C63" s="917" t="s">
        <v>987</v>
      </c>
      <c r="D63" s="917"/>
      <c r="E63" s="404">
        <f>365-E62</f>
        <v>365</v>
      </c>
      <c r="F63" s="404"/>
      <c r="G63" s="411"/>
      <c r="H63" s="404">
        <v>13</v>
      </c>
      <c r="I63" s="404"/>
      <c r="J63" s="413">
        <v>13</v>
      </c>
      <c r="K63" s="409">
        <f t="shared" si="5"/>
        <v>0</v>
      </c>
      <c r="L63" s="409">
        <f t="shared" si="6"/>
        <v>100</v>
      </c>
      <c r="M63" s="409">
        <f t="shared" si="7"/>
        <v>0</v>
      </c>
      <c r="N63" s="412">
        <f t="shared" si="8"/>
        <v>100</v>
      </c>
      <c r="O63" s="408"/>
      <c r="P63" s="409">
        <v>52.3</v>
      </c>
      <c r="Q63" s="409"/>
      <c r="R63" s="410">
        <f t="shared" si="9"/>
        <v>52.3</v>
      </c>
      <c r="S63" s="404">
        <v>1</v>
      </c>
      <c r="T63" s="839"/>
      <c r="U63" s="852"/>
      <c r="V63" s="405" t="s">
        <v>986</v>
      </c>
      <c r="W63" s="404" t="s">
        <v>17</v>
      </c>
      <c r="X63" s="404" t="s">
        <v>18</v>
      </c>
      <c r="Y63" s="406">
        <v>52.3</v>
      </c>
      <c r="Z63" s="404"/>
      <c r="AA63" s="404"/>
      <c r="AB63" s="404"/>
      <c r="AC63" s="404"/>
      <c r="AD63" s="405"/>
      <c r="AE63" s="404"/>
      <c r="AF63" s="404"/>
      <c r="AG63" s="406"/>
      <c r="AH63" s="404"/>
      <c r="AI63" s="404"/>
      <c r="AJ63" s="404"/>
      <c r="AK63" s="404"/>
      <c r="AL63" s="405"/>
      <c r="AM63" s="404"/>
      <c r="AN63" s="404"/>
      <c r="AO63" s="406"/>
      <c r="AP63" s="405"/>
      <c r="AQ63" s="404"/>
      <c r="AR63" s="404"/>
      <c r="AS63" s="406"/>
      <c r="AT63" s="404"/>
      <c r="AU63" s="404"/>
      <c r="AV63" s="404"/>
      <c r="AW63" s="406"/>
      <c r="AX63" s="404"/>
      <c r="AY63" s="404"/>
      <c r="AZ63" s="404"/>
      <c r="BA63" s="407"/>
    </row>
    <row r="64" spans="1:53" s="16" customFormat="1">
      <c r="A64" s="404">
        <v>1995</v>
      </c>
      <c r="B64" s="852"/>
      <c r="C64" s="917" t="s">
        <v>987</v>
      </c>
      <c r="D64" s="917"/>
      <c r="E64" s="404">
        <v>0</v>
      </c>
      <c r="F64" s="404"/>
      <c r="G64" s="411"/>
      <c r="H64" s="404">
        <v>13</v>
      </c>
      <c r="I64" s="404"/>
      <c r="J64" s="413">
        <v>13</v>
      </c>
      <c r="K64" s="409">
        <f t="shared" si="5"/>
        <v>0</v>
      </c>
      <c r="L64" s="409">
        <f t="shared" si="6"/>
        <v>100</v>
      </c>
      <c r="M64" s="409">
        <f t="shared" si="7"/>
        <v>0</v>
      </c>
      <c r="N64" s="412">
        <f t="shared" si="8"/>
        <v>100</v>
      </c>
      <c r="O64" s="408"/>
      <c r="P64" s="409">
        <v>52.3</v>
      </c>
      <c r="Q64" s="409"/>
      <c r="R64" s="410">
        <f t="shared" si="9"/>
        <v>52.3</v>
      </c>
      <c r="S64" s="404">
        <v>1</v>
      </c>
      <c r="T64" s="839"/>
      <c r="U64" s="852"/>
      <c r="V64" s="405" t="s">
        <v>986</v>
      </c>
      <c r="W64" s="404" t="s">
        <v>17</v>
      </c>
      <c r="X64" s="404" t="s">
        <v>18</v>
      </c>
      <c r="Y64" s="406">
        <v>52.3</v>
      </c>
      <c r="Z64" s="404"/>
      <c r="AA64" s="404"/>
      <c r="AB64" s="404"/>
      <c r="AC64" s="404"/>
      <c r="AD64" s="405"/>
      <c r="AE64" s="404"/>
      <c r="AF64" s="404"/>
      <c r="AG64" s="406"/>
      <c r="AH64" s="404"/>
      <c r="AI64" s="404"/>
      <c r="AJ64" s="404"/>
      <c r="AK64" s="404"/>
      <c r="AL64" s="405"/>
      <c r="AM64" s="404"/>
      <c r="AN64" s="404"/>
      <c r="AO64" s="406"/>
      <c r="AP64" s="405"/>
      <c r="AQ64" s="404"/>
      <c r="AR64" s="404"/>
      <c r="AS64" s="406"/>
      <c r="AT64" s="404"/>
      <c r="AU64" s="404"/>
      <c r="AV64" s="404"/>
      <c r="AW64" s="406"/>
      <c r="AX64" s="404"/>
      <c r="AY64" s="404"/>
      <c r="AZ64" s="404"/>
      <c r="BA64" s="407"/>
    </row>
    <row r="65" spans="1:53" s="16" customFormat="1">
      <c r="A65" s="404">
        <v>1995</v>
      </c>
      <c r="B65" s="852"/>
      <c r="C65" s="917" t="s">
        <v>987</v>
      </c>
      <c r="D65" s="917"/>
      <c r="E65" s="404">
        <f>365-E64</f>
        <v>365</v>
      </c>
      <c r="F65" s="404"/>
      <c r="G65" s="411"/>
      <c r="H65" s="404">
        <v>13</v>
      </c>
      <c r="I65" s="404"/>
      <c r="J65" s="413">
        <v>13</v>
      </c>
      <c r="K65" s="409">
        <f t="shared" si="5"/>
        <v>0</v>
      </c>
      <c r="L65" s="409">
        <f t="shared" si="6"/>
        <v>100</v>
      </c>
      <c r="M65" s="409">
        <f t="shared" si="7"/>
        <v>0</v>
      </c>
      <c r="N65" s="412">
        <f t="shared" si="8"/>
        <v>100</v>
      </c>
      <c r="O65" s="408"/>
      <c r="P65" s="409">
        <v>52.3</v>
      </c>
      <c r="Q65" s="409"/>
      <c r="R65" s="410">
        <f t="shared" si="9"/>
        <v>52.3</v>
      </c>
      <c r="S65" s="404">
        <v>1</v>
      </c>
      <c r="T65" s="839"/>
      <c r="U65" s="852"/>
      <c r="V65" s="405" t="s">
        <v>986</v>
      </c>
      <c r="W65" s="404" t="s">
        <v>17</v>
      </c>
      <c r="X65" s="404" t="s">
        <v>18</v>
      </c>
      <c r="Y65" s="406">
        <v>52.3</v>
      </c>
      <c r="Z65" s="404"/>
      <c r="AA65" s="404"/>
      <c r="AB65" s="404"/>
      <c r="AC65" s="404"/>
      <c r="AD65" s="405"/>
      <c r="AE65" s="404"/>
      <c r="AF65" s="404"/>
      <c r="AG65" s="406"/>
      <c r="AH65" s="404"/>
      <c r="AI65" s="404"/>
      <c r="AJ65" s="404"/>
      <c r="AK65" s="404"/>
      <c r="AL65" s="405"/>
      <c r="AM65" s="404"/>
      <c r="AN65" s="404"/>
      <c r="AO65" s="406"/>
      <c r="AP65" s="405"/>
      <c r="AQ65" s="404"/>
      <c r="AR65" s="404"/>
      <c r="AS65" s="406"/>
      <c r="AT65" s="404"/>
      <c r="AU65" s="404"/>
      <c r="AV65" s="404"/>
      <c r="AW65" s="406"/>
      <c r="AX65" s="404"/>
      <c r="AY65" s="404"/>
      <c r="AZ65" s="404"/>
      <c r="BA65" s="407"/>
    </row>
    <row r="66" spans="1:53" s="16" customFormat="1">
      <c r="A66" s="404">
        <v>1996</v>
      </c>
      <c r="B66" s="852"/>
      <c r="C66" s="917" t="s">
        <v>987</v>
      </c>
      <c r="D66" s="917"/>
      <c r="E66" s="404">
        <v>302</v>
      </c>
      <c r="F66" s="404"/>
      <c r="G66" s="411"/>
      <c r="H66" s="404">
        <v>13</v>
      </c>
      <c r="I66" s="404"/>
      <c r="J66" s="413">
        <v>13</v>
      </c>
      <c r="K66" s="409">
        <f t="shared" si="5"/>
        <v>0</v>
      </c>
      <c r="L66" s="409">
        <f t="shared" si="6"/>
        <v>100</v>
      </c>
      <c r="M66" s="409">
        <f t="shared" si="7"/>
        <v>0</v>
      </c>
      <c r="N66" s="412">
        <f t="shared" si="8"/>
        <v>100</v>
      </c>
      <c r="O66" s="408"/>
      <c r="P66" s="409">
        <v>52.3</v>
      </c>
      <c r="Q66" s="409"/>
      <c r="R66" s="410">
        <f t="shared" si="9"/>
        <v>52.3</v>
      </c>
      <c r="S66" s="404">
        <v>1</v>
      </c>
      <c r="T66" s="839"/>
      <c r="U66" s="852"/>
      <c r="V66" s="405" t="s">
        <v>986</v>
      </c>
      <c r="W66" s="404" t="s">
        <v>17</v>
      </c>
      <c r="X66" s="404" t="s">
        <v>18</v>
      </c>
      <c r="Y66" s="406">
        <v>52.3</v>
      </c>
      <c r="Z66" s="404"/>
      <c r="AA66" s="404"/>
      <c r="AB66" s="404"/>
      <c r="AC66" s="404"/>
      <c r="AD66" s="405"/>
      <c r="AE66" s="404"/>
      <c r="AF66" s="404"/>
      <c r="AG66" s="406"/>
      <c r="AH66" s="404"/>
      <c r="AI66" s="404"/>
      <c r="AJ66" s="404"/>
      <c r="AK66" s="404"/>
      <c r="AL66" s="405"/>
      <c r="AM66" s="404"/>
      <c r="AN66" s="404"/>
      <c r="AO66" s="406"/>
      <c r="AP66" s="405"/>
      <c r="AQ66" s="404"/>
      <c r="AR66" s="404"/>
      <c r="AS66" s="406"/>
      <c r="AT66" s="404"/>
      <c r="AU66" s="404"/>
      <c r="AV66" s="404"/>
      <c r="AW66" s="406"/>
      <c r="AX66" s="404"/>
      <c r="AY66" s="404"/>
      <c r="AZ66" s="404"/>
      <c r="BA66" s="407"/>
    </row>
    <row r="67" spans="1:53" s="16" customFormat="1">
      <c r="A67" s="416">
        <v>1996</v>
      </c>
      <c r="B67" s="836">
        <v>35367</v>
      </c>
      <c r="C67" s="916" t="s">
        <v>988</v>
      </c>
      <c r="D67" s="916"/>
      <c r="E67" s="416">
        <f>366-E66</f>
        <v>64</v>
      </c>
      <c r="F67" s="416">
        <v>1</v>
      </c>
      <c r="G67" s="425"/>
      <c r="H67" s="416"/>
      <c r="I67" s="416">
        <v>15</v>
      </c>
      <c r="J67" s="427">
        <v>15</v>
      </c>
      <c r="K67" s="423">
        <f t="shared" si="5"/>
        <v>0</v>
      </c>
      <c r="L67" s="423">
        <f t="shared" si="6"/>
        <v>0</v>
      </c>
      <c r="M67" s="423">
        <f t="shared" si="7"/>
        <v>100</v>
      </c>
      <c r="N67" s="426">
        <f t="shared" si="8"/>
        <v>100</v>
      </c>
      <c r="O67" s="422"/>
      <c r="P67" s="423"/>
      <c r="Q67" s="423">
        <v>50.7</v>
      </c>
      <c r="R67" s="424">
        <f t="shared" si="9"/>
        <v>50.7</v>
      </c>
      <c r="S67" s="416">
        <v>1</v>
      </c>
      <c r="T67" s="838">
        <v>35364</v>
      </c>
      <c r="U67" s="836">
        <v>35367</v>
      </c>
      <c r="V67" s="417" t="s">
        <v>989</v>
      </c>
      <c r="W67" s="416" t="s">
        <v>20</v>
      </c>
      <c r="X67" s="416" t="s">
        <v>12</v>
      </c>
      <c r="Y67" s="418">
        <v>50.7</v>
      </c>
      <c r="Z67" s="416"/>
      <c r="AA67" s="416"/>
      <c r="AB67" s="416"/>
      <c r="AC67" s="416"/>
      <c r="AD67" s="417"/>
      <c r="AE67" s="416"/>
      <c r="AF67" s="416"/>
      <c r="AG67" s="418"/>
      <c r="AH67" s="416"/>
      <c r="AI67" s="416"/>
      <c r="AJ67" s="416"/>
      <c r="AK67" s="416"/>
      <c r="AL67" s="417"/>
      <c r="AM67" s="416"/>
      <c r="AN67" s="416"/>
      <c r="AO67" s="418"/>
      <c r="AP67" s="417"/>
      <c r="AQ67" s="416"/>
      <c r="AR67" s="416"/>
      <c r="AS67" s="418"/>
      <c r="AT67" s="416"/>
      <c r="AU67" s="416"/>
      <c r="AV67" s="416"/>
      <c r="AW67" s="418"/>
      <c r="AX67" s="416"/>
      <c r="AY67" s="416"/>
      <c r="AZ67" s="416"/>
      <c r="BA67" s="419"/>
    </row>
    <row r="68" spans="1:53" s="16" customFormat="1">
      <c r="A68" s="416">
        <v>1997</v>
      </c>
      <c r="B68" s="836"/>
      <c r="C68" s="916" t="s">
        <v>988</v>
      </c>
      <c r="D68" s="916"/>
      <c r="E68" s="416">
        <v>84</v>
      </c>
      <c r="F68" s="416"/>
      <c r="G68" s="425"/>
      <c r="H68" s="416"/>
      <c r="I68" s="416">
        <v>15</v>
      </c>
      <c r="J68" s="427">
        <v>15</v>
      </c>
      <c r="K68" s="423">
        <f t="shared" si="5"/>
        <v>0</v>
      </c>
      <c r="L68" s="423">
        <f t="shared" si="6"/>
        <v>0</v>
      </c>
      <c r="M68" s="423">
        <f t="shared" si="7"/>
        <v>100</v>
      </c>
      <c r="N68" s="426">
        <f t="shared" si="8"/>
        <v>100</v>
      </c>
      <c r="O68" s="422"/>
      <c r="P68" s="423"/>
      <c r="Q68" s="423">
        <v>50.7</v>
      </c>
      <c r="R68" s="424">
        <f t="shared" si="9"/>
        <v>50.7</v>
      </c>
      <c r="S68" s="416">
        <v>1</v>
      </c>
      <c r="T68" s="838"/>
      <c r="U68" s="836"/>
      <c r="V68" s="417" t="s">
        <v>989</v>
      </c>
      <c r="W68" s="416" t="s">
        <v>20</v>
      </c>
      <c r="X68" s="416" t="s">
        <v>12</v>
      </c>
      <c r="Y68" s="418">
        <v>50.7</v>
      </c>
      <c r="Z68" s="416"/>
      <c r="AA68" s="416"/>
      <c r="AB68" s="416"/>
      <c r="AC68" s="416"/>
      <c r="AD68" s="417"/>
      <c r="AE68" s="416"/>
      <c r="AF68" s="416"/>
      <c r="AG68" s="418"/>
      <c r="AH68" s="416"/>
      <c r="AI68" s="416"/>
      <c r="AJ68" s="416"/>
      <c r="AK68" s="416"/>
      <c r="AL68" s="417"/>
      <c r="AM68" s="416"/>
      <c r="AN68" s="416"/>
      <c r="AO68" s="418"/>
      <c r="AP68" s="417"/>
      <c r="AQ68" s="416"/>
      <c r="AR68" s="416"/>
      <c r="AS68" s="418"/>
      <c r="AT68" s="416"/>
      <c r="AU68" s="416"/>
      <c r="AV68" s="416"/>
      <c r="AW68" s="418"/>
      <c r="AX68" s="416"/>
      <c r="AY68" s="416"/>
      <c r="AZ68" s="416"/>
      <c r="BA68" s="419"/>
    </row>
    <row r="69" spans="1:53" s="16" customFormat="1">
      <c r="A69" s="416">
        <v>1997</v>
      </c>
      <c r="B69" s="865">
        <v>35515</v>
      </c>
      <c r="C69" s="916" t="s">
        <v>988</v>
      </c>
      <c r="D69" s="916"/>
      <c r="E69" s="416">
        <f>365-E68</f>
        <v>281</v>
      </c>
      <c r="F69" s="428">
        <v>0</v>
      </c>
      <c r="G69" s="425"/>
      <c r="H69" s="416"/>
      <c r="I69" s="416">
        <v>14</v>
      </c>
      <c r="J69" s="427">
        <v>14</v>
      </c>
      <c r="K69" s="423">
        <f t="shared" si="5"/>
        <v>0</v>
      </c>
      <c r="L69" s="423">
        <f t="shared" si="6"/>
        <v>0</v>
      </c>
      <c r="M69" s="423">
        <f t="shared" si="7"/>
        <v>100</v>
      </c>
      <c r="N69" s="426">
        <f t="shared" si="8"/>
        <v>100</v>
      </c>
      <c r="O69" s="422"/>
      <c r="P69" s="423"/>
      <c r="Q69" s="423">
        <v>50.7</v>
      </c>
      <c r="R69" s="424">
        <f t="shared" si="9"/>
        <v>50.7</v>
      </c>
      <c r="S69" s="416">
        <v>1</v>
      </c>
      <c r="T69" s="838"/>
      <c r="U69" s="836"/>
      <c r="V69" s="417" t="s">
        <v>989</v>
      </c>
      <c r="W69" s="416" t="s">
        <v>20</v>
      </c>
      <c r="X69" s="416" t="s">
        <v>12</v>
      </c>
      <c r="Y69" s="418">
        <v>50.7</v>
      </c>
      <c r="Z69" s="416"/>
      <c r="AA69" s="416"/>
      <c r="AB69" s="416"/>
      <c r="AC69" s="416"/>
      <c r="AD69" s="417"/>
      <c r="AE69" s="416"/>
      <c r="AF69" s="416"/>
      <c r="AG69" s="418"/>
      <c r="AH69" s="416"/>
      <c r="AI69" s="416"/>
      <c r="AJ69" s="416"/>
      <c r="AK69" s="416"/>
      <c r="AL69" s="417"/>
      <c r="AM69" s="416"/>
      <c r="AN69" s="416"/>
      <c r="AO69" s="418"/>
      <c r="AP69" s="417"/>
      <c r="AQ69" s="416"/>
      <c r="AR69" s="416"/>
      <c r="AS69" s="418"/>
      <c r="AT69" s="416"/>
      <c r="AU69" s="416"/>
      <c r="AV69" s="416"/>
      <c r="AW69" s="418"/>
      <c r="AX69" s="416"/>
      <c r="AY69" s="416"/>
      <c r="AZ69" s="416"/>
      <c r="BA69" s="419"/>
    </row>
    <row r="70" spans="1:53" s="16" customFormat="1">
      <c r="A70" s="416">
        <v>1998</v>
      </c>
      <c r="B70" s="836"/>
      <c r="C70" s="916" t="s">
        <v>988</v>
      </c>
      <c r="D70" s="916"/>
      <c r="E70" s="416">
        <v>250</v>
      </c>
      <c r="F70" s="416"/>
      <c r="G70" s="425"/>
      <c r="H70" s="416"/>
      <c r="I70" s="416">
        <v>14</v>
      </c>
      <c r="J70" s="427">
        <v>14</v>
      </c>
      <c r="K70" s="423">
        <f t="shared" si="5"/>
        <v>0</v>
      </c>
      <c r="L70" s="423">
        <f t="shared" si="6"/>
        <v>0</v>
      </c>
      <c r="M70" s="423">
        <f t="shared" si="7"/>
        <v>100</v>
      </c>
      <c r="N70" s="426">
        <f t="shared" si="8"/>
        <v>100</v>
      </c>
      <c r="O70" s="422"/>
      <c r="P70" s="423"/>
      <c r="Q70" s="423">
        <v>50.7</v>
      </c>
      <c r="R70" s="424">
        <f t="shared" si="9"/>
        <v>50.7</v>
      </c>
      <c r="S70" s="416">
        <v>1</v>
      </c>
      <c r="T70" s="838"/>
      <c r="U70" s="836"/>
      <c r="V70" s="417" t="s">
        <v>989</v>
      </c>
      <c r="W70" s="416" t="s">
        <v>20</v>
      </c>
      <c r="X70" s="416" t="s">
        <v>12</v>
      </c>
      <c r="Y70" s="418">
        <v>50.7</v>
      </c>
      <c r="Z70" s="416"/>
      <c r="AA70" s="416"/>
      <c r="AB70" s="416"/>
      <c r="AC70" s="416"/>
      <c r="AD70" s="417"/>
      <c r="AE70" s="416"/>
      <c r="AF70" s="416"/>
      <c r="AG70" s="418"/>
      <c r="AH70" s="416"/>
      <c r="AI70" s="416"/>
      <c r="AJ70" s="416"/>
      <c r="AK70" s="416"/>
      <c r="AL70" s="417"/>
      <c r="AM70" s="416"/>
      <c r="AN70" s="416"/>
      <c r="AO70" s="418"/>
      <c r="AP70" s="417"/>
      <c r="AQ70" s="416"/>
      <c r="AR70" s="416"/>
      <c r="AS70" s="418"/>
      <c r="AT70" s="416"/>
      <c r="AU70" s="416"/>
      <c r="AV70" s="416"/>
      <c r="AW70" s="418"/>
      <c r="AX70" s="416"/>
      <c r="AY70" s="416"/>
      <c r="AZ70" s="416"/>
      <c r="BA70" s="419"/>
    </row>
    <row r="71" spans="1:53" s="16" customFormat="1">
      <c r="A71" s="404">
        <v>1998</v>
      </c>
      <c r="B71" s="852">
        <v>36046</v>
      </c>
      <c r="C71" s="917" t="s">
        <v>990</v>
      </c>
      <c r="D71" s="917"/>
      <c r="E71" s="404">
        <f>365-E70</f>
        <v>115</v>
      </c>
      <c r="F71" s="404">
        <v>1</v>
      </c>
      <c r="G71" s="411"/>
      <c r="H71" s="404">
        <v>13</v>
      </c>
      <c r="I71" s="404"/>
      <c r="J71" s="413">
        <v>13</v>
      </c>
      <c r="K71" s="409">
        <f t="shared" ref="K71:K101" si="10">G71/J71*100</f>
        <v>0</v>
      </c>
      <c r="L71" s="409">
        <f t="shared" ref="L71:L101" si="11">H71/J71*100</f>
        <v>100</v>
      </c>
      <c r="M71" s="409">
        <f t="shared" ref="M71:M101" si="12">I71/J71*100</f>
        <v>0</v>
      </c>
      <c r="N71" s="412">
        <f t="shared" ref="N71:N101" si="13">K71+L71+M71</f>
        <v>100</v>
      </c>
      <c r="O71" s="408"/>
      <c r="P71" s="409">
        <v>53.8</v>
      </c>
      <c r="Q71" s="409"/>
      <c r="R71" s="410">
        <f t="shared" ref="R71:R103" si="14">O71+P71+Q71</f>
        <v>53.8</v>
      </c>
      <c r="S71" s="404">
        <v>1</v>
      </c>
      <c r="T71" s="839">
        <v>36043</v>
      </c>
      <c r="U71" s="852">
        <v>36046</v>
      </c>
      <c r="V71" s="405" t="s">
        <v>986</v>
      </c>
      <c r="W71" s="404" t="s">
        <v>17</v>
      </c>
      <c r="X71" s="404" t="s">
        <v>18</v>
      </c>
      <c r="Y71" s="406">
        <v>53.8</v>
      </c>
      <c r="Z71" s="404"/>
      <c r="AA71" s="404"/>
      <c r="AB71" s="404"/>
      <c r="AC71" s="404"/>
      <c r="AD71" s="405"/>
      <c r="AE71" s="404"/>
      <c r="AF71" s="404"/>
      <c r="AG71" s="406"/>
      <c r="AH71" s="404"/>
      <c r="AI71" s="404"/>
      <c r="AJ71" s="404"/>
      <c r="AK71" s="404"/>
      <c r="AL71" s="405"/>
      <c r="AM71" s="404"/>
      <c r="AN71" s="404"/>
      <c r="AO71" s="406"/>
      <c r="AP71" s="405"/>
      <c r="AQ71" s="404"/>
      <c r="AR71" s="404"/>
      <c r="AS71" s="406"/>
      <c r="AT71" s="404"/>
      <c r="AU71" s="404"/>
      <c r="AV71" s="404"/>
      <c r="AW71" s="406"/>
      <c r="AX71" s="404"/>
      <c r="AY71" s="404"/>
      <c r="AZ71" s="404"/>
      <c r="BA71" s="407"/>
    </row>
    <row r="72" spans="1:53" s="16" customFormat="1">
      <c r="A72" s="404">
        <v>1999</v>
      </c>
      <c r="B72" s="852"/>
      <c r="C72" s="917" t="s">
        <v>990</v>
      </c>
      <c r="D72" s="917"/>
      <c r="E72" s="404">
        <v>82</v>
      </c>
      <c r="F72" s="404"/>
      <c r="G72" s="411"/>
      <c r="H72" s="404">
        <v>13</v>
      </c>
      <c r="I72" s="404"/>
      <c r="J72" s="413">
        <v>13</v>
      </c>
      <c r="K72" s="409">
        <f t="shared" si="10"/>
        <v>0</v>
      </c>
      <c r="L72" s="409">
        <f t="shared" si="11"/>
        <v>100</v>
      </c>
      <c r="M72" s="409">
        <f t="shared" si="12"/>
        <v>0</v>
      </c>
      <c r="N72" s="412">
        <f t="shared" si="13"/>
        <v>100</v>
      </c>
      <c r="O72" s="408"/>
      <c r="P72" s="409">
        <v>53.8</v>
      </c>
      <c r="Q72" s="409"/>
      <c r="R72" s="410">
        <f t="shared" si="14"/>
        <v>53.8</v>
      </c>
      <c r="S72" s="404">
        <v>1</v>
      </c>
      <c r="T72" s="839"/>
      <c r="U72" s="852"/>
      <c r="V72" s="405" t="s">
        <v>986</v>
      </c>
      <c r="W72" s="404" t="s">
        <v>17</v>
      </c>
      <c r="X72" s="404" t="s">
        <v>18</v>
      </c>
      <c r="Y72" s="406">
        <v>53.8</v>
      </c>
      <c r="Z72" s="404"/>
      <c r="AA72" s="404"/>
      <c r="AB72" s="404"/>
      <c r="AC72" s="404"/>
      <c r="AD72" s="405"/>
      <c r="AE72" s="404"/>
      <c r="AF72" s="404"/>
      <c r="AG72" s="406"/>
      <c r="AH72" s="404"/>
      <c r="AI72" s="404"/>
      <c r="AJ72" s="404"/>
      <c r="AK72" s="404"/>
      <c r="AL72" s="405"/>
      <c r="AM72" s="404"/>
      <c r="AN72" s="404"/>
      <c r="AO72" s="406"/>
      <c r="AP72" s="405"/>
      <c r="AQ72" s="404"/>
      <c r="AR72" s="404"/>
      <c r="AS72" s="406"/>
      <c r="AT72" s="404"/>
      <c r="AU72" s="404"/>
      <c r="AV72" s="404"/>
      <c r="AW72" s="406"/>
      <c r="AX72" s="404"/>
      <c r="AY72" s="404"/>
      <c r="AZ72" s="404"/>
      <c r="BA72" s="407"/>
    </row>
    <row r="73" spans="1:53" s="16" customFormat="1">
      <c r="A73" s="404">
        <v>1999</v>
      </c>
      <c r="B73" s="860">
        <v>36243</v>
      </c>
      <c r="C73" s="917" t="s">
        <v>990</v>
      </c>
      <c r="D73" s="917"/>
      <c r="E73" s="404">
        <f>365-E72</f>
        <v>283</v>
      </c>
      <c r="F73" s="414">
        <v>0</v>
      </c>
      <c r="G73" s="411"/>
      <c r="H73" s="404">
        <v>14</v>
      </c>
      <c r="I73" s="404"/>
      <c r="J73" s="413">
        <v>14</v>
      </c>
      <c r="K73" s="409">
        <f t="shared" si="10"/>
        <v>0</v>
      </c>
      <c r="L73" s="409">
        <f t="shared" si="11"/>
        <v>100</v>
      </c>
      <c r="M73" s="409">
        <f t="shared" si="12"/>
        <v>0</v>
      </c>
      <c r="N73" s="412">
        <f t="shared" si="13"/>
        <v>100</v>
      </c>
      <c r="O73" s="408"/>
      <c r="P73" s="409">
        <v>53.8</v>
      </c>
      <c r="Q73" s="409"/>
      <c r="R73" s="410">
        <f t="shared" si="14"/>
        <v>53.8</v>
      </c>
      <c r="S73" s="404">
        <v>1</v>
      </c>
      <c r="T73" s="839"/>
      <c r="U73" s="852"/>
      <c r="V73" s="405" t="s">
        <v>986</v>
      </c>
      <c r="W73" s="404" t="s">
        <v>17</v>
      </c>
      <c r="X73" s="404" t="s">
        <v>18</v>
      </c>
      <c r="Y73" s="406">
        <v>53.8</v>
      </c>
      <c r="Z73" s="404"/>
      <c r="AA73" s="404"/>
      <c r="AB73" s="404"/>
      <c r="AC73" s="404"/>
      <c r="AD73" s="405"/>
      <c r="AE73" s="404"/>
      <c r="AF73" s="404"/>
      <c r="AG73" s="406"/>
      <c r="AH73" s="404"/>
      <c r="AI73" s="404"/>
      <c r="AJ73" s="404"/>
      <c r="AK73" s="404"/>
      <c r="AL73" s="405"/>
      <c r="AM73" s="404"/>
      <c r="AN73" s="404"/>
      <c r="AO73" s="406"/>
      <c r="AP73" s="405"/>
      <c r="AQ73" s="404"/>
      <c r="AR73" s="404"/>
      <c r="AS73" s="406"/>
      <c r="AT73" s="404"/>
      <c r="AU73" s="404"/>
      <c r="AV73" s="404"/>
      <c r="AW73" s="406"/>
      <c r="AX73" s="404"/>
      <c r="AY73" s="404"/>
      <c r="AZ73" s="404"/>
      <c r="BA73" s="407"/>
    </row>
    <row r="74" spans="1:53" s="16" customFormat="1">
      <c r="A74" s="404">
        <v>2000</v>
      </c>
      <c r="B74" s="852"/>
      <c r="C74" s="917" t="s">
        <v>990</v>
      </c>
      <c r="D74" s="917"/>
      <c r="E74" s="404">
        <v>0</v>
      </c>
      <c r="F74" s="404"/>
      <c r="G74" s="411"/>
      <c r="H74" s="404">
        <v>14</v>
      </c>
      <c r="I74" s="404"/>
      <c r="J74" s="413">
        <v>14</v>
      </c>
      <c r="K74" s="409">
        <f t="shared" si="10"/>
        <v>0</v>
      </c>
      <c r="L74" s="409">
        <f t="shared" si="11"/>
        <v>100</v>
      </c>
      <c r="M74" s="409">
        <f t="shared" si="12"/>
        <v>0</v>
      </c>
      <c r="N74" s="412">
        <f t="shared" si="13"/>
        <v>100</v>
      </c>
      <c r="O74" s="408"/>
      <c r="P74" s="409">
        <v>53.8</v>
      </c>
      <c r="Q74" s="409"/>
      <c r="R74" s="410">
        <f t="shared" si="14"/>
        <v>53.8</v>
      </c>
      <c r="S74" s="404">
        <v>1</v>
      </c>
      <c r="T74" s="839"/>
      <c r="U74" s="852"/>
      <c r="V74" s="405" t="s">
        <v>986</v>
      </c>
      <c r="W74" s="404" t="s">
        <v>17</v>
      </c>
      <c r="X74" s="404" t="s">
        <v>18</v>
      </c>
      <c r="Y74" s="406">
        <v>53.8</v>
      </c>
      <c r="Z74" s="404"/>
      <c r="AA74" s="404"/>
      <c r="AB74" s="404"/>
      <c r="AC74" s="404"/>
      <c r="AD74" s="405"/>
      <c r="AE74" s="404"/>
      <c r="AF74" s="404"/>
      <c r="AG74" s="406"/>
      <c r="AH74" s="404"/>
      <c r="AI74" s="404"/>
      <c r="AJ74" s="404"/>
      <c r="AK74" s="404"/>
      <c r="AL74" s="405"/>
      <c r="AM74" s="404"/>
      <c r="AN74" s="404"/>
      <c r="AO74" s="406"/>
      <c r="AP74" s="405"/>
      <c r="AQ74" s="404"/>
      <c r="AR74" s="404"/>
      <c r="AS74" s="406"/>
      <c r="AT74" s="404"/>
      <c r="AU74" s="404"/>
      <c r="AV74" s="404"/>
      <c r="AW74" s="406"/>
      <c r="AX74" s="404"/>
      <c r="AY74" s="404"/>
      <c r="AZ74" s="404"/>
      <c r="BA74" s="407"/>
    </row>
    <row r="75" spans="1:53" s="16" customFormat="1">
      <c r="A75" s="404">
        <v>2000</v>
      </c>
      <c r="B75" s="852"/>
      <c r="C75" s="917" t="s">
        <v>990</v>
      </c>
      <c r="D75" s="917"/>
      <c r="E75" s="404">
        <v>366</v>
      </c>
      <c r="F75" s="404"/>
      <c r="G75" s="411"/>
      <c r="H75" s="404">
        <v>14</v>
      </c>
      <c r="I75" s="404"/>
      <c r="J75" s="413">
        <v>14</v>
      </c>
      <c r="K75" s="409">
        <f t="shared" si="10"/>
        <v>0</v>
      </c>
      <c r="L75" s="409">
        <f t="shared" si="11"/>
        <v>100</v>
      </c>
      <c r="M75" s="409">
        <f t="shared" si="12"/>
        <v>0</v>
      </c>
      <c r="N75" s="412">
        <f t="shared" si="13"/>
        <v>100</v>
      </c>
      <c r="O75" s="408"/>
      <c r="P75" s="409">
        <v>53.8</v>
      </c>
      <c r="Q75" s="409"/>
      <c r="R75" s="410">
        <f t="shared" si="14"/>
        <v>53.8</v>
      </c>
      <c r="S75" s="404">
        <v>1</v>
      </c>
      <c r="T75" s="839"/>
      <c r="U75" s="852"/>
      <c r="V75" s="405" t="s">
        <v>986</v>
      </c>
      <c r="W75" s="404" t="s">
        <v>17</v>
      </c>
      <c r="X75" s="404" t="s">
        <v>18</v>
      </c>
      <c r="Y75" s="406">
        <v>53.8</v>
      </c>
      <c r="Z75" s="404"/>
      <c r="AA75" s="404"/>
      <c r="AB75" s="404"/>
      <c r="AC75" s="404"/>
      <c r="AD75" s="405"/>
      <c r="AE75" s="404"/>
      <c r="AF75" s="404"/>
      <c r="AG75" s="406"/>
      <c r="AH75" s="404"/>
      <c r="AI75" s="404"/>
      <c r="AJ75" s="404"/>
      <c r="AK75" s="404"/>
      <c r="AL75" s="405"/>
      <c r="AM75" s="404"/>
      <c r="AN75" s="404"/>
      <c r="AO75" s="406"/>
      <c r="AP75" s="405"/>
      <c r="AQ75" s="404"/>
      <c r="AR75" s="404"/>
      <c r="AS75" s="406"/>
      <c r="AT75" s="404"/>
      <c r="AU75" s="404"/>
      <c r="AV75" s="404"/>
      <c r="AW75" s="406"/>
      <c r="AX75" s="404"/>
      <c r="AY75" s="404"/>
      <c r="AZ75" s="404"/>
      <c r="BA75" s="407"/>
    </row>
    <row r="76" spans="1:53" s="16" customFormat="1">
      <c r="A76" s="404">
        <v>2001</v>
      </c>
      <c r="B76" s="852"/>
      <c r="C76" s="917" t="s">
        <v>990</v>
      </c>
      <c r="D76" s="917"/>
      <c r="E76" s="404">
        <v>0</v>
      </c>
      <c r="F76" s="404"/>
      <c r="G76" s="411"/>
      <c r="H76" s="404">
        <v>14</v>
      </c>
      <c r="I76" s="404"/>
      <c r="J76" s="413">
        <v>14</v>
      </c>
      <c r="K76" s="409">
        <f t="shared" si="10"/>
        <v>0</v>
      </c>
      <c r="L76" s="409">
        <f t="shared" si="11"/>
        <v>100</v>
      </c>
      <c r="M76" s="409">
        <f t="shared" si="12"/>
        <v>0</v>
      </c>
      <c r="N76" s="412">
        <f t="shared" si="13"/>
        <v>100</v>
      </c>
      <c r="O76" s="408"/>
      <c r="P76" s="409">
        <v>53.8</v>
      </c>
      <c r="Q76" s="409"/>
      <c r="R76" s="410">
        <f t="shared" si="14"/>
        <v>53.8</v>
      </c>
      <c r="S76" s="404">
        <v>1</v>
      </c>
      <c r="T76" s="839"/>
      <c r="U76" s="852"/>
      <c r="V76" s="405" t="s">
        <v>986</v>
      </c>
      <c r="W76" s="404" t="s">
        <v>17</v>
      </c>
      <c r="X76" s="404" t="s">
        <v>18</v>
      </c>
      <c r="Y76" s="406">
        <v>53.8</v>
      </c>
      <c r="Z76" s="404"/>
      <c r="AA76" s="404"/>
      <c r="AB76" s="404"/>
      <c r="AC76" s="404"/>
      <c r="AD76" s="405"/>
      <c r="AE76" s="404"/>
      <c r="AF76" s="404"/>
      <c r="AG76" s="406"/>
      <c r="AH76" s="404"/>
      <c r="AI76" s="404"/>
      <c r="AJ76" s="404"/>
      <c r="AK76" s="404"/>
      <c r="AL76" s="405"/>
      <c r="AM76" s="404"/>
      <c r="AN76" s="404"/>
      <c r="AO76" s="406"/>
      <c r="AP76" s="405"/>
      <c r="AQ76" s="404"/>
      <c r="AR76" s="404"/>
      <c r="AS76" s="406"/>
      <c r="AT76" s="404"/>
      <c r="AU76" s="404"/>
      <c r="AV76" s="404"/>
      <c r="AW76" s="406"/>
      <c r="AX76" s="404"/>
      <c r="AY76" s="404"/>
      <c r="AZ76" s="404"/>
      <c r="BA76" s="407"/>
    </row>
    <row r="77" spans="1:53" s="16" customFormat="1">
      <c r="A77" s="404">
        <v>2001</v>
      </c>
      <c r="B77" s="852"/>
      <c r="C77" s="917" t="s">
        <v>990</v>
      </c>
      <c r="D77" s="917"/>
      <c r="E77" s="404">
        <f>365-E76</f>
        <v>365</v>
      </c>
      <c r="F77" s="404"/>
      <c r="G77" s="411"/>
      <c r="H77" s="404">
        <v>14</v>
      </c>
      <c r="I77" s="404"/>
      <c r="J77" s="413">
        <v>14</v>
      </c>
      <c r="K77" s="409">
        <f t="shared" si="10"/>
        <v>0</v>
      </c>
      <c r="L77" s="409">
        <f t="shared" si="11"/>
        <v>100</v>
      </c>
      <c r="M77" s="409">
        <f t="shared" si="12"/>
        <v>0</v>
      </c>
      <c r="N77" s="412">
        <f t="shared" si="13"/>
        <v>100</v>
      </c>
      <c r="O77" s="408"/>
      <c r="P77" s="409">
        <v>53.8</v>
      </c>
      <c r="Q77" s="409"/>
      <c r="R77" s="410">
        <f t="shared" si="14"/>
        <v>53.8</v>
      </c>
      <c r="S77" s="404">
        <v>1</v>
      </c>
      <c r="T77" s="839"/>
      <c r="U77" s="852"/>
      <c r="V77" s="405" t="s">
        <v>986</v>
      </c>
      <c r="W77" s="404" t="s">
        <v>17</v>
      </c>
      <c r="X77" s="404" t="s">
        <v>18</v>
      </c>
      <c r="Y77" s="406">
        <v>53.8</v>
      </c>
      <c r="Z77" s="404"/>
      <c r="AA77" s="404"/>
      <c r="AB77" s="404"/>
      <c r="AC77" s="404"/>
      <c r="AD77" s="405"/>
      <c r="AE77" s="404"/>
      <c r="AF77" s="404"/>
      <c r="AG77" s="406"/>
      <c r="AH77" s="404"/>
      <c r="AI77" s="404"/>
      <c r="AJ77" s="404"/>
      <c r="AK77" s="404"/>
      <c r="AL77" s="405"/>
      <c r="AM77" s="404"/>
      <c r="AN77" s="404"/>
      <c r="AO77" s="406"/>
      <c r="AP77" s="405"/>
      <c r="AQ77" s="404"/>
      <c r="AR77" s="404"/>
      <c r="AS77" s="406"/>
      <c r="AT77" s="404"/>
      <c r="AU77" s="404"/>
      <c r="AV77" s="404"/>
      <c r="AW77" s="406"/>
      <c r="AX77" s="404"/>
      <c r="AY77" s="404"/>
      <c r="AZ77" s="404"/>
      <c r="BA77" s="407"/>
    </row>
    <row r="78" spans="1:53" s="16" customFormat="1">
      <c r="A78" s="404">
        <v>2002</v>
      </c>
      <c r="B78" s="852"/>
      <c r="C78" s="917" t="s">
        <v>990</v>
      </c>
      <c r="D78" s="917"/>
      <c r="E78" s="404">
        <v>0</v>
      </c>
      <c r="F78" s="404"/>
      <c r="G78" s="411"/>
      <c r="H78" s="404">
        <v>14</v>
      </c>
      <c r="I78" s="404"/>
      <c r="J78" s="413">
        <v>14</v>
      </c>
      <c r="K78" s="409">
        <f t="shared" si="10"/>
        <v>0</v>
      </c>
      <c r="L78" s="409">
        <f t="shared" si="11"/>
        <v>100</v>
      </c>
      <c r="M78" s="409">
        <f t="shared" si="12"/>
        <v>0</v>
      </c>
      <c r="N78" s="412">
        <f t="shared" si="13"/>
        <v>100</v>
      </c>
      <c r="O78" s="408"/>
      <c r="P78" s="409">
        <v>53.8</v>
      </c>
      <c r="Q78" s="409"/>
      <c r="R78" s="410">
        <f t="shared" si="14"/>
        <v>53.8</v>
      </c>
      <c r="S78" s="404">
        <v>1</v>
      </c>
      <c r="T78" s="839"/>
      <c r="U78" s="852"/>
      <c r="V78" s="405" t="s">
        <v>986</v>
      </c>
      <c r="W78" s="404" t="s">
        <v>17</v>
      </c>
      <c r="X78" s="404" t="s">
        <v>18</v>
      </c>
      <c r="Y78" s="406">
        <v>53.8</v>
      </c>
      <c r="Z78" s="404"/>
      <c r="AA78" s="404"/>
      <c r="AB78" s="404"/>
      <c r="AC78" s="404"/>
      <c r="AD78" s="405"/>
      <c r="AE78" s="404"/>
      <c r="AF78" s="404"/>
      <c r="AG78" s="406"/>
      <c r="AH78" s="404"/>
      <c r="AI78" s="404"/>
      <c r="AJ78" s="404"/>
      <c r="AK78" s="404"/>
      <c r="AL78" s="405"/>
      <c r="AM78" s="404"/>
      <c r="AN78" s="404"/>
      <c r="AO78" s="406"/>
      <c r="AP78" s="405"/>
      <c r="AQ78" s="404"/>
      <c r="AR78" s="404"/>
      <c r="AS78" s="406"/>
      <c r="AT78" s="404"/>
      <c r="AU78" s="404"/>
      <c r="AV78" s="404"/>
      <c r="AW78" s="406"/>
      <c r="AX78" s="404"/>
      <c r="AY78" s="404"/>
      <c r="AZ78" s="404"/>
      <c r="BA78" s="407"/>
    </row>
    <row r="79" spans="1:53" s="16" customFormat="1">
      <c r="A79" s="404">
        <v>2002</v>
      </c>
      <c r="B79" s="852"/>
      <c r="C79" s="917" t="s">
        <v>990</v>
      </c>
      <c r="D79" s="917"/>
      <c r="E79" s="404">
        <f>365-E78</f>
        <v>365</v>
      </c>
      <c r="F79" s="404"/>
      <c r="G79" s="411"/>
      <c r="H79" s="404">
        <v>14</v>
      </c>
      <c r="I79" s="404"/>
      <c r="J79" s="413">
        <v>14</v>
      </c>
      <c r="K79" s="409">
        <f t="shared" si="10"/>
        <v>0</v>
      </c>
      <c r="L79" s="409">
        <f t="shared" si="11"/>
        <v>100</v>
      </c>
      <c r="M79" s="409">
        <f t="shared" si="12"/>
        <v>0</v>
      </c>
      <c r="N79" s="412">
        <f t="shared" si="13"/>
        <v>100</v>
      </c>
      <c r="O79" s="408"/>
      <c r="P79" s="409">
        <v>53.8</v>
      </c>
      <c r="Q79" s="409"/>
      <c r="R79" s="410">
        <f t="shared" si="14"/>
        <v>53.8</v>
      </c>
      <c r="S79" s="404">
        <v>1</v>
      </c>
      <c r="T79" s="839"/>
      <c r="U79" s="852"/>
      <c r="V79" s="405" t="s">
        <v>986</v>
      </c>
      <c r="W79" s="404" t="s">
        <v>17</v>
      </c>
      <c r="X79" s="404" t="s">
        <v>18</v>
      </c>
      <c r="Y79" s="406">
        <v>53.8</v>
      </c>
      <c r="Z79" s="404"/>
      <c r="AA79" s="404"/>
      <c r="AB79" s="404"/>
      <c r="AC79" s="404"/>
      <c r="AD79" s="405"/>
      <c r="AE79" s="404"/>
      <c r="AF79" s="404"/>
      <c r="AG79" s="406"/>
      <c r="AH79" s="404"/>
      <c r="AI79" s="404"/>
      <c r="AJ79" s="404"/>
      <c r="AK79" s="404"/>
      <c r="AL79" s="405"/>
      <c r="AM79" s="404"/>
      <c r="AN79" s="404"/>
      <c r="AO79" s="406"/>
      <c r="AP79" s="405"/>
      <c r="AQ79" s="404"/>
      <c r="AR79" s="404"/>
      <c r="AS79" s="406"/>
      <c r="AT79" s="404"/>
      <c r="AU79" s="404"/>
      <c r="AV79" s="404"/>
      <c r="AW79" s="406"/>
      <c r="AX79" s="404"/>
      <c r="AY79" s="404"/>
      <c r="AZ79" s="404"/>
      <c r="BA79" s="407"/>
    </row>
    <row r="80" spans="1:53" s="16" customFormat="1">
      <c r="A80" s="404">
        <v>2003</v>
      </c>
      <c r="B80" s="852"/>
      <c r="C80" s="917" t="s">
        <v>990</v>
      </c>
      <c r="D80" s="917"/>
      <c r="E80" s="404">
        <v>104</v>
      </c>
      <c r="F80" s="404"/>
      <c r="G80" s="411"/>
      <c r="H80" s="404">
        <v>14</v>
      </c>
      <c r="I80" s="404"/>
      <c r="J80" s="413">
        <v>14</v>
      </c>
      <c r="K80" s="409">
        <f t="shared" si="10"/>
        <v>0</v>
      </c>
      <c r="L80" s="409">
        <f t="shared" si="11"/>
        <v>100</v>
      </c>
      <c r="M80" s="409">
        <f t="shared" si="12"/>
        <v>0</v>
      </c>
      <c r="N80" s="412">
        <f t="shared" si="13"/>
        <v>100</v>
      </c>
      <c r="O80" s="408"/>
      <c r="P80" s="409">
        <v>53.8</v>
      </c>
      <c r="Q80" s="409"/>
      <c r="R80" s="410">
        <f t="shared" si="14"/>
        <v>53.8</v>
      </c>
      <c r="S80" s="404">
        <v>1</v>
      </c>
      <c r="T80" s="839"/>
      <c r="U80" s="852"/>
      <c r="V80" s="405" t="s">
        <v>986</v>
      </c>
      <c r="W80" s="404" t="s">
        <v>17</v>
      </c>
      <c r="X80" s="404" t="s">
        <v>18</v>
      </c>
      <c r="Y80" s="406">
        <v>53.8</v>
      </c>
      <c r="Z80" s="404"/>
      <c r="AA80" s="404"/>
      <c r="AB80" s="404"/>
      <c r="AC80" s="404"/>
      <c r="AD80" s="405"/>
      <c r="AE80" s="404"/>
      <c r="AF80" s="404"/>
      <c r="AG80" s="406"/>
      <c r="AH80" s="404"/>
      <c r="AI80" s="404"/>
      <c r="AJ80" s="404"/>
      <c r="AK80" s="404"/>
      <c r="AL80" s="405"/>
      <c r="AM80" s="404"/>
      <c r="AN80" s="404"/>
      <c r="AO80" s="406"/>
      <c r="AP80" s="405"/>
      <c r="AQ80" s="404"/>
      <c r="AR80" s="404"/>
      <c r="AS80" s="406"/>
      <c r="AT80" s="404"/>
      <c r="AU80" s="404"/>
      <c r="AV80" s="404"/>
      <c r="AW80" s="406"/>
      <c r="AX80" s="404"/>
      <c r="AY80" s="404"/>
      <c r="AZ80" s="404"/>
      <c r="BA80" s="407"/>
    </row>
    <row r="81" spans="1:53" s="16" customFormat="1">
      <c r="A81" s="416">
        <v>2003</v>
      </c>
      <c r="B81" s="836">
        <v>37726</v>
      </c>
      <c r="C81" s="916" t="s">
        <v>991</v>
      </c>
      <c r="D81" s="916"/>
      <c r="E81" s="416">
        <f>365-E80</f>
        <v>261</v>
      </c>
      <c r="F81" s="416">
        <v>1</v>
      </c>
      <c r="G81" s="425"/>
      <c r="H81" s="416">
        <v>14</v>
      </c>
      <c r="I81" s="416"/>
      <c r="J81" s="427">
        <v>14</v>
      </c>
      <c r="K81" s="423">
        <f t="shared" si="10"/>
        <v>0</v>
      </c>
      <c r="L81" s="423">
        <f t="shared" si="11"/>
        <v>100</v>
      </c>
      <c r="M81" s="423">
        <f t="shared" si="12"/>
        <v>0</v>
      </c>
      <c r="N81" s="426">
        <f t="shared" si="13"/>
        <v>100</v>
      </c>
      <c r="O81" s="422"/>
      <c r="P81" s="423">
        <v>53.8</v>
      </c>
      <c r="Q81" s="423"/>
      <c r="R81" s="424">
        <f t="shared" si="14"/>
        <v>53.8</v>
      </c>
      <c r="S81" s="416">
        <v>1</v>
      </c>
      <c r="T81" s="838">
        <v>37723</v>
      </c>
      <c r="U81" s="836">
        <v>37726</v>
      </c>
      <c r="V81" s="417" t="s">
        <v>986</v>
      </c>
      <c r="W81" s="416" t="s">
        <v>17</v>
      </c>
      <c r="X81" s="416" t="s">
        <v>18</v>
      </c>
      <c r="Y81" s="418">
        <v>53.8</v>
      </c>
      <c r="Z81" s="416"/>
      <c r="AA81" s="416"/>
      <c r="AB81" s="416"/>
      <c r="AC81" s="416"/>
      <c r="AD81" s="417"/>
      <c r="AE81" s="416"/>
      <c r="AF81" s="416"/>
      <c r="AG81" s="418"/>
      <c r="AH81" s="416"/>
      <c r="AI81" s="416"/>
      <c r="AJ81" s="416"/>
      <c r="AK81" s="416"/>
      <c r="AL81" s="417"/>
      <c r="AM81" s="416"/>
      <c r="AN81" s="416"/>
      <c r="AO81" s="418"/>
      <c r="AP81" s="417"/>
      <c r="AQ81" s="416"/>
      <c r="AR81" s="416"/>
      <c r="AS81" s="418"/>
      <c r="AT81" s="416"/>
      <c r="AU81" s="416"/>
      <c r="AV81" s="416"/>
      <c r="AW81" s="418"/>
      <c r="AX81" s="416"/>
      <c r="AY81" s="416"/>
      <c r="AZ81" s="416"/>
      <c r="BA81" s="419"/>
    </row>
    <row r="82" spans="1:53" s="16" customFormat="1">
      <c r="A82" s="416">
        <v>2004</v>
      </c>
      <c r="B82" s="836"/>
      <c r="C82" s="916" t="s">
        <v>991</v>
      </c>
      <c r="D82" s="916"/>
      <c r="E82" s="416">
        <v>83</v>
      </c>
      <c r="F82" s="416"/>
      <c r="G82" s="425"/>
      <c r="H82" s="416">
        <v>14</v>
      </c>
      <c r="I82" s="416"/>
      <c r="J82" s="427">
        <v>14</v>
      </c>
      <c r="K82" s="423">
        <f t="shared" si="10"/>
        <v>0</v>
      </c>
      <c r="L82" s="423">
        <f t="shared" si="11"/>
        <v>100</v>
      </c>
      <c r="M82" s="423">
        <f t="shared" si="12"/>
        <v>0</v>
      </c>
      <c r="N82" s="426">
        <f t="shared" si="13"/>
        <v>100</v>
      </c>
      <c r="O82" s="422"/>
      <c r="P82" s="423">
        <v>53.8</v>
      </c>
      <c r="Q82" s="423"/>
      <c r="R82" s="424">
        <f t="shared" si="14"/>
        <v>53.8</v>
      </c>
      <c r="S82" s="416">
        <v>1</v>
      </c>
      <c r="T82" s="838"/>
      <c r="U82" s="836"/>
      <c r="V82" s="417" t="s">
        <v>986</v>
      </c>
      <c r="W82" s="416" t="s">
        <v>17</v>
      </c>
      <c r="X82" s="416" t="s">
        <v>18</v>
      </c>
      <c r="Y82" s="418">
        <v>53.8</v>
      </c>
      <c r="Z82" s="416"/>
      <c r="AA82" s="416"/>
      <c r="AB82" s="416"/>
      <c r="AC82" s="416"/>
      <c r="AD82" s="417"/>
      <c r="AE82" s="416"/>
      <c r="AF82" s="416"/>
      <c r="AG82" s="418"/>
      <c r="AH82" s="416"/>
      <c r="AI82" s="416"/>
      <c r="AJ82" s="416"/>
      <c r="AK82" s="416"/>
      <c r="AL82" s="417"/>
      <c r="AM82" s="416"/>
      <c r="AN82" s="416"/>
      <c r="AO82" s="418"/>
      <c r="AP82" s="417"/>
      <c r="AQ82" s="416"/>
      <c r="AR82" s="416"/>
      <c r="AS82" s="418"/>
      <c r="AT82" s="416"/>
      <c r="AU82" s="416"/>
      <c r="AV82" s="416"/>
      <c r="AW82" s="418"/>
      <c r="AX82" s="416"/>
      <c r="AY82" s="416"/>
      <c r="AZ82" s="416"/>
      <c r="BA82" s="419"/>
    </row>
    <row r="83" spans="1:53" s="16" customFormat="1">
      <c r="A83" s="404">
        <v>2004</v>
      </c>
      <c r="B83" s="852">
        <v>38070</v>
      </c>
      <c r="C83" s="917" t="s">
        <v>992</v>
      </c>
      <c r="D83" s="917"/>
      <c r="E83" s="404">
        <f>366-E82</f>
        <v>283</v>
      </c>
      <c r="F83" s="404">
        <v>2</v>
      </c>
      <c r="G83" s="411"/>
      <c r="H83" s="404">
        <v>13</v>
      </c>
      <c r="I83" s="404"/>
      <c r="J83" s="413">
        <v>13</v>
      </c>
      <c r="K83" s="409">
        <f t="shared" si="10"/>
        <v>0</v>
      </c>
      <c r="L83" s="409">
        <f t="shared" si="11"/>
        <v>100</v>
      </c>
      <c r="M83" s="409">
        <f t="shared" si="12"/>
        <v>0</v>
      </c>
      <c r="N83" s="412">
        <f t="shared" si="13"/>
        <v>100</v>
      </c>
      <c r="O83" s="408"/>
      <c r="P83" s="409">
        <v>53.8</v>
      </c>
      <c r="Q83" s="409"/>
      <c r="R83" s="410">
        <f t="shared" si="14"/>
        <v>53.8</v>
      </c>
      <c r="S83" s="404">
        <v>1</v>
      </c>
      <c r="T83" s="839"/>
      <c r="U83" s="852">
        <v>38070</v>
      </c>
      <c r="V83" s="405" t="s">
        <v>986</v>
      </c>
      <c r="W83" s="404" t="s">
        <v>17</v>
      </c>
      <c r="X83" s="404" t="s">
        <v>18</v>
      </c>
      <c r="Y83" s="406">
        <v>53.8</v>
      </c>
      <c r="Z83" s="404"/>
      <c r="AA83" s="404"/>
      <c r="AB83" s="404"/>
      <c r="AC83" s="404"/>
      <c r="AD83" s="405"/>
      <c r="AE83" s="404"/>
      <c r="AF83" s="404"/>
      <c r="AG83" s="406"/>
      <c r="AH83" s="404"/>
      <c r="AI83" s="404"/>
      <c r="AJ83" s="404"/>
      <c r="AK83" s="404"/>
      <c r="AL83" s="405"/>
      <c r="AM83" s="404"/>
      <c r="AN83" s="404"/>
      <c r="AO83" s="406"/>
      <c r="AP83" s="405"/>
      <c r="AQ83" s="404"/>
      <c r="AR83" s="404"/>
      <c r="AS83" s="406"/>
      <c r="AT83" s="404"/>
      <c r="AU83" s="404"/>
      <c r="AV83" s="404"/>
      <c r="AW83" s="406"/>
      <c r="AX83" s="404"/>
      <c r="AY83" s="404"/>
      <c r="AZ83" s="404"/>
      <c r="BA83" s="407"/>
    </row>
    <row r="84" spans="1:53" s="16" customFormat="1">
      <c r="A84" s="404">
        <v>2005</v>
      </c>
      <c r="B84" s="852"/>
      <c r="C84" s="917" t="s">
        <v>992</v>
      </c>
      <c r="D84" s="917"/>
      <c r="E84" s="404">
        <v>0</v>
      </c>
      <c r="F84" s="404"/>
      <c r="G84" s="411"/>
      <c r="H84" s="404">
        <v>13</v>
      </c>
      <c r="I84" s="404"/>
      <c r="J84" s="413">
        <v>13</v>
      </c>
      <c r="K84" s="409">
        <f t="shared" si="10"/>
        <v>0</v>
      </c>
      <c r="L84" s="409">
        <f t="shared" si="11"/>
        <v>100</v>
      </c>
      <c r="M84" s="409">
        <f t="shared" si="12"/>
        <v>0</v>
      </c>
      <c r="N84" s="412">
        <f t="shared" si="13"/>
        <v>100</v>
      </c>
      <c r="O84" s="408"/>
      <c r="P84" s="409">
        <v>53.8</v>
      </c>
      <c r="Q84" s="409"/>
      <c r="R84" s="410">
        <f t="shared" si="14"/>
        <v>53.8</v>
      </c>
      <c r="S84" s="404">
        <v>1</v>
      </c>
      <c r="T84" s="839"/>
      <c r="U84" s="852"/>
      <c r="V84" s="405" t="s">
        <v>986</v>
      </c>
      <c r="W84" s="404" t="s">
        <v>17</v>
      </c>
      <c r="X84" s="404" t="s">
        <v>18</v>
      </c>
      <c r="Y84" s="406">
        <v>53.8</v>
      </c>
      <c r="Z84" s="404"/>
      <c r="AA84" s="404"/>
      <c r="AB84" s="404"/>
      <c r="AC84" s="404"/>
      <c r="AD84" s="405"/>
      <c r="AE84" s="404"/>
      <c r="AF84" s="404"/>
      <c r="AG84" s="406"/>
      <c r="AH84" s="404"/>
      <c r="AI84" s="404"/>
      <c r="AJ84" s="404"/>
      <c r="AK84" s="404"/>
      <c r="AL84" s="405"/>
      <c r="AM84" s="404"/>
      <c r="AN84" s="404"/>
      <c r="AO84" s="406"/>
      <c r="AP84" s="405"/>
      <c r="AQ84" s="404"/>
      <c r="AR84" s="404"/>
      <c r="AS84" s="406"/>
      <c r="AT84" s="404"/>
      <c r="AU84" s="404"/>
      <c r="AV84" s="404"/>
      <c r="AW84" s="406"/>
      <c r="AX84" s="404"/>
      <c r="AY84" s="404"/>
      <c r="AZ84" s="404"/>
      <c r="BA84" s="407"/>
    </row>
    <row r="85" spans="1:53" s="16" customFormat="1">
      <c r="A85" s="404">
        <v>2005</v>
      </c>
      <c r="B85" s="852"/>
      <c r="C85" s="917" t="s">
        <v>992</v>
      </c>
      <c r="D85" s="917"/>
      <c r="E85" s="404">
        <f>365-E84</f>
        <v>365</v>
      </c>
      <c r="F85" s="404"/>
      <c r="G85" s="411"/>
      <c r="H85" s="404">
        <v>13</v>
      </c>
      <c r="I85" s="404"/>
      <c r="J85" s="413">
        <v>13</v>
      </c>
      <c r="K85" s="409">
        <f t="shared" si="10"/>
        <v>0</v>
      </c>
      <c r="L85" s="409">
        <f t="shared" si="11"/>
        <v>100</v>
      </c>
      <c r="M85" s="409">
        <f t="shared" si="12"/>
        <v>0</v>
      </c>
      <c r="N85" s="412">
        <f t="shared" si="13"/>
        <v>100</v>
      </c>
      <c r="O85" s="408"/>
      <c r="P85" s="409">
        <v>53.8</v>
      </c>
      <c r="Q85" s="409"/>
      <c r="R85" s="410">
        <f t="shared" si="14"/>
        <v>53.8</v>
      </c>
      <c r="S85" s="404">
        <v>1</v>
      </c>
      <c r="T85" s="839"/>
      <c r="U85" s="852"/>
      <c r="V85" s="405" t="s">
        <v>986</v>
      </c>
      <c r="W85" s="404" t="s">
        <v>17</v>
      </c>
      <c r="X85" s="404" t="s">
        <v>18</v>
      </c>
      <c r="Y85" s="406">
        <v>53.8</v>
      </c>
      <c r="Z85" s="404"/>
      <c r="AA85" s="404"/>
      <c r="AB85" s="404"/>
      <c r="AC85" s="404"/>
      <c r="AD85" s="405"/>
      <c r="AE85" s="404"/>
      <c r="AF85" s="404"/>
      <c r="AG85" s="406"/>
      <c r="AH85" s="404"/>
      <c r="AI85" s="404"/>
      <c r="AJ85" s="404"/>
      <c r="AK85" s="404"/>
      <c r="AL85" s="405"/>
      <c r="AM85" s="404"/>
      <c r="AN85" s="404"/>
      <c r="AO85" s="406"/>
      <c r="AP85" s="405"/>
      <c r="AQ85" s="404"/>
      <c r="AR85" s="404"/>
      <c r="AS85" s="406"/>
      <c r="AT85" s="404"/>
      <c r="AU85" s="404"/>
      <c r="AV85" s="404"/>
      <c r="AW85" s="406"/>
      <c r="AX85" s="404"/>
      <c r="AY85" s="404"/>
      <c r="AZ85" s="404"/>
      <c r="BA85" s="407"/>
    </row>
    <row r="86" spans="1:53" s="16" customFormat="1">
      <c r="A86" s="404">
        <v>2006</v>
      </c>
      <c r="B86" s="852"/>
      <c r="C86" s="917" t="s">
        <v>992</v>
      </c>
      <c r="D86" s="917"/>
      <c r="E86" s="404">
        <v>0</v>
      </c>
      <c r="F86" s="404"/>
      <c r="G86" s="411"/>
      <c r="H86" s="404">
        <v>13</v>
      </c>
      <c r="I86" s="404"/>
      <c r="J86" s="413">
        <v>13</v>
      </c>
      <c r="K86" s="409">
        <f t="shared" si="10"/>
        <v>0</v>
      </c>
      <c r="L86" s="409">
        <f t="shared" si="11"/>
        <v>100</v>
      </c>
      <c r="M86" s="409">
        <f t="shared" si="12"/>
        <v>0</v>
      </c>
      <c r="N86" s="412">
        <f t="shared" si="13"/>
        <v>100</v>
      </c>
      <c r="O86" s="408"/>
      <c r="P86" s="409">
        <v>53.8</v>
      </c>
      <c r="Q86" s="409"/>
      <c r="R86" s="410">
        <f t="shared" si="14"/>
        <v>53.8</v>
      </c>
      <c r="S86" s="404">
        <v>1</v>
      </c>
      <c r="T86" s="839"/>
      <c r="U86" s="852"/>
      <c r="V86" s="405" t="s">
        <v>986</v>
      </c>
      <c r="W86" s="404" t="s">
        <v>17</v>
      </c>
      <c r="X86" s="404" t="s">
        <v>18</v>
      </c>
      <c r="Y86" s="406">
        <v>53.8</v>
      </c>
      <c r="Z86" s="404"/>
      <c r="AA86" s="404"/>
      <c r="AB86" s="404"/>
      <c r="AC86" s="404"/>
      <c r="AD86" s="405"/>
      <c r="AE86" s="404"/>
      <c r="AF86" s="404"/>
      <c r="AG86" s="406"/>
      <c r="AH86" s="404"/>
      <c r="AI86" s="404"/>
      <c r="AJ86" s="404"/>
      <c r="AK86" s="404"/>
      <c r="AL86" s="405"/>
      <c r="AM86" s="404"/>
      <c r="AN86" s="404"/>
      <c r="AO86" s="406"/>
      <c r="AP86" s="405"/>
      <c r="AQ86" s="404"/>
      <c r="AR86" s="404"/>
      <c r="AS86" s="406"/>
      <c r="AT86" s="404"/>
      <c r="AU86" s="404"/>
      <c r="AV86" s="404"/>
      <c r="AW86" s="406"/>
      <c r="AX86" s="404"/>
      <c r="AY86" s="404"/>
      <c r="AZ86" s="404"/>
      <c r="BA86" s="407"/>
    </row>
    <row r="87" spans="1:53" s="16" customFormat="1">
      <c r="A87" s="404">
        <v>2006</v>
      </c>
      <c r="B87" s="852"/>
      <c r="C87" s="917" t="s">
        <v>992</v>
      </c>
      <c r="D87" s="917"/>
      <c r="E87" s="404">
        <f>365-E86</f>
        <v>365</v>
      </c>
      <c r="F87" s="404"/>
      <c r="G87" s="411"/>
      <c r="H87" s="404">
        <v>13</v>
      </c>
      <c r="I87" s="404"/>
      <c r="J87" s="413">
        <v>13</v>
      </c>
      <c r="K87" s="409">
        <f t="shared" si="10"/>
        <v>0</v>
      </c>
      <c r="L87" s="409">
        <f t="shared" si="11"/>
        <v>100</v>
      </c>
      <c r="M87" s="409">
        <f t="shared" si="12"/>
        <v>0</v>
      </c>
      <c r="N87" s="412">
        <f t="shared" si="13"/>
        <v>100</v>
      </c>
      <c r="O87" s="408"/>
      <c r="P87" s="409">
        <v>53.8</v>
      </c>
      <c r="Q87" s="409"/>
      <c r="R87" s="410">
        <f t="shared" si="14"/>
        <v>53.8</v>
      </c>
      <c r="S87" s="404">
        <v>1</v>
      </c>
      <c r="T87" s="839"/>
      <c r="U87" s="852"/>
      <c r="V87" s="405" t="s">
        <v>986</v>
      </c>
      <c r="W87" s="404" t="s">
        <v>17</v>
      </c>
      <c r="X87" s="404" t="s">
        <v>18</v>
      </c>
      <c r="Y87" s="406">
        <v>53.8</v>
      </c>
      <c r="Z87" s="404"/>
      <c r="AA87" s="404"/>
      <c r="AB87" s="404"/>
      <c r="AC87" s="404"/>
      <c r="AD87" s="405"/>
      <c r="AE87" s="404"/>
      <c r="AF87" s="404"/>
      <c r="AG87" s="406"/>
      <c r="AH87" s="404"/>
      <c r="AI87" s="404"/>
      <c r="AJ87" s="404"/>
      <c r="AK87" s="404"/>
      <c r="AL87" s="405"/>
      <c r="AM87" s="404"/>
      <c r="AN87" s="404"/>
      <c r="AO87" s="406"/>
      <c r="AP87" s="405"/>
      <c r="AQ87" s="404"/>
      <c r="AR87" s="404"/>
      <c r="AS87" s="406"/>
      <c r="AT87" s="404"/>
      <c r="AU87" s="404"/>
      <c r="AV87" s="404"/>
      <c r="AW87" s="406"/>
      <c r="AX87" s="404"/>
      <c r="AY87" s="404"/>
      <c r="AZ87" s="404"/>
      <c r="BA87" s="407"/>
    </row>
    <row r="88" spans="1:53" s="16" customFormat="1">
      <c r="A88" s="404">
        <v>2007</v>
      </c>
      <c r="B88" s="852"/>
      <c r="C88" s="917" t="s">
        <v>992</v>
      </c>
      <c r="D88" s="917"/>
      <c r="E88" s="404">
        <v>0</v>
      </c>
      <c r="F88" s="404"/>
      <c r="G88" s="411"/>
      <c r="H88" s="404">
        <v>13</v>
      </c>
      <c r="I88" s="404"/>
      <c r="J88" s="413">
        <v>13</v>
      </c>
      <c r="K88" s="409">
        <f t="shared" si="10"/>
        <v>0</v>
      </c>
      <c r="L88" s="409">
        <f t="shared" si="11"/>
        <v>100</v>
      </c>
      <c r="M88" s="409">
        <f t="shared" si="12"/>
        <v>0</v>
      </c>
      <c r="N88" s="412">
        <f t="shared" si="13"/>
        <v>100</v>
      </c>
      <c r="O88" s="408"/>
      <c r="P88" s="409">
        <v>54.8</v>
      </c>
      <c r="Q88" s="409"/>
      <c r="R88" s="410">
        <f t="shared" si="14"/>
        <v>54.8</v>
      </c>
      <c r="S88" s="404">
        <v>1</v>
      </c>
      <c r="T88" s="839"/>
      <c r="U88" s="852"/>
      <c r="V88" s="405" t="s">
        <v>986</v>
      </c>
      <c r="W88" s="404" t="s">
        <v>17</v>
      </c>
      <c r="X88" s="404" t="s">
        <v>18</v>
      </c>
      <c r="Y88" s="406">
        <v>53.8</v>
      </c>
      <c r="Z88" s="404"/>
      <c r="AA88" s="404"/>
      <c r="AB88" s="404"/>
      <c r="AC88" s="404"/>
      <c r="AD88" s="405"/>
      <c r="AE88" s="404"/>
      <c r="AF88" s="404"/>
      <c r="AG88" s="406"/>
      <c r="AH88" s="404"/>
      <c r="AI88" s="404"/>
      <c r="AJ88" s="404"/>
      <c r="AK88" s="404"/>
      <c r="AL88" s="405"/>
      <c r="AM88" s="404"/>
      <c r="AN88" s="404"/>
      <c r="AO88" s="406"/>
      <c r="AP88" s="405"/>
      <c r="AQ88" s="404"/>
      <c r="AR88" s="404"/>
      <c r="AS88" s="406"/>
      <c r="AT88" s="404"/>
      <c r="AU88" s="404"/>
      <c r="AV88" s="404"/>
      <c r="AW88" s="406"/>
      <c r="AX88" s="404"/>
      <c r="AY88" s="404"/>
      <c r="AZ88" s="404"/>
      <c r="BA88" s="407"/>
    </row>
    <row r="89" spans="1:53" s="16" customFormat="1">
      <c r="A89" s="404">
        <v>2007</v>
      </c>
      <c r="B89" s="852"/>
      <c r="C89" s="917" t="s">
        <v>992</v>
      </c>
      <c r="D89" s="917"/>
      <c r="E89" s="404">
        <v>365</v>
      </c>
      <c r="F89" s="404"/>
      <c r="G89" s="411"/>
      <c r="H89" s="404">
        <v>13</v>
      </c>
      <c r="I89" s="404"/>
      <c r="J89" s="413">
        <v>13</v>
      </c>
      <c r="K89" s="409">
        <f t="shared" si="10"/>
        <v>0</v>
      </c>
      <c r="L89" s="409">
        <f t="shared" si="11"/>
        <v>100</v>
      </c>
      <c r="M89" s="409">
        <f t="shared" si="12"/>
        <v>0</v>
      </c>
      <c r="N89" s="412">
        <f t="shared" si="13"/>
        <v>100</v>
      </c>
      <c r="O89" s="408"/>
      <c r="P89" s="409">
        <v>55.8</v>
      </c>
      <c r="Q89" s="409"/>
      <c r="R89" s="410">
        <f t="shared" si="14"/>
        <v>55.8</v>
      </c>
      <c r="S89" s="404">
        <v>1</v>
      </c>
      <c r="T89" s="839"/>
      <c r="U89" s="852"/>
      <c r="V89" s="405" t="s">
        <v>986</v>
      </c>
      <c r="W89" s="404" t="s">
        <v>17</v>
      </c>
      <c r="X89" s="404" t="s">
        <v>18</v>
      </c>
      <c r="Y89" s="406">
        <v>53.8</v>
      </c>
      <c r="Z89" s="404"/>
      <c r="AA89" s="404"/>
      <c r="AB89" s="404"/>
      <c r="AC89" s="404"/>
      <c r="AD89" s="405"/>
      <c r="AE89" s="404"/>
      <c r="AF89" s="404"/>
      <c r="AG89" s="406"/>
      <c r="AH89" s="404"/>
      <c r="AI89" s="404"/>
      <c r="AJ89" s="404"/>
      <c r="AK89" s="404"/>
      <c r="AL89" s="405"/>
      <c r="AM89" s="404"/>
      <c r="AN89" s="404"/>
      <c r="AO89" s="406"/>
      <c r="AP89" s="405"/>
      <c r="AQ89" s="404"/>
      <c r="AR89" s="404"/>
      <c r="AS89" s="406"/>
      <c r="AT89" s="404"/>
      <c r="AU89" s="404"/>
      <c r="AV89" s="404"/>
      <c r="AW89" s="406"/>
      <c r="AX89" s="404"/>
      <c r="AY89" s="404"/>
      <c r="AZ89" s="404"/>
      <c r="BA89" s="407"/>
    </row>
    <row r="90" spans="1:53" s="16" customFormat="1">
      <c r="A90" s="404">
        <v>2008</v>
      </c>
      <c r="B90" s="852"/>
      <c r="C90" s="917" t="s">
        <v>992</v>
      </c>
      <c r="D90" s="917"/>
      <c r="E90" s="404">
        <v>71</v>
      </c>
      <c r="F90" s="404"/>
      <c r="G90" s="411"/>
      <c r="H90" s="404">
        <v>13</v>
      </c>
      <c r="I90" s="404"/>
      <c r="J90" s="413">
        <v>13</v>
      </c>
      <c r="K90" s="409">
        <f t="shared" si="10"/>
        <v>0</v>
      </c>
      <c r="L90" s="409">
        <f t="shared" si="11"/>
        <v>100</v>
      </c>
      <c r="M90" s="409">
        <f t="shared" si="12"/>
        <v>0</v>
      </c>
      <c r="N90" s="412">
        <f t="shared" si="13"/>
        <v>100</v>
      </c>
      <c r="O90" s="408"/>
      <c r="P90" s="409">
        <v>55.8</v>
      </c>
      <c r="Q90" s="409"/>
      <c r="R90" s="410">
        <f t="shared" si="14"/>
        <v>55.8</v>
      </c>
      <c r="S90" s="404">
        <v>1</v>
      </c>
      <c r="T90" s="839"/>
      <c r="U90" s="852"/>
      <c r="V90" s="405" t="s">
        <v>986</v>
      </c>
      <c r="W90" s="404" t="s">
        <v>17</v>
      </c>
      <c r="X90" s="404" t="s">
        <v>18</v>
      </c>
      <c r="Y90" s="406">
        <v>53.8</v>
      </c>
      <c r="Z90" s="404"/>
      <c r="AA90" s="404"/>
      <c r="AB90" s="404"/>
      <c r="AC90" s="404"/>
      <c r="AD90" s="405"/>
      <c r="AE90" s="404"/>
      <c r="AF90" s="404"/>
      <c r="AG90" s="406"/>
      <c r="AH90" s="404"/>
      <c r="AI90" s="404"/>
      <c r="AJ90" s="404"/>
      <c r="AK90" s="404"/>
      <c r="AL90" s="405"/>
      <c r="AM90" s="404"/>
      <c r="AN90" s="404"/>
      <c r="AO90" s="406"/>
      <c r="AP90" s="405"/>
      <c r="AQ90" s="404"/>
      <c r="AR90" s="404"/>
      <c r="AS90" s="406"/>
      <c r="AT90" s="404"/>
      <c r="AU90" s="404"/>
      <c r="AV90" s="404"/>
      <c r="AW90" s="406"/>
      <c r="AX90" s="404"/>
      <c r="AY90" s="404"/>
      <c r="AZ90" s="404"/>
      <c r="BA90" s="407"/>
    </row>
    <row r="91" spans="1:53" s="16" customFormat="1">
      <c r="A91" s="416">
        <v>2008</v>
      </c>
      <c r="B91" s="836">
        <v>39519</v>
      </c>
      <c r="C91" s="916" t="s">
        <v>993</v>
      </c>
      <c r="D91" s="916"/>
      <c r="E91" s="416">
        <f>366-E90</f>
        <v>295</v>
      </c>
      <c r="F91" s="416">
        <v>1</v>
      </c>
      <c r="G91" s="425"/>
      <c r="H91" s="416">
        <v>9</v>
      </c>
      <c r="I91" s="416"/>
      <c r="J91" s="427">
        <v>9</v>
      </c>
      <c r="K91" s="423">
        <f t="shared" si="10"/>
        <v>0</v>
      </c>
      <c r="L91" s="423">
        <f t="shared" si="11"/>
        <v>100</v>
      </c>
      <c r="M91" s="423">
        <f t="shared" si="12"/>
        <v>0</v>
      </c>
      <c r="N91" s="426">
        <f t="shared" si="13"/>
        <v>100</v>
      </c>
      <c r="O91" s="422"/>
      <c r="P91" s="423">
        <v>50.72</v>
      </c>
      <c r="Q91" s="423"/>
      <c r="R91" s="424">
        <f t="shared" si="14"/>
        <v>50.72</v>
      </c>
      <c r="S91" s="416">
        <v>1</v>
      </c>
      <c r="T91" s="838">
        <v>39515</v>
      </c>
      <c r="U91" s="836">
        <v>39519</v>
      </c>
      <c r="V91" s="417" t="s">
        <v>986</v>
      </c>
      <c r="W91" s="416" t="s">
        <v>17</v>
      </c>
      <c r="X91" s="416" t="s">
        <v>18</v>
      </c>
      <c r="Y91" s="418">
        <v>50.7</v>
      </c>
      <c r="Z91" s="416"/>
      <c r="AA91" s="416"/>
      <c r="AB91" s="416"/>
      <c r="AC91" s="416"/>
      <c r="AD91" s="417"/>
      <c r="AE91" s="416"/>
      <c r="AF91" s="416"/>
      <c r="AG91" s="418"/>
      <c r="AH91" s="416"/>
      <c r="AI91" s="416"/>
      <c r="AJ91" s="416"/>
      <c r="AK91" s="416"/>
      <c r="AL91" s="417"/>
      <c r="AM91" s="416"/>
      <c r="AN91" s="416"/>
      <c r="AO91" s="418"/>
      <c r="AP91" s="417"/>
      <c r="AQ91" s="416"/>
      <c r="AR91" s="416"/>
      <c r="AS91" s="418"/>
      <c r="AT91" s="416"/>
      <c r="AU91" s="416"/>
      <c r="AV91" s="416"/>
      <c r="AW91" s="418"/>
      <c r="AX91" s="416"/>
      <c r="AY91" s="416"/>
      <c r="AZ91" s="416"/>
      <c r="BA91" s="419"/>
    </row>
    <row r="92" spans="1:53" s="16" customFormat="1">
      <c r="A92" s="416">
        <v>2009</v>
      </c>
      <c r="B92" s="836"/>
      <c r="C92" s="916" t="s">
        <v>993</v>
      </c>
      <c r="D92" s="916"/>
      <c r="E92" s="416">
        <v>0</v>
      </c>
      <c r="F92" s="416"/>
      <c r="G92" s="425"/>
      <c r="H92" s="416">
        <v>9</v>
      </c>
      <c r="I92" s="416"/>
      <c r="J92" s="427">
        <v>9</v>
      </c>
      <c r="K92" s="423">
        <f t="shared" si="10"/>
        <v>0</v>
      </c>
      <c r="L92" s="423">
        <f t="shared" si="11"/>
        <v>100</v>
      </c>
      <c r="M92" s="423">
        <f t="shared" si="12"/>
        <v>0</v>
      </c>
      <c r="N92" s="426">
        <f t="shared" si="13"/>
        <v>100</v>
      </c>
      <c r="O92" s="422"/>
      <c r="P92" s="423">
        <v>50.72</v>
      </c>
      <c r="Q92" s="423"/>
      <c r="R92" s="424">
        <f t="shared" si="14"/>
        <v>50.72</v>
      </c>
      <c r="S92" s="416">
        <v>1</v>
      </c>
      <c r="T92" s="838"/>
      <c r="U92" s="836"/>
      <c r="V92" s="417" t="s">
        <v>986</v>
      </c>
      <c r="W92" s="416" t="s">
        <v>17</v>
      </c>
      <c r="X92" s="416" t="s">
        <v>18</v>
      </c>
      <c r="Y92" s="418">
        <v>50.7</v>
      </c>
      <c r="Z92" s="416"/>
      <c r="AA92" s="416"/>
      <c r="AB92" s="416"/>
      <c r="AC92" s="416"/>
      <c r="AD92" s="417"/>
      <c r="AE92" s="416"/>
      <c r="AF92" s="416"/>
      <c r="AG92" s="418"/>
      <c r="AH92" s="416"/>
      <c r="AI92" s="416"/>
      <c r="AJ92" s="416"/>
      <c r="AK92" s="416"/>
      <c r="AL92" s="417"/>
      <c r="AM92" s="416"/>
      <c r="AN92" s="416"/>
      <c r="AO92" s="418"/>
      <c r="AP92" s="417"/>
      <c r="AQ92" s="416"/>
      <c r="AR92" s="416"/>
      <c r="AS92" s="418"/>
      <c r="AT92" s="416"/>
      <c r="AU92" s="416"/>
      <c r="AV92" s="416"/>
      <c r="AW92" s="418"/>
      <c r="AX92" s="416"/>
      <c r="AY92" s="416"/>
      <c r="AZ92" s="416"/>
      <c r="BA92" s="419"/>
    </row>
    <row r="93" spans="1:53" s="16" customFormat="1">
      <c r="A93" s="416">
        <v>2009</v>
      </c>
      <c r="B93" s="836"/>
      <c r="C93" s="916" t="s">
        <v>993</v>
      </c>
      <c r="D93" s="916"/>
      <c r="E93" s="416">
        <v>365</v>
      </c>
      <c r="F93" s="416"/>
      <c r="G93" s="425"/>
      <c r="H93" s="416">
        <v>9</v>
      </c>
      <c r="I93" s="416"/>
      <c r="J93" s="427">
        <v>9</v>
      </c>
      <c r="K93" s="423">
        <f t="shared" si="10"/>
        <v>0</v>
      </c>
      <c r="L93" s="423">
        <f t="shared" si="11"/>
        <v>100</v>
      </c>
      <c r="M93" s="423">
        <f t="shared" si="12"/>
        <v>0</v>
      </c>
      <c r="N93" s="426">
        <f t="shared" si="13"/>
        <v>100</v>
      </c>
      <c r="O93" s="422"/>
      <c r="P93" s="423">
        <v>50.72</v>
      </c>
      <c r="Q93" s="423"/>
      <c r="R93" s="424">
        <f t="shared" si="14"/>
        <v>50.72</v>
      </c>
      <c r="S93" s="416">
        <v>1</v>
      </c>
      <c r="T93" s="838"/>
      <c r="U93" s="836"/>
      <c r="V93" s="417" t="s">
        <v>986</v>
      </c>
      <c r="W93" s="416" t="s">
        <v>17</v>
      </c>
      <c r="X93" s="416" t="s">
        <v>18</v>
      </c>
      <c r="Y93" s="418">
        <v>50.7</v>
      </c>
      <c r="Z93" s="416"/>
      <c r="AA93" s="416"/>
      <c r="AB93" s="416"/>
      <c r="AC93" s="416"/>
      <c r="AD93" s="417"/>
      <c r="AE93" s="416"/>
      <c r="AF93" s="416"/>
      <c r="AG93" s="418"/>
      <c r="AH93" s="416"/>
      <c r="AI93" s="416"/>
      <c r="AJ93" s="416"/>
      <c r="AK93" s="416"/>
      <c r="AL93" s="417"/>
      <c r="AM93" s="416"/>
      <c r="AN93" s="416"/>
      <c r="AO93" s="418"/>
      <c r="AP93" s="417"/>
      <c r="AQ93" s="416"/>
      <c r="AR93" s="416"/>
      <c r="AS93" s="418"/>
      <c r="AT93" s="416"/>
      <c r="AU93" s="416"/>
      <c r="AV93" s="416"/>
      <c r="AW93" s="418"/>
      <c r="AX93" s="416"/>
      <c r="AY93" s="416"/>
      <c r="AZ93" s="416"/>
      <c r="BA93" s="419"/>
    </row>
    <row r="94" spans="1:53" s="16" customFormat="1">
      <c r="A94" s="416">
        <v>2010</v>
      </c>
      <c r="B94" s="836"/>
      <c r="C94" s="916" t="s">
        <v>993</v>
      </c>
      <c r="D94" s="916"/>
      <c r="E94" s="416">
        <v>0</v>
      </c>
      <c r="F94" s="416"/>
      <c r="G94" s="425"/>
      <c r="H94" s="416">
        <v>9</v>
      </c>
      <c r="I94" s="416"/>
      <c r="J94" s="427">
        <v>9</v>
      </c>
      <c r="K94" s="423">
        <f t="shared" si="10"/>
        <v>0</v>
      </c>
      <c r="L94" s="423">
        <f t="shared" si="11"/>
        <v>100</v>
      </c>
      <c r="M94" s="423">
        <f t="shared" si="12"/>
        <v>0</v>
      </c>
      <c r="N94" s="426">
        <f t="shared" si="13"/>
        <v>100</v>
      </c>
      <c r="O94" s="422"/>
      <c r="P94" s="423">
        <v>50.72</v>
      </c>
      <c r="Q94" s="423"/>
      <c r="R94" s="424">
        <f t="shared" si="14"/>
        <v>50.72</v>
      </c>
      <c r="S94" s="416">
        <v>1</v>
      </c>
      <c r="T94" s="838"/>
      <c r="U94" s="836"/>
      <c r="V94" s="417" t="s">
        <v>986</v>
      </c>
      <c r="W94" s="416" t="s">
        <v>17</v>
      </c>
      <c r="X94" s="416" t="s">
        <v>18</v>
      </c>
      <c r="Y94" s="418">
        <v>50.7</v>
      </c>
      <c r="Z94" s="416"/>
      <c r="AA94" s="416"/>
      <c r="AB94" s="416"/>
      <c r="AC94" s="416"/>
      <c r="AD94" s="417"/>
      <c r="AE94" s="416"/>
      <c r="AF94" s="416"/>
      <c r="AG94" s="418"/>
      <c r="AH94" s="416"/>
      <c r="AI94" s="416"/>
      <c r="AJ94" s="416"/>
      <c r="AK94" s="416"/>
      <c r="AL94" s="417"/>
      <c r="AM94" s="416"/>
      <c r="AN94" s="416"/>
      <c r="AO94" s="418"/>
      <c r="AP94" s="417"/>
      <c r="AQ94" s="416"/>
      <c r="AR94" s="416"/>
      <c r="AS94" s="418"/>
      <c r="AT94" s="416"/>
      <c r="AU94" s="416"/>
      <c r="AV94" s="416"/>
      <c r="AW94" s="418"/>
      <c r="AX94" s="416"/>
      <c r="AY94" s="416"/>
      <c r="AZ94" s="416"/>
      <c r="BA94" s="419"/>
    </row>
    <row r="95" spans="1:53" s="16" customFormat="1">
      <c r="A95" s="416">
        <v>2010</v>
      </c>
      <c r="B95" s="836"/>
      <c r="C95" s="916" t="s">
        <v>993</v>
      </c>
      <c r="D95" s="916"/>
      <c r="E95" s="416">
        <v>365</v>
      </c>
      <c r="F95" s="416"/>
      <c r="G95" s="425"/>
      <c r="H95" s="416">
        <v>9</v>
      </c>
      <c r="I95" s="416"/>
      <c r="J95" s="427">
        <v>9</v>
      </c>
      <c r="K95" s="423">
        <f t="shared" si="10"/>
        <v>0</v>
      </c>
      <c r="L95" s="423">
        <f t="shared" si="11"/>
        <v>100</v>
      </c>
      <c r="M95" s="423">
        <f t="shared" si="12"/>
        <v>0</v>
      </c>
      <c r="N95" s="426">
        <f t="shared" si="13"/>
        <v>100</v>
      </c>
      <c r="O95" s="422"/>
      <c r="P95" s="423">
        <v>50.72</v>
      </c>
      <c r="Q95" s="423"/>
      <c r="R95" s="424">
        <f t="shared" si="14"/>
        <v>50.72</v>
      </c>
      <c r="S95" s="416">
        <v>1</v>
      </c>
      <c r="T95" s="838"/>
      <c r="U95" s="836"/>
      <c r="V95" s="417" t="s">
        <v>986</v>
      </c>
      <c r="W95" s="416" t="s">
        <v>17</v>
      </c>
      <c r="X95" s="416" t="s">
        <v>18</v>
      </c>
      <c r="Y95" s="418">
        <v>50.7</v>
      </c>
      <c r="Z95" s="416"/>
      <c r="AA95" s="416"/>
      <c r="AB95" s="416"/>
      <c r="AC95" s="416"/>
      <c r="AD95" s="417"/>
      <c r="AE95" s="416"/>
      <c r="AF95" s="416"/>
      <c r="AG95" s="418"/>
      <c r="AH95" s="416"/>
      <c r="AI95" s="416"/>
      <c r="AJ95" s="416"/>
      <c r="AK95" s="416"/>
      <c r="AL95" s="417"/>
      <c r="AM95" s="416"/>
      <c r="AN95" s="416"/>
      <c r="AO95" s="418"/>
      <c r="AP95" s="417"/>
      <c r="AQ95" s="416"/>
      <c r="AR95" s="416"/>
      <c r="AS95" s="418"/>
      <c r="AT95" s="416"/>
      <c r="AU95" s="416"/>
      <c r="AV95" s="416"/>
      <c r="AW95" s="418"/>
      <c r="AX95" s="416"/>
      <c r="AY95" s="416"/>
      <c r="AZ95" s="416"/>
      <c r="BA95" s="419"/>
    </row>
    <row r="96" spans="1:53" s="16" customFormat="1">
      <c r="A96" s="416">
        <v>2011</v>
      </c>
      <c r="B96" s="836"/>
      <c r="C96" s="916" t="s">
        <v>993</v>
      </c>
      <c r="D96" s="916"/>
      <c r="E96" s="416">
        <v>0</v>
      </c>
      <c r="F96" s="416"/>
      <c r="G96" s="425"/>
      <c r="H96" s="416">
        <v>9</v>
      </c>
      <c r="I96" s="416"/>
      <c r="J96" s="427">
        <v>9</v>
      </c>
      <c r="K96" s="423">
        <f t="shared" si="10"/>
        <v>0</v>
      </c>
      <c r="L96" s="423">
        <f t="shared" si="11"/>
        <v>100</v>
      </c>
      <c r="M96" s="423">
        <f t="shared" si="12"/>
        <v>0</v>
      </c>
      <c r="N96" s="426">
        <f t="shared" si="13"/>
        <v>100</v>
      </c>
      <c r="O96" s="422"/>
      <c r="P96" s="423">
        <v>50.72</v>
      </c>
      <c r="Q96" s="423"/>
      <c r="R96" s="424">
        <f t="shared" si="14"/>
        <v>50.72</v>
      </c>
      <c r="S96" s="416">
        <v>1</v>
      </c>
      <c r="T96" s="838"/>
      <c r="U96" s="836"/>
      <c r="V96" s="417" t="s">
        <v>986</v>
      </c>
      <c r="W96" s="416" t="s">
        <v>17</v>
      </c>
      <c r="X96" s="416" t="s">
        <v>18</v>
      </c>
      <c r="Y96" s="418">
        <v>50.7</v>
      </c>
      <c r="Z96" s="416"/>
      <c r="AA96" s="416"/>
      <c r="AB96" s="416"/>
      <c r="AC96" s="416"/>
      <c r="AD96" s="417"/>
      <c r="AE96" s="416"/>
      <c r="AF96" s="416"/>
      <c r="AG96" s="418"/>
      <c r="AH96" s="416"/>
      <c r="AI96" s="416"/>
      <c r="AJ96" s="416"/>
      <c r="AK96" s="416"/>
      <c r="AL96" s="417"/>
      <c r="AM96" s="416"/>
      <c r="AN96" s="416"/>
      <c r="AO96" s="418"/>
      <c r="AP96" s="417"/>
      <c r="AQ96" s="416"/>
      <c r="AR96" s="416"/>
      <c r="AS96" s="418"/>
      <c r="AT96" s="416"/>
      <c r="AU96" s="416"/>
      <c r="AV96" s="416"/>
      <c r="AW96" s="418"/>
      <c r="AX96" s="416"/>
      <c r="AY96" s="416"/>
      <c r="AZ96" s="416"/>
      <c r="BA96" s="419"/>
    </row>
    <row r="97" spans="1:53" s="16" customFormat="1">
      <c r="A97" s="416">
        <v>2011</v>
      </c>
      <c r="B97" s="836"/>
      <c r="C97" s="916" t="s">
        <v>993</v>
      </c>
      <c r="D97" s="916"/>
      <c r="E97" s="416">
        <v>365</v>
      </c>
      <c r="F97" s="416"/>
      <c r="G97" s="425"/>
      <c r="H97" s="416">
        <v>9</v>
      </c>
      <c r="I97" s="416"/>
      <c r="J97" s="427">
        <v>9</v>
      </c>
      <c r="K97" s="423">
        <f t="shared" si="10"/>
        <v>0</v>
      </c>
      <c r="L97" s="423">
        <f t="shared" si="11"/>
        <v>100</v>
      </c>
      <c r="M97" s="423">
        <f t="shared" si="12"/>
        <v>0</v>
      </c>
      <c r="N97" s="426">
        <f t="shared" si="13"/>
        <v>100</v>
      </c>
      <c r="O97" s="422"/>
      <c r="P97" s="423">
        <v>50.72</v>
      </c>
      <c r="Q97" s="423"/>
      <c r="R97" s="424">
        <f t="shared" si="14"/>
        <v>50.72</v>
      </c>
      <c r="S97" s="416">
        <v>1</v>
      </c>
      <c r="T97" s="838"/>
      <c r="U97" s="836"/>
      <c r="V97" s="417" t="s">
        <v>986</v>
      </c>
      <c r="W97" s="416" t="s">
        <v>17</v>
      </c>
      <c r="X97" s="416" t="s">
        <v>18</v>
      </c>
      <c r="Y97" s="418">
        <v>50.7</v>
      </c>
      <c r="Z97" s="416"/>
      <c r="AA97" s="416"/>
      <c r="AB97" s="416"/>
      <c r="AC97" s="416"/>
      <c r="AD97" s="417"/>
      <c r="AE97" s="416"/>
      <c r="AF97" s="416"/>
      <c r="AG97" s="418"/>
      <c r="AH97" s="416"/>
      <c r="AI97" s="416"/>
      <c r="AJ97" s="416"/>
      <c r="AK97" s="416"/>
      <c r="AL97" s="417"/>
      <c r="AM97" s="416"/>
      <c r="AN97" s="416"/>
      <c r="AO97" s="418"/>
      <c r="AP97" s="417"/>
      <c r="AQ97" s="416"/>
      <c r="AR97" s="416"/>
      <c r="AS97" s="418"/>
      <c r="AT97" s="416"/>
      <c r="AU97" s="416"/>
      <c r="AV97" s="416"/>
      <c r="AW97" s="418"/>
      <c r="AX97" s="416"/>
      <c r="AY97" s="416"/>
      <c r="AZ97" s="416"/>
      <c r="BA97" s="419"/>
    </row>
    <row r="98" spans="1:53" s="16" customFormat="1">
      <c r="A98" s="416">
        <v>2012</v>
      </c>
      <c r="B98" s="858"/>
      <c r="C98" s="916" t="s">
        <v>993</v>
      </c>
      <c r="D98" s="916"/>
      <c r="E98" s="416">
        <v>5</v>
      </c>
      <c r="F98" s="421"/>
      <c r="G98" s="425"/>
      <c r="H98" s="416">
        <v>9</v>
      </c>
      <c r="I98" s="416"/>
      <c r="J98" s="427">
        <v>9</v>
      </c>
      <c r="K98" s="423">
        <f t="shared" si="10"/>
        <v>0</v>
      </c>
      <c r="L98" s="423">
        <f t="shared" si="11"/>
        <v>100</v>
      </c>
      <c r="M98" s="423">
        <f t="shared" si="12"/>
        <v>0</v>
      </c>
      <c r="N98" s="426">
        <f t="shared" si="13"/>
        <v>100</v>
      </c>
      <c r="O98" s="422"/>
      <c r="P98" s="423">
        <v>50.72</v>
      </c>
      <c r="Q98" s="423"/>
      <c r="R98" s="424">
        <f t="shared" si="14"/>
        <v>50.72</v>
      </c>
      <c r="S98" s="416">
        <v>1</v>
      </c>
      <c r="T98" s="838"/>
      <c r="U98" s="836"/>
      <c r="V98" s="417" t="s">
        <v>986</v>
      </c>
      <c r="W98" s="416" t="s">
        <v>17</v>
      </c>
      <c r="X98" s="416" t="s">
        <v>18</v>
      </c>
      <c r="Y98" s="418">
        <v>50.7</v>
      </c>
      <c r="Z98" s="416"/>
      <c r="AA98" s="416"/>
      <c r="AB98" s="416"/>
      <c r="AC98" s="416"/>
      <c r="AD98" s="417"/>
      <c r="AE98" s="416"/>
      <c r="AF98" s="416"/>
      <c r="AG98" s="418"/>
      <c r="AH98" s="416"/>
      <c r="AI98" s="416"/>
      <c r="AJ98" s="416"/>
      <c r="AK98" s="416"/>
      <c r="AL98" s="417"/>
      <c r="AM98" s="416"/>
      <c r="AN98" s="416"/>
      <c r="AO98" s="418"/>
      <c r="AP98" s="417"/>
      <c r="AQ98" s="416"/>
      <c r="AR98" s="416"/>
      <c r="AS98" s="418"/>
      <c r="AT98" s="416"/>
      <c r="AU98" s="416"/>
      <c r="AV98" s="416"/>
      <c r="AW98" s="418"/>
      <c r="AX98" s="416"/>
      <c r="AY98" s="416"/>
      <c r="AZ98" s="416"/>
      <c r="BA98" s="419"/>
    </row>
    <row r="99" spans="1:53" s="16" customFormat="1">
      <c r="A99" s="416">
        <v>2012</v>
      </c>
      <c r="B99" s="858">
        <v>40914</v>
      </c>
      <c r="C99" s="916" t="s">
        <v>993</v>
      </c>
      <c r="D99" s="916"/>
      <c r="E99" s="416">
        <v>361</v>
      </c>
      <c r="F99" s="421">
        <v>0</v>
      </c>
      <c r="G99" s="425"/>
      <c r="H99" s="416">
        <v>11</v>
      </c>
      <c r="I99" s="416"/>
      <c r="J99" s="427">
        <v>11</v>
      </c>
      <c r="K99" s="423">
        <f t="shared" si="10"/>
        <v>0</v>
      </c>
      <c r="L99" s="423">
        <f t="shared" si="11"/>
        <v>100</v>
      </c>
      <c r="M99" s="423">
        <f t="shared" si="12"/>
        <v>0</v>
      </c>
      <c r="N99" s="426">
        <f t="shared" si="13"/>
        <v>100</v>
      </c>
      <c r="O99" s="422"/>
      <c r="P99" s="423">
        <v>50.72</v>
      </c>
      <c r="Q99" s="423"/>
      <c r="R99" s="424">
        <f t="shared" si="14"/>
        <v>50.72</v>
      </c>
      <c r="S99" s="416">
        <v>1</v>
      </c>
      <c r="T99" s="838"/>
      <c r="U99" s="836"/>
      <c r="V99" s="417" t="s">
        <v>986</v>
      </c>
      <c r="W99" s="416" t="s">
        <v>17</v>
      </c>
      <c r="X99" s="416" t="s">
        <v>18</v>
      </c>
      <c r="Y99" s="418">
        <v>50.7</v>
      </c>
      <c r="Z99" s="416"/>
      <c r="AA99" s="416"/>
      <c r="AB99" s="416"/>
      <c r="AC99" s="416"/>
      <c r="AD99" s="417"/>
      <c r="AE99" s="416"/>
      <c r="AF99" s="416"/>
      <c r="AG99" s="418"/>
      <c r="AH99" s="416"/>
      <c r="AI99" s="416"/>
      <c r="AJ99" s="416"/>
      <c r="AK99" s="416"/>
      <c r="AL99" s="417"/>
      <c r="AM99" s="416"/>
      <c r="AN99" s="416"/>
      <c r="AO99" s="418"/>
      <c r="AP99" s="417"/>
      <c r="AQ99" s="416"/>
      <c r="AR99" s="416"/>
      <c r="AS99" s="418"/>
      <c r="AT99" s="416"/>
      <c r="AU99" s="416"/>
      <c r="AV99" s="416"/>
      <c r="AW99" s="418"/>
      <c r="AX99" s="416"/>
      <c r="AY99" s="416"/>
      <c r="AZ99" s="416"/>
      <c r="BA99" s="419"/>
    </row>
    <row r="100" spans="1:53" s="16" customFormat="1">
      <c r="A100" s="416">
        <v>2013</v>
      </c>
      <c r="B100" s="836"/>
      <c r="C100" s="916" t="s">
        <v>993</v>
      </c>
      <c r="D100" s="916"/>
      <c r="E100" s="416">
        <v>71</v>
      </c>
      <c r="F100" s="416"/>
      <c r="G100" s="425"/>
      <c r="H100" s="416">
        <v>11</v>
      </c>
      <c r="I100" s="416"/>
      <c r="J100" s="427">
        <v>11</v>
      </c>
      <c r="K100" s="423">
        <f t="shared" si="10"/>
        <v>0</v>
      </c>
      <c r="L100" s="423">
        <f t="shared" si="11"/>
        <v>100</v>
      </c>
      <c r="M100" s="423">
        <f t="shared" si="12"/>
        <v>0</v>
      </c>
      <c r="N100" s="426">
        <f t="shared" si="13"/>
        <v>100</v>
      </c>
      <c r="O100" s="422"/>
      <c r="P100" s="423">
        <v>50.72</v>
      </c>
      <c r="Q100" s="423"/>
      <c r="R100" s="424">
        <f t="shared" si="14"/>
        <v>50.72</v>
      </c>
      <c r="S100" s="416">
        <v>1</v>
      </c>
      <c r="T100" s="838"/>
      <c r="U100" s="836"/>
      <c r="V100" s="417" t="s">
        <v>986</v>
      </c>
      <c r="W100" s="416" t="s">
        <v>17</v>
      </c>
      <c r="X100" s="416" t="s">
        <v>18</v>
      </c>
      <c r="Y100" s="418">
        <v>50.7</v>
      </c>
      <c r="Z100" s="416"/>
      <c r="AA100" s="416"/>
      <c r="AB100" s="416"/>
      <c r="AC100" s="416"/>
      <c r="AD100" s="417"/>
      <c r="AE100" s="416"/>
      <c r="AF100" s="416"/>
      <c r="AG100" s="418"/>
      <c r="AH100" s="416"/>
      <c r="AI100" s="416"/>
      <c r="AJ100" s="416"/>
      <c r="AK100" s="416"/>
      <c r="AL100" s="417"/>
      <c r="AM100" s="416"/>
      <c r="AN100" s="416"/>
      <c r="AO100" s="418"/>
      <c r="AP100" s="417"/>
      <c r="AQ100" s="416"/>
      <c r="AR100" s="416"/>
      <c r="AS100" s="418"/>
      <c r="AT100" s="416"/>
      <c r="AU100" s="416"/>
      <c r="AV100" s="416"/>
      <c r="AW100" s="418"/>
      <c r="AX100" s="416"/>
      <c r="AY100" s="416"/>
      <c r="AZ100" s="416"/>
      <c r="BA100" s="419"/>
    </row>
    <row r="101" spans="1:53" s="16" customFormat="1">
      <c r="A101" s="404">
        <v>2013</v>
      </c>
      <c r="B101" s="852">
        <v>41346</v>
      </c>
      <c r="C101" s="917" t="s">
        <v>1259</v>
      </c>
      <c r="D101" s="917"/>
      <c r="E101" s="404">
        <f>365-E100</f>
        <v>294</v>
      </c>
      <c r="F101" s="404">
        <v>1</v>
      </c>
      <c r="G101" s="411"/>
      <c r="H101" s="404"/>
      <c r="I101" s="404">
        <v>15</v>
      </c>
      <c r="J101" s="413">
        <v>15</v>
      </c>
      <c r="K101" s="409">
        <f t="shared" si="10"/>
        <v>0</v>
      </c>
      <c r="L101" s="409">
        <f t="shared" si="11"/>
        <v>0</v>
      </c>
      <c r="M101" s="409">
        <f t="shared" si="12"/>
        <v>100</v>
      </c>
      <c r="N101" s="412">
        <f t="shared" si="13"/>
        <v>100</v>
      </c>
      <c r="O101" s="408"/>
      <c r="P101" s="409"/>
      <c r="Q101" s="409">
        <v>56.5</v>
      </c>
      <c r="R101" s="410">
        <f t="shared" si="14"/>
        <v>56.5</v>
      </c>
      <c r="S101" s="404">
        <v>1</v>
      </c>
      <c r="T101" s="839">
        <v>41341</v>
      </c>
      <c r="U101" s="852">
        <v>41346</v>
      </c>
      <c r="V101" s="405" t="s">
        <v>989</v>
      </c>
      <c r="W101" s="404" t="s">
        <v>20</v>
      </c>
      <c r="X101" s="404" t="s">
        <v>12</v>
      </c>
      <c r="Y101" s="406">
        <v>56.5</v>
      </c>
      <c r="Z101" s="404"/>
      <c r="AA101" s="404"/>
      <c r="AB101" s="404"/>
      <c r="AC101" s="404"/>
      <c r="AD101" s="405"/>
      <c r="AE101" s="404"/>
      <c r="AF101" s="404"/>
      <c r="AG101" s="406"/>
      <c r="AH101" s="404"/>
      <c r="AI101" s="404"/>
      <c r="AJ101" s="404"/>
      <c r="AK101" s="404"/>
      <c r="AL101" s="405"/>
      <c r="AM101" s="404"/>
      <c r="AN101" s="404"/>
      <c r="AO101" s="406"/>
      <c r="AP101" s="405"/>
      <c r="AQ101" s="404"/>
      <c r="AR101" s="404"/>
      <c r="AS101" s="406"/>
      <c r="AT101" s="404"/>
      <c r="AU101" s="404"/>
      <c r="AV101" s="404"/>
      <c r="AW101" s="406"/>
      <c r="AX101" s="404"/>
      <c r="AY101" s="404"/>
      <c r="AZ101" s="404"/>
      <c r="BA101" s="407"/>
    </row>
    <row r="102" spans="1:53" s="16" customFormat="1">
      <c r="A102" s="544">
        <v>2014</v>
      </c>
      <c r="B102" s="852"/>
      <c r="C102" s="917" t="s">
        <v>1259</v>
      </c>
      <c r="D102" s="917"/>
      <c r="E102" s="544">
        <v>0</v>
      </c>
      <c r="F102" s="544"/>
      <c r="G102" s="498"/>
      <c r="H102" s="544"/>
      <c r="I102" s="544">
        <v>15</v>
      </c>
      <c r="J102" s="500">
        <v>15</v>
      </c>
      <c r="K102" s="496">
        <f>G102/J102*100</f>
        <v>0</v>
      </c>
      <c r="L102" s="496">
        <f>H102/J102*100</f>
        <v>0</v>
      </c>
      <c r="M102" s="496">
        <f>I102/J102*100</f>
        <v>100</v>
      </c>
      <c r="N102" s="499">
        <f>K102+L102+M102</f>
        <v>100</v>
      </c>
      <c r="O102" s="495"/>
      <c r="P102" s="496"/>
      <c r="Q102" s="496">
        <v>56.5</v>
      </c>
      <c r="R102" s="497">
        <f t="shared" si="14"/>
        <v>56.5</v>
      </c>
      <c r="S102" s="544">
        <v>1</v>
      </c>
      <c r="T102" s="839"/>
      <c r="U102" s="852"/>
      <c r="V102" s="492" t="s">
        <v>989</v>
      </c>
      <c r="W102" s="544" t="s">
        <v>20</v>
      </c>
      <c r="X102" s="544" t="s">
        <v>12</v>
      </c>
      <c r="Y102" s="493">
        <v>56.5</v>
      </c>
      <c r="Z102" s="544"/>
      <c r="AA102" s="544"/>
      <c r="AB102" s="544"/>
      <c r="AC102" s="544"/>
      <c r="AD102" s="492"/>
      <c r="AE102" s="544"/>
      <c r="AF102" s="544"/>
      <c r="AG102" s="493"/>
      <c r="AH102" s="544"/>
      <c r="AI102" s="544"/>
      <c r="AJ102" s="544"/>
      <c r="AK102" s="544"/>
      <c r="AL102" s="492"/>
      <c r="AM102" s="544"/>
      <c r="AN102" s="544"/>
      <c r="AO102" s="493"/>
      <c r="AP102" s="492"/>
      <c r="AQ102" s="544"/>
      <c r="AR102" s="544"/>
      <c r="AS102" s="493"/>
      <c r="AT102" s="544"/>
      <c r="AU102" s="544"/>
      <c r="AV102" s="544"/>
      <c r="AW102" s="493"/>
      <c r="AX102" s="544"/>
      <c r="AY102" s="544"/>
      <c r="AZ102" s="544"/>
      <c r="BA102" s="494"/>
    </row>
    <row r="103" spans="1:53" s="16" customFormat="1">
      <c r="A103" s="544">
        <v>2014</v>
      </c>
      <c r="B103" s="860"/>
      <c r="C103" s="917" t="s">
        <v>1259</v>
      </c>
      <c r="D103" s="917"/>
      <c r="E103" s="544">
        <v>365</v>
      </c>
      <c r="F103" s="502"/>
      <c r="G103" s="498"/>
      <c r="H103" s="544"/>
      <c r="I103" s="544">
        <v>15</v>
      </c>
      <c r="J103" s="500">
        <v>15</v>
      </c>
      <c r="K103" s="496">
        <f>G103/J103*100</f>
        <v>0</v>
      </c>
      <c r="L103" s="496">
        <f>H103/J103*100</f>
        <v>0</v>
      </c>
      <c r="M103" s="496">
        <f>I103/J103*100</f>
        <v>100</v>
      </c>
      <c r="N103" s="499">
        <f>K103+L103+M103</f>
        <v>100</v>
      </c>
      <c r="O103" s="495"/>
      <c r="P103" s="496"/>
      <c r="Q103" s="496">
        <v>56.5</v>
      </c>
      <c r="R103" s="497">
        <f t="shared" si="14"/>
        <v>56.5</v>
      </c>
      <c r="S103" s="544">
        <v>1</v>
      </c>
      <c r="T103" s="839"/>
      <c r="U103" s="852"/>
      <c r="V103" s="492" t="s">
        <v>989</v>
      </c>
      <c r="W103" s="544" t="s">
        <v>20</v>
      </c>
      <c r="X103" s="544" t="s">
        <v>12</v>
      </c>
      <c r="Y103" s="493">
        <v>56.5</v>
      </c>
      <c r="Z103" s="544"/>
      <c r="AA103" s="544"/>
      <c r="AB103" s="544"/>
      <c r="AC103" s="544"/>
      <c r="AD103" s="492"/>
      <c r="AE103" s="544"/>
      <c r="AF103" s="544"/>
      <c r="AG103" s="493"/>
      <c r="AH103" s="544"/>
      <c r="AI103" s="544"/>
      <c r="AJ103" s="544"/>
      <c r="AK103" s="544"/>
      <c r="AL103" s="492"/>
      <c r="AM103" s="544"/>
      <c r="AN103" s="544"/>
      <c r="AO103" s="493"/>
      <c r="AP103" s="492"/>
      <c r="AQ103" s="544"/>
      <c r="AR103" s="544"/>
      <c r="AS103" s="493"/>
      <c r="AT103" s="544"/>
      <c r="AU103" s="544"/>
      <c r="AV103" s="544"/>
      <c r="AW103" s="493"/>
      <c r="AX103" s="544"/>
      <c r="AY103" s="544"/>
      <c r="AZ103" s="544"/>
      <c r="BA103" s="494"/>
    </row>
    <row r="104" spans="1:53" s="16" customFormat="1">
      <c r="A104" s="607">
        <v>2015</v>
      </c>
      <c r="B104" s="860"/>
      <c r="C104" s="917" t="s">
        <v>1259</v>
      </c>
      <c r="D104" s="917"/>
      <c r="E104" s="607">
        <v>0</v>
      </c>
      <c r="F104" s="502"/>
      <c r="G104" s="498"/>
      <c r="H104" s="607"/>
      <c r="I104" s="607">
        <v>15</v>
      </c>
      <c r="J104" s="500">
        <v>15</v>
      </c>
      <c r="K104" s="496">
        <f t="shared" ref="K104:K107" si="15">G104/J104*100</f>
        <v>0</v>
      </c>
      <c r="L104" s="496">
        <f t="shared" ref="L104:L107" si="16">H104/J104*100</f>
        <v>0</v>
      </c>
      <c r="M104" s="496">
        <f>I104/J104*100</f>
        <v>100</v>
      </c>
      <c r="N104" s="499">
        <f t="shared" ref="N104:N107" si="17">K104+L104+M104</f>
        <v>100</v>
      </c>
      <c r="O104" s="495"/>
      <c r="P104" s="496"/>
      <c r="Q104" s="496">
        <v>56.5</v>
      </c>
      <c r="R104" s="497">
        <f t="shared" ref="R104:R105" si="18">O104+P104+Q104</f>
        <v>56.5</v>
      </c>
      <c r="S104" s="607">
        <v>1</v>
      </c>
      <c r="T104" s="839"/>
      <c r="U104" s="852"/>
      <c r="V104" s="492" t="s">
        <v>989</v>
      </c>
      <c r="W104" s="607" t="s">
        <v>20</v>
      </c>
      <c r="X104" s="607" t="s">
        <v>12</v>
      </c>
      <c r="Y104" s="493">
        <v>56.5</v>
      </c>
      <c r="Z104" s="607"/>
      <c r="AA104" s="607"/>
      <c r="AB104" s="607"/>
      <c r="AC104" s="607"/>
      <c r="AD104" s="492"/>
      <c r="AE104" s="607"/>
      <c r="AF104" s="607"/>
      <c r="AG104" s="493"/>
      <c r="AH104" s="607"/>
      <c r="AI104" s="607"/>
      <c r="AJ104" s="607"/>
      <c r="AK104" s="607"/>
      <c r="AL104" s="492"/>
      <c r="AM104" s="607"/>
      <c r="AN104" s="607"/>
      <c r="AO104" s="493"/>
      <c r="AP104" s="492"/>
      <c r="AQ104" s="607"/>
      <c r="AR104" s="607"/>
      <c r="AS104" s="493"/>
      <c r="AT104" s="607"/>
      <c r="AU104" s="607"/>
      <c r="AV104" s="607"/>
      <c r="AW104" s="493"/>
      <c r="AX104" s="607"/>
      <c r="AY104" s="607"/>
      <c r="AZ104" s="607"/>
      <c r="BA104" s="494"/>
    </row>
    <row r="105" spans="1:53" s="16" customFormat="1">
      <c r="A105" s="607">
        <v>2015</v>
      </c>
      <c r="B105" s="860"/>
      <c r="C105" s="917" t="s">
        <v>1259</v>
      </c>
      <c r="D105" s="917"/>
      <c r="E105" s="607">
        <v>365</v>
      </c>
      <c r="F105" s="502"/>
      <c r="G105" s="498"/>
      <c r="H105" s="607"/>
      <c r="I105" s="607">
        <v>15</v>
      </c>
      <c r="J105" s="500">
        <v>15</v>
      </c>
      <c r="K105" s="496">
        <f t="shared" si="15"/>
        <v>0</v>
      </c>
      <c r="L105" s="496">
        <f t="shared" si="16"/>
        <v>0</v>
      </c>
      <c r="M105" s="496">
        <f t="shared" ref="M105:M107" si="19">I105/J105*100</f>
        <v>100</v>
      </c>
      <c r="N105" s="499">
        <f t="shared" si="17"/>
        <v>100</v>
      </c>
      <c r="O105" s="495"/>
      <c r="P105" s="496"/>
      <c r="Q105" s="496">
        <v>56.5</v>
      </c>
      <c r="R105" s="497">
        <f t="shared" si="18"/>
        <v>56.5</v>
      </c>
      <c r="S105" s="607">
        <v>1</v>
      </c>
      <c r="T105" s="839"/>
      <c r="U105" s="852"/>
      <c r="V105" s="492" t="s">
        <v>989</v>
      </c>
      <c r="W105" s="607" t="s">
        <v>20</v>
      </c>
      <c r="X105" s="607" t="s">
        <v>12</v>
      </c>
      <c r="Y105" s="493">
        <v>56.5</v>
      </c>
      <c r="Z105" s="607"/>
      <c r="AA105" s="607"/>
      <c r="AB105" s="607"/>
      <c r="AC105" s="607"/>
      <c r="AD105" s="492"/>
      <c r="AE105" s="607"/>
      <c r="AF105" s="607"/>
      <c r="AG105" s="493"/>
      <c r="AH105" s="607"/>
      <c r="AI105" s="607"/>
      <c r="AJ105" s="607"/>
      <c r="AK105" s="607"/>
      <c r="AL105" s="492"/>
      <c r="AM105" s="607"/>
      <c r="AN105" s="607"/>
      <c r="AO105" s="493"/>
      <c r="AP105" s="492"/>
      <c r="AQ105" s="607"/>
      <c r="AR105" s="607"/>
      <c r="AS105" s="493"/>
      <c r="AT105" s="607"/>
      <c r="AU105" s="607"/>
      <c r="AV105" s="607"/>
      <c r="AW105" s="493"/>
      <c r="AX105" s="607"/>
      <c r="AY105" s="607"/>
      <c r="AZ105" s="607"/>
      <c r="BA105" s="494"/>
    </row>
    <row r="106" spans="1:53" s="16" customFormat="1">
      <c r="A106" s="686">
        <v>2016</v>
      </c>
      <c r="B106" s="860"/>
      <c r="C106" s="917" t="s">
        <v>1259</v>
      </c>
      <c r="D106" s="917"/>
      <c r="E106" s="686">
        <v>118</v>
      </c>
      <c r="F106" s="502"/>
      <c r="G106" s="498"/>
      <c r="H106" s="686"/>
      <c r="I106" s="686">
        <v>15</v>
      </c>
      <c r="J106" s="500">
        <v>15</v>
      </c>
      <c r="K106" s="496">
        <f t="shared" si="15"/>
        <v>0</v>
      </c>
      <c r="L106" s="496">
        <f t="shared" si="16"/>
        <v>0</v>
      </c>
      <c r="M106" s="496">
        <f t="shared" si="19"/>
        <v>100</v>
      </c>
      <c r="N106" s="499">
        <f t="shared" si="17"/>
        <v>100</v>
      </c>
      <c r="O106" s="495"/>
      <c r="P106" s="496"/>
      <c r="Q106" s="496">
        <v>56.5</v>
      </c>
      <c r="R106" s="497">
        <f t="shared" ref="R106:R107" si="20">O106+P106+Q106</f>
        <v>56.5</v>
      </c>
      <c r="S106" s="686">
        <v>1</v>
      </c>
      <c r="T106" s="839"/>
      <c r="U106" s="852"/>
      <c r="V106" s="492" t="s">
        <v>989</v>
      </c>
      <c r="W106" s="686" t="s">
        <v>20</v>
      </c>
      <c r="X106" s="686" t="s">
        <v>12</v>
      </c>
      <c r="Y106" s="493">
        <v>56.5</v>
      </c>
      <c r="Z106" s="686"/>
      <c r="AA106" s="686"/>
      <c r="AB106" s="686"/>
      <c r="AC106" s="686"/>
      <c r="AD106" s="492"/>
      <c r="AE106" s="686"/>
      <c r="AF106" s="686"/>
      <c r="AG106" s="493"/>
      <c r="AH106" s="686"/>
      <c r="AI106" s="686"/>
      <c r="AJ106" s="686"/>
      <c r="AK106" s="686"/>
      <c r="AL106" s="492"/>
      <c r="AM106" s="686"/>
      <c r="AN106" s="686"/>
      <c r="AO106" s="493"/>
      <c r="AP106" s="492"/>
      <c r="AQ106" s="686"/>
      <c r="AR106" s="686"/>
      <c r="AS106" s="493"/>
      <c r="AT106" s="686"/>
      <c r="AU106" s="686"/>
      <c r="AV106" s="686"/>
      <c r="AW106" s="493"/>
      <c r="AX106" s="686"/>
      <c r="AY106" s="686"/>
      <c r="AZ106" s="686"/>
      <c r="BA106" s="494"/>
    </row>
    <row r="107" spans="1:53" s="16" customFormat="1">
      <c r="A107" s="686">
        <v>2016</v>
      </c>
      <c r="B107" s="860">
        <v>42488</v>
      </c>
      <c r="C107" s="917" t="s">
        <v>1259</v>
      </c>
      <c r="D107" s="917"/>
      <c r="E107" s="686">
        <v>248</v>
      </c>
      <c r="F107" s="502">
        <v>0</v>
      </c>
      <c r="G107" s="498"/>
      <c r="H107" s="686"/>
      <c r="I107" s="686">
        <v>17</v>
      </c>
      <c r="J107" s="500">
        <v>17</v>
      </c>
      <c r="K107" s="496">
        <f t="shared" si="15"/>
        <v>0</v>
      </c>
      <c r="L107" s="496">
        <f t="shared" si="16"/>
        <v>0</v>
      </c>
      <c r="M107" s="496">
        <f t="shared" si="19"/>
        <v>100</v>
      </c>
      <c r="N107" s="499">
        <f t="shared" si="17"/>
        <v>100</v>
      </c>
      <c r="O107" s="495"/>
      <c r="P107" s="496"/>
      <c r="Q107" s="496">
        <v>56.5</v>
      </c>
      <c r="R107" s="497">
        <f t="shared" si="20"/>
        <v>56.5</v>
      </c>
      <c r="S107" s="686">
        <v>1</v>
      </c>
      <c r="T107" s="839"/>
      <c r="U107" s="852"/>
      <c r="V107" s="492" t="s">
        <v>989</v>
      </c>
      <c r="W107" s="686" t="s">
        <v>20</v>
      </c>
      <c r="X107" s="686" t="s">
        <v>12</v>
      </c>
      <c r="Y107" s="493">
        <v>56.5</v>
      </c>
      <c r="Z107" s="686"/>
      <c r="AA107" s="686"/>
      <c r="AB107" s="686"/>
      <c r="AC107" s="686"/>
      <c r="AD107" s="492"/>
      <c r="AE107" s="686"/>
      <c r="AF107" s="686"/>
      <c r="AG107" s="493"/>
      <c r="AH107" s="686"/>
      <c r="AI107" s="686"/>
      <c r="AJ107" s="686"/>
      <c r="AK107" s="686"/>
      <c r="AL107" s="492"/>
      <c r="AM107" s="686"/>
      <c r="AN107" s="686"/>
      <c r="AO107" s="493"/>
      <c r="AP107" s="492"/>
      <c r="AQ107" s="686"/>
      <c r="AR107" s="686"/>
      <c r="AS107" s="493"/>
      <c r="AT107" s="686"/>
      <c r="AU107" s="686"/>
      <c r="AV107" s="686"/>
      <c r="AW107" s="493"/>
      <c r="AX107" s="686"/>
      <c r="AY107" s="686"/>
      <c r="AZ107" s="686"/>
      <c r="BA107" s="494"/>
    </row>
    <row r="108" spans="1:53" s="16" customFormat="1">
      <c r="A108" s="727">
        <v>2017</v>
      </c>
      <c r="B108" s="860"/>
      <c r="C108" s="917" t="s">
        <v>1259</v>
      </c>
      <c r="D108" s="917"/>
      <c r="E108" s="727">
        <v>159</v>
      </c>
      <c r="F108" s="502"/>
      <c r="G108" s="498"/>
      <c r="H108" s="727"/>
      <c r="I108" s="727">
        <v>17</v>
      </c>
      <c r="J108" s="500">
        <v>17</v>
      </c>
      <c r="K108" s="496">
        <f t="shared" ref="K108:K109" si="21">G108/J108*100</f>
        <v>0</v>
      </c>
      <c r="L108" s="496">
        <f t="shared" ref="L108:L109" si="22">H108/J108*100</f>
        <v>0</v>
      </c>
      <c r="M108" s="496">
        <f t="shared" ref="M108:M109" si="23">I108/J108*100</f>
        <v>100</v>
      </c>
      <c r="N108" s="499">
        <f t="shared" ref="N108:N109" si="24">K108+L108+M108</f>
        <v>100</v>
      </c>
      <c r="O108" s="495"/>
      <c r="P108" s="496"/>
      <c r="Q108" s="496">
        <v>56.5</v>
      </c>
      <c r="R108" s="497">
        <f t="shared" ref="R108:R109" si="25">O108+P108+Q108</f>
        <v>56.5</v>
      </c>
      <c r="S108" s="727">
        <v>1</v>
      </c>
      <c r="T108" s="839"/>
      <c r="U108" s="852"/>
      <c r="V108" s="492" t="s">
        <v>989</v>
      </c>
      <c r="W108" s="727" t="s">
        <v>20</v>
      </c>
      <c r="X108" s="727" t="s">
        <v>12</v>
      </c>
      <c r="Y108" s="493">
        <v>56.5</v>
      </c>
      <c r="Z108" s="727"/>
      <c r="AA108" s="727"/>
      <c r="AB108" s="727"/>
      <c r="AC108" s="727"/>
      <c r="AD108" s="492"/>
      <c r="AE108" s="727"/>
      <c r="AF108" s="727"/>
      <c r="AG108" s="493"/>
      <c r="AH108" s="727"/>
      <c r="AI108" s="727"/>
      <c r="AJ108" s="727"/>
      <c r="AK108" s="727"/>
      <c r="AL108" s="492"/>
      <c r="AM108" s="727"/>
      <c r="AN108" s="727"/>
      <c r="AO108" s="493"/>
      <c r="AP108" s="492"/>
      <c r="AQ108" s="727"/>
      <c r="AR108" s="727"/>
      <c r="AS108" s="493"/>
      <c r="AT108" s="727"/>
      <c r="AU108" s="727"/>
      <c r="AV108" s="727"/>
      <c r="AW108" s="493"/>
      <c r="AX108" s="727"/>
      <c r="AY108" s="727"/>
      <c r="AZ108" s="727"/>
      <c r="BA108" s="494"/>
    </row>
    <row r="109" spans="1:53" s="726" customFormat="1">
      <c r="A109" s="726">
        <v>2017</v>
      </c>
      <c r="B109" s="836">
        <v>42895</v>
      </c>
      <c r="C109" s="916" t="s">
        <v>1382</v>
      </c>
      <c r="D109" s="916"/>
      <c r="E109" s="726">
        <v>206</v>
      </c>
      <c r="F109" s="726">
        <v>1</v>
      </c>
      <c r="G109" s="539"/>
      <c r="I109" s="726">
        <v>15</v>
      </c>
      <c r="J109" s="541">
        <v>15</v>
      </c>
      <c r="K109" s="537">
        <f t="shared" si="21"/>
        <v>0</v>
      </c>
      <c r="L109" s="537">
        <f t="shared" si="22"/>
        <v>0</v>
      </c>
      <c r="M109" s="537">
        <f t="shared" si="23"/>
        <v>100</v>
      </c>
      <c r="N109" s="540">
        <f t="shared" si="24"/>
        <v>100</v>
      </c>
      <c r="O109" s="536"/>
      <c r="P109" s="537"/>
      <c r="Q109" s="537">
        <v>55.2</v>
      </c>
      <c r="R109" s="538">
        <f t="shared" si="25"/>
        <v>55.2</v>
      </c>
      <c r="S109" s="726">
        <v>1</v>
      </c>
      <c r="T109" s="838">
        <v>42889</v>
      </c>
      <c r="U109" s="836">
        <v>42895</v>
      </c>
      <c r="V109" s="532" t="s">
        <v>989</v>
      </c>
      <c r="W109" s="726" t="s">
        <v>20</v>
      </c>
      <c r="X109" s="726" t="s">
        <v>12</v>
      </c>
      <c r="Y109" s="533">
        <v>55.2</v>
      </c>
      <c r="AD109" s="532"/>
      <c r="AG109" s="533"/>
      <c r="AL109" s="532"/>
      <c r="AO109" s="533"/>
      <c r="AP109" s="532"/>
      <c r="AS109" s="533"/>
      <c r="AW109" s="533"/>
      <c r="BA109" s="534"/>
    </row>
    <row r="110" spans="1:53" s="770" customFormat="1">
      <c r="A110" s="770">
        <v>2018</v>
      </c>
      <c r="B110" s="836"/>
      <c r="C110" s="916" t="s">
        <v>1382</v>
      </c>
      <c r="D110" s="916"/>
      <c r="E110" s="770">
        <v>0</v>
      </c>
      <c r="G110" s="539"/>
      <c r="I110" s="770">
        <v>15</v>
      </c>
      <c r="J110" s="541">
        <v>15</v>
      </c>
      <c r="K110" s="537">
        <f t="shared" ref="K110:K111" si="26">G110/J110*100</f>
        <v>0</v>
      </c>
      <c r="L110" s="537">
        <f t="shared" ref="L110:L111" si="27">H110/J110*100</f>
        <v>0</v>
      </c>
      <c r="M110" s="537">
        <f t="shared" ref="M110:M111" si="28">I110/J110*100</f>
        <v>100</v>
      </c>
      <c r="N110" s="540">
        <f t="shared" ref="N110:N111" si="29">K110+L110+M110</f>
        <v>100</v>
      </c>
      <c r="O110" s="536"/>
      <c r="P110" s="537"/>
      <c r="Q110" s="537">
        <v>55.2</v>
      </c>
      <c r="R110" s="538">
        <f t="shared" ref="R110:R111" si="30">O110+P110+Q110</f>
        <v>55.2</v>
      </c>
      <c r="S110" s="770">
        <v>1</v>
      </c>
      <c r="T110" s="838"/>
      <c r="U110" s="836"/>
      <c r="V110" s="532" t="s">
        <v>989</v>
      </c>
      <c r="W110" s="770" t="s">
        <v>20</v>
      </c>
      <c r="X110" s="770" t="s">
        <v>12</v>
      </c>
      <c r="Y110" s="533">
        <v>55.2</v>
      </c>
      <c r="AD110" s="532"/>
      <c r="AG110" s="533"/>
      <c r="AL110" s="532"/>
      <c r="AO110" s="533"/>
      <c r="AP110" s="532"/>
      <c r="AS110" s="533"/>
      <c r="AW110" s="533"/>
      <c r="BA110" s="534"/>
    </row>
    <row r="111" spans="1:53" s="770" customFormat="1">
      <c r="A111" s="770">
        <v>2018</v>
      </c>
      <c r="B111" s="836"/>
      <c r="C111" s="916" t="s">
        <v>1382</v>
      </c>
      <c r="D111" s="916"/>
      <c r="E111" s="770">
        <v>365</v>
      </c>
      <c r="G111" s="539"/>
      <c r="I111" s="770">
        <v>15</v>
      </c>
      <c r="J111" s="541">
        <v>15</v>
      </c>
      <c r="K111" s="537">
        <f t="shared" si="26"/>
        <v>0</v>
      </c>
      <c r="L111" s="537">
        <f t="shared" si="27"/>
        <v>0</v>
      </c>
      <c r="M111" s="537">
        <f t="shared" si="28"/>
        <v>100</v>
      </c>
      <c r="N111" s="540">
        <f t="shared" si="29"/>
        <v>100</v>
      </c>
      <c r="O111" s="536"/>
      <c r="P111" s="537"/>
      <c r="Q111" s="537">
        <v>55.2</v>
      </c>
      <c r="R111" s="538">
        <f t="shared" si="30"/>
        <v>55.2</v>
      </c>
      <c r="S111" s="770">
        <v>1</v>
      </c>
      <c r="T111" s="838"/>
      <c r="U111" s="836"/>
      <c r="V111" s="532" t="s">
        <v>989</v>
      </c>
      <c r="W111" s="770" t="s">
        <v>20</v>
      </c>
      <c r="X111" s="770" t="s">
        <v>12</v>
      </c>
      <c r="Y111" s="533">
        <v>55.2</v>
      </c>
      <c r="AD111" s="532"/>
      <c r="AG111" s="533"/>
      <c r="AL111" s="532"/>
      <c r="AO111" s="533"/>
      <c r="AP111" s="532"/>
      <c r="AS111" s="533"/>
      <c r="AW111" s="533"/>
      <c r="BA111" s="534"/>
    </row>
    <row r="112" spans="1:53" s="800" customFormat="1">
      <c r="A112" s="800">
        <v>2019</v>
      </c>
      <c r="B112" s="836"/>
      <c r="C112" s="916" t="s">
        <v>1382</v>
      </c>
      <c r="D112" s="916"/>
      <c r="E112" s="800">
        <v>0</v>
      </c>
      <c r="G112" s="539"/>
      <c r="I112" s="800">
        <v>15</v>
      </c>
      <c r="J112" s="541">
        <v>15</v>
      </c>
      <c r="K112" s="537">
        <f t="shared" ref="K112:K113" si="31">G112/J112*100</f>
        <v>0</v>
      </c>
      <c r="L112" s="537">
        <f t="shared" ref="L112:L113" si="32">H112/J112*100</f>
        <v>0</v>
      </c>
      <c r="M112" s="537">
        <f t="shared" ref="M112:M113" si="33">I112/J112*100</f>
        <v>100</v>
      </c>
      <c r="N112" s="540">
        <f t="shared" ref="N112:N113" si="34">K112+L112+M112</f>
        <v>100</v>
      </c>
      <c r="O112" s="536"/>
      <c r="P112" s="537"/>
      <c r="Q112" s="537">
        <v>55.2</v>
      </c>
      <c r="R112" s="538">
        <f t="shared" ref="R112:R113" si="35">O112+P112+Q112</f>
        <v>55.2</v>
      </c>
      <c r="S112" s="800">
        <v>1</v>
      </c>
      <c r="T112" s="838"/>
      <c r="U112" s="836"/>
      <c r="V112" s="532" t="s">
        <v>989</v>
      </c>
      <c r="W112" s="800" t="s">
        <v>20</v>
      </c>
      <c r="X112" s="800" t="s">
        <v>12</v>
      </c>
      <c r="Y112" s="533">
        <v>55.2</v>
      </c>
    </row>
    <row r="113" spans="1:53" s="800" customFormat="1">
      <c r="A113" s="800">
        <v>2019</v>
      </c>
      <c r="B113" s="836"/>
      <c r="C113" s="916" t="s">
        <v>1382</v>
      </c>
      <c r="D113" s="916"/>
      <c r="E113" s="800">
        <v>365</v>
      </c>
      <c r="G113" s="539"/>
      <c r="I113" s="800">
        <v>15</v>
      </c>
      <c r="J113" s="541">
        <v>15</v>
      </c>
      <c r="K113" s="537">
        <f t="shared" si="31"/>
        <v>0</v>
      </c>
      <c r="L113" s="537">
        <f t="shared" si="32"/>
        <v>0</v>
      </c>
      <c r="M113" s="537">
        <f t="shared" si="33"/>
        <v>100</v>
      </c>
      <c r="N113" s="540">
        <f t="shared" si="34"/>
        <v>100</v>
      </c>
      <c r="O113" s="536"/>
      <c r="P113" s="537"/>
      <c r="Q113" s="537">
        <v>55.2</v>
      </c>
      <c r="R113" s="538">
        <f t="shared" si="35"/>
        <v>55.2</v>
      </c>
      <c r="S113" s="800">
        <v>1</v>
      </c>
      <c r="T113" s="838"/>
      <c r="U113" s="836"/>
      <c r="V113" s="532" t="s">
        <v>989</v>
      </c>
      <c r="W113" s="800" t="s">
        <v>20</v>
      </c>
      <c r="X113" s="800" t="s">
        <v>12</v>
      </c>
      <c r="Y113" s="533">
        <v>55.2</v>
      </c>
    </row>
    <row r="114" spans="1:53" s="2" customFormat="1"/>
    <row r="115" spans="1:53">
      <c r="B115" s="2"/>
      <c r="C115" s="2"/>
      <c r="D115" s="2"/>
      <c r="E115" s="2"/>
      <c r="F115" s="2"/>
      <c r="G115" s="2"/>
      <c r="H115" s="2"/>
      <c r="I115" s="2"/>
      <c r="J115" s="2"/>
      <c r="K115" s="2"/>
      <c r="L115" s="2"/>
      <c r="M115" s="2"/>
      <c r="N115" s="2"/>
    </row>
    <row r="116" spans="1:53" s="2" customFormat="1" ht="18" customHeight="1">
      <c r="B116" s="22" t="s">
        <v>1269</v>
      </c>
    </row>
    <row r="117" spans="1:53" s="2" customFormat="1" ht="9" customHeight="1"/>
    <row r="118" spans="1:53" s="317" customFormat="1" ht="9" customHeight="1">
      <c r="A118" s="315"/>
      <c r="B118" s="316" t="s">
        <v>1220</v>
      </c>
      <c r="C118" s="316"/>
      <c r="D118" s="316"/>
      <c r="E118" s="316"/>
      <c r="F118" s="316"/>
      <c r="G118" s="316" t="s">
        <v>1221</v>
      </c>
      <c r="H118" s="316"/>
      <c r="I118" s="316"/>
      <c r="J118" s="316"/>
      <c r="K118" s="316"/>
      <c r="L118" s="316"/>
      <c r="M118" s="316"/>
      <c r="N118" s="316"/>
      <c r="R118" s="895" t="s">
        <v>1222</v>
      </c>
      <c r="S118" s="895"/>
      <c r="T118" s="895"/>
      <c r="U118" s="895"/>
      <c r="V118" s="895"/>
      <c r="W118" s="895"/>
      <c r="X118" s="318"/>
      <c r="Y118" s="318"/>
      <c r="AA118" s="318"/>
      <c r="AB118" s="318"/>
      <c r="AC118" s="318"/>
      <c r="AD118" s="318"/>
    </row>
    <row r="119" spans="1:53" s="322" customFormat="1" ht="9" customHeight="1">
      <c r="A119" s="319"/>
      <c r="B119" s="320" t="s">
        <v>1224</v>
      </c>
      <c r="C119" s="321"/>
      <c r="D119" s="321"/>
      <c r="E119" s="321"/>
      <c r="F119" s="321"/>
      <c r="G119" s="320" t="s">
        <v>1223</v>
      </c>
      <c r="H119" s="321"/>
      <c r="I119" s="321"/>
      <c r="J119" s="321"/>
      <c r="K119" s="321"/>
      <c r="L119" s="321"/>
      <c r="M119" s="321"/>
      <c r="N119" s="321"/>
      <c r="R119" s="323" t="s">
        <v>1225</v>
      </c>
      <c r="S119" s="324"/>
      <c r="T119" s="325"/>
      <c r="U119" s="325"/>
      <c r="V119" s="325"/>
      <c r="W119" s="323" t="s">
        <v>1226</v>
      </c>
      <c r="X119" s="325"/>
      <c r="Y119" s="325"/>
      <c r="AA119" s="325"/>
      <c r="AB119" s="325"/>
      <c r="AC119" s="325"/>
      <c r="AD119" s="325"/>
    </row>
    <row r="120" spans="1:53" s="307" customFormat="1" ht="12" customHeight="1">
      <c r="A120" s="326" t="s">
        <v>3</v>
      </c>
      <c r="B120" s="327" t="s">
        <v>8</v>
      </c>
      <c r="C120" s="327" t="s">
        <v>9</v>
      </c>
      <c r="D120" s="327" t="s">
        <v>10</v>
      </c>
      <c r="E120" s="328" t="s">
        <v>1200</v>
      </c>
      <c r="F120" s="327"/>
      <c r="G120" s="307" t="s">
        <v>3</v>
      </c>
      <c r="H120" s="896" t="s">
        <v>0</v>
      </c>
      <c r="I120" s="896"/>
      <c r="J120" s="896" t="s">
        <v>1</v>
      </c>
      <c r="K120" s="896"/>
      <c r="L120" s="896" t="s">
        <v>2</v>
      </c>
      <c r="M120" s="896"/>
      <c r="N120" s="897" t="s">
        <v>1200</v>
      </c>
      <c r="O120" s="897"/>
      <c r="P120" s="329"/>
      <c r="Q120" s="329"/>
      <c r="R120" s="330" t="s">
        <v>3</v>
      </c>
      <c r="S120" s="331" t="s">
        <v>136</v>
      </c>
      <c r="T120" s="329" t="s">
        <v>134</v>
      </c>
      <c r="U120" s="327" t="s">
        <v>135</v>
      </c>
      <c r="V120" s="329"/>
      <c r="W120" s="332" t="s">
        <v>26</v>
      </c>
    </row>
    <row r="121" spans="1:53" ht="9" customHeight="1">
      <c r="A121" s="1">
        <v>1966</v>
      </c>
      <c r="B121" s="403">
        <f>(K7*($E7/275))</f>
        <v>0</v>
      </c>
      <c r="C121" s="403">
        <f>(L7*($E7/275))</f>
        <v>100</v>
      </c>
      <c r="D121" s="403">
        <f>(M7*($E7/275))</f>
        <v>0</v>
      </c>
      <c r="E121" s="430">
        <f t="shared" ref="E121:E168" si="36">SUM(B121:D121)</f>
        <v>100</v>
      </c>
      <c r="F121" s="431"/>
      <c r="G121" s="1">
        <v>1966</v>
      </c>
      <c r="H121" s="918">
        <f>(O7/$R7*100*($E7/275))</f>
        <v>0</v>
      </c>
      <c r="I121" s="918"/>
      <c r="J121" s="918">
        <f>(P7/$R7*100*($E7/275))</f>
        <v>100</v>
      </c>
      <c r="K121" s="918"/>
      <c r="L121" s="918">
        <f>(Q7/$R7*100*($E7/275))</f>
        <v>0</v>
      </c>
      <c r="M121" s="918"/>
      <c r="N121" s="939">
        <f t="shared" ref="N121:N144" si="37">SUM(H121:M121)</f>
        <v>100</v>
      </c>
      <c r="O121" s="939"/>
      <c r="P121" s="431"/>
      <c r="Q121" s="431"/>
      <c r="R121" s="1">
        <v>1966</v>
      </c>
      <c r="S121" s="8">
        <f>(O7*($E7/275))</f>
        <v>0</v>
      </c>
      <c r="T121" s="8">
        <f>(P7*($E7/275))</f>
        <v>56</v>
      </c>
      <c r="U121" s="8">
        <f>(Q7*($E7/275))</f>
        <v>0</v>
      </c>
      <c r="V121" s="7"/>
      <c r="W121" s="7">
        <f t="shared" ref="W121:W147" si="38">SUM(S121:U121)</f>
        <v>56</v>
      </c>
      <c r="X121" s="431"/>
      <c r="Y121" s="71" t="s">
        <v>1281</v>
      </c>
      <c r="Z121" s="431"/>
      <c r="AA121" s="431"/>
      <c r="AB121" s="431"/>
      <c r="AC121" s="431"/>
      <c r="AD121" s="431"/>
      <c r="AE121" s="431"/>
      <c r="AF121" s="431"/>
      <c r="AG121" s="431"/>
      <c r="AH121" s="431"/>
      <c r="AI121" s="431"/>
      <c r="AJ121" s="431"/>
      <c r="AK121" s="431"/>
      <c r="AL121" s="431"/>
      <c r="AM121" s="431"/>
      <c r="AN121" s="431"/>
      <c r="AO121" s="431"/>
      <c r="AP121" s="431"/>
      <c r="AQ121" s="431"/>
      <c r="AR121" s="431"/>
      <c r="AS121" s="431"/>
      <c r="AT121" s="431"/>
      <c r="AU121" s="431"/>
      <c r="AV121" s="431"/>
      <c r="AW121" s="431"/>
      <c r="AX121" s="431"/>
      <c r="AY121" s="431"/>
      <c r="AZ121" s="431"/>
      <c r="BA121" s="431"/>
    </row>
    <row r="122" spans="1:53" ht="9" customHeight="1">
      <c r="A122" s="1">
        <v>1967</v>
      </c>
      <c r="B122" s="403">
        <f>(K8*($E8/365))+(K9*($E9/365))</f>
        <v>0</v>
      </c>
      <c r="C122" s="403">
        <f>(L8*($E8/365))+(L9*($E9/365))</f>
        <v>100</v>
      </c>
      <c r="D122" s="403">
        <f>(M8*($E8/365))+(M9*($E9/365))</f>
        <v>0</v>
      </c>
      <c r="E122" s="430">
        <f t="shared" si="36"/>
        <v>100</v>
      </c>
      <c r="F122" s="431"/>
      <c r="G122" s="1">
        <v>1967</v>
      </c>
      <c r="H122" s="918">
        <f>(O8/$R8*100*($E8/365))+(O9/$R9*100*($E9/365))</f>
        <v>0</v>
      </c>
      <c r="I122" s="918"/>
      <c r="J122" s="918">
        <f>(P8/$R8*100*($E8/365))+(P9/$R9*100*($E9/365))</f>
        <v>100</v>
      </c>
      <c r="K122" s="918"/>
      <c r="L122" s="918">
        <f>(Q8/$R8*100*($E8/365))+(Q9/$R9*100*($E9/365))</f>
        <v>0</v>
      </c>
      <c r="M122" s="918"/>
      <c r="N122" s="939">
        <f t="shared" si="37"/>
        <v>100</v>
      </c>
      <c r="O122" s="939"/>
      <c r="P122" s="431"/>
      <c r="Q122" s="431"/>
      <c r="R122" s="1">
        <v>1967</v>
      </c>
      <c r="S122" s="8">
        <f>(O8*($E8/365))+(O9*($E9/365))</f>
        <v>0</v>
      </c>
      <c r="T122" s="8">
        <f>(P8*($E8/365))+(P9*($E9/365))</f>
        <v>56</v>
      </c>
      <c r="U122" s="8">
        <f>(Q8*($E8/365))+(Q9*($E9/365))</f>
        <v>0</v>
      </c>
      <c r="V122" s="7"/>
      <c r="W122" s="7">
        <f t="shared" si="38"/>
        <v>56</v>
      </c>
      <c r="X122" s="431"/>
      <c r="Y122" s="431"/>
      <c r="Z122" s="431"/>
      <c r="AA122" s="431"/>
      <c r="AB122" s="431"/>
      <c r="AC122" s="431"/>
      <c r="AD122" s="431"/>
      <c r="AE122" s="431"/>
      <c r="AF122" s="431"/>
      <c r="AG122" s="431"/>
      <c r="AH122" s="431"/>
      <c r="AI122" s="431"/>
      <c r="AJ122" s="431"/>
      <c r="AK122" s="431"/>
      <c r="AL122" s="431"/>
      <c r="AM122" s="431"/>
      <c r="AN122" s="431"/>
      <c r="AO122" s="431"/>
      <c r="AP122" s="431"/>
      <c r="AQ122" s="431"/>
      <c r="AR122" s="431"/>
      <c r="AS122" s="431"/>
      <c r="AT122" s="431"/>
      <c r="AU122" s="431"/>
      <c r="AV122" s="431"/>
      <c r="AW122" s="431"/>
      <c r="AX122" s="431"/>
      <c r="AY122" s="431"/>
      <c r="AZ122" s="431"/>
      <c r="BA122" s="431"/>
    </row>
    <row r="123" spans="1:53" ht="9" customHeight="1">
      <c r="A123" s="1">
        <v>1968</v>
      </c>
      <c r="B123" s="403">
        <f>(K10*($E10/366))+(K11*($E11/366))</f>
        <v>0</v>
      </c>
      <c r="C123" s="403">
        <f>(L10*($E10/366))+(L11*($E11/366))</f>
        <v>100</v>
      </c>
      <c r="D123" s="403">
        <f>(M10*($E10/366))+(M11*($E11/366))</f>
        <v>0</v>
      </c>
      <c r="E123" s="430">
        <f t="shared" si="36"/>
        <v>100</v>
      </c>
      <c r="F123" s="431"/>
      <c r="G123" s="1">
        <v>1968</v>
      </c>
      <c r="H123" s="918">
        <f>(O10/$R10*100*($E10/366))+(O11/$R11*100*($E11/366))</f>
        <v>0</v>
      </c>
      <c r="I123" s="918"/>
      <c r="J123" s="918">
        <f>(P10/$R10*100*($E10/366))+(P11/$R11*100*($E11/366))</f>
        <v>100</v>
      </c>
      <c r="K123" s="918"/>
      <c r="L123" s="918">
        <f>(Q10/$R10*100*($E10/366))+(Q11/$R11*100*($E11/366))</f>
        <v>0</v>
      </c>
      <c r="M123" s="918"/>
      <c r="N123" s="939">
        <f t="shared" si="37"/>
        <v>100</v>
      </c>
      <c r="O123" s="939"/>
      <c r="P123" s="431"/>
      <c r="Q123" s="431"/>
      <c r="R123" s="1">
        <v>1968</v>
      </c>
      <c r="S123" s="8">
        <f>(O10*($E10/366))+(O11*($E11/366))</f>
        <v>0</v>
      </c>
      <c r="T123" s="8">
        <f>(P10*($E10/366))+(P11*($E11/366))</f>
        <v>56</v>
      </c>
      <c r="U123" s="8">
        <f>(Q10*($E10/366))+(Q11*($E11/366))</f>
        <v>0</v>
      </c>
      <c r="V123" s="7"/>
      <c r="W123" s="7">
        <f t="shared" si="38"/>
        <v>56</v>
      </c>
      <c r="X123" s="431"/>
      <c r="Y123" s="431"/>
      <c r="Z123" s="431"/>
      <c r="AA123" s="431"/>
      <c r="AB123" s="431"/>
      <c r="AC123" s="431"/>
      <c r="AD123" s="431"/>
      <c r="AE123" s="431"/>
      <c r="AF123" s="431"/>
      <c r="AG123" s="431"/>
      <c r="AH123" s="431"/>
      <c r="AI123" s="431"/>
      <c r="AJ123" s="431"/>
      <c r="AK123" s="431"/>
      <c r="AL123" s="431"/>
      <c r="AM123" s="431"/>
      <c r="AN123" s="431"/>
      <c r="AO123" s="431"/>
      <c r="AP123" s="431"/>
      <c r="AQ123" s="431"/>
      <c r="AR123" s="431"/>
      <c r="AS123" s="431"/>
      <c r="AT123" s="431"/>
      <c r="AU123" s="431"/>
      <c r="AV123" s="431"/>
      <c r="AW123" s="431"/>
      <c r="AX123" s="431"/>
      <c r="AY123" s="431"/>
      <c r="AZ123" s="431"/>
      <c r="BA123" s="431"/>
    </row>
    <row r="124" spans="1:53" ht="9" customHeight="1">
      <c r="A124" s="1">
        <v>1969</v>
      </c>
      <c r="B124" s="403">
        <f>(K12*($E12/365))+(K13*($E13/365))</f>
        <v>0</v>
      </c>
      <c r="C124" s="403">
        <f>(L12*($E12/365))+(L13*($E13/365))</f>
        <v>100</v>
      </c>
      <c r="D124" s="403">
        <f>(M12*($E12/365))+(M13*($E13/365))</f>
        <v>0</v>
      </c>
      <c r="E124" s="430">
        <f t="shared" si="36"/>
        <v>100</v>
      </c>
      <c r="F124" s="431"/>
      <c r="G124" s="1">
        <v>1969</v>
      </c>
      <c r="H124" s="918">
        <f>(O12/$R12*100*($E12/365))+(O13/$R13*100*($E13/365))</f>
        <v>0</v>
      </c>
      <c r="I124" s="918"/>
      <c r="J124" s="918">
        <f>(P12/$R12*100*($E12/365))+(P13/$R13*100*($E13/365))</f>
        <v>100</v>
      </c>
      <c r="K124" s="918"/>
      <c r="L124" s="918">
        <f>(Q12/$R12*100*($E12/365))+(Q13/$R13*100*($E13/365))</f>
        <v>0</v>
      </c>
      <c r="M124" s="918"/>
      <c r="N124" s="939">
        <f t="shared" si="37"/>
        <v>100</v>
      </c>
      <c r="O124" s="939"/>
      <c r="P124" s="431"/>
      <c r="Q124" s="431"/>
      <c r="R124" s="1">
        <v>1969</v>
      </c>
      <c r="S124" s="8">
        <f>(O12*($E12/365))+(O13*($E13/365))</f>
        <v>0</v>
      </c>
      <c r="T124" s="8">
        <f>(P12*($E12/365))+(P13*($E13/365))</f>
        <v>56</v>
      </c>
      <c r="U124" s="8">
        <f>(Q12*($E12/365))+(Q13*($E13/365))</f>
        <v>0</v>
      </c>
      <c r="V124" s="7"/>
      <c r="W124" s="7">
        <f t="shared" si="38"/>
        <v>56</v>
      </c>
      <c r="X124" s="431"/>
      <c r="Y124" s="431"/>
      <c r="Z124" s="431"/>
      <c r="AA124" s="431"/>
      <c r="AB124" s="431"/>
      <c r="AC124" s="431"/>
      <c r="AD124" s="431"/>
      <c r="AE124" s="431"/>
      <c r="AF124" s="431"/>
      <c r="AG124" s="431"/>
      <c r="AH124" s="431"/>
      <c r="AI124" s="431"/>
      <c r="AJ124" s="431"/>
      <c r="AK124" s="431"/>
      <c r="AL124" s="431"/>
      <c r="AM124" s="431"/>
      <c r="AN124" s="431"/>
      <c r="AO124" s="431"/>
      <c r="AP124" s="431"/>
      <c r="AQ124" s="431"/>
      <c r="AR124" s="431"/>
      <c r="AS124" s="431"/>
      <c r="AT124" s="431"/>
      <c r="AU124" s="431"/>
      <c r="AV124" s="431"/>
      <c r="AW124" s="431"/>
      <c r="AX124" s="431"/>
      <c r="AY124" s="431"/>
      <c r="AZ124" s="431"/>
      <c r="BA124" s="431"/>
    </row>
    <row r="125" spans="1:53" ht="9" customHeight="1">
      <c r="A125" s="1">
        <v>1970</v>
      </c>
      <c r="B125" s="403">
        <f>(K14*($E14/365))+(K15*($E15/365))</f>
        <v>0</v>
      </c>
      <c r="C125" s="403">
        <f>(L14*($E14/365))+(L15*($E15/365))</f>
        <v>100</v>
      </c>
      <c r="D125" s="403">
        <f>(M14*($E14/365))+(M15*($E15/365))</f>
        <v>0</v>
      </c>
      <c r="E125" s="430">
        <f t="shared" si="36"/>
        <v>100</v>
      </c>
      <c r="F125" s="431"/>
      <c r="G125" s="1">
        <v>1970</v>
      </c>
      <c r="H125" s="918">
        <f>(O14/$R14*100*($E14/365))+(O15/$R15*100*($E15/365))</f>
        <v>0</v>
      </c>
      <c r="I125" s="918"/>
      <c r="J125" s="918">
        <f>(P14/$R14*100*($E14/365))+(P15/$R15*100*($E15/365))</f>
        <v>100</v>
      </c>
      <c r="K125" s="918"/>
      <c r="L125" s="918">
        <f>(Q14/$R14*100*($E14/365))+(Q15/$R15*100*($E15/365))</f>
        <v>0</v>
      </c>
      <c r="M125" s="918"/>
      <c r="N125" s="939">
        <f t="shared" si="37"/>
        <v>100</v>
      </c>
      <c r="O125" s="939"/>
      <c r="P125" s="431"/>
      <c r="Q125" s="431"/>
      <c r="R125" s="1">
        <v>1970</v>
      </c>
      <c r="S125" s="8">
        <f>(O14*($E14/365))+(O15*($E15/365))</f>
        <v>0</v>
      </c>
      <c r="T125" s="8">
        <f>(P14*($E14/365))+(P15*($E15/365))</f>
        <v>56</v>
      </c>
      <c r="U125" s="8">
        <f>(Q14*($E14/365))+(Q15*($E15/365))</f>
        <v>0</v>
      </c>
      <c r="V125" s="7"/>
      <c r="W125" s="7">
        <f t="shared" si="38"/>
        <v>56</v>
      </c>
    </row>
    <row r="126" spans="1:53" ht="9" customHeight="1">
      <c r="A126" s="1">
        <v>1971</v>
      </c>
      <c r="B126" s="403">
        <f>(K16*($E16/365))+(K17*($E17/365))</f>
        <v>0</v>
      </c>
      <c r="C126" s="403">
        <f>(L16*($E16/365))+(L17*($E17/365))</f>
        <v>46.849315068493155</v>
      </c>
      <c r="D126" s="403">
        <f>(M16*($E16/365))+(M17*($E17/365))</f>
        <v>53.150684931506852</v>
      </c>
      <c r="E126" s="430">
        <f t="shared" si="36"/>
        <v>100</v>
      </c>
      <c r="F126" s="431"/>
      <c r="G126" s="1">
        <v>1971</v>
      </c>
      <c r="H126" s="918">
        <f>(O16/$R16*100*($E16/365))+(O17/$R17*100*($E17/365))</f>
        <v>0</v>
      </c>
      <c r="I126" s="918"/>
      <c r="J126" s="918">
        <f>(P16/$R16*100*($E16/365))+(P17/$R17*100*($E17/365))</f>
        <v>46.849315068493155</v>
      </c>
      <c r="K126" s="918"/>
      <c r="L126" s="918">
        <f>(Q16/$R16*100*($E16/365))+(Q17/$R17*100*($E17/365))</f>
        <v>53.150684931506852</v>
      </c>
      <c r="M126" s="918"/>
      <c r="N126" s="939">
        <f t="shared" si="37"/>
        <v>100</v>
      </c>
      <c r="O126" s="939"/>
      <c r="P126" s="431"/>
      <c r="Q126" s="431"/>
      <c r="R126" s="1">
        <v>1971</v>
      </c>
      <c r="S126" s="8">
        <f>(O16*($E16/365))+(O17*($E17/365))</f>
        <v>0</v>
      </c>
      <c r="T126" s="8">
        <f>(P16*($E16/365))+(P17*($E17/365))</f>
        <v>26.235616438356164</v>
      </c>
      <c r="U126" s="8">
        <f>(Q16*($E16/365))+(Q17*($E17/365))</f>
        <v>27.053698630136989</v>
      </c>
      <c r="V126" s="7"/>
      <c r="W126" s="7">
        <f t="shared" si="38"/>
        <v>53.289315068493153</v>
      </c>
    </row>
    <row r="127" spans="1:53" ht="9" customHeight="1">
      <c r="A127" s="1">
        <v>1972</v>
      </c>
      <c r="B127" s="403">
        <f>(K18*($E18/366))+(K19*($E19/366))</f>
        <v>0</v>
      </c>
      <c r="C127" s="403">
        <f>(L18*($E18/366))+(L19*($E19/366))</f>
        <v>0</v>
      </c>
      <c r="D127" s="403">
        <f>(M18*($E18/366))+(M19*($E19/366))</f>
        <v>100</v>
      </c>
      <c r="E127" s="430">
        <f t="shared" si="36"/>
        <v>100</v>
      </c>
      <c r="F127" s="431"/>
      <c r="G127" s="1">
        <v>1972</v>
      </c>
      <c r="H127" s="918">
        <f>(O18/$R18*100*($E18/366))+(O19/$R19*100*($E19/366))</f>
        <v>0</v>
      </c>
      <c r="I127" s="918"/>
      <c r="J127" s="918">
        <f>(P18/$R18*100*($E18/366))+(P19/$R19*100*($E19/366))</f>
        <v>0</v>
      </c>
      <c r="K127" s="918"/>
      <c r="L127" s="918">
        <f>(Q18/$R18*100*($E18/366))+(Q19/$R19*100*($E19/366))</f>
        <v>100</v>
      </c>
      <c r="M127" s="918"/>
      <c r="N127" s="939">
        <f t="shared" si="37"/>
        <v>100</v>
      </c>
      <c r="O127" s="939"/>
      <c r="P127" s="431"/>
      <c r="Q127" s="431"/>
      <c r="R127" s="1">
        <v>1972</v>
      </c>
      <c r="S127" s="8">
        <f>(O18*($E18/366))+(O19*($E19/366))</f>
        <v>0</v>
      </c>
      <c r="T127" s="8">
        <f>(P18*($E18/366))+(P19*($E19/366))</f>
        <v>0</v>
      </c>
      <c r="U127" s="8">
        <f>(Q18*($E18/366))+(Q19*($E19/366))</f>
        <v>50.9</v>
      </c>
      <c r="V127" s="7"/>
      <c r="W127" s="7">
        <f t="shared" si="38"/>
        <v>50.9</v>
      </c>
    </row>
    <row r="128" spans="1:53" ht="9" customHeight="1">
      <c r="A128" s="1">
        <v>1973</v>
      </c>
      <c r="B128" s="403">
        <f>(K20*($E20/365))+(K21*($E21/365))</f>
        <v>0</v>
      </c>
      <c r="C128" s="403">
        <f>(L20*($E20/365))+(L21*($E21/365))</f>
        <v>0</v>
      </c>
      <c r="D128" s="403">
        <f>(M20*($E20/365))+(M21*($E21/365))</f>
        <v>100</v>
      </c>
      <c r="E128" s="430">
        <f t="shared" si="36"/>
        <v>100</v>
      </c>
      <c r="F128" s="431"/>
      <c r="G128" s="1">
        <v>1973</v>
      </c>
      <c r="H128" s="918">
        <f>(O20/$R20*100*($E20/365))+(O21/$R21*100*($E21/365))</f>
        <v>0</v>
      </c>
      <c r="I128" s="918"/>
      <c r="J128" s="918">
        <f>(P20/$R20*100*($E20/365))+(P21/$R21*100*($E21/365))</f>
        <v>0</v>
      </c>
      <c r="K128" s="918"/>
      <c r="L128" s="918">
        <f>(Q20/$R20*100*($E20/365))+(Q21/$R21*100*($E21/365))</f>
        <v>100</v>
      </c>
      <c r="M128" s="918"/>
      <c r="N128" s="939">
        <f t="shared" si="37"/>
        <v>100</v>
      </c>
      <c r="O128" s="939"/>
      <c r="P128" s="431"/>
      <c r="Q128" s="431"/>
      <c r="R128" s="1">
        <v>1973</v>
      </c>
      <c r="S128" s="8">
        <f>(O20*($E20/365))+(O21*($E21/365))</f>
        <v>0</v>
      </c>
      <c r="T128" s="8">
        <f>(P20*($E20/365))+(P21*($E21/365))</f>
        <v>0</v>
      </c>
      <c r="U128" s="8">
        <f>(Q20*($E20/365))+(Q21*($E21/365))</f>
        <v>50.9</v>
      </c>
      <c r="V128" s="7"/>
      <c r="W128" s="7">
        <f t="shared" si="38"/>
        <v>50.9</v>
      </c>
    </row>
    <row r="129" spans="1:23" ht="9" customHeight="1">
      <c r="A129" s="1">
        <v>1974</v>
      </c>
      <c r="B129" s="403">
        <f>(K22*($E22/365))+(K23*($E23/365))</f>
        <v>0</v>
      </c>
      <c r="C129" s="403">
        <f>(L22*($E22/365))+(L23*($E23/365))</f>
        <v>0</v>
      </c>
      <c r="D129" s="403">
        <f>(M22*($E22/365))+(M23*($E23/365))</f>
        <v>100</v>
      </c>
      <c r="E129" s="430">
        <f t="shared" si="36"/>
        <v>100</v>
      </c>
      <c r="F129" s="431"/>
      <c r="G129" s="1">
        <v>1974</v>
      </c>
      <c r="H129" s="918">
        <f>(O22/$R22*100*($E22/365))+(O23/$R23*100*($E23/365))</f>
        <v>0</v>
      </c>
      <c r="I129" s="918"/>
      <c r="J129" s="918">
        <f>(P22/$R22*100*($E22/365))+(P23/$R23*100*($E23/365))</f>
        <v>0</v>
      </c>
      <c r="K129" s="918"/>
      <c r="L129" s="918">
        <f>(Q22/$R22*100*($E22/365))+(Q23/$R23*100*($E23/365))</f>
        <v>100</v>
      </c>
      <c r="M129" s="918"/>
      <c r="N129" s="939">
        <f t="shared" si="37"/>
        <v>100</v>
      </c>
      <c r="O129" s="939"/>
      <c r="P129" s="431"/>
      <c r="Q129" s="431"/>
      <c r="R129" s="1">
        <v>1974</v>
      </c>
      <c r="S129" s="8">
        <f>(O22*($E22/365))+(O23*($E23/365))</f>
        <v>0</v>
      </c>
      <c r="T129" s="8">
        <f>(P22*($E22/365))+(P23*($E23/365))</f>
        <v>0</v>
      </c>
      <c r="U129" s="8">
        <f>(Q22*($E22/365))+(Q23*($E23/365))</f>
        <v>50.9</v>
      </c>
      <c r="V129" s="7"/>
      <c r="W129" s="7">
        <f t="shared" si="38"/>
        <v>50.9</v>
      </c>
    </row>
    <row r="130" spans="1:23" ht="9" customHeight="1">
      <c r="A130" s="1">
        <v>1975</v>
      </c>
      <c r="B130" s="403">
        <f>(K24*($E24/365))+(K25*($E25/365))</f>
        <v>0</v>
      </c>
      <c r="C130" s="403">
        <f>(L24*($E24/365))+(L25*($E25/365))</f>
        <v>0</v>
      </c>
      <c r="D130" s="403">
        <f>(M24*($E24/365))+(M25*($E25/365))</f>
        <v>100</v>
      </c>
      <c r="E130" s="430">
        <f t="shared" si="36"/>
        <v>100</v>
      </c>
      <c r="F130" s="431"/>
      <c r="G130" s="1">
        <v>1975</v>
      </c>
      <c r="H130" s="918">
        <f>(O24/$R24*100*($E24/365))+(O25/$R25*100*($E25/365))</f>
        <v>0</v>
      </c>
      <c r="I130" s="918"/>
      <c r="J130" s="918">
        <f>(P24/$R24*100*($E24/365))+(P25/$R25*100*($E25/365))</f>
        <v>0</v>
      </c>
      <c r="K130" s="918"/>
      <c r="L130" s="918">
        <f>(Q24/$R24*100*($E24/365))+(Q25/$R25*100*($E25/365))</f>
        <v>100</v>
      </c>
      <c r="M130" s="918"/>
      <c r="N130" s="939">
        <f t="shared" si="37"/>
        <v>100</v>
      </c>
      <c r="O130" s="939"/>
      <c r="P130" s="431"/>
      <c r="Q130" s="431"/>
      <c r="R130" s="1">
        <v>1975</v>
      </c>
      <c r="S130" s="8">
        <f>(O24*($E24/365))+(O25*($E25/365))</f>
        <v>0</v>
      </c>
      <c r="T130" s="8">
        <f>(P24*($E24/365))+(P25*($E25/365))</f>
        <v>0</v>
      </c>
      <c r="U130" s="8">
        <f>(Q24*($E24/365))+(Q25*($E25/365))</f>
        <v>50.9</v>
      </c>
      <c r="V130" s="7"/>
      <c r="W130" s="7">
        <f t="shared" si="38"/>
        <v>50.9</v>
      </c>
    </row>
    <row r="131" spans="1:23" ht="9" customHeight="1">
      <c r="A131" s="1">
        <v>1976</v>
      </c>
      <c r="B131" s="403">
        <f>(K26*($E26/366))+(K27*($E27/366))</f>
        <v>0</v>
      </c>
      <c r="C131" s="403">
        <f>(L26*($E26/366))+(L27*($E27/366))</f>
        <v>0</v>
      </c>
      <c r="D131" s="403">
        <f>(M26*($E26/366))+(M27*($E27/366))</f>
        <v>100</v>
      </c>
      <c r="E131" s="430">
        <f t="shared" si="36"/>
        <v>100</v>
      </c>
      <c r="F131" s="431"/>
      <c r="G131" s="1">
        <v>1976</v>
      </c>
      <c r="H131" s="918">
        <f>(O26/$R26*100*($E26/366))+(O27/$R27*100*($E27/366))</f>
        <v>0</v>
      </c>
      <c r="I131" s="918"/>
      <c r="J131" s="918">
        <f>(P26/$R26*100*($E26/366))+(P27/$R27*100*($E27/366))</f>
        <v>0</v>
      </c>
      <c r="K131" s="918"/>
      <c r="L131" s="918">
        <f>(Q26/$R26*100*($E26/366))+(Q27/$R27*100*($E27/366))</f>
        <v>100</v>
      </c>
      <c r="M131" s="918"/>
      <c r="N131" s="939">
        <f t="shared" si="37"/>
        <v>100</v>
      </c>
      <c r="O131" s="939"/>
      <c r="P131" s="431"/>
      <c r="Q131" s="431"/>
      <c r="R131" s="1">
        <v>1976</v>
      </c>
      <c r="S131" s="8">
        <f>(O26*($E26/366))+(O27*($E27/366))</f>
        <v>0</v>
      </c>
      <c r="T131" s="8">
        <f>(P26*($E26/366))+(P27*($E27/366))</f>
        <v>0</v>
      </c>
      <c r="U131" s="8">
        <f>(Q26*($E26/366))+(Q27*($E27/366))</f>
        <v>51.28633879781421</v>
      </c>
      <c r="V131" s="7"/>
      <c r="W131" s="7">
        <f t="shared" si="38"/>
        <v>51.28633879781421</v>
      </c>
    </row>
    <row r="132" spans="1:23" ht="9" customHeight="1">
      <c r="A132" s="1">
        <v>1977</v>
      </c>
      <c r="B132" s="403">
        <f>(K28*($E28/365))+(K29*($E29/365))</f>
        <v>0</v>
      </c>
      <c r="C132" s="403">
        <f>(L28*($E28/365))+(L29*($E29/365))</f>
        <v>0</v>
      </c>
      <c r="D132" s="403">
        <f>(M28*($E28/365))+(M29*($E29/365))</f>
        <v>100</v>
      </c>
      <c r="E132" s="430">
        <f t="shared" si="36"/>
        <v>100</v>
      </c>
      <c r="F132" s="431"/>
      <c r="G132" s="1">
        <v>1977</v>
      </c>
      <c r="H132" s="918">
        <f>(O28/$R28*100*($E28/365))+(O29/$R29*100*($E29/365))</f>
        <v>0</v>
      </c>
      <c r="I132" s="918"/>
      <c r="J132" s="918">
        <f>(P28/$R28*100*($E28/365))+(P29/$R29*100*($E29/365))</f>
        <v>0</v>
      </c>
      <c r="K132" s="918"/>
      <c r="L132" s="918">
        <f>(Q28/$R28*100*($E28/365))+(Q29/$R29*100*($E29/365))</f>
        <v>100</v>
      </c>
      <c r="M132" s="918"/>
      <c r="N132" s="939">
        <f t="shared" si="37"/>
        <v>100</v>
      </c>
      <c r="O132" s="939"/>
      <c r="P132" s="431"/>
      <c r="Q132" s="431"/>
      <c r="R132" s="1">
        <v>1977</v>
      </c>
      <c r="S132" s="8">
        <f>(O28*($E28/365))+(O29*($E29/365))</f>
        <v>0</v>
      </c>
      <c r="T132" s="8">
        <f>(P28*($E28/365))+(P29*($E29/365))</f>
        <v>0</v>
      </c>
      <c r="U132" s="8">
        <f>(Q28*($E28/365))+(Q29*($E29/365))</f>
        <v>52.3</v>
      </c>
      <c r="V132" s="7"/>
      <c r="W132" s="7">
        <f t="shared" si="38"/>
        <v>52.3</v>
      </c>
    </row>
    <row r="133" spans="1:23" ht="9" customHeight="1">
      <c r="A133" s="1">
        <v>1978</v>
      </c>
      <c r="B133" s="403">
        <f>(K30*($E30/365))+(K31*($E31/365))</f>
        <v>0</v>
      </c>
      <c r="C133" s="403">
        <f>(L30*($E30/365))+(L31*($E31/365))</f>
        <v>0</v>
      </c>
      <c r="D133" s="403">
        <f>(M30*($E30/365))+(M31*($E31/365))</f>
        <v>100</v>
      </c>
      <c r="E133" s="430">
        <f t="shared" si="36"/>
        <v>100</v>
      </c>
      <c r="F133" s="431"/>
      <c r="G133" s="1">
        <v>1978</v>
      </c>
      <c r="H133" s="918">
        <f>(O30/$R30*100*($E30/365))+(O31/$R31*100*($E31/365))</f>
        <v>0</v>
      </c>
      <c r="I133" s="918"/>
      <c r="J133" s="918">
        <f>(P30/$R30*100*($E30/365))+(P31/$R31*100*($E31/365))</f>
        <v>0</v>
      </c>
      <c r="K133" s="918"/>
      <c r="L133" s="918">
        <f>(Q30/$R30*100*($E30/365))+(Q31/$R31*100*($E31/365))</f>
        <v>100</v>
      </c>
      <c r="M133" s="918"/>
      <c r="N133" s="939">
        <f t="shared" si="37"/>
        <v>100</v>
      </c>
      <c r="O133" s="939"/>
      <c r="P133" s="431"/>
      <c r="Q133" s="431"/>
      <c r="R133" s="1">
        <v>1978</v>
      </c>
      <c r="S133" s="8">
        <f>(O30*($E30/365))+(O31*($E31/365))</f>
        <v>0</v>
      </c>
      <c r="T133" s="8">
        <f>(P30*($E30/365))+(P31*($E31/365))</f>
        <v>0</v>
      </c>
      <c r="U133" s="8">
        <f>(Q30*($E30/365))+(Q31*($E31/365))</f>
        <v>52.3</v>
      </c>
      <c r="V133" s="7"/>
      <c r="W133" s="7">
        <f t="shared" si="38"/>
        <v>52.3</v>
      </c>
    </row>
    <row r="134" spans="1:23" ht="9" customHeight="1">
      <c r="A134" s="1">
        <v>1979</v>
      </c>
      <c r="B134" s="403">
        <f>(K32*($E32/365))+(K33*($E33/365))</f>
        <v>0</v>
      </c>
      <c r="C134" s="403">
        <f>(L32*($E32/365))+(L33*($E33/365))</f>
        <v>0</v>
      </c>
      <c r="D134" s="403">
        <f>(M32*($E32/365))+(M33*($E33/365))</f>
        <v>100</v>
      </c>
      <c r="E134" s="430">
        <f t="shared" si="36"/>
        <v>100</v>
      </c>
      <c r="F134" s="431"/>
      <c r="G134" s="1">
        <v>1979</v>
      </c>
      <c r="H134" s="918">
        <f>(O32/$R32*100*($E32/365))+(O33/$R33*100*($E33/365))</f>
        <v>0</v>
      </c>
      <c r="I134" s="918"/>
      <c r="J134" s="918">
        <f>(P32/$R32*100*($E32/365))+(P33/$R33*100*($E33/365))</f>
        <v>0</v>
      </c>
      <c r="K134" s="918"/>
      <c r="L134" s="918">
        <f>(Q32/$R32*100*($E32/365))+(Q33/$R33*100*($E33/365))</f>
        <v>100</v>
      </c>
      <c r="M134" s="918"/>
      <c r="N134" s="939">
        <f t="shared" si="37"/>
        <v>100</v>
      </c>
      <c r="O134" s="939"/>
      <c r="P134" s="431"/>
      <c r="Q134" s="431"/>
      <c r="R134" s="1">
        <v>1979</v>
      </c>
      <c r="S134" s="8">
        <f>(O32*($E32/365))+(O33*($E33/365))</f>
        <v>0</v>
      </c>
      <c r="T134" s="8">
        <f>(P32*($E32/365))+(P33*($E33/365))</f>
        <v>0</v>
      </c>
      <c r="U134" s="8">
        <f>(Q32*($E32/365))+(Q33*($E33/365))</f>
        <v>52.3</v>
      </c>
      <c r="V134" s="7"/>
      <c r="W134" s="7">
        <f t="shared" si="38"/>
        <v>52.3</v>
      </c>
    </row>
    <row r="135" spans="1:23" ht="9" customHeight="1">
      <c r="A135" s="1">
        <v>1980</v>
      </c>
      <c r="B135" s="403">
        <f>(K34*($E34/366))+(K35*($E35/366))</f>
        <v>0</v>
      </c>
      <c r="C135" s="403">
        <f>(L34*($E34/366))+(L35*($E35/366))</f>
        <v>0</v>
      </c>
      <c r="D135" s="403">
        <f>(M34*($E34/366))+(M35*($E35/366))</f>
        <v>100</v>
      </c>
      <c r="E135" s="430">
        <f t="shared" si="36"/>
        <v>100</v>
      </c>
      <c r="F135" s="431"/>
      <c r="G135" s="1">
        <v>1980</v>
      </c>
      <c r="H135" s="918">
        <f>(O34/$R34*100*($E34/366))+(O35/$R35*100*($E35/366))</f>
        <v>0</v>
      </c>
      <c r="I135" s="918"/>
      <c r="J135" s="918">
        <f>(P34/$R34*100*($E34/366))+(P35/$R35*100*($E35/366))</f>
        <v>0</v>
      </c>
      <c r="K135" s="918"/>
      <c r="L135" s="918">
        <f>(Q34/$R34*100*($E34/366))+(Q35/$R35*100*($E35/366))</f>
        <v>100</v>
      </c>
      <c r="M135" s="918"/>
      <c r="N135" s="939">
        <f t="shared" si="37"/>
        <v>100</v>
      </c>
      <c r="O135" s="939"/>
      <c r="P135" s="431"/>
      <c r="Q135" s="431"/>
      <c r="R135" s="1">
        <v>1980</v>
      </c>
      <c r="S135" s="8">
        <f>(O34*($E34/366))+(O35*($E35/366))</f>
        <v>0</v>
      </c>
      <c r="T135" s="8">
        <f>(P34*($E34/366))+(P35*($E35/366))</f>
        <v>0</v>
      </c>
      <c r="U135" s="8">
        <f>(Q34*($E34/366))+(Q35*($E35/366))</f>
        <v>52.3</v>
      </c>
      <c r="V135" s="7"/>
      <c r="W135" s="7">
        <f t="shared" si="38"/>
        <v>52.3</v>
      </c>
    </row>
    <row r="136" spans="1:23" ht="9" customHeight="1">
      <c r="A136" s="1">
        <v>1981</v>
      </c>
      <c r="B136" s="403">
        <f>(K36*($E36/365))+(K37*($E37/365))</f>
        <v>0</v>
      </c>
      <c r="C136" s="403">
        <f>(L36*($E36/365))+(L37*($E37/365))</f>
        <v>0</v>
      </c>
      <c r="D136" s="403">
        <f>(M36*($E36/365))+(M37*($E37/365))</f>
        <v>100.00000000000001</v>
      </c>
      <c r="E136" s="430">
        <f t="shared" si="36"/>
        <v>100.00000000000001</v>
      </c>
      <c r="F136" s="431"/>
      <c r="G136" s="1">
        <v>1981</v>
      </c>
      <c r="H136" s="918">
        <f>(O36/$R36*100*($E36/365))+(O37/$R37*100*($E37/365))</f>
        <v>0</v>
      </c>
      <c r="I136" s="918"/>
      <c r="J136" s="918">
        <f>(P36/$R36*100*($E36/365))+(P37/$R37*100*($E37/365))</f>
        <v>0</v>
      </c>
      <c r="K136" s="918"/>
      <c r="L136" s="918">
        <f>(Q36/$R36*100*($E36/365))+(Q37/$R37*100*($E37/365))</f>
        <v>100.00000000000001</v>
      </c>
      <c r="M136" s="918"/>
      <c r="N136" s="939">
        <f t="shared" si="37"/>
        <v>100.00000000000001</v>
      </c>
      <c r="O136" s="939"/>
      <c r="P136" s="431"/>
      <c r="Q136" s="431"/>
      <c r="R136" s="1">
        <v>1981</v>
      </c>
      <c r="S136" s="8">
        <f>(O36*($E36/365))+(O37*($E37/365))</f>
        <v>0</v>
      </c>
      <c r="T136" s="8">
        <f>(P36*($E36/365))+(P37*($E37/365))</f>
        <v>0</v>
      </c>
      <c r="U136" s="8">
        <f>(Q36*($E36/365))+(Q37*($E37/365))</f>
        <v>52.300000000000004</v>
      </c>
      <c r="V136" s="7"/>
      <c r="W136" s="7">
        <f t="shared" si="38"/>
        <v>52.300000000000004</v>
      </c>
    </row>
    <row r="137" spans="1:23" ht="9" customHeight="1">
      <c r="A137" s="1">
        <v>1982</v>
      </c>
      <c r="B137" s="403">
        <f>(K38*($E38/365))+(K39*($E39/365))</f>
        <v>0</v>
      </c>
      <c r="C137" s="403">
        <f>(L38*($E38/365))+(L39*($E39/365))</f>
        <v>0</v>
      </c>
      <c r="D137" s="403">
        <f>(M38*($E38/365))+(M39*($E39/365))</f>
        <v>100</v>
      </c>
      <c r="E137" s="430">
        <f t="shared" si="36"/>
        <v>100</v>
      </c>
      <c r="F137" s="431"/>
      <c r="G137" s="1">
        <v>1982</v>
      </c>
      <c r="H137" s="918">
        <f>(O38/$R38*100*($E38/365))+(O39/$R39*100*($E39/365))</f>
        <v>0</v>
      </c>
      <c r="I137" s="918"/>
      <c r="J137" s="918">
        <f>(P38/$R38*100*($E38/365))+(P39/$R39*100*($E39/365))</f>
        <v>0</v>
      </c>
      <c r="K137" s="918"/>
      <c r="L137" s="918">
        <f>(Q38/$R38*100*($E38/365))+(Q39/$R39*100*($E39/365))</f>
        <v>100</v>
      </c>
      <c r="M137" s="918"/>
      <c r="N137" s="939">
        <f t="shared" si="37"/>
        <v>100</v>
      </c>
      <c r="O137" s="939"/>
      <c r="P137" s="431"/>
      <c r="Q137" s="431"/>
      <c r="R137" s="1">
        <v>1982</v>
      </c>
      <c r="S137" s="8">
        <f>(O38*($E38/365))+(O39*($E39/365))</f>
        <v>0</v>
      </c>
      <c r="T137" s="8">
        <f>(P38*($E38/365))+(P39*($E39/365))</f>
        <v>0</v>
      </c>
      <c r="U137" s="8">
        <f>(Q38*($E38/365))+(Q39*($E39/365))</f>
        <v>52.3</v>
      </c>
      <c r="V137" s="7"/>
      <c r="W137" s="7">
        <f t="shared" si="38"/>
        <v>52.3</v>
      </c>
    </row>
    <row r="138" spans="1:23" ht="9" customHeight="1">
      <c r="A138" s="1">
        <v>1983</v>
      </c>
      <c r="B138" s="403">
        <f>(K40*($E40/365))+(K41*($E41/365))</f>
        <v>0</v>
      </c>
      <c r="C138" s="403">
        <f>(L40*($E40/365))+(L41*($E41/365))</f>
        <v>0</v>
      </c>
      <c r="D138" s="403">
        <f>(M40*($E40/365))+(M41*($E41/365))</f>
        <v>100</v>
      </c>
      <c r="E138" s="430">
        <f t="shared" si="36"/>
        <v>100</v>
      </c>
      <c r="F138" s="431"/>
      <c r="G138" s="1">
        <v>1983</v>
      </c>
      <c r="H138" s="918">
        <f>(O40/$R40*100*($E40/365))+(O41/$R41*100*($E41/365))</f>
        <v>0</v>
      </c>
      <c r="I138" s="918"/>
      <c r="J138" s="918">
        <f>(P40/$R40*100*($E40/365))+(P41/$R41*100*($E41/365))</f>
        <v>0</v>
      </c>
      <c r="K138" s="918"/>
      <c r="L138" s="918">
        <f>(Q40/$R40*100*($E40/365))+(Q41/$R41*100*($E41/365))</f>
        <v>100</v>
      </c>
      <c r="M138" s="918"/>
      <c r="N138" s="939">
        <f t="shared" si="37"/>
        <v>100</v>
      </c>
      <c r="O138" s="939"/>
      <c r="P138" s="431"/>
      <c r="Q138" s="431"/>
      <c r="R138" s="1">
        <v>1983</v>
      </c>
      <c r="S138" s="8">
        <f>(O40*($E40/365))+(O41*($E41/365))</f>
        <v>0</v>
      </c>
      <c r="T138" s="8">
        <f>(P40*($E40/365))+(P41*($E41/365))</f>
        <v>0</v>
      </c>
      <c r="U138" s="8">
        <f>(Q40*($E40/365))+(Q41*($E41/365))</f>
        <v>52.3</v>
      </c>
      <c r="V138" s="7"/>
      <c r="W138" s="7">
        <f t="shared" si="38"/>
        <v>52.3</v>
      </c>
    </row>
    <row r="139" spans="1:23" ht="9" customHeight="1">
      <c r="A139" s="1">
        <v>1984</v>
      </c>
      <c r="B139" s="403">
        <f>(K42*($E42/366))+(K43*($E43/366))</f>
        <v>0</v>
      </c>
      <c r="C139" s="403">
        <f>(L42*($E42/366))+(L43*($E43/366))</f>
        <v>0</v>
      </c>
      <c r="D139" s="403">
        <f>(M42*($E42/366))+(M43*($E43/366))</f>
        <v>100</v>
      </c>
      <c r="E139" s="430">
        <f t="shared" si="36"/>
        <v>100</v>
      </c>
      <c r="F139" s="431"/>
      <c r="G139" s="1">
        <v>1984</v>
      </c>
      <c r="H139" s="918">
        <f>(O42/$R42*100*($E42/366))+(O43/$R43*100*($E43/366))</f>
        <v>0</v>
      </c>
      <c r="I139" s="918"/>
      <c r="J139" s="918">
        <f>(P42/$R42*100*($E42/366))+(P43/$R43*100*($E43/366))</f>
        <v>0</v>
      </c>
      <c r="K139" s="918"/>
      <c r="L139" s="918">
        <f>(Q42/$R42*100*($E42/366))+(Q43/$R43*100*($E43/366))</f>
        <v>100</v>
      </c>
      <c r="M139" s="918"/>
      <c r="N139" s="939">
        <f t="shared" si="37"/>
        <v>100</v>
      </c>
      <c r="O139" s="939"/>
      <c r="P139" s="431"/>
      <c r="Q139" s="431"/>
      <c r="R139" s="1">
        <v>1984</v>
      </c>
      <c r="S139" s="8">
        <f>(O42*($E42/366))+(O43*($E43/366))</f>
        <v>0</v>
      </c>
      <c r="T139" s="8">
        <f>(P42*($E42/366))+(P43*($E43/366))</f>
        <v>0</v>
      </c>
      <c r="U139" s="8">
        <f>(Q42*($E42/366))+(Q43*($E43/366))</f>
        <v>52.3</v>
      </c>
      <c r="V139" s="7"/>
      <c r="W139" s="7">
        <f t="shared" si="38"/>
        <v>52.3</v>
      </c>
    </row>
    <row r="140" spans="1:23" ht="9" customHeight="1">
      <c r="A140" s="1">
        <v>1985</v>
      </c>
      <c r="B140" s="403">
        <f>(K44*($E44/365))+(K45*($E45/365))</f>
        <v>0</v>
      </c>
      <c r="C140" s="403">
        <f>(L44*($E44/365))+(L45*($E45/365))</f>
        <v>0</v>
      </c>
      <c r="D140" s="403">
        <f>(M44*($E44/365))+(M45*($E45/365))</f>
        <v>100</v>
      </c>
      <c r="E140" s="430">
        <f t="shared" si="36"/>
        <v>100</v>
      </c>
      <c r="F140" s="431"/>
      <c r="G140" s="1">
        <v>1985</v>
      </c>
      <c r="H140" s="918">
        <f>(O44/$R44*100*($E44/365))+(O45/$R45*100*($E45/365))</f>
        <v>0</v>
      </c>
      <c r="I140" s="918"/>
      <c r="J140" s="918">
        <f>(P44/$R44*100*($E44/365))+(P45/$R45*100*($E45/365))</f>
        <v>0</v>
      </c>
      <c r="K140" s="918"/>
      <c r="L140" s="918">
        <f>(Q44/$R44*100*($E44/365))+(Q45/$R45*100*($E45/365))</f>
        <v>100</v>
      </c>
      <c r="M140" s="918"/>
      <c r="N140" s="939">
        <f t="shared" si="37"/>
        <v>100</v>
      </c>
      <c r="O140" s="939"/>
      <c r="P140" s="431"/>
      <c r="Q140" s="431"/>
      <c r="R140" s="1">
        <v>1985</v>
      </c>
      <c r="S140" s="8">
        <f>(O44*($E44/365))+(O45*($E45/365))</f>
        <v>0</v>
      </c>
      <c r="T140" s="8">
        <f>(P44*($E44/365))+(P45*($E45/365))</f>
        <v>0</v>
      </c>
      <c r="U140" s="8">
        <f>(Q44*($E44/365))+(Q45*($E45/365))</f>
        <v>52.3</v>
      </c>
      <c r="V140" s="7"/>
      <c r="W140" s="7">
        <f t="shared" si="38"/>
        <v>52.3</v>
      </c>
    </row>
    <row r="141" spans="1:23" ht="9" customHeight="1">
      <c r="A141" s="1">
        <v>1986</v>
      </c>
      <c r="B141" s="403">
        <f>(K46*($E46/365))+(K47*($E47/365))</f>
        <v>0</v>
      </c>
      <c r="C141" s="403">
        <f>(L46*($E46/365))+(L47*($E47/365))</f>
        <v>0</v>
      </c>
      <c r="D141" s="403">
        <f>(M46*($E46/365))+(M47*($E47/365))</f>
        <v>100</v>
      </c>
      <c r="E141" s="430">
        <f t="shared" si="36"/>
        <v>100</v>
      </c>
      <c r="F141" s="431"/>
      <c r="G141" s="1">
        <v>1986</v>
      </c>
      <c r="H141" s="918">
        <f>(O46/$R46*100*($E46/365))+(O47/$R47*100*($E47/365))</f>
        <v>0</v>
      </c>
      <c r="I141" s="918"/>
      <c r="J141" s="918">
        <f>(P46/$R46*100*($E46/365))+(P47/$R47*100*($E47/365))</f>
        <v>0</v>
      </c>
      <c r="K141" s="918"/>
      <c r="L141" s="918">
        <f>(Q46/$R46*100*($E46/365))+(Q47/$R47*100*($E47/365))</f>
        <v>100</v>
      </c>
      <c r="M141" s="918"/>
      <c r="N141" s="939">
        <f t="shared" si="37"/>
        <v>100</v>
      </c>
      <c r="O141" s="939"/>
      <c r="P141" s="431"/>
      <c r="Q141" s="431"/>
      <c r="R141" s="1">
        <v>1986</v>
      </c>
      <c r="S141" s="8">
        <f>(O46*($E46/365))+(O47*($E47/365))</f>
        <v>0</v>
      </c>
      <c r="T141" s="8">
        <f>(P46*($E46/365))+(P47*($E47/365))</f>
        <v>0</v>
      </c>
      <c r="U141" s="8">
        <f>(Q46*($E46/365))+(Q47*($E47/365))</f>
        <v>52.3</v>
      </c>
      <c r="V141" s="7"/>
      <c r="W141" s="7">
        <f t="shared" si="38"/>
        <v>52.3</v>
      </c>
    </row>
    <row r="142" spans="1:23" ht="9" customHeight="1">
      <c r="A142" s="1">
        <v>1987</v>
      </c>
      <c r="B142" s="403">
        <f>(K48*($E48/365))+(K49*($E49/365))</f>
        <v>0</v>
      </c>
      <c r="C142" s="403">
        <f>(L48*($E48/365))+(L49*($E49/365))</f>
        <v>63.561643835616444</v>
      </c>
      <c r="D142" s="403">
        <f>(M48*($E48/365))+(M49*($E49/365))</f>
        <v>36.438356164383563</v>
      </c>
      <c r="E142" s="430">
        <f t="shared" si="36"/>
        <v>100</v>
      </c>
      <c r="F142" s="431"/>
      <c r="G142" s="1">
        <v>1987</v>
      </c>
      <c r="H142" s="918">
        <f>(O48/$R48*100*($E48/365))+(O49/$R49*100*($E49/365))</f>
        <v>0</v>
      </c>
      <c r="I142" s="918"/>
      <c r="J142" s="918">
        <f>(P48/$R48*100*($E48/365))+(P49/$R49*100*($E49/365))</f>
        <v>63.561643835616444</v>
      </c>
      <c r="K142" s="918"/>
      <c r="L142" s="918">
        <f>(Q48/$R48*100*($E48/365))+(Q49/$R49*100*($E49/365))</f>
        <v>36.438356164383563</v>
      </c>
      <c r="M142" s="918"/>
      <c r="N142" s="939">
        <f t="shared" si="37"/>
        <v>100</v>
      </c>
      <c r="O142" s="939"/>
      <c r="P142" s="431"/>
      <c r="Q142" s="431"/>
      <c r="R142" s="1">
        <v>1987</v>
      </c>
      <c r="S142" s="8">
        <f>(O48*($E48/365))+(O49*($E49/365))</f>
        <v>0</v>
      </c>
      <c r="T142" s="8">
        <f>(P48*($E48/365))+(P49*($E49/365))</f>
        <v>32.22575342465754</v>
      </c>
      <c r="U142" s="8">
        <f>(Q48*($E48/365))+(Q49*($E49/365))</f>
        <v>19.057260273972602</v>
      </c>
      <c r="V142" s="7"/>
      <c r="W142" s="7">
        <f t="shared" si="38"/>
        <v>51.283013698630143</v>
      </c>
    </row>
    <row r="143" spans="1:23" ht="9" customHeight="1">
      <c r="A143" s="1">
        <v>1988</v>
      </c>
      <c r="B143" s="403">
        <f>(K50*($E50/366))+(K51*($E51/366))</f>
        <v>0</v>
      </c>
      <c r="C143" s="403">
        <f>(L50*($E50/366))+(L51*($E51/366))</f>
        <v>100</v>
      </c>
      <c r="D143" s="403">
        <f>(M50*($E50/366))+(M51*($E51/366))</f>
        <v>0</v>
      </c>
      <c r="E143" s="430">
        <f t="shared" si="36"/>
        <v>100</v>
      </c>
      <c r="F143" s="431"/>
      <c r="G143" s="1">
        <v>1988</v>
      </c>
      <c r="H143" s="918">
        <f>(O50/$R50*100*($E50/366))+(O51/$R51*100*($E51/366))</f>
        <v>0</v>
      </c>
      <c r="I143" s="918"/>
      <c r="J143" s="918">
        <f>(P50/$R50*100*($E50/366))+(P51/$R51*100*($E51/366))</f>
        <v>100</v>
      </c>
      <c r="K143" s="918"/>
      <c r="L143" s="918">
        <f>(Q50/$R50*100*($E50/366))+(Q51/$R51*100*($E51/366))</f>
        <v>0</v>
      </c>
      <c r="M143" s="918"/>
      <c r="N143" s="939">
        <f t="shared" si="37"/>
        <v>100</v>
      </c>
      <c r="O143" s="939"/>
      <c r="P143" s="431"/>
      <c r="Q143" s="431"/>
      <c r="R143" s="1">
        <v>1988</v>
      </c>
      <c r="S143" s="8">
        <f>(O50*($E50/366))+(O51*($E51/366))</f>
        <v>0</v>
      </c>
      <c r="T143" s="8">
        <f>(P50*($E50/366))+(P51*($E51/366))</f>
        <v>50.7</v>
      </c>
      <c r="U143" s="8">
        <f>(Q50*($E50/366))+(Q51*($E51/366))</f>
        <v>0</v>
      </c>
      <c r="V143" s="7"/>
      <c r="W143" s="7">
        <f t="shared" si="38"/>
        <v>50.7</v>
      </c>
    </row>
    <row r="144" spans="1:23" ht="9" customHeight="1">
      <c r="A144" s="1">
        <v>1989</v>
      </c>
      <c r="B144" s="403">
        <f>(K52*($E52/365))+(K53*($E53/365))</f>
        <v>0</v>
      </c>
      <c r="C144" s="403">
        <f>(L52*($E52/365))+(L53*($E53/365))</f>
        <v>100</v>
      </c>
      <c r="D144" s="403">
        <f>(M52*($E52/365))+(M53*($E53/365))</f>
        <v>0</v>
      </c>
      <c r="E144" s="430">
        <f t="shared" si="36"/>
        <v>100</v>
      </c>
      <c r="F144" s="431"/>
      <c r="G144" s="1">
        <v>1989</v>
      </c>
      <c r="H144" s="918">
        <f>(O52/$R52*100*($E52/365))+(O53/$R53*100*($E53/365))</f>
        <v>0</v>
      </c>
      <c r="I144" s="918"/>
      <c r="J144" s="918">
        <f>(P52/$R52*100*($E52/365))+(P53/$R53*100*($E53/365))</f>
        <v>100</v>
      </c>
      <c r="K144" s="918"/>
      <c r="L144" s="918">
        <f>(Q52/$R52*100*($E52/365))+(Q53/$R53*100*($E53/365))</f>
        <v>0</v>
      </c>
      <c r="M144" s="918"/>
      <c r="N144" s="939">
        <f t="shared" si="37"/>
        <v>100</v>
      </c>
      <c r="O144" s="939"/>
      <c r="P144" s="431"/>
      <c r="Q144" s="431"/>
      <c r="R144" s="1">
        <v>1989</v>
      </c>
      <c r="S144" s="8">
        <f>(O52*($E52/365))+(O53*($E53/365))</f>
        <v>0</v>
      </c>
      <c r="T144" s="8">
        <f>(P52*($E52/365))+(P53*($E53/365))</f>
        <v>50.7</v>
      </c>
      <c r="U144" s="8">
        <f>(Q52*($E52/365))+(Q53*($E53/365))</f>
        <v>0</v>
      </c>
      <c r="V144" s="7"/>
      <c r="W144" s="7">
        <f t="shared" si="38"/>
        <v>50.7</v>
      </c>
    </row>
    <row r="145" spans="1:23" ht="9" customHeight="1">
      <c r="A145" s="1">
        <v>1990</v>
      </c>
      <c r="B145" s="403">
        <f>(K54*($E54/365))+(K55*($E55/365))</f>
        <v>0</v>
      </c>
      <c r="C145" s="403">
        <f>(L54*($E54/365))+(L55*($E55/365))</f>
        <v>100</v>
      </c>
      <c r="D145" s="403">
        <f>(M54*($E54/365))+(M55*($E55/365))</f>
        <v>0</v>
      </c>
      <c r="E145" s="430">
        <f t="shared" si="36"/>
        <v>100</v>
      </c>
      <c r="F145" s="431"/>
      <c r="G145" s="1">
        <v>1990</v>
      </c>
      <c r="H145" s="918">
        <f>(O54/$R54*100*($E54/365))+(O55/$R55*100*($E55/365))</f>
        <v>0</v>
      </c>
      <c r="I145" s="918"/>
      <c r="J145" s="918">
        <f>(P54/$R54*100*($E54/365))+(P55/$R55*100*($E55/365))</f>
        <v>100</v>
      </c>
      <c r="K145" s="918"/>
      <c r="L145" s="918">
        <f>(Q54/$R54*100*($E54/365))+(Q55/$R55*100*($E55/365))</f>
        <v>0</v>
      </c>
      <c r="M145" s="918"/>
      <c r="N145" s="939">
        <f t="shared" ref="N145:N168" si="39">H145+J145+L145</f>
        <v>100</v>
      </c>
      <c r="O145" s="939"/>
      <c r="P145" s="431"/>
      <c r="Q145" s="431"/>
      <c r="R145" s="1">
        <v>1990</v>
      </c>
      <c r="S145" s="8">
        <f>(O54*($E54/365))+(O55*($E55/365))</f>
        <v>0</v>
      </c>
      <c r="T145" s="8">
        <f>(P54*($E54/365))+(P55*($E55/365))</f>
        <v>50.7</v>
      </c>
      <c r="U145" s="8">
        <f>(Q54*($E54/365))+(Q55*($E55/365))</f>
        <v>0</v>
      </c>
      <c r="V145" s="7"/>
      <c r="W145" s="7">
        <f t="shared" si="38"/>
        <v>50.7</v>
      </c>
    </row>
    <row r="146" spans="1:23" ht="9" customHeight="1">
      <c r="A146" s="1">
        <v>1991</v>
      </c>
      <c r="B146" s="403">
        <f>(K56*($E56/365))+(K57*($E57/365))</f>
        <v>0</v>
      </c>
      <c r="C146" s="403">
        <f>(L56*($E56/365))+(L57*($E57/365))</f>
        <v>100</v>
      </c>
      <c r="D146" s="403">
        <f>(M56*($E56/365))+(M57*($E57/365))</f>
        <v>0</v>
      </c>
      <c r="E146" s="430">
        <f t="shared" si="36"/>
        <v>100</v>
      </c>
      <c r="F146" s="431"/>
      <c r="G146" s="1">
        <v>1991</v>
      </c>
      <c r="H146" s="918">
        <f>(O56/$R56*100*($E56/365))+(O57/$R57*100*($E57/365))</f>
        <v>0</v>
      </c>
      <c r="I146" s="918"/>
      <c r="J146" s="918">
        <f>(P56/$R56*100*($E56/365))+(P57/$R57*100*($E57/365))</f>
        <v>100</v>
      </c>
      <c r="K146" s="918"/>
      <c r="L146" s="918">
        <f>(Q56/$R56*100*($E56/365))+(Q57/$R57*100*($E57/365))</f>
        <v>0</v>
      </c>
      <c r="M146" s="918"/>
      <c r="N146" s="939">
        <f t="shared" si="39"/>
        <v>100</v>
      </c>
      <c r="O146" s="939"/>
      <c r="P146" s="431"/>
      <c r="Q146" s="431"/>
      <c r="R146" s="1">
        <v>1991</v>
      </c>
      <c r="S146" s="8">
        <f>(O56*($E56/365))+(O57*($E57/365))</f>
        <v>0</v>
      </c>
      <c r="T146" s="8">
        <f>(P56*($E56/365))+(P57*($E57/365))</f>
        <v>50.7</v>
      </c>
      <c r="U146" s="8">
        <f>(Q56*($E56/365))+(Q57*($E57/365))</f>
        <v>0</v>
      </c>
      <c r="V146" s="7"/>
      <c r="W146" s="7">
        <f t="shared" si="38"/>
        <v>50.7</v>
      </c>
    </row>
    <row r="147" spans="1:23" ht="9" customHeight="1">
      <c r="A147" s="1">
        <v>1992</v>
      </c>
      <c r="B147" s="403">
        <f>(K58*($E58/366))+(K59*($E59/366))</f>
        <v>0</v>
      </c>
      <c r="C147" s="403">
        <f>(L58*($E58/366))+(L59*($E59/366))</f>
        <v>100</v>
      </c>
      <c r="D147" s="403">
        <f>(M58*($E58/366))+(M59*($E59/366))</f>
        <v>0</v>
      </c>
      <c r="E147" s="430">
        <f t="shared" si="36"/>
        <v>100</v>
      </c>
      <c r="F147" s="431"/>
      <c r="G147" s="1">
        <v>1992</v>
      </c>
      <c r="H147" s="918">
        <f>(O58/$R58*100*($E58/366))+(O59/$R59*100*($E59/366))</f>
        <v>0</v>
      </c>
      <c r="I147" s="918"/>
      <c r="J147" s="918">
        <f>(P58/$R58*100*($E58/366))+(P59/$R59*100*($E59/366))</f>
        <v>100</v>
      </c>
      <c r="K147" s="918"/>
      <c r="L147" s="918">
        <f>(Q58/$R58*100*($E58/366))+(Q59/$R59*100*($E59/366))</f>
        <v>0</v>
      </c>
      <c r="M147" s="918"/>
      <c r="N147" s="939">
        <f t="shared" si="39"/>
        <v>100</v>
      </c>
      <c r="O147" s="939"/>
      <c r="P147" s="431"/>
      <c r="Q147" s="431"/>
      <c r="R147" s="1">
        <v>1992</v>
      </c>
      <c r="S147" s="8">
        <f>(O58*($E58/366))+(O59*($E59/366))</f>
        <v>0</v>
      </c>
      <c r="T147" s="8">
        <f>(P58*($E58/366))+(P59*($E59/366))</f>
        <v>52.050819672131155</v>
      </c>
      <c r="U147" s="8">
        <f>(Q58*($E58/366))+(Q59*($E59/366))</f>
        <v>0</v>
      </c>
      <c r="V147" s="7"/>
      <c r="W147" s="7">
        <f t="shared" si="38"/>
        <v>52.050819672131155</v>
      </c>
    </row>
    <row r="148" spans="1:23" ht="9" customHeight="1">
      <c r="A148" s="1">
        <v>1993</v>
      </c>
      <c r="B148" s="403">
        <f>(K60*($E60/365))+(K61*($E61/365))</f>
        <v>0</v>
      </c>
      <c r="C148" s="403">
        <f>(L60*($E60/365))+(L61*($E61/365))</f>
        <v>100</v>
      </c>
      <c r="D148" s="403">
        <f>(M60*($E60/365))+(M61*($E61/365))</f>
        <v>0</v>
      </c>
      <c r="E148" s="430">
        <f t="shared" si="36"/>
        <v>100</v>
      </c>
      <c r="F148" s="431"/>
      <c r="G148" s="1">
        <v>1993</v>
      </c>
      <c r="H148" s="918">
        <f>(O60/$R60*100*($E60/365))+(O61/$R61*100*($E61/365))</f>
        <v>0</v>
      </c>
      <c r="I148" s="918"/>
      <c r="J148" s="918">
        <f>(P60/$R60*100*($E60/365))+(P61/$R61*100*($E61/365))</f>
        <v>100</v>
      </c>
      <c r="K148" s="918"/>
      <c r="L148" s="918">
        <f>(Q60/$R60*100*($E60/365))+(Q61/$R61*100*($E61/365))</f>
        <v>0</v>
      </c>
      <c r="M148" s="918"/>
      <c r="N148" s="939">
        <f t="shared" si="39"/>
        <v>100</v>
      </c>
      <c r="O148" s="939"/>
      <c r="P148" s="431"/>
      <c r="Q148" s="431"/>
      <c r="R148" s="1">
        <v>1993</v>
      </c>
      <c r="S148" s="8">
        <f>(O60*($E60/365))+(O61*($E61/365))</f>
        <v>0</v>
      </c>
      <c r="T148" s="8">
        <f>(P60*($E60/365))+(P61*($E61/365))</f>
        <v>52.3</v>
      </c>
      <c r="U148" s="8">
        <f>(Q60*($E60/365))+(Q61*($E61/365))</f>
        <v>0</v>
      </c>
      <c r="V148" s="7"/>
      <c r="W148" s="7">
        <f t="shared" ref="W148:W168" si="40">S148+T148+U148</f>
        <v>52.3</v>
      </c>
    </row>
    <row r="149" spans="1:23" ht="9" customHeight="1">
      <c r="A149" s="1">
        <v>1994</v>
      </c>
      <c r="B149" s="403">
        <f>(K62*($E62/365))+(K63*($E63/365))</f>
        <v>0</v>
      </c>
      <c r="C149" s="403">
        <f>(L62*($E62/365))+(L63*($E63/365))</f>
        <v>100</v>
      </c>
      <c r="D149" s="403">
        <f>(M62*($E62/365))+(M63*($E63/365))</f>
        <v>0</v>
      </c>
      <c r="E149" s="430">
        <f t="shared" si="36"/>
        <v>100</v>
      </c>
      <c r="F149" s="431"/>
      <c r="G149" s="1">
        <v>1994</v>
      </c>
      <c r="H149" s="918">
        <f>(O62/$R62*100*($E62/365))+(O63/$R63*100*($E63/365))</f>
        <v>0</v>
      </c>
      <c r="I149" s="918"/>
      <c r="J149" s="918">
        <f>(P62/$R62*100*($E62/365))+(P63/$R63*100*($E63/365))</f>
        <v>100</v>
      </c>
      <c r="K149" s="918"/>
      <c r="L149" s="918">
        <f>(Q62/$R62*100*($E62/365))+(Q63/$R63*100*($E63/365))</f>
        <v>0</v>
      </c>
      <c r="M149" s="918"/>
      <c r="N149" s="939">
        <f t="shared" si="39"/>
        <v>100</v>
      </c>
      <c r="O149" s="939"/>
      <c r="P149" s="431"/>
      <c r="Q149" s="431"/>
      <c r="R149" s="1">
        <v>1994</v>
      </c>
      <c r="S149" s="8">
        <f>(O62*($E62/365))+(O63*($E63/365))</f>
        <v>0</v>
      </c>
      <c r="T149" s="8">
        <f>(P62*($E62/365))+(P63*($E63/365))</f>
        <v>52.3</v>
      </c>
      <c r="U149" s="8">
        <f>(Q62*($E62/365))+(Q63*($E63/365))</f>
        <v>0</v>
      </c>
      <c r="V149" s="7"/>
      <c r="W149" s="7">
        <f t="shared" si="40"/>
        <v>52.3</v>
      </c>
    </row>
    <row r="150" spans="1:23" ht="9" customHeight="1">
      <c r="A150" s="1">
        <v>1995</v>
      </c>
      <c r="B150" s="403">
        <f>(K64*($E64/365))+(K65*($E65/365))</f>
        <v>0</v>
      </c>
      <c r="C150" s="403">
        <f>(L64*($E64/365))+(L65*($E65/365))</f>
        <v>100</v>
      </c>
      <c r="D150" s="403">
        <f>(M64*($E64/365))+(M65*($E65/365))</f>
        <v>0</v>
      </c>
      <c r="E150" s="430">
        <f t="shared" si="36"/>
        <v>100</v>
      </c>
      <c r="F150" s="431"/>
      <c r="G150" s="1">
        <v>1995</v>
      </c>
      <c r="H150" s="918">
        <f>(O64/$R64*100*($E64/365))+(O65/$R65*100*($E65/365))</f>
        <v>0</v>
      </c>
      <c r="I150" s="918"/>
      <c r="J150" s="918">
        <f>(P64/$R64*100*($E64/365))+(P65/$R65*100*($E65/365))</f>
        <v>100</v>
      </c>
      <c r="K150" s="918"/>
      <c r="L150" s="918">
        <f>(Q64/$R64*100*($E64/365))+(Q65/$R65*100*($E65/365))</f>
        <v>0</v>
      </c>
      <c r="M150" s="918"/>
      <c r="N150" s="939">
        <f t="shared" si="39"/>
        <v>100</v>
      </c>
      <c r="O150" s="939"/>
      <c r="P150" s="431"/>
      <c r="Q150" s="431"/>
      <c r="R150" s="1">
        <v>1995</v>
      </c>
      <c r="S150" s="8">
        <f>(O64*($E64/365))+(O65*($E65/365))</f>
        <v>0</v>
      </c>
      <c r="T150" s="8">
        <f>(P64*($E64/365))+(P65*($E65/365))</f>
        <v>52.3</v>
      </c>
      <c r="U150" s="8">
        <f>(Q64*($E64/365))+(Q65*($E65/365))</f>
        <v>0</v>
      </c>
      <c r="V150" s="7"/>
      <c r="W150" s="7">
        <f t="shared" si="40"/>
        <v>52.3</v>
      </c>
    </row>
    <row r="151" spans="1:23" ht="9" customHeight="1">
      <c r="A151" s="1">
        <v>1996</v>
      </c>
      <c r="B151" s="403">
        <f>(K66*($E66/366))+(K67*($E67/366))</f>
        <v>0</v>
      </c>
      <c r="C151" s="403">
        <f>(L66*($E66/366))+(L67*($E67/366))</f>
        <v>82.513661202185801</v>
      </c>
      <c r="D151" s="403">
        <f>(M66*($E66/366))+(M67*($E67/366))</f>
        <v>17.486338797814209</v>
      </c>
      <c r="E151" s="430">
        <f t="shared" si="36"/>
        <v>100.00000000000001</v>
      </c>
      <c r="F151" s="431"/>
      <c r="G151" s="1">
        <v>1996</v>
      </c>
      <c r="H151" s="918">
        <f>(O66/$R66*100*($E66/366))+(O67/$R67*100*($E67/366))</f>
        <v>0</v>
      </c>
      <c r="I151" s="918"/>
      <c r="J151" s="918">
        <f>(P66/$R66*100*($E66/366))+(P67/$R67*100*($E67/366))</f>
        <v>82.513661202185801</v>
      </c>
      <c r="K151" s="918"/>
      <c r="L151" s="918">
        <f>(Q66/$R66*100*($E66/366))+(Q67/$R67*100*($E67/366))</f>
        <v>17.486338797814209</v>
      </c>
      <c r="M151" s="918"/>
      <c r="N151" s="939">
        <f t="shared" si="39"/>
        <v>100.00000000000001</v>
      </c>
      <c r="O151" s="939"/>
      <c r="P151" s="431"/>
      <c r="Q151" s="431"/>
      <c r="R151" s="1">
        <v>1996</v>
      </c>
      <c r="S151" s="8">
        <f>(O66*($E66/366))+(O67*($E67/366))</f>
        <v>0</v>
      </c>
      <c r="T151" s="8">
        <f>(P66*($E66/366))+(P67*($E67/366))</f>
        <v>43.154644808743171</v>
      </c>
      <c r="U151" s="8">
        <f>(Q66*($E66/366))+(Q67*($E67/366))</f>
        <v>8.8655737704918032</v>
      </c>
      <c r="V151" s="7"/>
      <c r="W151" s="7">
        <f t="shared" si="40"/>
        <v>52.020218579234978</v>
      </c>
    </row>
    <row r="152" spans="1:23" ht="9" customHeight="1">
      <c r="A152" s="1">
        <v>1997</v>
      </c>
      <c r="B152" s="403">
        <f>(K68*($E68/365))+(K69*($E69/365))</f>
        <v>0</v>
      </c>
      <c r="C152" s="403">
        <f>(L68*($E68/365))+(L69*($E69/365))</f>
        <v>0</v>
      </c>
      <c r="D152" s="403">
        <f>(M68*($E68/365))+(M69*($E69/365))</f>
        <v>100</v>
      </c>
      <c r="E152" s="430">
        <f t="shared" si="36"/>
        <v>100</v>
      </c>
      <c r="F152" s="431"/>
      <c r="G152" s="1">
        <v>1997</v>
      </c>
      <c r="H152" s="918">
        <f>(O68/$R68*100*($E68/365))+(O69/$R69*100*($E69/365))</f>
        <v>0</v>
      </c>
      <c r="I152" s="918"/>
      <c r="J152" s="918">
        <f>(P68/$R68*100*($E68/365))+(P69/$R69*100*($E69/365))</f>
        <v>0</v>
      </c>
      <c r="K152" s="918"/>
      <c r="L152" s="918">
        <f>(Q68/$R68*100*($E68/365))+(Q69/$R69*100*($E69/365))</f>
        <v>100</v>
      </c>
      <c r="M152" s="918"/>
      <c r="N152" s="939">
        <f t="shared" si="39"/>
        <v>100</v>
      </c>
      <c r="O152" s="939"/>
      <c r="P152" s="431"/>
      <c r="Q152" s="431"/>
      <c r="R152" s="1">
        <v>1997</v>
      </c>
      <c r="S152" s="8">
        <f>(O68*($E68/365))+(O69*($E69/365))</f>
        <v>0</v>
      </c>
      <c r="T152" s="8">
        <f>(P68*($E68/365))+(P69*($E69/365))</f>
        <v>0</v>
      </c>
      <c r="U152" s="8">
        <f>(Q68*($E68/365))+(Q69*($E69/365))</f>
        <v>50.7</v>
      </c>
      <c r="V152" s="7"/>
      <c r="W152" s="7">
        <f t="shared" si="40"/>
        <v>50.7</v>
      </c>
    </row>
    <row r="153" spans="1:23" ht="9" customHeight="1">
      <c r="A153" s="1">
        <v>1998</v>
      </c>
      <c r="B153" s="403">
        <f>(K70*($E70/365))+(K71*($E71/365))</f>
        <v>0</v>
      </c>
      <c r="C153" s="403">
        <f>(L70*($E70/365))+(L71*($E71/365))</f>
        <v>31.506849315068493</v>
      </c>
      <c r="D153" s="403">
        <f>(M70*($E70/365))+(M71*($E71/365))</f>
        <v>68.493150684931507</v>
      </c>
      <c r="E153" s="430">
        <f t="shared" si="36"/>
        <v>100</v>
      </c>
      <c r="F153" s="431"/>
      <c r="G153" s="1">
        <v>1998</v>
      </c>
      <c r="H153" s="918">
        <f>(O70/$R70*100*($E70/365))+(O71/$R71*100*($E71/365))</f>
        <v>0</v>
      </c>
      <c r="I153" s="918"/>
      <c r="J153" s="918">
        <f>(P70/$R70*100*($E70/365))+(P71/$R71*100*($E71/365))</f>
        <v>31.506849315068493</v>
      </c>
      <c r="K153" s="918"/>
      <c r="L153" s="918">
        <f>(Q70/$R70*100*($E70/365))+(Q71/$R71*100*($E71/365))</f>
        <v>68.493150684931507</v>
      </c>
      <c r="M153" s="918"/>
      <c r="N153" s="939">
        <f t="shared" si="39"/>
        <v>100</v>
      </c>
      <c r="O153" s="939"/>
      <c r="P153" s="431"/>
      <c r="Q153" s="431"/>
      <c r="R153" s="1">
        <v>1998</v>
      </c>
      <c r="S153" s="8">
        <f>(O70*($E70/365))+(O71*($E71/365))</f>
        <v>0</v>
      </c>
      <c r="T153" s="8">
        <f>(P70*($E70/365))+(P71*($E71/365))</f>
        <v>16.950684931506846</v>
      </c>
      <c r="U153" s="8">
        <f>(Q70*($E70/365))+(Q71*($E71/365))</f>
        <v>34.726027397260275</v>
      </c>
      <c r="V153" s="7"/>
      <c r="W153" s="7">
        <f t="shared" si="40"/>
        <v>51.676712328767124</v>
      </c>
    </row>
    <row r="154" spans="1:23" ht="9" customHeight="1">
      <c r="A154" s="1">
        <v>1999</v>
      </c>
      <c r="B154" s="403">
        <f>(K72*($E72/365))+(K73*($E73/365))</f>
        <v>0</v>
      </c>
      <c r="C154" s="403">
        <f>(L72*($E72/365))+(L73*($E73/365))</f>
        <v>100</v>
      </c>
      <c r="D154" s="403">
        <f>(M72*($E72/365))+(M73*($E73/365))</f>
        <v>0</v>
      </c>
      <c r="E154" s="430">
        <f t="shared" si="36"/>
        <v>100</v>
      </c>
      <c r="F154" s="431"/>
      <c r="G154" s="1">
        <v>1999</v>
      </c>
      <c r="H154" s="918">
        <f>(O72/$R72*100*($E72/365))+(O73/$R73*100*($E73/365))</f>
        <v>0</v>
      </c>
      <c r="I154" s="918"/>
      <c r="J154" s="918">
        <f>(P72/$R72*100*($E72/365))+(P73/$R73*100*($E73/365))</f>
        <v>100</v>
      </c>
      <c r="K154" s="918"/>
      <c r="L154" s="918">
        <f>(Q72/$R72*100*($E72/365))+(Q73/$R73*100*($E73/365))</f>
        <v>0</v>
      </c>
      <c r="M154" s="918"/>
      <c r="N154" s="939">
        <f t="shared" si="39"/>
        <v>100</v>
      </c>
      <c r="O154" s="939"/>
      <c r="P154" s="431"/>
      <c r="Q154" s="431"/>
      <c r="R154" s="1">
        <v>1999</v>
      </c>
      <c r="S154" s="8">
        <f>(O72*($E72/365))+(O73*($E73/365))</f>
        <v>0</v>
      </c>
      <c r="T154" s="8">
        <f>(P72*($E72/365))+(P73*($E73/365))</f>
        <v>53.8</v>
      </c>
      <c r="U154" s="8">
        <f>(Q72*($E72/365))+(Q73*($E73/365))</f>
        <v>0</v>
      </c>
      <c r="V154" s="7"/>
      <c r="W154" s="7">
        <f t="shared" si="40"/>
        <v>53.8</v>
      </c>
    </row>
    <row r="155" spans="1:23" ht="9" customHeight="1">
      <c r="A155" s="1">
        <v>2000</v>
      </c>
      <c r="B155" s="403">
        <f>(K74*($E74/366))+(K75*($E75/366))</f>
        <v>0</v>
      </c>
      <c r="C155" s="403">
        <f>(L74*($E74/366))+(L75*($E75/366))</f>
        <v>100</v>
      </c>
      <c r="D155" s="403">
        <f>(M74*($E74/366))+(M75*($E75/366))</f>
        <v>0</v>
      </c>
      <c r="E155" s="430">
        <f t="shared" si="36"/>
        <v>100</v>
      </c>
      <c r="F155" s="431"/>
      <c r="G155" s="1">
        <v>2000</v>
      </c>
      <c r="H155" s="918">
        <f>(O74/$R74*100*($E74/366))+(O75/$R75*100*($E75/366))</f>
        <v>0</v>
      </c>
      <c r="I155" s="918"/>
      <c r="J155" s="918">
        <f>(P74/$R74*100*($E74/366))+(P75/$R75*100*($E75/366))</f>
        <v>100</v>
      </c>
      <c r="K155" s="918"/>
      <c r="L155" s="918">
        <f>(Q74/$R74*100*($E74/366))+(Q75/$R75*100*($E75/366))</f>
        <v>0</v>
      </c>
      <c r="M155" s="918"/>
      <c r="N155" s="939">
        <f t="shared" si="39"/>
        <v>100</v>
      </c>
      <c r="O155" s="939"/>
      <c r="P155" s="431"/>
      <c r="Q155" s="431"/>
      <c r="R155" s="1">
        <v>2000</v>
      </c>
      <c r="S155" s="8">
        <f>(O74*($E74/366))+(O75*($E75/366))</f>
        <v>0</v>
      </c>
      <c r="T155" s="8">
        <f>(P74*($E74/366))+(P75*($E75/366))</f>
        <v>53.8</v>
      </c>
      <c r="U155" s="8">
        <f>(Q74*($E74/366))+(Q75*($E75/366))</f>
        <v>0</v>
      </c>
      <c r="V155" s="7"/>
      <c r="W155" s="7">
        <f t="shared" si="40"/>
        <v>53.8</v>
      </c>
    </row>
    <row r="156" spans="1:23" ht="9" customHeight="1">
      <c r="A156" s="1">
        <v>2001</v>
      </c>
      <c r="B156" s="403">
        <f>(K76*($E76/365))+(K77*($E77/365))</f>
        <v>0</v>
      </c>
      <c r="C156" s="403">
        <f>(L76*($E76/365))+(L77*($E77/365))</f>
        <v>100</v>
      </c>
      <c r="D156" s="403">
        <f>(M76*($E76/365))+(M77*($E77/365))</f>
        <v>0</v>
      </c>
      <c r="E156" s="430">
        <f t="shared" si="36"/>
        <v>100</v>
      </c>
      <c r="F156" s="431"/>
      <c r="G156" s="1">
        <v>2001</v>
      </c>
      <c r="H156" s="918">
        <f>(O76/$R76*100*($E76/365))+(O77/$R77*100*($E77/365))</f>
        <v>0</v>
      </c>
      <c r="I156" s="918"/>
      <c r="J156" s="918">
        <f>(P76/$R76*100*($E76/365))+(P77/$R77*100*($E77/365))</f>
        <v>100</v>
      </c>
      <c r="K156" s="918"/>
      <c r="L156" s="918">
        <f>(Q76/$R76*100*($E76/365))+(Q77/$R77*100*($E77/365))</f>
        <v>0</v>
      </c>
      <c r="M156" s="918"/>
      <c r="N156" s="939">
        <f t="shared" si="39"/>
        <v>100</v>
      </c>
      <c r="O156" s="939"/>
      <c r="P156" s="431"/>
      <c r="Q156" s="431"/>
      <c r="R156" s="1">
        <v>2001</v>
      </c>
      <c r="S156" s="8">
        <f>(O76*($E76/365))+(O77*($E77/365))</f>
        <v>0</v>
      </c>
      <c r="T156" s="8">
        <f>(P76*($E76/365))+(P77*($E77/365))</f>
        <v>53.8</v>
      </c>
      <c r="U156" s="8">
        <f>(Q76*($E76/365))+(Q77*($E77/365))</f>
        <v>0</v>
      </c>
      <c r="V156" s="7"/>
      <c r="W156" s="7">
        <f t="shared" si="40"/>
        <v>53.8</v>
      </c>
    </row>
    <row r="157" spans="1:23" ht="9" customHeight="1">
      <c r="A157" s="1">
        <v>2002</v>
      </c>
      <c r="B157" s="403">
        <f>(K78*($E78/365))+(K79*($E79/365))</f>
        <v>0</v>
      </c>
      <c r="C157" s="403">
        <f>(L78*($E78/365))+(L79*($E79/365))</f>
        <v>100</v>
      </c>
      <c r="D157" s="403">
        <f>(M78*($E78/365))+(M79*($E79/365))</f>
        <v>0</v>
      </c>
      <c r="E157" s="430">
        <f t="shared" si="36"/>
        <v>100</v>
      </c>
      <c r="F157" s="431"/>
      <c r="G157" s="1">
        <v>2002</v>
      </c>
      <c r="H157" s="918">
        <f>(O78/$R78*100*($E78/365))+(O79/$R79*100*($E79/365))</f>
        <v>0</v>
      </c>
      <c r="I157" s="918"/>
      <c r="J157" s="918">
        <f>(P78/$R78*100*($E78/365))+(P79/$R79*100*($E79/365))</f>
        <v>100</v>
      </c>
      <c r="K157" s="918"/>
      <c r="L157" s="918">
        <f>(Q78/$R78*100*($E78/365))+(Q79/$R79*100*($E79/365))</f>
        <v>0</v>
      </c>
      <c r="M157" s="918"/>
      <c r="N157" s="939">
        <f t="shared" si="39"/>
        <v>100</v>
      </c>
      <c r="O157" s="939"/>
      <c r="P157" s="431"/>
      <c r="Q157" s="431"/>
      <c r="R157" s="1">
        <v>2002</v>
      </c>
      <c r="S157" s="8">
        <f>(O78*($E78/365))+(O79*($E79/365))</f>
        <v>0</v>
      </c>
      <c r="T157" s="8">
        <f>(P78*($E78/365))+(P79*($E79/365))</f>
        <v>53.8</v>
      </c>
      <c r="U157" s="8">
        <f>(Q78*($E78/365))+(Q79*($E79/365))</f>
        <v>0</v>
      </c>
      <c r="V157" s="7"/>
      <c r="W157" s="7">
        <f t="shared" si="40"/>
        <v>53.8</v>
      </c>
    </row>
    <row r="158" spans="1:23" ht="9" customHeight="1">
      <c r="A158" s="1">
        <v>2003</v>
      </c>
      <c r="B158" s="403">
        <f>(K80*($E80/365))+(K81*($E81/365))</f>
        <v>0</v>
      </c>
      <c r="C158" s="403">
        <f>(L80*($E80/365))+(L81*($E81/365))</f>
        <v>100</v>
      </c>
      <c r="D158" s="403">
        <f>(M80*($E80/365))+(M81*($E81/365))</f>
        <v>0</v>
      </c>
      <c r="E158" s="430">
        <f t="shared" si="36"/>
        <v>100</v>
      </c>
      <c r="F158" s="431"/>
      <c r="G158" s="1">
        <v>2003</v>
      </c>
      <c r="H158" s="918">
        <f>(O80/$R80*100*($E80/365))+(O81/$R81*100*($E81/365))</f>
        <v>0</v>
      </c>
      <c r="I158" s="918"/>
      <c r="J158" s="918">
        <f>(P80/$R80*100*($E80/365))+(P81/$R81*100*($E81/365))</f>
        <v>100</v>
      </c>
      <c r="K158" s="918"/>
      <c r="L158" s="918">
        <f>(Q80/$R80*100*($E80/365))+(Q81/$R81*100*($E81/365))</f>
        <v>0</v>
      </c>
      <c r="M158" s="918"/>
      <c r="N158" s="939">
        <f t="shared" si="39"/>
        <v>100</v>
      </c>
      <c r="O158" s="939"/>
      <c r="P158" s="431"/>
      <c r="Q158" s="431"/>
      <c r="R158" s="1">
        <v>2003</v>
      </c>
      <c r="S158" s="8">
        <f>(O80*($E80/365))+(O81*($E81/365))</f>
        <v>0</v>
      </c>
      <c r="T158" s="8">
        <f>(P80*($E80/365))+(P81*($E81/365))</f>
        <v>53.8</v>
      </c>
      <c r="U158" s="8">
        <f>(Q80*($E80/365))+(Q81*($E81/365))</f>
        <v>0</v>
      </c>
      <c r="V158" s="7"/>
      <c r="W158" s="7">
        <f t="shared" si="40"/>
        <v>53.8</v>
      </c>
    </row>
    <row r="159" spans="1:23" ht="9" customHeight="1">
      <c r="A159" s="1">
        <v>2004</v>
      </c>
      <c r="B159" s="403">
        <f>(K82*($E82/366))+(K83*($E83/366))</f>
        <v>0</v>
      </c>
      <c r="C159" s="403">
        <f>(L82*($E82/366))+(L83*($E83/366))</f>
        <v>100</v>
      </c>
      <c r="D159" s="403">
        <f>(M82*($E82/366))+(M83*($E83/366))</f>
        <v>0</v>
      </c>
      <c r="E159" s="430">
        <f t="shared" si="36"/>
        <v>100</v>
      </c>
      <c r="F159" s="431"/>
      <c r="G159" s="1">
        <v>2004</v>
      </c>
      <c r="H159" s="918">
        <f>(O82/$R82*100*($E82/366))+(O83/$R83*100*($E83/366))</f>
        <v>0</v>
      </c>
      <c r="I159" s="918"/>
      <c r="J159" s="918">
        <f>(P82/$R82*100*($E82/366))+(P83/$R83*100*($E83/366))</f>
        <v>100</v>
      </c>
      <c r="K159" s="918"/>
      <c r="L159" s="918">
        <f>(Q82/$R82*100*($E82/366))+(Q83/$R83*100*($E83/366))</f>
        <v>0</v>
      </c>
      <c r="M159" s="918"/>
      <c r="N159" s="939">
        <f t="shared" si="39"/>
        <v>100</v>
      </c>
      <c r="O159" s="939"/>
      <c r="P159" s="431"/>
      <c r="Q159" s="431"/>
      <c r="R159" s="1">
        <v>2004</v>
      </c>
      <c r="S159" s="8">
        <f>(O82*($E82/366))+(O83*($E83/366))</f>
        <v>0</v>
      </c>
      <c r="T159" s="8">
        <f>(P82*($E82/366))+(P83*($E83/366))</f>
        <v>53.8</v>
      </c>
      <c r="U159" s="8">
        <f>(Q82*($E82/366))+(Q83*($E83/366))</f>
        <v>0</v>
      </c>
      <c r="V159" s="7"/>
      <c r="W159" s="7">
        <f t="shared" si="40"/>
        <v>53.8</v>
      </c>
    </row>
    <row r="160" spans="1:23" ht="9" customHeight="1">
      <c r="A160" s="1">
        <v>2005</v>
      </c>
      <c r="B160" s="403">
        <f>(K84*($E84/365))+(K85*($E85/365))</f>
        <v>0</v>
      </c>
      <c r="C160" s="403">
        <f>(L84*($E84/365))+(L85*($E85/365))</f>
        <v>100</v>
      </c>
      <c r="D160" s="403">
        <f>(M84*($E84/365))+(M85*($E85/365))</f>
        <v>0</v>
      </c>
      <c r="E160" s="430">
        <f t="shared" si="36"/>
        <v>100</v>
      </c>
      <c r="F160" s="431"/>
      <c r="G160" s="1">
        <v>2005</v>
      </c>
      <c r="H160" s="918">
        <f>(O84/$R84*100*($E84/365))+(O85/$R85*100*($E85/365))</f>
        <v>0</v>
      </c>
      <c r="I160" s="918"/>
      <c r="J160" s="918">
        <f>(P84/$R84*100*($E84/365))+(P85/$R85*100*($E85/365))</f>
        <v>100</v>
      </c>
      <c r="K160" s="918"/>
      <c r="L160" s="918">
        <f>(Q84/$R84*100*($E84/365))+(Q85/$R85*100*($E85/365))</f>
        <v>0</v>
      </c>
      <c r="M160" s="918"/>
      <c r="N160" s="939">
        <f t="shared" si="39"/>
        <v>100</v>
      </c>
      <c r="O160" s="939"/>
      <c r="P160" s="431"/>
      <c r="Q160" s="431"/>
      <c r="R160" s="1">
        <v>2005</v>
      </c>
      <c r="S160" s="8">
        <f>(O84*($E84/365))+(O85*($E85/365))</f>
        <v>0</v>
      </c>
      <c r="T160" s="8">
        <f>(P84*($E84/365))+(P85*($E85/365))</f>
        <v>53.8</v>
      </c>
      <c r="U160" s="8">
        <f>(Q84*($E84/365))+(Q85*($E85/365))</f>
        <v>0</v>
      </c>
      <c r="V160" s="7"/>
      <c r="W160" s="7">
        <f t="shared" si="40"/>
        <v>53.8</v>
      </c>
    </row>
    <row r="161" spans="1:23" ht="9" customHeight="1">
      <c r="A161" s="1">
        <v>2006</v>
      </c>
      <c r="B161" s="403">
        <f>(K86*($E86/365))+(K87*($E87/365))</f>
        <v>0</v>
      </c>
      <c r="C161" s="403">
        <f>(L86*($E86/365))+(L87*($E87/365))</f>
        <v>100</v>
      </c>
      <c r="D161" s="403">
        <f>(M86*($E86/365))+(M87*($E87/365))</f>
        <v>0</v>
      </c>
      <c r="E161" s="430">
        <f t="shared" si="36"/>
        <v>100</v>
      </c>
      <c r="F161" s="431"/>
      <c r="G161" s="1">
        <v>2006</v>
      </c>
      <c r="H161" s="918">
        <f>(O86/$R86*100*($E86/365))+(O87/$R87*100*($E87/365))</f>
        <v>0</v>
      </c>
      <c r="I161" s="918"/>
      <c r="J161" s="918">
        <f>(P86/$R86*100*($E86/365))+(P87/$R87*100*($E87/365))</f>
        <v>100</v>
      </c>
      <c r="K161" s="918"/>
      <c r="L161" s="918">
        <f>(Q86/$R86*100*($E86/365))+(Q87/$R87*100*($E87/365))</f>
        <v>0</v>
      </c>
      <c r="M161" s="918"/>
      <c r="N161" s="939">
        <f t="shared" si="39"/>
        <v>100</v>
      </c>
      <c r="O161" s="939"/>
      <c r="P161" s="431"/>
      <c r="Q161" s="431"/>
      <c r="R161" s="1">
        <v>2006</v>
      </c>
      <c r="S161" s="8">
        <f>(O86*($E86/365))+(O87*($E87/365))</f>
        <v>0</v>
      </c>
      <c r="T161" s="8">
        <f>(P86*($E86/365))+(P87*($E87/365))</f>
        <v>53.8</v>
      </c>
      <c r="U161" s="8">
        <f>(Q86*($E86/365))+(Q87*($E87/365))</f>
        <v>0</v>
      </c>
      <c r="V161" s="7"/>
      <c r="W161" s="7">
        <f t="shared" si="40"/>
        <v>53.8</v>
      </c>
    </row>
    <row r="162" spans="1:23" ht="9" customHeight="1">
      <c r="A162" s="1">
        <v>2007</v>
      </c>
      <c r="B162" s="403">
        <f>(K88*($E88/365))+(K89*($E89/365))</f>
        <v>0</v>
      </c>
      <c r="C162" s="403">
        <f>(L88*($E88/365))+(L89*($E89/365))</f>
        <v>100</v>
      </c>
      <c r="D162" s="403">
        <f>(M88*($E88/365))+(M89*($E89/365))</f>
        <v>0</v>
      </c>
      <c r="E162" s="430">
        <f t="shared" si="36"/>
        <v>100</v>
      </c>
      <c r="F162" s="431"/>
      <c r="G162" s="1">
        <v>2007</v>
      </c>
      <c r="H162" s="918">
        <f>(O88/$R88*100*($E88/365))+(O89/$R89*100*($E89/365))</f>
        <v>0</v>
      </c>
      <c r="I162" s="918"/>
      <c r="J162" s="918">
        <f>(P88/$R88*100*($E88/365))+(P89/$R89*100*($E89/365))</f>
        <v>100</v>
      </c>
      <c r="K162" s="918"/>
      <c r="L162" s="918">
        <f>(Q88/$R88*100*($E88/365))+(Q89/$R89*100*($E89/365))</f>
        <v>0</v>
      </c>
      <c r="M162" s="918"/>
      <c r="N162" s="939">
        <f t="shared" si="39"/>
        <v>100</v>
      </c>
      <c r="O162" s="939"/>
      <c r="P162" s="431"/>
      <c r="Q162" s="431"/>
      <c r="R162" s="1">
        <v>2007</v>
      </c>
      <c r="S162" s="8">
        <f>(O88*($E88/365))+(O89*($E89/365))</f>
        <v>0</v>
      </c>
      <c r="T162" s="8">
        <f>(P88*($E88/365))+(P89*($E89/365))</f>
        <v>55.8</v>
      </c>
      <c r="U162" s="8">
        <f>(Q88*($E88/365))+(Q89*($E89/365))</f>
        <v>0</v>
      </c>
      <c r="V162" s="7"/>
      <c r="W162" s="7">
        <f t="shared" si="40"/>
        <v>55.8</v>
      </c>
    </row>
    <row r="163" spans="1:23" ht="9" customHeight="1">
      <c r="A163" s="1">
        <v>2008</v>
      </c>
      <c r="B163" s="403">
        <f>(K90*($E90/366))+(K91*($E91/366))</f>
        <v>0</v>
      </c>
      <c r="C163" s="403">
        <f>(L90*($E90/366))+(L91*($E91/366))</f>
        <v>100</v>
      </c>
      <c r="D163" s="403">
        <f>(M90*($E90/366))+(M91*($E91/366))</f>
        <v>0</v>
      </c>
      <c r="E163" s="430">
        <f t="shared" si="36"/>
        <v>100</v>
      </c>
      <c r="F163" s="431"/>
      <c r="G163" s="1">
        <v>2008</v>
      </c>
      <c r="H163" s="918">
        <f>(O90/$R90*100*($E90/366))+(O91/$R91*100*($E91/366))</f>
        <v>0</v>
      </c>
      <c r="I163" s="918"/>
      <c r="J163" s="918">
        <f>(P90/$R90*100*($E90/366))+(P91/$R91*100*($E91/366))</f>
        <v>100</v>
      </c>
      <c r="K163" s="918"/>
      <c r="L163" s="918">
        <f>(Q90/$R90*100*($E90/366))+(Q91/$R91*100*($E91/366))</f>
        <v>0</v>
      </c>
      <c r="M163" s="918"/>
      <c r="N163" s="939">
        <f t="shared" si="39"/>
        <v>100</v>
      </c>
      <c r="O163" s="939"/>
      <c r="P163" s="431"/>
      <c r="Q163" s="431"/>
      <c r="R163" s="1">
        <v>2008</v>
      </c>
      <c r="S163" s="8">
        <f>(O90*($E90/366))+(O91*($E91/366))</f>
        <v>0</v>
      </c>
      <c r="T163" s="8">
        <f>(P90*($E90/366))+(P91*($E91/366))</f>
        <v>51.705464480874312</v>
      </c>
      <c r="U163" s="8">
        <f>(Q90*($E90/366))+(Q91*($E91/366))</f>
        <v>0</v>
      </c>
      <c r="V163" s="7"/>
      <c r="W163" s="7">
        <f t="shared" si="40"/>
        <v>51.705464480874312</v>
      </c>
    </row>
    <row r="164" spans="1:23" ht="9" customHeight="1">
      <c r="A164" s="1">
        <v>2009</v>
      </c>
      <c r="B164" s="403">
        <f>(K92*($E92/365))+(K93*($E93/365))</f>
        <v>0</v>
      </c>
      <c r="C164" s="403">
        <f>(L92*($E92/365))+(L93*($E93/365))</f>
        <v>100</v>
      </c>
      <c r="D164" s="403">
        <f>(M92*($E92/365))+(M93*($E93/365))</f>
        <v>0</v>
      </c>
      <c r="E164" s="430">
        <f t="shared" si="36"/>
        <v>100</v>
      </c>
      <c r="F164" s="431"/>
      <c r="G164" s="1">
        <v>2009</v>
      </c>
      <c r="H164" s="918">
        <f>(O92/$R92*100*($E92/365))+(O93/$R93*100*($E93/365))</f>
        <v>0</v>
      </c>
      <c r="I164" s="918"/>
      <c r="J164" s="918">
        <f>(P92/$R92*100*($E92/365))+(P93/$R93*100*($E93/365))</f>
        <v>100</v>
      </c>
      <c r="K164" s="918"/>
      <c r="L164" s="918">
        <f>(Q92/$R92*100*($E92/365))+(Q93/$R93*100*($E93/365))</f>
        <v>0</v>
      </c>
      <c r="M164" s="918"/>
      <c r="N164" s="939">
        <f t="shared" si="39"/>
        <v>100</v>
      </c>
      <c r="O164" s="939"/>
      <c r="P164" s="431"/>
      <c r="Q164" s="431"/>
      <c r="R164" s="1">
        <v>2009</v>
      </c>
      <c r="S164" s="8">
        <f>(O92*($E92/365))+(O93*($E93/365))</f>
        <v>0</v>
      </c>
      <c r="T164" s="8">
        <f>(P92*($E92/365))+(P93*($E93/365))</f>
        <v>50.72</v>
      </c>
      <c r="U164" s="8">
        <f>(Q92*($E92/365))+(Q93*($E93/365))</f>
        <v>0</v>
      </c>
      <c r="V164" s="7"/>
      <c r="W164" s="7">
        <f t="shared" si="40"/>
        <v>50.72</v>
      </c>
    </row>
    <row r="165" spans="1:23" ht="9" customHeight="1">
      <c r="A165" s="1">
        <v>2010</v>
      </c>
      <c r="B165" s="403">
        <f>(K94*($E94/365))+(K95*($E95/365))</f>
        <v>0</v>
      </c>
      <c r="C165" s="403">
        <f>(L94*($E94/365))+(L95*($E95/365))</f>
        <v>100</v>
      </c>
      <c r="D165" s="403">
        <f>(M94*($E94/365))+(M95*($E95/365))</f>
        <v>0</v>
      </c>
      <c r="E165" s="430">
        <f t="shared" si="36"/>
        <v>100</v>
      </c>
      <c r="F165" s="431"/>
      <c r="G165" s="1">
        <v>2010</v>
      </c>
      <c r="H165" s="918">
        <f>(O94/$R94*100*($E94/365))+(O95/$R95*100*($E95/365))</f>
        <v>0</v>
      </c>
      <c r="I165" s="918"/>
      <c r="J165" s="918">
        <f>(P94/$R94*100*($E94/365))+(P95/$R95*100*($E95/365))</f>
        <v>100</v>
      </c>
      <c r="K165" s="918"/>
      <c r="L165" s="918">
        <f>(Q94/$R94*100*($E94/365))+(Q95/$R95*100*($E95/365))</f>
        <v>0</v>
      </c>
      <c r="M165" s="918"/>
      <c r="N165" s="939">
        <f t="shared" si="39"/>
        <v>100</v>
      </c>
      <c r="O165" s="939"/>
      <c r="P165" s="431"/>
      <c r="Q165" s="431"/>
      <c r="R165" s="1">
        <v>2010</v>
      </c>
      <c r="S165" s="8">
        <f>(O94*($E94/365))+(O95*($E95/365))</f>
        <v>0</v>
      </c>
      <c r="T165" s="8">
        <f>(P94*($E94/365))+(P95*($E95/365))</f>
        <v>50.72</v>
      </c>
      <c r="U165" s="8">
        <f>(Q94*($E94/365))+(Q95*($E95/365))</f>
        <v>0</v>
      </c>
      <c r="V165" s="7"/>
      <c r="W165" s="7">
        <f t="shared" si="40"/>
        <v>50.72</v>
      </c>
    </row>
    <row r="166" spans="1:23" ht="9" customHeight="1">
      <c r="A166" s="1">
        <v>2011</v>
      </c>
      <c r="B166" s="403">
        <f>(K96*($E96/365))+(K97*($E97/365))</f>
        <v>0</v>
      </c>
      <c r="C166" s="403">
        <f>(L96*($E96/365))+(L97*($E97/365))</f>
        <v>100</v>
      </c>
      <c r="D166" s="403">
        <f>(M96*($E96/365))+(M97*($E97/365))</f>
        <v>0</v>
      </c>
      <c r="E166" s="430">
        <f t="shared" si="36"/>
        <v>100</v>
      </c>
      <c r="F166" s="431"/>
      <c r="G166" s="1">
        <v>2011</v>
      </c>
      <c r="H166" s="918">
        <f>(O96/$R96*100*($E96/365))+(O97/$R97*100*($E97/365))</f>
        <v>0</v>
      </c>
      <c r="I166" s="918"/>
      <c r="J166" s="918">
        <f>(P96/$R96*100*($E96/365))+(P97/$R97*100*($E97/365))</f>
        <v>100</v>
      </c>
      <c r="K166" s="918"/>
      <c r="L166" s="918">
        <f>(Q96/$R96*100*($E96/365))+(Q97/$R97*100*($E97/365))</f>
        <v>0</v>
      </c>
      <c r="M166" s="918"/>
      <c r="N166" s="939">
        <f t="shared" si="39"/>
        <v>100</v>
      </c>
      <c r="O166" s="939"/>
      <c r="P166" s="431"/>
      <c r="Q166" s="431"/>
      <c r="R166" s="1">
        <v>2011</v>
      </c>
      <c r="S166" s="8">
        <f>(O96*($E96/365))+(O97*($E97/365))</f>
        <v>0</v>
      </c>
      <c r="T166" s="8">
        <f>(P96*($E96/365))+(P97*($E97/365))</f>
        <v>50.72</v>
      </c>
      <c r="U166" s="8">
        <f>(Q96*($E96/365))+(Q97*($E97/365))</f>
        <v>0</v>
      </c>
      <c r="V166" s="7"/>
      <c r="W166" s="7">
        <f t="shared" si="40"/>
        <v>50.72</v>
      </c>
    </row>
    <row r="167" spans="1:23" ht="9" customHeight="1">
      <c r="A167" s="1">
        <v>2012</v>
      </c>
      <c r="B167" s="403">
        <f>(K98*($E98/366))+(K99*($E99/366))</f>
        <v>0</v>
      </c>
      <c r="C167" s="403">
        <f>(L98*($E98/366))+(L99*($E99/366))</f>
        <v>100</v>
      </c>
      <c r="D167" s="403">
        <f>(M98*($E98/366))+(M99*($E99/366))</f>
        <v>0</v>
      </c>
      <c r="E167" s="430">
        <f t="shared" si="36"/>
        <v>100</v>
      </c>
      <c r="F167" s="431"/>
      <c r="G167" s="1">
        <v>2012</v>
      </c>
      <c r="H167" s="918">
        <f>(O98/$R98*100*($E98/366))+(O99/$R99*100*($E99/366))</f>
        <v>0</v>
      </c>
      <c r="I167" s="918"/>
      <c r="J167" s="918">
        <f>(P98/$R98*100*($E98/366))+(P99/$R99*100*($E99/366))</f>
        <v>100</v>
      </c>
      <c r="K167" s="918"/>
      <c r="L167" s="918">
        <f>(Q98/$R98*100*($E98/366))+(Q99/$R99*100*($E99/366))</f>
        <v>0</v>
      </c>
      <c r="M167" s="918"/>
      <c r="N167" s="939">
        <f t="shared" si="39"/>
        <v>100</v>
      </c>
      <c r="O167" s="939"/>
      <c r="P167" s="432"/>
      <c r="Q167" s="432"/>
      <c r="R167" s="1">
        <v>2012</v>
      </c>
      <c r="S167" s="8">
        <f>(O98*($E98/366))+(O99*($E99/366))</f>
        <v>0</v>
      </c>
      <c r="T167" s="8">
        <f>(P98*($E98/366))+(P99*($E99/366))</f>
        <v>50.72</v>
      </c>
      <c r="U167" s="8">
        <f>(Q98*($E98/366))+(Q99*($E99/366))</f>
        <v>0</v>
      </c>
      <c r="V167" s="7"/>
      <c r="W167" s="7">
        <f t="shared" si="40"/>
        <v>50.72</v>
      </c>
    </row>
    <row r="168" spans="1:23">
      <c r="A168" s="1">
        <v>2013</v>
      </c>
      <c r="B168" s="403">
        <f>(K100*($E100/365))+(K101*($E101/365))</f>
        <v>0</v>
      </c>
      <c r="C168" s="403">
        <f>(L100*($E100/365))+(L101*($E101/365))</f>
        <v>19.452054794520549</v>
      </c>
      <c r="D168" s="403">
        <f>(M100*($E100/365))+(M101*($E101/365))</f>
        <v>80.547945205479451</v>
      </c>
      <c r="E168" s="430">
        <f t="shared" si="36"/>
        <v>100</v>
      </c>
      <c r="F168" s="431"/>
      <c r="G168" s="1">
        <v>2013</v>
      </c>
      <c r="H168" s="918">
        <f>(O100/$R100*100*($E100/365))+(O101/$R101*100*($E101/365))</f>
        <v>0</v>
      </c>
      <c r="I168" s="918"/>
      <c r="J168" s="918">
        <f>(P100/$R100*100*($E100/365))+(P101/$R101*100*($E101/365))</f>
        <v>19.452054794520549</v>
      </c>
      <c r="K168" s="918"/>
      <c r="L168" s="918">
        <f>(Q100/$R100*100*($E100/365))+(Q101/$R101*100*($E101/365))</f>
        <v>80.547945205479451</v>
      </c>
      <c r="M168" s="918"/>
      <c r="N168" s="939">
        <f t="shared" si="39"/>
        <v>100</v>
      </c>
      <c r="O168" s="939"/>
      <c r="P168" s="432"/>
      <c r="Q168" s="432"/>
      <c r="R168" s="1">
        <v>2013</v>
      </c>
      <c r="S168" s="8">
        <f>(O100*($E100/365))+(O101*($E101/365))</f>
        <v>0</v>
      </c>
      <c r="T168" s="8">
        <f>(P100*($E100/365))+(P101*($E101/365))</f>
        <v>9.8660821917808228</v>
      </c>
      <c r="U168" s="8">
        <f>(Q100*($E100/365))+(Q101*($E101/365))</f>
        <v>45.509589041095893</v>
      </c>
      <c r="V168" s="7"/>
      <c r="W168" s="7">
        <f t="shared" si="40"/>
        <v>55.375671232876712</v>
      </c>
    </row>
    <row r="169" spans="1:23">
      <c r="A169" s="1">
        <v>2014</v>
      </c>
      <c r="B169" s="403">
        <f>(K102*($E102/365))+(K103*($E103/365))</f>
        <v>0</v>
      </c>
      <c r="C169" s="403">
        <f>(L102*($E102/365))+(L103*($E103/365))</f>
        <v>0</v>
      </c>
      <c r="D169" s="403">
        <f>(M102*($E102/365))+(M103*($E103/365))</f>
        <v>100</v>
      </c>
      <c r="E169" s="430">
        <f>SUM(B169:D169)</f>
        <v>100</v>
      </c>
      <c r="F169" s="431"/>
      <c r="G169" s="1">
        <v>2014</v>
      </c>
      <c r="H169" s="918">
        <f>(O102/$R102*100*($E102/365))+(O103/$R103*100*($E103/365))</f>
        <v>0</v>
      </c>
      <c r="I169" s="918"/>
      <c r="J169" s="918">
        <f>(P102/$R102*100*($E102/365))+(P103/$R103*100*($E103/365))</f>
        <v>0</v>
      </c>
      <c r="K169" s="918"/>
      <c r="L169" s="918">
        <f>(Q102/$R102*100*($E102/365))+(Q103/$R103*100*($E103/365))</f>
        <v>100</v>
      </c>
      <c r="M169" s="918"/>
      <c r="N169" s="939">
        <f>H169+J169+L169</f>
        <v>100</v>
      </c>
      <c r="O169" s="939"/>
      <c r="P169" s="432"/>
      <c r="Q169" s="432"/>
      <c r="R169" s="1">
        <v>2014</v>
      </c>
      <c r="S169" s="8">
        <f>(O102*($E102/365))+(O103*($E103/365))</f>
        <v>0</v>
      </c>
      <c r="T169" s="8">
        <f>(P102*($E102/365))+(P103*($E103/365))</f>
        <v>0</v>
      </c>
      <c r="U169" s="8">
        <f>(Q102*($E102/365))+(Q103*($E103/365))</f>
        <v>56.5</v>
      </c>
      <c r="V169" s="7"/>
      <c r="W169" s="7">
        <f>S169+T169+U169</f>
        <v>56.5</v>
      </c>
    </row>
    <row r="170" spans="1:23" s="611" customFormat="1">
      <c r="A170" s="611">
        <v>2015</v>
      </c>
      <c r="B170" s="604">
        <f>(K104*($E104/365))+(K105*($E105/365))</f>
        <v>0</v>
      </c>
      <c r="C170" s="604">
        <f>(L104*($E104/365))+(L105*($E105/365))</f>
        <v>0</v>
      </c>
      <c r="D170" s="604">
        <f>(M104*($E104/365))+(M105*($E105/365))</f>
        <v>100</v>
      </c>
      <c r="E170" s="430">
        <f>SUM(B170:D170)</f>
        <v>100</v>
      </c>
      <c r="F170" s="431"/>
      <c r="G170" s="611">
        <v>2015</v>
      </c>
      <c r="H170" s="918">
        <f>(O104/$R104*100*($E104/365))+(O105/$R105*100*($E105/365))</f>
        <v>0</v>
      </c>
      <c r="I170" s="918"/>
      <c r="J170" s="918">
        <f>(P104/$R104*100*($E104/365))+(P105/$R105*100*($E105/365))</f>
        <v>0</v>
      </c>
      <c r="K170" s="918"/>
      <c r="L170" s="918">
        <f>(Q104/$R104*100*($E104/365))+(Q105/$R105*100*($E105/365))</f>
        <v>100</v>
      </c>
      <c r="M170" s="918"/>
      <c r="N170" s="939">
        <f>H170+J170+L170</f>
        <v>100</v>
      </c>
      <c r="O170" s="939"/>
      <c r="P170" s="432"/>
      <c r="Q170" s="432"/>
      <c r="R170" s="611">
        <v>2015</v>
      </c>
      <c r="S170" s="605">
        <f>(O104*($E104/365))+(O105*($E105/365))</f>
        <v>0</v>
      </c>
      <c r="T170" s="605">
        <f>(P104*($E104/365))+(P105*($E105/365))</f>
        <v>0</v>
      </c>
      <c r="U170" s="605">
        <f>(Q104*($E104/365))+(Q105*($E105/365))</f>
        <v>56.5</v>
      </c>
      <c r="V170" s="610"/>
      <c r="W170" s="610">
        <f>S170+T170+U170</f>
        <v>56.5</v>
      </c>
    </row>
    <row r="171" spans="1:23">
      <c r="A171" s="690">
        <v>2016</v>
      </c>
      <c r="B171" s="683">
        <f>(K106*($E106/366))+(K107*($E107/366))</f>
        <v>0</v>
      </c>
      <c r="C171" s="683">
        <f>(L106*($E106/366))+(L107*($E107/366))</f>
        <v>0</v>
      </c>
      <c r="D171" s="683">
        <f>(M106*($E106/366))+(M107*($E107/366))</f>
        <v>100</v>
      </c>
      <c r="E171" s="430">
        <f t="shared" ref="E171" si="41">SUM(B171:D171)</f>
        <v>100</v>
      </c>
      <c r="F171" s="431"/>
      <c r="G171" s="690">
        <v>2016</v>
      </c>
      <c r="H171" s="918">
        <f>(O106/$R106*100*($E106/366))+(O107/$R107*100*($E107/366))</f>
        <v>0</v>
      </c>
      <c r="I171" s="918"/>
      <c r="J171" s="918">
        <f>(P106/$R106*100*($E106/366))+(P107/$R107*100*($E107/366))</f>
        <v>0</v>
      </c>
      <c r="K171" s="918"/>
      <c r="L171" s="918">
        <f>(Q106/$R106*100*($E106/366))+(Q107/$R107*100*($E107/366))</f>
        <v>100</v>
      </c>
      <c r="M171" s="918"/>
      <c r="N171" s="939">
        <f t="shared" ref="N171" si="42">H171+J171+L171</f>
        <v>100</v>
      </c>
      <c r="O171" s="939"/>
      <c r="P171" s="432"/>
      <c r="Q171" s="432"/>
      <c r="R171" s="690">
        <v>2016</v>
      </c>
      <c r="S171" s="684">
        <f>(O106*($E106/366))+(O107*($E107/366))</f>
        <v>0</v>
      </c>
      <c r="T171" s="684">
        <f>(P106*($E106/366))+(P107*($E107/366))</f>
        <v>0</v>
      </c>
      <c r="U171" s="684">
        <f>(Q106*($E106/366))+(Q107*($E107/366))</f>
        <v>56.5</v>
      </c>
      <c r="V171" s="688"/>
      <c r="W171" s="688">
        <f t="shared" ref="W171" si="43">S171+T171+U171</f>
        <v>56.5</v>
      </c>
    </row>
    <row r="172" spans="1:23">
      <c r="A172" s="749">
        <v>2017</v>
      </c>
      <c r="B172" s="742">
        <f>(K108*($E108/365))+(K109*($E109/365))</f>
        <v>0</v>
      </c>
      <c r="C172" s="742">
        <f>(L108*($E108/365))+(L109*($E109/365))</f>
        <v>0</v>
      </c>
      <c r="D172" s="742">
        <f>(M108*($E108/365))+(M109*($E109/365))</f>
        <v>100</v>
      </c>
      <c r="E172" s="430">
        <f t="shared" ref="E172" si="44">SUM(B172:D172)</f>
        <v>100</v>
      </c>
      <c r="F172" s="431"/>
      <c r="G172" s="749">
        <v>2017</v>
      </c>
      <c r="H172" s="918">
        <f>(O108/$R108*100*($E108/365))+(O109/$R109*100*($E109/365))</f>
        <v>0</v>
      </c>
      <c r="I172" s="918"/>
      <c r="J172" s="918">
        <f>(P108/$R108*100*($E108/365))+(P109/$R109*100*($E109/365))</f>
        <v>0</v>
      </c>
      <c r="K172" s="918"/>
      <c r="L172" s="918">
        <f>(Q108/$R108*100*($E108/365))+(Q109/$R109*100*($E109/365))</f>
        <v>100</v>
      </c>
      <c r="M172" s="918"/>
      <c r="N172" s="939">
        <f t="shared" ref="N172" si="45">H172+J172+L172</f>
        <v>100</v>
      </c>
      <c r="O172" s="939"/>
      <c r="P172" s="432"/>
      <c r="Q172" s="432"/>
      <c r="R172" s="749">
        <v>2017</v>
      </c>
      <c r="S172" s="744">
        <f>(O108*($E108/365))+(O109*($E109/365))</f>
        <v>0</v>
      </c>
      <c r="T172" s="744">
        <f>(P108*($E108/365))+(P109*($E109/365))</f>
        <v>0</v>
      </c>
      <c r="U172" s="744">
        <f>(Q108*($E108/365))+(Q109*($E109/365))</f>
        <v>55.766301369863015</v>
      </c>
      <c r="V172" s="746"/>
      <c r="W172" s="746">
        <f t="shared" ref="W172" si="46">S172+T172+U172</f>
        <v>55.766301369863015</v>
      </c>
    </row>
    <row r="173" spans="1:23">
      <c r="A173" s="775">
        <v>2018</v>
      </c>
      <c r="B173" s="768">
        <f>(K110*($E110/365))+(K111*($E111/365))</f>
        <v>0</v>
      </c>
      <c r="C173" s="768">
        <f>(L110*($E110/365))+(L111*($E111/365))</f>
        <v>0</v>
      </c>
      <c r="D173" s="768">
        <f>(M110*($E110/365))+(M111*($E111/365))</f>
        <v>100</v>
      </c>
      <c r="E173" s="430">
        <f t="shared" ref="E173" si="47">SUM(B173:D173)</f>
        <v>100</v>
      </c>
      <c r="F173" s="431"/>
      <c r="G173" s="775">
        <v>2018</v>
      </c>
      <c r="H173" s="918">
        <f>(O110/$R110*100*($E110/365))+(O111/$R111*100*($E111/365))</f>
        <v>0</v>
      </c>
      <c r="I173" s="918"/>
      <c r="J173" s="918">
        <f>(P110/$R110*100*($E110/365))+(P111/$R111*100*($E111/365))</f>
        <v>0</v>
      </c>
      <c r="K173" s="918"/>
      <c r="L173" s="918">
        <f>(Q110/$R110*100*($E110/365))+(Q111/$R111*100*($E111/365))</f>
        <v>100</v>
      </c>
      <c r="M173" s="918"/>
      <c r="N173" s="939">
        <f t="shared" ref="N173" si="48">H173+J173+L173</f>
        <v>100</v>
      </c>
      <c r="O173" s="939"/>
      <c r="P173" s="432"/>
      <c r="Q173" s="432"/>
      <c r="R173" s="775">
        <v>2018</v>
      </c>
      <c r="S173" s="772">
        <f>(O110*($E110/365))+(O111*($E111/365))</f>
        <v>0</v>
      </c>
      <c r="T173" s="772">
        <f>(P110*($E110/365))+(P111*($E111/365))</f>
        <v>0</v>
      </c>
      <c r="U173" s="772">
        <f>(Q110*($E110/365))+(Q111*($E111/365))</f>
        <v>55.2</v>
      </c>
      <c r="V173" s="774"/>
      <c r="W173" s="774">
        <f t="shared" ref="W173" si="49">S173+T173+U173</f>
        <v>55.2</v>
      </c>
    </row>
    <row r="174" spans="1:23">
      <c r="A174" s="802">
        <v>2019</v>
      </c>
      <c r="B174" s="796">
        <f>(K112*($E112/365))+(K113*($E113/365))</f>
        <v>0</v>
      </c>
      <c r="C174" s="796">
        <f>(L112*($E112/365))+(L113*($E113/365))</f>
        <v>0</v>
      </c>
      <c r="D174" s="796">
        <f>(M112*($E112/365))+(M113*($E113/365))</f>
        <v>100</v>
      </c>
      <c r="E174" s="430">
        <f t="shared" ref="E174" si="50">SUM(B174:D174)</f>
        <v>100</v>
      </c>
      <c r="F174" s="431"/>
      <c r="G174" s="802">
        <v>2019</v>
      </c>
      <c r="H174" s="918">
        <f>(O112/$R112*100*($E112/365))+(O113/$R113*100*($E113/365))</f>
        <v>0</v>
      </c>
      <c r="I174" s="918"/>
      <c r="J174" s="918">
        <f>(P112/$R112*100*($E112/365))+(P113/$R113*100*($E113/365))</f>
        <v>0</v>
      </c>
      <c r="K174" s="918"/>
      <c r="L174" s="918">
        <f>(Q112/$R112*100*($E112/365))+(Q113/$R113*100*($E113/365))</f>
        <v>100</v>
      </c>
      <c r="M174" s="918"/>
      <c r="N174" s="939">
        <f t="shared" ref="N174" si="51">H174+J174+L174</f>
        <v>100</v>
      </c>
      <c r="O174" s="939"/>
      <c r="P174" s="432"/>
      <c r="Q174" s="432"/>
      <c r="R174" s="802">
        <v>2019</v>
      </c>
      <c r="S174" s="798">
        <f>(O112*($E112/365))+(O113*($E113/365))</f>
        <v>0</v>
      </c>
      <c r="T174" s="798">
        <f>(P112*($E112/365))+(P113*($E113/365))</f>
        <v>0</v>
      </c>
      <c r="U174" s="798">
        <f>(Q112*($E112/365))+(Q113*($E113/365))</f>
        <v>55.2</v>
      </c>
      <c r="V174" s="801"/>
      <c r="W174" s="801">
        <f t="shared" ref="W174" si="52">S174+T174+U174</f>
        <v>55.2</v>
      </c>
    </row>
    <row r="175" spans="1:23">
      <c r="A175" s="802"/>
      <c r="F175" s="431"/>
      <c r="G175" s="802"/>
      <c r="Q175" s="432"/>
      <c r="R175" s="802"/>
    </row>
  </sheetData>
  <mergeCells count="350">
    <mergeCell ref="C112:D112"/>
    <mergeCell ref="C113:D113"/>
    <mergeCell ref="H174:I174"/>
    <mergeCell ref="J174:K174"/>
    <mergeCell ref="L174:M174"/>
    <mergeCell ref="N174:O174"/>
    <mergeCell ref="H172:I172"/>
    <mergeCell ref="J172:K172"/>
    <mergeCell ref="L172:M172"/>
    <mergeCell ref="N172:O172"/>
    <mergeCell ref="J125:K125"/>
    <mergeCell ref="L125:M125"/>
    <mergeCell ref="N168:O168"/>
    <mergeCell ref="N166:O166"/>
    <mergeCell ref="N167:O167"/>
    <mergeCell ref="N164:O164"/>
    <mergeCell ref="N151:O151"/>
    <mergeCell ref="N152:O152"/>
    <mergeCell ref="N155:O155"/>
    <mergeCell ref="N156:O156"/>
    <mergeCell ref="N153:O153"/>
    <mergeCell ref="N154:O154"/>
    <mergeCell ref="N165:O165"/>
    <mergeCell ref="N157:O157"/>
    <mergeCell ref="C108:D108"/>
    <mergeCell ref="C109:D109"/>
    <mergeCell ref="C106:D106"/>
    <mergeCell ref="C107:D107"/>
    <mergeCell ref="H171:I171"/>
    <mergeCell ref="J171:K171"/>
    <mergeCell ref="L171:M171"/>
    <mergeCell ref="N171:O171"/>
    <mergeCell ref="L154:M154"/>
    <mergeCell ref="L157:M157"/>
    <mergeCell ref="L168:M168"/>
    <mergeCell ref="L159:M159"/>
    <mergeCell ref="J168:K168"/>
    <mergeCell ref="H168:I168"/>
    <mergeCell ref="H129:I129"/>
    <mergeCell ref="L152:M152"/>
    <mergeCell ref="H130:I130"/>
    <mergeCell ref="J130:K130"/>
    <mergeCell ref="H131:I131"/>
    <mergeCell ref="J131:K131"/>
    <mergeCell ref="H124:I124"/>
    <mergeCell ref="J124:K124"/>
    <mergeCell ref="L124:M124"/>
    <mergeCell ref="H125:I125"/>
    <mergeCell ref="C105:D105"/>
    <mergeCell ref="H170:I170"/>
    <mergeCell ref="J170:K170"/>
    <mergeCell ref="L170:M170"/>
    <mergeCell ref="N170:O170"/>
    <mergeCell ref="J163:K163"/>
    <mergeCell ref="H154:I154"/>
    <mergeCell ref="H151:I151"/>
    <mergeCell ref="H152:I152"/>
    <mergeCell ref="H165:I165"/>
    <mergeCell ref="H166:I166"/>
    <mergeCell ref="H160:I160"/>
    <mergeCell ref="H161:I161"/>
    <mergeCell ref="H162:I162"/>
    <mergeCell ref="H163:I163"/>
    <mergeCell ref="H164:I164"/>
    <mergeCell ref="H155:I155"/>
    <mergeCell ref="L160:M160"/>
    <mergeCell ref="L161:M161"/>
    <mergeCell ref="L155:M155"/>
    <mergeCell ref="L156:M156"/>
    <mergeCell ref="L158:M158"/>
    <mergeCell ref="L151:M151"/>
    <mergeCell ref="L153:M153"/>
    <mergeCell ref="C99:D99"/>
    <mergeCell ref="C91:D91"/>
    <mergeCell ref="C92:D92"/>
    <mergeCell ref="C93:D93"/>
    <mergeCell ref="H134:I134"/>
    <mergeCell ref="J134:K134"/>
    <mergeCell ref="H167:I167"/>
    <mergeCell ref="H156:I156"/>
    <mergeCell ref="H157:I157"/>
    <mergeCell ref="H158:I158"/>
    <mergeCell ref="H159:I159"/>
    <mergeCell ref="J149:K149"/>
    <mergeCell ref="H148:I148"/>
    <mergeCell ref="H139:I139"/>
    <mergeCell ref="J143:K143"/>
    <mergeCell ref="H142:I142"/>
    <mergeCell ref="C104:D104"/>
    <mergeCell ref="H120:I120"/>
    <mergeCell ref="H126:I126"/>
    <mergeCell ref="J126:K126"/>
    <mergeCell ref="H127:I127"/>
    <mergeCell ref="J127:K127"/>
    <mergeCell ref="H128:I128"/>
    <mergeCell ref="J128:K128"/>
    <mergeCell ref="C98:D98"/>
    <mergeCell ref="C95:D95"/>
    <mergeCell ref="C94:D94"/>
    <mergeCell ref="C88:D88"/>
    <mergeCell ref="C96:D96"/>
    <mergeCell ref="C89:D89"/>
    <mergeCell ref="C90:D90"/>
    <mergeCell ref="C97:D97"/>
    <mergeCell ref="C85:D85"/>
    <mergeCell ref="C86:D86"/>
    <mergeCell ref="C87:D87"/>
    <mergeCell ref="C38:D38"/>
    <mergeCell ref="C84:D84"/>
    <mergeCell ref="C44:D44"/>
    <mergeCell ref="C46:D46"/>
    <mergeCell ref="C48:D48"/>
    <mergeCell ref="C50:D50"/>
    <mergeCell ref="C47:D47"/>
    <mergeCell ref="C49:D49"/>
    <mergeCell ref="C57:D57"/>
    <mergeCell ref="C54:D54"/>
    <mergeCell ref="C55:D55"/>
    <mergeCell ref="C58:D58"/>
    <mergeCell ref="C59:D59"/>
    <mergeCell ref="C60:D60"/>
    <mergeCell ref="C61:D61"/>
    <mergeCell ref="C79:D79"/>
    <mergeCell ref="C80:D80"/>
    <mergeCell ref="C81:D81"/>
    <mergeCell ref="C82:D82"/>
    <mergeCell ref="C83:D83"/>
    <mergeCell ref="C78:D78"/>
    <mergeCell ref="C9:D9"/>
    <mergeCell ref="C11:D11"/>
    <mergeCell ref="C13:D13"/>
    <mergeCell ref="C16:D16"/>
    <mergeCell ref="C56:D56"/>
    <mergeCell ref="C41:D41"/>
    <mergeCell ref="C43:D43"/>
    <mergeCell ref="C45:D45"/>
    <mergeCell ref="C53:D53"/>
    <mergeCell ref="C51:D51"/>
    <mergeCell ref="C42:D42"/>
    <mergeCell ref="C29:D29"/>
    <mergeCell ref="C31:D31"/>
    <mergeCell ref="C33:D33"/>
    <mergeCell ref="C35:D35"/>
    <mergeCell ref="C37:D37"/>
    <mergeCell ref="C39:D39"/>
    <mergeCell ref="C20:D20"/>
    <mergeCell ref="C22:D22"/>
    <mergeCell ref="C24:D24"/>
    <mergeCell ref="C19:D19"/>
    <mergeCell ref="C52:D52"/>
    <mergeCell ref="C28:D28"/>
    <mergeCell ref="C30:D30"/>
    <mergeCell ref="C8:D8"/>
    <mergeCell ref="N121:O121"/>
    <mergeCell ref="N122:O122"/>
    <mergeCell ref="J122:K122"/>
    <mergeCell ref="L122:M122"/>
    <mergeCell ref="AP4:AS4"/>
    <mergeCell ref="K4:N4"/>
    <mergeCell ref="O4:R4"/>
    <mergeCell ref="S4:S5"/>
    <mergeCell ref="T4:T5"/>
    <mergeCell ref="Z4:AC4"/>
    <mergeCell ref="AD4:AG4"/>
    <mergeCell ref="AH4:AK4"/>
    <mergeCell ref="AL4:AO4"/>
    <mergeCell ref="U4:U5"/>
    <mergeCell ref="V4:Y4"/>
    <mergeCell ref="J120:K120"/>
    <mergeCell ref="L120:M120"/>
    <mergeCell ref="N120:O120"/>
    <mergeCell ref="C10:D10"/>
    <mergeCell ref="C17:D17"/>
    <mergeCell ref="C62:D62"/>
    <mergeCell ref="C77:D77"/>
    <mergeCell ref="C7:D7"/>
    <mergeCell ref="G3:M3"/>
    <mergeCell ref="O3:Q3"/>
    <mergeCell ref="A4:A5"/>
    <mergeCell ref="B4:B5"/>
    <mergeCell ref="C4:D5"/>
    <mergeCell ref="E4:E5"/>
    <mergeCell ref="F4:F5"/>
    <mergeCell ref="G4:J4"/>
    <mergeCell ref="R118:W118"/>
    <mergeCell ref="C6:D6"/>
    <mergeCell ref="C12:D12"/>
    <mergeCell ref="C14:D14"/>
    <mergeCell ref="C75:D75"/>
    <mergeCell ref="C76:D76"/>
    <mergeCell ref="C101:D101"/>
    <mergeCell ref="C63:D63"/>
    <mergeCell ref="C64:D64"/>
    <mergeCell ref="C65:D65"/>
    <mergeCell ref="C66:D66"/>
    <mergeCell ref="C67:D67"/>
    <mergeCell ref="C70:D70"/>
    <mergeCell ref="C71:D71"/>
    <mergeCell ref="C25:D25"/>
    <mergeCell ref="C27:D27"/>
    <mergeCell ref="C15:D15"/>
    <mergeCell ref="H122:I122"/>
    <mergeCell ref="H123:I123"/>
    <mergeCell ref="J123:K123"/>
    <mergeCell ref="L123:M123"/>
    <mergeCell ref="J121:K121"/>
    <mergeCell ref="L121:M121"/>
    <mergeCell ref="C68:D68"/>
    <mergeCell ref="C69:D69"/>
    <mergeCell ref="C21:D21"/>
    <mergeCell ref="C23:D23"/>
    <mergeCell ref="C100:D100"/>
    <mergeCell ref="C72:D72"/>
    <mergeCell ref="C73:D73"/>
    <mergeCell ref="C74:D74"/>
    <mergeCell ref="C18:D18"/>
    <mergeCell ref="C26:D26"/>
    <mergeCell ref="C102:D102"/>
    <mergeCell ref="C103:D103"/>
    <mergeCell ref="H121:I121"/>
    <mergeCell ref="C32:D32"/>
    <mergeCell ref="C34:D34"/>
    <mergeCell ref="C36:D36"/>
    <mergeCell ref="C40:D40"/>
    <mergeCell ref="N159:O159"/>
    <mergeCell ref="N160:O160"/>
    <mergeCell ref="N161:O161"/>
    <mergeCell ref="N162:O162"/>
    <mergeCell ref="N163:O163"/>
    <mergeCell ref="H133:I133"/>
    <mergeCell ref="J133:K133"/>
    <mergeCell ref="H140:I140"/>
    <mergeCell ref="N134:O134"/>
    <mergeCell ref="N147:O147"/>
    <mergeCell ref="N148:O148"/>
    <mergeCell ref="N143:O143"/>
    <mergeCell ref="L143:M143"/>
    <mergeCell ref="N142:O142"/>
    <mergeCell ref="N144:O144"/>
    <mergeCell ref="L145:M145"/>
    <mergeCell ref="L138:M138"/>
    <mergeCell ref="N141:O141"/>
    <mergeCell ref="N136:O136"/>
    <mergeCell ref="L144:M144"/>
    <mergeCell ref="N149:O149"/>
    <mergeCell ref="L147:M147"/>
    <mergeCell ref="L148:M148"/>
    <mergeCell ref="N145:O145"/>
    <mergeCell ref="N146:O146"/>
    <mergeCell ref="J148:K148"/>
    <mergeCell ref="L146:M146"/>
    <mergeCell ref="H149:I149"/>
    <mergeCell ref="J146:K146"/>
    <mergeCell ref="H145:I145"/>
    <mergeCell ref="J145:K145"/>
    <mergeCell ref="N158:O158"/>
    <mergeCell ref="H137:I137"/>
    <mergeCell ref="L142:M142"/>
    <mergeCell ref="L150:M150"/>
    <mergeCell ref="H150:I150"/>
    <mergeCell ref="J150:K150"/>
    <mergeCell ref="J147:K147"/>
    <mergeCell ref="H146:I146"/>
    <mergeCell ref="H147:I147"/>
    <mergeCell ref="L149:M149"/>
    <mergeCell ref="H132:I132"/>
    <mergeCell ref="J132:K132"/>
    <mergeCell ref="H135:I135"/>
    <mergeCell ref="J135:K135"/>
    <mergeCell ref="H144:I144"/>
    <mergeCell ref="H138:I138"/>
    <mergeCell ref="H141:I141"/>
    <mergeCell ref="J141:K141"/>
    <mergeCell ref="H136:I136"/>
    <mergeCell ref="J136:K136"/>
    <mergeCell ref="H143:I143"/>
    <mergeCell ref="J142:K142"/>
    <mergeCell ref="J144:K144"/>
    <mergeCell ref="AT4:AW4"/>
    <mergeCell ref="AX4:BA4"/>
    <mergeCell ref="L162:M162"/>
    <mergeCell ref="L163:M163"/>
    <mergeCell ref="N138:O138"/>
    <mergeCell ref="L130:M130"/>
    <mergeCell ref="N131:O131"/>
    <mergeCell ref="L131:M131"/>
    <mergeCell ref="N130:O130"/>
    <mergeCell ref="L141:M141"/>
    <mergeCell ref="N140:O140"/>
    <mergeCell ref="L129:M129"/>
    <mergeCell ref="L132:M132"/>
    <mergeCell ref="N133:O133"/>
    <mergeCell ref="L133:M133"/>
    <mergeCell ref="N132:O132"/>
    <mergeCell ref="L136:M136"/>
    <mergeCell ref="L134:M134"/>
    <mergeCell ref="N135:O135"/>
    <mergeCell ref="L135:M135"/>
    <mergeCell ref="N128:O128"/>
    <mergeCell ref="N123:O123"/>
    <mergeCell ref="N125:O125"/>
    <mergeCell ref="N124:O124"/>
    <mergeCell ref="J162:K162"/>
    <mergeCell ref="C110:D110"/>
    <mergeCell ref="C111:D111"/>
    <mergeCell ref="H173:I173"/>
    <mergeCell ref="J173:K173"/>
    <mergeCell ref="L173:M173"/>
    <mergeCell ref="L164:M164"/>
    <mergeCell ref="L165:M165"/>
    <mergeCell ref="L166:M166"/>
    <mergeCell ref="L167:M167"/>
    <mergeCell ref="J155:K155"/>
    <mergeCell ref="J167:K167"/>
    <mergeCell ref="J156:K156"/>
    <mergeCell ref="J157:K157"/>
    <mergeCell ref="J158:K158"/>
    <mergeCell ref="J159:K159"/>
    <mergeCell ref="J161:K161"/>
    <mergeCell ref="J164:K164"/>
    <mergeCell ref="J165:K165"/>
    <mergeCell ref="J166:K166"/>
    <mergeCell ref="J160:K160"/>
    <mergeCell ref="J129:K129"/>
    <mergeCell ref="L140:M140"/>
    <mergeCell ref="L139:M139"/>
    <mergeCell ref="N173:O173"/>
    <mergeCell ref="H169:I169"/>
    <mergeCell ref="J169:K169"/>
    <mergeCell ref="L169:M169"/>
    <mergeCell ref="N169:O169"/>
    <mergeCell ref="N127:O127"/>
    <mergeCell ref="N126:O126"/>
    <mergeCell ref="N129:O129"/>
    <mergeCell ref="J153:K153"/>
    <mergeCell ref="N139:O139"/>
    <mergeCell ref="N137:O137"/>
    <mergeCell ref="N150:O150"/>
    <mergeCell ref="J137:K137"/>
    <mergeCell ref="J139:K139"/>
    <mergeCell ref="J140:K140"/>
    <mergeCell ref="J138:K138"/>
    <mergeCell ref="J154:K154"/>
    <mergeCell ref="J151:K151"/>
    <mergeCell ref="J152:K152"/>
    <mergeCell ref="L137:M137"/>
    <mergeCell ref="H153:I153"/>
    <mergeCell ref="L126:M126"/>
    <mergeCell ref="L127:M127"/>
    <mergeCell ref="L128:M12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A205"/>
  <sheetViews>
    <sheetView zoomScale="150" zoomScaleNormal="120" workbookViewId="0">
      <pane xSplit="1" ySplit="5" topLeftCell="B71" activePane="bottomRight" state="frozen"/>
      <selection pane="topRight" activeCell="B1" sqref="B1"/>
      <selection pane="bottomLeft" activeCell="A6" sqref="A6"/>
      <selection pane="bottomRight" activeCell="T6" sqref="T6:U134"/>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63</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1238</v>
      </c>
      <c r="D6" s="925"/>
      <c r="E6" s="227">
        <v>138</v>
      </c>
      <c r="G6" s="235">
        <v>7</v>
      </c>
      <c r="H6" s="227">
        <v>6</v>
      </c>
      <c r="J6" s="242">
        <v>13</v>
      </c>
      <c r="K6" s="218">
        <f>AC6+AG6</f>
        <v>17.3</v>
      </c>
      <c r="L6" s="218">
        <v>32.700000000000003</v>
      </c>
      <c r="M6" s="218">
        <f>I6/$J6*100</f>
        <v>0</v>
      </c>
      <c r="N6" s="237">
        <f>K6+L6+M6</f>
        <v>50</v>
      </c>
      <c r="O6" s="217">
        <v>30</v>
      </c>
      <c r="P6" s="218">
        <v>32.700000000000003</v>
      </c>
      <c r="Q6" s="218"/>
      <c r="R6" s="219">
        <f>O6+P6+Q6</f>
        <v>62.7</v>
      </c>
      <c r="S6" s="227">
        <v>3</v>
      </c>
      <c r="T6" s="870"/>
      <c r="U6" s="853"/>
      <c r="V6" s="226" t="s">
        <v>486</v>
      </c>
      <c r="W6" s="227" t="s">
        <v>82</v>
      </c>
      <c r="X6" s="227" t="s">
        <v>18</v>
      </c>
      <c r="Y6" s="228">
        <v>32.700000000000003</v>
      </c>
      <c r="Z6" s="227" t="s">
        <v>487</v>
      </c>
      <c r="AA6" s="227" t="s">
        <v>17</v>
      </c>
      <c r="AB6" s="227" t="s">
        <v>11</v>
      </c>
      <c r="AC6" s="227">
        <v>9.3000000000000007</v>
      </c>
      <c r="AD6" s="226" t="s">
        <v>488</v>
      </c>
      <c r="AE6" s="227" t="s">
        <v>86</v>
      </c>
      <c r="AF6" s="227" t="s">
        <v>11</v>
      </c>
      <c r="AG6" s="228">
        <v>8</v>
      </c>
      <c r="AL6" s="226"/>
      <c r="AO6" s="228"/>
      <c r="AP6" s="226"/>
      <c r="AS6" s="228"/>
      <c r="AW6" s="228"/>
      <c r="BA6" s="229"/>
    </row>
    <row r="7" spans="1:53" s="227" customFormat="1">
      <c r="A7" s="233">
        <v>1959</v>
      </c>
      <c r="B7" s="853">
        <v>21689</v>
      </c>
      <c r="C7" s="925" t="s">
        <v>654</v>
      </c>
      <c r="D7" s="925"/>
      <c r="E7" s="227">
        <f>365-E6</f>
        <v>227</v>
      </c>
      <c r="F7" s="227">
        <v>1</v>
      </c>
      <c r="G7" s="235">
        <v>7</v>
      </c>
      <c r="H7" s="227">
        <v>6</v>
      </c>
      <c r="J7" s="242">
        <v>13</v>
      </c>
      <c r="K7" s="218">
        <f>G7/$J7*100</f>
        <v>53.846153846153847</v>
      </c>
      <c r="L7" s="218">
        <f>H7/$J7*100</f>
        <v>46.153846153846153</v>
      </c>
      <c r="M7" s="218">
        <f>I7/$J7*100</f>
        <v>0</v>
      </c>
      <c r="N7" s="237">
        <f>K7+L7+M7</f>
        <v>100</v>
      </c>
      <c r="O7" s="217">
        <v>30</v>
      </c>
      <c r="P7" s="218">
        <v>32.700000000000003</v>
      </c>
      <c r="Q7" s="218"/>
      <c r="R7" s="219">
        <f>O7+P7+Q7</f>
        <v>62.7</v>
      </c>
      <c r="S7" s="227">
        <v>3</v>
      </c>
      <c r="T7" s="870">
        <v>21887</v>
      </c>
      <c r="U7" s="853">
        <v>21689</v>
      </c>
      <c r="V7" s="226" t="s">
        <v>486</v>
      </c>
      <c r="W7" s="227" t="s">
        <v>82</v>
      </c>
      <c r="X7" s="227" t="s">
        <v>18</v>
      </c>
      <c r="Y7" s="228">
        <v>32.700000000000003</v>
      </c>
      <c r="Z7" s="227" t="s">
        <v>487</v>
      </c>
      <c r="AA7" s="227" t="s">
        <v>17</v>
      </c>
      <c r="AB7" s="227" t="s">
        <v>11</v>
      </c>
      <c r="AC7" s="227">
        <v>9.3000000000000007</v>
      </c>
      <c r="AD7" s="226" t="s">
        <v>488</v>
      </c>
      <c r="AE7" s="227" t="s">
        <v>86</v>
      </c>
      <c r="AF7" s="227" t="s">
        <v>11</v>
      </c>
      <c r="AG7" s="228">
        <v>8</v>
      </c>
      <c r="AH7" s="227" t="s">
        <v>489</v>
      </c>
      <c r="AI7" s="227" t="s">
        <v>22</v>
      </c>
      <c r="AJ7" s="227" t="s">
        <v>11</v>
      </c>
      <c r="AK7" s="227">
        <v>12.7</v>
      </c>
      <c r="AL7" s="226"/>
      <c r="AO7" s="228"/>
      <c r="AP7" s="226"/>
      <c r="AS7" s="228"/>
      <c r="AW7" s="228"/>
      <c r="BA7" s="229"/>
    </row>
    <row r="8" spans="1:53" s="185" customFormat="1">
      <c r="A8" s="101">
        <v>1960</v>
      </c>
      <c r="B8" s="852"/>
      <c r="C8" s="917" t="s">
        <v>654</v>
      </c>
      <c r="D8" s="917"/>
      <c r="E8" s="185">
        <v>0</v>
      </c>
      <c r="G8" s="119">
        <v>7</v>
      </c>
      <c r="H8" s="185">
        <v>6</v>
      </c>
      <c r="J8" s="126">
        <v>13</v>
      </c>
      <c r="K8" s="92">
        <f>G8/$J8*100</f>
        <v>53.846153846153847</v>
      </c>
      <c r="L8" s="92">
        <f>H8/$J8*100</f>
        <v>46.153846153846153</v>
      </c>
      <c r="M8" s="92">
        <f>I8/$J8*100</f>
        <v>0</v>
      </c>
      <c r="N8" s="121">
        <f>K8+L8+M8</f>
        <v>100</v>
      </c>
      <c r="O8" s="91">
        <v>30</v>
      </c>
      <c r="P8" s="92">
        <v>32.700000000000003</v>
      </c>
      <c r="Q8" s="92"/>
      <c r="R8" s="93">
        <f>O8+P8+Q8</f>
        <v>62.7</v>
      </c>
      <c r="S8" s="185">
        <v>3</v>
      </c>
      <c r="T8" s="839"/>
      <c r="U8" s="852"/>
      <c r="V8" s="82" t="s">
        <v>486</v>
      </c>
      <c r="W8" s="185" t="s">
        <v>82</v>
      </c>
      <c r="X8" s="185" t="s">
        <v>18</v>
      </c>
      <c r="Y8" s="83">
        <v>32.700000000000003</v>
      </c>
      <c r="Z8" s="185" t="s">
        <v>487</v>
      </c>
      <c r="AA8" s="185" t="s">
        <v>17</v>
      </c>
      <c r="AB8" s="185" t="s">
        <v>11</v>
      </c>
      <c r="AC8" s="185">
        <v>9.3000000000000007</v>
      </c>
      <c r="AD8" s="82" t="s">
        <v>488</v>
      </c>
      <c r="AE8" s="185" t="s">
        <v>86</v>
      </c>
      <c r="AF8" s="185" t="s">
        <v>11</v>
      </c>
      <c r="AG8" s="83">
        <v>8</v>
      </c>
      <c r="AH8" s="185" t="s">
        <v>489</v>
      </c>
      <c r="AI8" s="185" t="s">
        <v>22</v>
      </c>
      <c r="AJ8" s="185" t="s">
        <v>11</v>
      </c>
      <c r="AK8" s="185">
        <v>12.7</v>
      </c>
      <c r="AL8" s="82"/>
      <c r="AO8" s="83"/>
      <c r="AP8" s="82"/>
      <c r="AS8" s="83"/>
      <c r="AW8" s="83"/>
      <c r="BA8" s="84"/>
    </row>
    <row r="9" spans="1:53" s="185" customFormat="1">
      <c r="A9" s="101">
        <v>1960</v>
      </c>
      <c r="B9" s="852"/>
      <c r="C9" s="917" t="s">
        <v>654</v>
      </c>
      <c r="D9" s="917"/>
      <c r="E9" s="185">
        <v>366</v>
      </c>
      <c r="G9" s="119">
        <v>7</v>
      </c>
      <c r="H9" s="185">
        <v>6</v>
      </c>
      <c r="J9" s="126">
        <v>13</v>
      </c>
      <c r="K9" s="92">
        <f t="shared" ref="K9:M59" si="0">G9/$J9*100</f>
        <v>53.846153846153847</v>
      </c>
      <c r="L9" s="92">
        <f t="shared" si="0"/>
        <v>46.153846153846153</v>
      </c>
      <c r="M9" s="92">
        <f t="shared" si="0"/>
        <v>0</v>
      </c>
      <c r="N9" s="121">
        <f t="shared" ref="N9:N72" si="1">K9+L9+M9</f>
        <v>100</v>
      </c>
      <c r="O9" s="91">
        <v>30</v>
      </c>
      <c r="P9" s="92">
        <v>32.700000000000003</v>
      </c>
      <c r="Q9" s="92"/>
      <c r="R9" s="93">
        <f t="shared" ref="R9:R72" si="2">O9+P9+Q9</f>
        <v>62.7</v>
      </c>
      <c r="S9" s="185">
        <v>3</v>
      </c>
      <c r="T9" s="839"/>
      <c r="U9" s="852"/>
      <c r="V9" s="82" t="s">
        <v>486</v>
      </c>
      <c r="W9" s="185" t="s">
        <v>82</v>
      </c>
      <c r="X9" s="185" t="s">
        <v>18</v>
      </c>
      <c r="Y9" s="83">
        <v>32.700000000000003</v>
      </c>
      <c r="Z9" s="185" t="s">
        <v>487</v>
      </c>
      <c r="AA9" s="185" t="s">
        <v>17</v>
      </c>
      <c r="AB9" s="185" t="s">
        <v>11</v>
      </c>
      <c r="AC9" s="185">
        <v>9.3000000000000007</v>
      </c>
      <c r="AD9" s="82" t="s">
        <v>488</v>
      </c>
      <c r="AE9" s="185" t="s">
        <v>86</v>
      </c>
      <c r="AF9" s="185" t="s">
        <v>11</v>
      </c>
      <c r="AG9" s="83">
        <v>8</v>
      </c>
      <c r="AH9" s="185" t="s">
        <v>489</v>
      </c>
      <c r="AI9" s="185" t="s">
        <v>22</v>
      </c>
      <c r="AJ9" s="185" t="s">
        <v>11</v>
      </c>
      <c r="AK9" s="185">
        <v>12.7</v>
      </c>
      <c r="AL9" s="82"/>
      <c r="AO9" s="83"/>
      <c r="AP9" s="82"/>
      <c r="AS9" s="83"/>
      <c r="AW9" s="83"/>
      <c r="BA9" s="84"/>
    </row>
    <row r="10" spans="1:53" s="185" customFormat="1">
      <c r="A10" s="101">
        <v>1961</v>
      </c>
      <c r="B10" s="852"/>
      <c r="C10" s="917" t="s">
        <v>654</v>
      </c>
      <c r="D10" s="917"/>
      <c r="E10" s="185">
        <v>0</v>
      </c>
      <c r="G10" s="119">
        <v>7</v>
      </c>
      <c r="H10" s="185">
        <v>6</v>
      </c>
      <c r="J10" s="126">
        <v>13</v>
      </c>
      <c r="K10" s="92">
        <f t="shared" si="0"/>
        <v>53.846153846153847</v>
      </c>
      <c r="L10" s="92">
        <f t="shared" si="0"/>
        <v>46.153846153846153</v>
      </c>
      <c r="M10" s="92">
        <f t="shared" si="0"/>
        <v>0</v>
      </c>
      <c r="N10" s="121">
        <f t="shared" si="1"/>
        <v>100</v>
      </c>
      <c r="O10" s="91">
        <v>30</v>
      </c>
      <c r="P10" s="92">
        <v>32.700000000000003</v>
      </c>
      <c r="Q10" s="92"/>
      <c r="R10" s="93">
        <f t="shared" si="2"/>
        <v>62.7</v>
      </c>
      <c r="S10" s="185">
        <v>3</v>
      </c>
      <c r="T10" s="839"/>
      <c r="U10" s="852"/>
      <c r="V10" s="82" t="s">
        <v>486</v>
      </c>
      <c r="W10" s="185" t="s">
        <v>82</v>
      </c>
      <c r="X10" s="185" t="s">
        <v>18</v>
      </c>
      <c r="Y10" s="83">
        <v>32.700000000000003</v>
      </c>
      <c r="Z10" s="185" t="s">
        <v>487</v>
      </c>
      <c r="AA10" s="185" t="s">
        <v>17</v>
      </c>
      <c r="AB10" s="185" t="s">
        <v>11</v>
      </c>
      <c r="AC10" s="185">
        <v>9.3000000000000007</v>
      </c>
      <c r="AD10" s="82" t="s">
        <v>488</v>
      </c>
      <c r="AE10" s="185" t="s">
        <v>86</v>
      </c>
      <c r="AF10" s="185" t="s">
        <v>11</v>
      </c>
      <c r="AG10" s="83">
        <v>8</v>
      </c>
      <c r="AH10" s="185" t="s">
        <v>489</v>
      </c>
      <c r="AI10" s="185" t="s">
        <v>22</v>
      </c>
      <c r="AJ10" s="185" t="s">
        <v>11</v>
      </c>
      <c r="AK10" s="185">
        <v>12.7</v>
      </c>
      <c r="AL10" s="82"/>
      <c r="AO10" s="83"/>
      <c r="AP10" s="82"/>
      <c r="AS10" s="83"/>
      <c r="AW10" s="83"/>
      <c r="BA10" s="84"/>
    </row>
    <row r="11" spans="1:53" s="185" customFormat="1">
      <c r="A11" s="101">
        <v>1961</v>
      </c>
      <c r="B11" s="852"/>
      <c r="C11" s="917" t="s">
        <v>654</v>
      </c>
      <c r="D11" s="917"/>
      <c r="E11" s="185">
        <v>365</v>
      </c>
      <c r="G11" s="119">
        <v>7</v>
      </c>
      <c r="H11" s="185">
        <v>6</v>
      </c>
      <c r="J11" s="126">
        <v>13</v>
      </c>
      <c r="K11" s="92">
        <f t="shared" si="0"/>
        <v>53.846153846153847</v>
      </c>
      <c r="L11" s="92">
        <f t="shared" si="0"/>
        <v>46.153846153846153</v>
      </c>
      <c r="M11" s="92">
        <f t="shared" si="0"/>
        <v>0</v>
      </c>
      <c r="N11" s="121">
        <f t="shared" si="1"/>
        <v>100</v>
      </c>
      <c r="O11" s="91">
        <v>30</v>
      </c>
      <c r="P11" s="92">
        <v>32.700000000000003</v>
      </c>
      <c r="Q11" s="92"/>
      <c r="R11" s="93">
        <f t="shared" si="2"/>
        <v>62.7</v>
      </c>
      <c r="S11" s="185">
        <v>3</v>
      </c>
      <c r="T11" s="839"/>
      <c r="U11" s="852"/>
      <c r="V11" s="82" t="s">
        <v>486</v>
      </c>
      <c r="W11" s="185" t="s">
        <v>82</v>
      </c>
      <c r="X11" s="185" t="s">
        <v>18</v>
      </c>
      <c r="Y11" s="83">
        <v>32.700000000000003</v>
      </c>
      <c r="Z11" s="185" t="s">
        <v>487</v>
      </c>
      <c r="AA11" s="185" t="s">
        <v>17</v>
      </c>
      <c r="AB11" s="185" t="s">
        <v>11</v>
      </c>
      <c r="AC11" s="185">
        <v>9.3000000000000007</v>
      </c>
      <c r="AD11" s="82" t="s">
        <v>488</v>
      </c>
      <c r="AE11" s="185" t="s">
        <v>86</v>
      </c>
      <c r="AF11" s="185" t="s">
        <v>11</v>
      </c>
      <c r="AG11" s="83">
        <v>8</v>
      </c>
      <c r="AH11" s="185" t="s">
        <v>489</v>
      </c>
      <c r="AI11" s="185" t="s">
        <v>22</v>
      </c>
      <c r="AJ11" s="185" t="s">
        <v>11</v>
      </c>
      <c r="AK11" s="185">
        <v>12.7</v>
      </c>
      <c r="AL11" s="82"/>
      <c r="AO11" s="83"/>
      <c r="AP11" s="82"/>
      <c r="AS11" s="83"/>
      <c r="AW11" s="83"/>
      <c r="BA11" s="84"/>
    </row>
    <row r="12" spans="1:53" s="185" customFormat="1">
      <c r="A12" s="101">
        <v>1962</v>
      </c>
      <c r="B12" s="852"/>
      <c r="C12" s="917" t="s">
        <v>654</v>
      </c>
      <c r="D12" s="917"/>
      <c r="E12" s="185">
        <v>0</v>
      </c>
      <c r="G12" s="119">
        <v>7</v>
      </c>
      <c r="H12" s="185">
        <v>6</v>
      </c>
      <c r="J12" s="126">
        <v>13</v>
      </c>
      <c r="K12" s="92">
        <f t="shared" si="0"/>
        <v>53.846153846153847</v>
      </c>
      <c r="L12" s="92">
        <f t="shared" si="0"/>
        <v>46.153846153846153</v>
      </c>
      <c r="M12" s="92">
        <f t="shared" si="0"/>
        <v>0</v>
      </c>
      <c r="N12" s="121">
        <f t="shared" si="1"/>
        <v>100</v>
      </c>
      <c r="O12" s="91">
        <v>30</v>
      </c>
      <c r="P12" s="92">
        <v>32.700000000000003</v>
      </c>
      <c r="Q12" s="92"/>
      <c r="R12" s="93">
        <f t="shared" si="2"/>
        <v>62.7</v>
      </c>
      <c r="S12" s="185">
        <v>3</v>
      </c>
      <c r="T12" s="839"/>
      <c r="U12" s="852"/>
      <c r="V12" s="82" t="s">
        <v>486</v>
      </c>
      <c r="W12" s="185" t="s">
        <v>82</v>
      </c>
      <c r="X12" s="185" t="s">
        <v>18</v>
      </c>
      <c r="Y12" s="83">
        <v>32.700000000000003</v>
      </c>
      <c r="Z12" s="185" t="s">
        <v>487</v>
      </c>
      <c r="AA12" s="185" t="s">
        <v>17</v>
      </c>
      <c r="AB12" s="185" t="s">
        <v>11</v>
      </c>
      <c r="AC12" s="185">
        <v>9.3000000000000007</v>
      </c>
      <c r="AD12" s="82" t="s">
        <v>488</v>
      </c>
      <c r="AE12" s="185" t="s">
        <v>86</v>
      </c>
      <c r="AF12" s="185" t="s">
        <v>11</v>
      </c>
      <c r="AG12" s="83">
        <v>8</v>
      </c>
      <c r="AH12" s="185" t="s">
        <v>489</v>
      </c>
      <c r="AI12" s="185" t="s">
        <v>22</v>
      </c>
      <c r="AJ12" s="185" t="s">
        <v>11</v>
      </c>
      <c r="AK12" s="185">
        <v>12.7</v>
      </c>
      <c r="AL12" s="82"/>
      <c r="AO12" s="83"/>
      <c r="AP12" s="82"/>
      <c r="AS12" s="83"/>
      <c r="AW12" s="83"/>
      <c r="BA12" s="84"/>
    </row>
    <row r="13" spans="1:53" s="185" customFormat="1">
      <c r="A13" s="101">
        <v>1962</v>
      </c>
      <c r="B13" s="852"/>
      <c r="C13" s="917" t="s">
        <v>654</v>
      </c>
      <c r="D13" s="917"/>
      <c r="E13" s="185">
        <v>365</v>
      </c>
      <c r="G13" s="119">
        <v>7</v>
      </c>
      <c r="H13" s="185">
        <v>6</v>
      </c>
      <c r="J13" s="126">
        <v>13</v>
      </c>
      <c r="K13" s="92">
        <f t="shared" si="0"/>
        <v>53.846153846153847</v>
      </c>
      <c r="L13" s="92">
        <f t="shared" si="0"/>
        <v>46.153846153846153</v>
      </c>
      <c r="M13" s="92">
        <f t="shared" si="0"/>
        <v>0</v>
      </c>
      <c r="N13" s="121">
        <f t="shared" si="1"/>
        <v>100</v>
      </c>
      <c r="O13" s="91">
        <v>30</v>
      </c>
      <c r="P13" s="92">
        <v>32.700000000000003</v>
      </c>
      <c r="Q13" s="92"/>
      <c r="R13" s="93">
        <f t="shared" si="2"/>
        <v>62.7</v>
      </c>
      <c r="S13" s="185">
        <v>3</v>
      </c>
      <c r="T13" s="839"/>
      <c r="U13" s="852"/>
      <c r="V13" s="82" t="s">
        <v>486</v>
      </c>
      <c r="W13" s="185" t="s">
        <v>82</v>
      </c>
      <c r="X13" s="185" t="s">
        <v>18</v>
      </c>
      <c r="Y13" s="83">
        <v>32.700000000000003</v>
      </c>
      <c r="Z13" s="185" t="s">
        <v>487</v>
      </c>
      <c r="AA13" s="185" t="s">
        <v>17</v>
      </c>
      <c r="AB13" s="185" t="s">
        <v>11</v>
      </c>
      <c r="AC13" s="185">
        <v>9.3000000000000007</v>
      </c>
      <c r="AD13" s="82" t="s">
        <v>488</v>
      </c>
      <c r="AE13" s="185" t="s">
        <v>86</v>
      </c>
      <c r="AF13" s="185" t="s">
        <v>11</v>
      </c>
      <c r="AG13" s="83">
        <v>8</v>
      </c>
      <c r="AH13" s="185" t="s">
        <v>489</v>
      </c>
      <c r="AI13" s="185" t="s">
        <v>22</v>
      </c>
      <c r="AJ13" s="185" t="s">
        <v>11</v>
      </c>
      <c r="AK13" s="185">
        <v>12.7</v>
      </c>
      <c r="AL13" s="82"/>
      <c r="AO13" s="83"/>
      <c r="AP13" s="82"/>
      <c r="AS13" s="83"/>
      <c r="AW13" s="83"/>
      <c r="BA13" s="84"/>
    </row>
    <row r="14" spans="1:53" s="185" customFormat="1">
      <c r="A14" s="101">
        <v>1962.6</v>
      </c>
      <c r="B14" s="852"/>
      <c r="C14" s="917" t="s">
        <v>654</v>
      </c>
      <c r="D14" s="917"/>
      <c r="E14" s="185">
        <v>204</v>
      </c>
      <c r="G14" s="119">
        <v>7</v>
      </c>
      <c r="H14" s="185">
        <v>6</v>
      </c>
      <c r="J14" s="126">
        <v>13</v>
      </c>
      <c r="K14" s="92">
        <f t="shared" si="0"/>
        <v>53.846153846153847</v>
      </c>
      <c r="L14" s="92">
        <f t="shared" si="0"/>
        <v>46.153846153846153</v>
      </c>
      <c r="M14" s="92">
        <f t="shared" si="0"/>
        <v>0</v>
      </c>
      <c r="N14" s="121">
        <f t="shared" si="1"/>
        <v>100</v>
      </c>
      <c r="O14" s="91">
        <v>30</v>
      </c>
      <c r="P14" s="92">
        <v>32.700000000000003</v>
      </c>
      <c r="Q14" s="92"/>
      <c r="R14" s="93">
        <f t="shared" si="2"/>
        <v>62.7</v>
      </c>
      <c r="S14" s="185">
        <v>3</v>
      </c>
      <c r="T14" s="839"/>
      <c r="U14" s="852"/>
      <c r="V14" s="82" t="s">
        <v>486</v>
      </c>
      <c r="W14" s="185" t="s">
        <v>82</v>
      </c>
      <c r="X14" s="185" t="s">
        <v>18</v>
      </c>
      <c r="Y14" s="83">
        <v>32.700000000000003</v>
      </c>
      <c r="Z14" s="185" t="s">
        <v>487</v>
      </c>
      <c r="AA14" s="185" t="s">
        <v>17</v>
      </c>
      <c r="AB14" s="185" t="s">
        <v>11</v>
      </c>
      <c r="AC14" s="185">
        <v>9.3000000000000007</v>
      </c>
      <c r="AD14" s="82" t="s">
        <v>488</v>
      </c>
      <c r="AE14" s="185" t="s">
        <v>86</v>
      </c>
      <c r="AF14" s="185" t="s">
        <v>11</v>
      </c>
      <c r="AG14" s="83">
        <v>8</v>
      </c>
      <c r="AH14" s="185" t="s">
        <v>489</v>
      </c>
      <c r="AI14" s="185" t="s">
        <v>22</v>
      </c>
      <c r="AJ14" s="185" t="s">
        <v>11</v>
      </c>
      <c r="AK14" s="185">
        <v>12.7</v>
      </c>
      <c r="AL14" s="82"/>
      <c r="AO14" s="83"/>
      <c r="AP14" s="82"/>
      <c r="AS14" s="83"/>
      <c r="AW14" s="83"/>
      <c r="BA14" s="84"/>
    </row>
    <row r="15" spans="1:53" s="292" customFormat="1">
      <c r="A15" s="338">
        <v>1963.05714285714</v>
      </c>
      <c r="B15" s="836">
        <v>23216</v>
      </c>
      <c r="C15" s="916" t="s">
        <v>655</v>
      </c>
      <c r="D15" s="916"/>
      <c r="E15" s="292">
        <f>365-E14</f>
        <v>161</v>
      </c>
      <c r="F15" s="292">
        <v>1</v>
      </c>
      <c r="G15" s="366">
        <v>7</v>
      </c>
      <c r="H15" s="292">
        <v>6</v>
      </c>
      <c r="J15" s="377">
        <v>13</v>
      </c>
      <c r="K15" s="336">
        <f t="shared" si="0"/>
        <v>53.846153846153847</v>
      </c>
      <c r="L15" s="336">
        <f t="shared" si="0"/>
        <v>46.153846153846153</v>
      </c>
      <c r="M15" s="336">
        <f t="shared" si="0"/>
        <v>0</v>
      </c>
      <c r="N15" s="368">
        <f t="shared" si="1"/>
        <v>100</v>
      </c>
      <c r="O15" s="335">
        <v>28.099999999999998</v>
      </c>
      <c r="P15" s="336">
        <v>33.299999999999997</v>
      </c>
      <c r="Q15" s="336"/>
      <c r="R15" s="337">
        <f t="shared" si="2"/>
        <v>61.399999999999991</v>
      </c>
      <c r="S15" s="292">
        <v>3</v>
      </c>
      <c r="T15" s="838">
        <v>23146</v>
      </c>
      <c r="U15" s="836">
        <v>23216</v>
      </c>
      <c r="V15" s="299" t="s">
        <v>486</v>
      </c>
      <c r="W15" s="292" t="s">
        <v>82</v>
      </c>
      <c r="X15" s="292" t="s">
        <v>18</v>
      </c>
      <c r="Y15" s="300">
        <v>33.299999999999997</v>
      </c>
      <c r="Z15" s="292" t="s">
        <v>487</v>
      </c>
      <c r="AA15" s="292" t="s">
        <v>17</v>
      </c>
      <c r="AB15" s="292" t="s">
        <v>11</v>
      </c>
      <c r="AC15" s="292">
        <v>8.6999999999999993</v>
      </c>
      <c r="AD15" s="299" t="s">
        <v>488</v>
      </c>
      <c r="AE15" s="292" t="s">
        <v>86</v>
      </c>
      <c r="AF15" s="292" t="s">
        <v>11</v>
      </c>
      <c r="AG15" s="300">
        <v>8.6999999999999993</v>
      </c>
      <c r="AH15" s="292" t="s">
        <v>489</v>
      </c>
      <c r="AI15" s="292" t="s">
        <v>22</v>
      </c>
      <c r="AJ15" s="292" t="s">
        <v>11</v>
      </c>
      <c r="AK15" s="292">
        <v>10.7</v>
      </c>
      <c r="AL15" s="299"/>
      <c r="AO15" s="300"/>
      <c r="AP15" s="299"/>
      <c r="AS15" s="300"/>
      <c r="AW15" s="300"/>
      <c r="BA15" s="301"/>
    </row>
    <row r="16" spans="1:53" s="292" customFormat="1">
      <c r="A16" s="338">
        <v>1963.5142857142901</v>
      </c>
      <c r="B16" s="836"/>
      <c r="C16" s="916" t="s">
        <v>655</v>
      </c>
      <c r="D16" s="916"/>
      <c r="E16" s="292">
        <v>0</v>
      </c>
      <c r="G16" s="366">
        <v>7</v>
      </c>
      <c r="H16" s="292">
        <v>6</v>
      </c>
      <c r="J16" s="377">
        <v>13</v>
      </c>
      <c r="K16" s="336">
        <f t="shared" si="0"/>
        <v>53.846153846153847</v>
      </c>
      <c r="L16" s="336">
        <f t="shared" si="0"/>
        <v>46.153846153846153</v>
      </c>
      <c r="M16" s="336">
        <f t="shared" si="0"/>
        <v>0</v>
      </c>
      <c r="N16" s="368">
        <f t="shared" si="1"/>
        <v>100</v>
      </c>
      <c r="O16" s="335">
        <v>28.099999999999998</v>
      </c>
      <c r="P16" s="336">
        <v>33.299999999999997</v>
      </c>
      <c r="Q16" s="336"/>
      <c r="R16" s="337">
        <f t="shared" si="2"/>
        <v>61.399999999999991</v>
      </c>
      <c r="S16" s="292">
        <v>3</v>
      </c>
      <c r="T16" s="838"/>
      <c r="U16" s="836"/>
      <c r="V16" s="299" t="s">
        <v>486</v>
      </c>
      <c r="W16" s="292" t="s">
        <v>82</v>
      </c>
      <c r="X16" s="292" t="s">
        <v>18</v>
      </c>
      <c r="Y16" s="300">
        <v>33.299999999999997</v>
      </c>
      <c r="Z16" s="292" t="s">
        <v>487</v>
      </c>
      <c r="AA16" s="292" t="s">
        <v>17</v>
      </c>
      <c r="AB16" s="292" t="s">
        <v>11</v>
      </c>
      <c r="AC16" s="292">
        <v>8.6999999999999993</v>
      </c>
      <c r="AD16" s="299" t="s">
        <v>488</v>
      </c>
      <c r="AE16" s="292" t="s">
        <v>86</v>
      </c>
      <c r="AF16" s="292" t="s">
        <v>11</v>
      </c>
      <c r="AG16" s="300">
        <v>8.6999999999999993</v>
      </c>
      <c r="AH16" s="292" t="s">
        <v>489</v>
      </c>
      <c r="AI16" s="292" t="s">
        <v>22</v>
      </c>
      <c r="AJ16" s="292" t="s">
        <v>11</v>
      </c>
      <c r="AK16" s="292">
        <v>10.7</v>
      </c>
      <c r="AL16" s="299"/>
      <c r="AO16" s="300"/>
      <c r="AP16" s="299"/>
      <c r="AS16" s="300"/>
      <c r="AW16" s="300"/>
      <c r="BA16" s="301"/>
    </row>
    <row r="17" spans="1:53" s="292" customFormat="1">
      <c r="A17" s="338">
        <v>1963.9714285714299</v>
      </c>
      <c r="B17" s="836"/>
      <c r="C17" s="916" t="s">
        <v>655</v>
      </c>
      <c r="D17" s="916"/>
      <c r="E17" s="292">
        <v>366</v>
      </c>
      <c r="G17" s="366">
        <v>7</v>
      </c>
      <c r="H17" s="292">
        <v>6</v>
      </c>
      <c r="J17" s="377">
        <v>13</v>
      </c>
      <c r="K17" s="336">
        <f t="shared" si="0"/>
        <v>53.846153846153847</v>
      </c>
      <c r="L17" s="336">
        <f t="shared" si="0"/>
        <v>46.153846153846153</v>
      </c>
      <c r="M17" s="336">
        <f t="shared" si="0"/>
        <v>0</v>
      </c>
      <c r="N17" s="368">
        <f t="shared" si="1"/>
        <v>100</v>
      </c>
      <c r="O17" s="335">
        <v>28.099999999999998</v>
      </c>
      <c r="P17" s="336">
        <v>33.299999999999997</v>
      </c>
      <c r="Q17" s="336"/>
      <c r="R17" s="337">
        <f t="shared" si="2"/>
        <v>61.399999999999991</v>
      </c>
      <c r="S17" s="292">
        <v>3</v>
      </c>
      <c r="T17" s="838"/>
      <c r="U17" s="836"/>
      <c r="V17" s="299" t="s">
        <v>486</v>
      </c>
      <c r="W17" s="292" t="s">
        <v>82</v>
      </c>
      <c r="X17" s="292" t="s">
        <v>18</v>
      </c>
      <c r="Y17" s="300">
        <v>33.299999999999997</v>
      </c>
      <c r="Z17" s="292" t="s">
        <v>487</v>
      </c>
      <c r="AA17" s="292" t="s">
        <v>17</v>
      </c>
      <c r="AB17" s="292" t="s">
        <v>11</v>
      </c>
      <c r="AC17" s="292">
        <v>8.6999999999999993</v>
      </c>
      <c r="AD17" s="299" t="s">
        <v>488</v>
      </c>
      <c r="AE17" s="292" t="s">
        <v>86</v>
      </c>
      <c r="AF17" s="292" t="s">
        <v>11</v>
      </c>
      <c r="AG17" s="300">
        <v>8.6999999999999993</v>
      </c>
      <c r="AH17" s="292" t="s">
        <v>489</v>
      </c>
      <c r="AI17" s="292" t="s">
        <v>22</v>
      </c>
      <c r="AJ17" s="292" t="s">
        <v>11</v>
      </c>
      <c r="AK17" s="292">
        <v>10.7</v>
      </c>
      <c r="AL17" s="299"/>
      <c r="AO17" s="300"/>
      <c r="AP17" s="299"/>
      <c r="AS17" s="300"/>
      <c r="AW17" s="300"/>
      <c r="BA17" s="301"/>
    </row>
    <row r="18" spans="1:53" s="292" customFormat="1">
      <c r="A18" s="338">
        <v>1965</v>
      </c>
      <c r="B18" s="836"/>
      <c r="C18" s="916" t="s">
        <v>655</v>
      </c>
      <c r="D18" s="916"/>
      <c r="E18" s="292">
        <v>116</v>
      </c>
      <c r="G18" s="366">
        <v>7</v>
      </c>
      <c r="H18" s="292">
        <v>6</v>
      </c>
      <c r="J18" s="377">
        <v>13</v>
      </c>
      <c r="K18" s="336">
        <f t="shared" si="0"/>
        <v>53.846153846153847</v>
      </c>
      <c r="L18" s="336">
        <f t="shared" si="0"/>
        <v>46.153846153846153</v>
      </c>
      <c r="M18" s="336">
        <f t="shared" si="0"/>
        <v>0</v>
      </c>
      <c r="N18" s="368">
        <f t="shared" si="1"/>
        <v>100</v>
      </c>
      <c r="O18" s="335">
        <v>28.099999999999998</v>
      </c>
      <c r="P18" s="336">
        <v>33.299999999999997</v>
      </c>
      <c r="Q18" s="336"/>
      <c r="R18" s="337">
        <f t="shared" si="2"/>
        <v>61.399999999999991</v>
      </c>
      <c r="S18" s="292">
        <v>3</v>
      </c>
      <c r="T18" s="838"/>
      <c r="U18" s="836"/>
      <c r="V18" s="299" t="s">
        <v>486</v>
      </c>
      <c r="W18" s="292" t="s">
        <v>82</v>
      </c>
      <c r="X18" s="292" t="s">
        <v>18</v>
      </c>
      <c r="Y18" s="300">
        <v>33.299999999999997</v>
      </c>
      <c r="Z18" s="292" t="s">
        <v>487</v>
      </c>
      <c r="AA18" s="292" t="s">
        <v>17</v>
      </c>
      <c r="AB18" s="292" t="s">
        <v>11</v>
      </c>
      <c r="AC18" s="292">
        <v>8.6999999999999993</v>
      </c>
      <c r="AD18" s="299" t="s">
        <v>488</v>
      </c>
      <c r="AE18" s="292" t="s">
        <v>86</v>
      </c>
      <c r="AF18" s="292" t="s">
        <v>11</v>
      </c>
      <c r="AG18" s="300">
        <v>8.6999999999999993</v>
      </c>
      <c r="AH18" s="292" t="s">
        <v>489</v>
      </c>
      <c r="AI18" s="292" t="s">
        <v>22</v>
      </c>
      <c r="AJ18" s="292" t="s">
        <v>11</v>
      </c>
      <c r="AK18" s="292">
        <v>10.7</v>
      </c>
      <c r="AL18" s="299"/>
      <c r="AO18" s="300"/>
      <c r="AP18" s="299"/>
      <c r="AS18" s="300"/>
      <c r="AW18" s="300"/>
      <c r="BA18" s="301"/>
    </row>
    <row r="19" spans="1:53" s="185" customFormat="1">
      <c r="A19" s="101">
        <v>1964.88571428572</v>
      </c>
      <c r="B19" s="852">
        <v>23859</v>
      </c>
      <c r="C19" s="917" t="s">
        <v>656</v>
      </c>
      <c r="D19" s="917"/>
      <c r="E19" s="185">
        <f>365-E18</f>
        <v>249</v>
      </c>
      <c r="F19" s="185">
        <v>4</v>
      </c>
      <c r="G19" s="119">
        <v>2</v>
      </c>
      <c r="H19" s="185">
        <v>6</v>
      </c>
      <c r="I19" s="185">
        <v>5</v>
      </c>
      <c r="J19" s="126">
        <v>14</v>
      </c>
      <c r="K19" s="92">
        <f t="shared" si="0"/>
        <v>14.285714285714285</v>
      </c>
      <c r="L19" s="92">
        <f t="shared" si="0"/>
        <v>42.857142857142854</v>
      </c>
      <c r="M19" s="92">
        <f t="shared" si="0"/>
        <v>35.714285714285715</v>
      </c>
      <c r="N19" s="121">
        <f t="shared" si="1"/>
        <v>92.857142857142861</v>
      </c>
      <c r="O19" s="91">
        <v>8.6999999999999993</v>
      </c>
      <c r="P19" s="92">
        <v>33.299999999999997</v>
      </c>
      <c r="Q19" s="92">
        <v>28.7</v>
      </c>
      <c r="R19" s="93">
        <f t="shared" si="2"/>
        <v>70.7</v>
      </c>
      <c r="S19" s="185">
        <v>3</v>
      </c>
      <c r="T19" s="839"/>
      <c r="U19" s="852">
        <v>23859</v>
      </c>
      <c r="V19" s="82" t="s">
        <v>486</v>
      </c>
      <c r="W19" s="185" t="s">
        <v>82</v>
      </c>
      <c r="X19" s="185" t="s">
        <v>18</v>
      </c>
      <c r="Y19" s="83">
        <v>33.299999999999997</v>
      </c>
      <c r="Z19" s="185" t="s">
        <v>487</v>
      </c>
      <c r="AA19" s="185" t="s">
        <v>17</v>
      </c>
      <c r="AB19" s="185" t="s">
        <v>11</v>
      </c>
      <c r="AC19" s="185">
        <v>8.6999999999999993</v>
      </c>
      <c r="AD19" s="82" t="s">
        <v>490</v>
      </c>
      <c r="AE19" s="185" t="s">
        <v>20</v>
      </c>
      <c r="AF19" s="185" t="s">
        <v>12</v>
      </c>
      <c r="AG19" s="83">
        <v>28.7</v>
      </c>
      <c r="AL19" s="82"/>
      <c r="AO19" s="83"/>
      <c r="AP19" s="82"/>
      <c r="AS19" s="83"/>
      <c r="AW19" s="83"/>
      <c r="BA19" s="84"/>
    </row>
    <row r="20" spans="1:53" s="185" customFormat="1">
      <c r="A20" s="101">
        <v>1966</v>
      </c>
      <c r="B20" s="852"/>
      <c r="C20" s="917" t="s">
        <v>656</v>
      </c>
      <c r="D20" s="917"/>
      <c r="E20" s="185">
        <v>325</v>
      </c>
      <c r="G20" s="119">
        <v>2</v>
      </c>
      <c r="H20" s="185">
        <v>6</v>
      </c>
      <c r="I20" s="185">
        <v>5</v>
      </c>
      <c r="J20" s="126">
        <v>14</v>
      </c>
      <c r="K20" s="92">
        <f t="shared" si="0"/>
        <v>14.285714285714285</v>
      </c>
      <c r="L20" s="92">
        <f t="shared" si="0"/>
        <v>42.857142857142854</v>
      </c>
      <c r="M20" s="92">
        <f t="shared" si="0"/>
        <v>35.714285714285715</v>
      </c>
      <c r="N20" s="121">
        <f t="shared" si="1"/>
        <v>92.857142857142861</v>
      </c>
      <c r="O20" s="91">
        <v>8.6999999999999993</v>
      </c>
      <c r="P20" s="92">
        <v>33.299999999999997</v>
      </c>
      <c r="Q20" s="92">
        <v>28.7</v>
      </c>
      <c r="R20" s="93">
        <f t="shared" si="2"/>
        <v>70.7</v>
      </c>
      <c r="S20" s="185">
        <v>3</v>
      </c>
      <c r="T20" s="839"/>
      <c r="U20" s="852"/>
      <c r="V20" s="82" t="s">
        <v>486</v>
      </c>
      <c r="W20" s="185" t="s">
        <v>82</v>
      </c>
      <c r="X20" s="185" t="s">
        <v>18</v>
      </c>
      <c r="Y20" s="83">
        <v>33.299999999999997</v>
      </c>
      <c r="Z20" s="185" t="s">
        <v>487</v>
      </c>
      <c r="AA20" s="185" t="s">
        <v>17</v>
      </c>
      <c r="AB20" s="185" t="s">
        <v>11</v>
      </c>
      <c r="AC20" s="185">
        <v>8.6999999999999993</v>
      </c>
      <c r="AD20" s="82" t="s">
        <v>490</v>
      </c>
      <c r="AE20" s="185" t="s">
        <v>20</v>
      </c>
      <c r="AF20" s="185" t="s">
        <v>12</v>
      </c>
      <c r="AG20" s="83">
        <v>28.7</v>
      </c>
      <c r="AL20" s="82"/>
      <c r="AO20" s="83"/>
      <c r="AP20" s="82"/>
      <c r="AS20" s="83"/>
      <c r="AW20" s="83"/>
      <c r="BA20" s="84"/>
    </row>
    <row r="21" spans="1:53" s="292" customFormat="1">
      <c r="A21" s="338">
        <v>1965.8</v>
      </c>
      <c r="B21" s="836">
        <v>24433</v>
      </c>
      <c r="C21" s="916" t="s">
        <v>657</v>
      </c>
      <c r="D21" s="916"/>
      <c r="E21" s="292">
        <f>365-E20</f>
        <v>40</v>
      </c>
      <c r="F21" s="292">
        <v>5</v>
      </c>
      <c r="G21" s="366">
        <v>4</v>
      </c>
      <c r="H21" s="292">
        <v>9</v>
      </c>
      <c r="J21" s="377">
        <v>13</v>
      </c>
      <c r="K21" s="336">
        <f t="shared" si="0"/>
        <v>30.76923076923077</v>
      </c>
      <c r="L21" s="336">
        <f t="shared" si="0"/>
        <v>69.230769230769226</v>
      </c>
      <c r="M21" s="336">
        <f t="shared" si="0"/>
        <v>0</v>
      </c>
      <c r="N21" s="368">
        <f t="shared" si="1"/>
        <v>100</v>
      </c>
      <c r="O21" s="335">
        <v>8.6999999999999993</v>
      </c>
      <c r="P21" s="336">
        <v>33.299999999999997</v>
      </c>
      <c r="Q21" s="336"/>
      <c r="R21" s="337">
        <f t="shared" si="2"/>
        <v>42</v>
      </c>
      <c r="S21" s="292">
        <v>6</v>
      </c>
      <c r="T21" s="838"/>
      <c r="U21" s="836">
        <v>24433</v>
      </c>
      <c r="V21" s="299" t="s">
        <v>486</v>
      </c>
      <c r="W21" s="292" t="s">
        <v>82</v>
      </c>
      <c r="X21" s="292" t="s">
        <v>18</v>
      </c>
      <c r="Y21" s="300">
        <v>33.299999999999997</v>
      </c>
      <c r="Z21" s="292" t="s">
        <v>487</v>
      </c>
      <c r="AA21" s="292" t="s">
        <v>17</v>
      </c>
      <c r="AB21" s="292" t="s">
        <v>11</v>
      </c>
      <c r="AC21" s="292">
        <v>8.6999999999999993</v>
      </c>
      <c r="AD21" s="299"/>
      <c r="AG21" s="300"/>
      <c r="AL21" s="299"/>
      <c r="AO21" s="300"/>
      <c r="AP21" s="299"/>
      <c r="AS21" s="300"/>
      <c r="AW21" s="300"/>
      <c r="BA21" s="301"/>
    </row>
    <row r="22" spans="1:53" s="292" customFormat="1">
      <c r="A22" s="338">
        <v>1967</v>
      </c>
      <c r="B22" s="836"/>
      <c r="C22" s="916" t="s">
        <v>657</v>
      </c>
      <c r="D22" s="916"/>
      <c r="E22" s="292">
        <v>92</v>
      </c>
      <c r="G22" s="366">
        <v>4</v>
      </c>
      <c r="H22" s="292">
        <v>9</v>
      </c>
      <c r="J22" s="377">
        <v>13</v>
      </c>
      <c r="K22" s="336">
        <f t="shared" si="0"/>
        <v>30.76923076923077</v>
      </c>
      <c r="L22" s="336">
        <f t="shared" si="0"/>
        <v>69.230769230769226</v>
      </c>
      <c r="M22" s="336">
        <f t="shared" si="0"/>
        <v>0</v>
      </c>
      <c r="N22" s="368">
        <f t="shared" si="1"/>
        <v>100</v>
      </c>
      <c r="O22" s="335">
        <v>8.6999999999999993</v>
      </c>
      <c r="P22" s="336">
        <v>33.299999999999997</v>
      </c>
      <c r="Q22" s="336"/>
      <c r="R22" s="337">
        <f t="shared" si="2"/>
        <v>42</v>
      </c>
      <c r="S22" s="292">
        <v>6</v>
      </c>
      <c r="T22" s="838"/>
      <c r="U22" s="836"/>
      <c r="V22" s="299" t="s">
        <v>486</v>
      </c>
      <c r="W22" s="292" t="s">
        <v>82</v>
      </c>
      <c r="X22" s="292" t="s">
        <v>18</v>
      </c>
      <c r="Y22" s="300">
        <v>33.299999999999997</v>
      </c>
      <c r="Z22" s="292" t="s">
        <v>487</v>
      </c>
      <c r="AA22" s="292" t="s">
        <v>17</v>
      </c>
      <c r="AB22" s="292" t="s">
        <v>11</v>
      </c>
      <c r="AC22" s="292">
        <v>8.6999999999999993</v>
      </c>
      <c r="AD22" s="299"/>
      <c r="AG22" s="300"/>
      <c r="AL22" s="299"/>
      <c r="AO22" s="300"/>
      <c r="AP22" s="299"/>
      <c r="AS22" s="300"/>
      <c r="AW22" s="300"/>
      <c r="BA22" s="301"/>
    </row>
    <row r="23" spans="1:53" s="185" customFormat="1">
      <c r="A23" s="101">
        <v>1966.7142857142901</v>
      </c>
      <c r="B23" s="852">
        <v>24565</v>
      </c>
      <c r="C23" s="917" t="s">
        <v>810</v>
      </c>
      <c r="D23" s="917"/>
      <c r="E23" s="185">
        <f>365-E22</f>
        <v>273</v>
      </c>
      <c r="F23" s="185">
        <v>1</v>
      </c>
      <c r="G23" s="119">
        <v>8</v>
      </c>
      <c r="H23" s="185">
        <v>6</v>
      </c>
      <c r="J23" s="126">
        <v>14</v>
      </c>
      <c r="K23" s="92">
        <f t="shared" si="0"/>
        <v>57.142857142857139</v>
      </c>
      <c r="L23" s="92">
        <f t="shared" si="0"/>
        <v>42.857142857142854</v>
      </c>
      <c r="M23" s="92">
        <f t="shared" si="0"/>
        <v>0</v>
      </c>
      <c r="N23" s="121">
        <f t="shared" si="1"/>
        <v>100</v>
      </c>
      <c r="O23" s="91">
        <v>29.3</v>
      </c>
      <c r="P23" s="92">
        <v>28</v>
      </c>
      <c r="Q23" s="92"/>
      <c r="R23" s="93">
        <f t="shared" si="2"/>
        <v>57.3</v>
      </c>
      <c r="S23" s="185">
        <v>2</v>
      </c>
      <c r="T23" s="839">
        <v>24518</v>
      </c>
      <c r="U23" s="852">
        <v>24565</v>
      </c>
      <c r="V23" s="82" t="s">
        <v>486</v>
      </c>
      <c r="W23" s="185" t="s">
        <v>82</v>
      </c>
      <c r="X23" s="185" t="s">
        <v>18</v>
      </c>
      <c r="Y23" s="83">
        <v>28</v>
      </c>
      <c r="Z23" s="185" t="s">
        <v>487</v>
      </c>
      <c r="AA23" s="185" t="s">
        <v>17</v>
      </c>
      <c r="AB23" s="185" t="s">
        <v>11</v>
      </c>
      <c r="AC23" s="185">
        <v>10</v>
      </c>
      <c r="AD23" s="82" t="s">
        <v>488</v>
      </c>
      <c r="AE23" s="185" t="s">
        <v>86</v>
      </c>
      <c r="AF23" s="185" t="s">
        <v>11</v>
      </c>
      <c r="AG23" s="83">
        <v>8</v>
      </c>
      <c r="AH23" s="185" t="s">
        <v>489</v>
      </c>
      <c r="AI23" s="185" t="s">
        <v>22</v>
      </c>
      <c r="AJ23" s="185" t="s">
        <v>11</v>
      </c>
      <c r="AK23" s="185">
        <v>11.3</v>
      </c>
      <c r="AL23" s="82"/>
      <c r="AO23" s="83"/>
      <c r="AP23" s="82"/>
      <c r="AS23" s="83"/>
      <c r="AW23" s="83"/>
      <c r="BA23" s="84"/>
    </row>
    <row r="24" spans="1:53" s="185" customFormat="1">
      <c r="A24" s="101">
        <v>1968</v>
      </c>
      <c r="B24" s="852"/>
      <c r="C24" s="917" t="s">
        <v>810</v>
      </c>
      <c r="D24" s="917"/>
      <c r="E24" s="185">
        <v>0</v>
      </c>
      <c r="G24" s="119">
        <v>8</v>
      </c>
      <c r="H24" s="185">
        <v>6</v>
      </c>
      <c r="J24" s="126">
        <v>14</v>
      </c>
      <c r="K24" s="92">
        <f t="shared" si="0"/>
        <v>57.142857142857139</v>
      </c>
      <c r="L24" s="92">
        <f t="shared" si="0"/>
        <v>42.857142857142854</v>
      </c>
      <c r="M24" s="92">
        <f t="shared" si="0"/>
        <v>0</v>
      </c>
      <c r="N24" s="121">
        <f t="shared" si="1"/>
        <v>100</v>
      </c>
      <c r="O24" s="91">
        <v>29.3</v>
      </c>
      <c r="P24" s="92">
        <v>28</v>
      </c>
      <c r="Q24" s="92"/>
      <c r="R24" s="93">
        <f t="shared" si="2"/>
        <v>57.3</v>
      </c>
      <c r="S24" s="185">
        <v>2</v>
      </c>
      <c r="T24" s="839"/>
      <c r="U24" s="852"/>
      <c r="V24" s="82" t="s">
        <v>486</v>
      </c>
      <c r="W24" s="185" t="s">
        <v>82</v>
      </c>
      <c r="X24" s="185" t="s">
        <v>18</v>
      </c>
      <c r="Y24" s="83">
        <v>28</v>
      </c>
      <c r="Z24" s="185" t="s">
        <v>487</v>
      </c>
      <c r="AA24" s="185" t="s">
        <v>17</v>
      </c>
      <c r="AB24" s="185" t="s">
        <v>11</v>
      </c>
      <c r="AC24" s="185">
        <v>10</v>
      </c>
      <c r="AD24" s="82" t="s">
        <v>488</v>
      </c>
      <c r="AE24" s="185" t="s">
        <v>86</v>
      </c>
      <c r="AF24" s="185" t="s">
        <v>11</v>
      </c>
      <c r="AG24" s="83">
        <v>8</v>
      </c>
      <c r="AH24" s="185" t="s">
        <v>489</v>
      </c>
      <c r="AI24" s="185" t="s">
        <v>22</v>
      </c>
      <c r="AJ24" s="185" t="s">
        <v>11</v>
      </c>
      <c r="AK24" s="185">
        <v>11.3</v>
      </c>
      <c r="AL24" s="82"/>
      <c r="AO24" s="83"/>
      <c r="AP24" s="82"/>
      <c r="AS24" s="83"/>
      <c r="AW24" s="83"/>
      <c r="BA24" s="84"/>
    </row>
    <row r="25" spans="1:53" s="185" customFormat="1">
      <c r="A25" s="101">
        <v>1967.62857142857</v>
      </c>
      <c r="B25" s="852"/>
      <c r="C25" s="917" t="s">
        <v>810</v>
      </c>
      <c r="D25" s="917"/>
      <c r="E25" s="185">
        <v>366</v>
      </c>
      <c r="G25" s="119">
        <v>8</v>
      </c>
      <c r="H25" s="185">
        <v>6</v>
      </c>
      <c r="J25" s="126">
        <v>14</v>
      </c>
      <c r="K25" s="92">
        <f t="shared" si="0"/>
        <v>57.142857142857139</v>
      </c>
      <c r="L25" s="92">
        <f t="shared" si="0"/>
        <v>42.857142857142854</v>
      </c>
      <c r="M25" s="92">
        <f t="shared" si="0"/>
        <v>0</v>
      </c>
      <c r="N25" s="121">
        <f t="shared" si="1"/>
        <v>100</v>
      </c>
      <c r="O25" s="91">
        <v>29.3</v>
      </c>
      <c r="P25" s="92">
        <v>28</v>
      </c>
      <c r="Q25" s="92"/>
      <c r="R25" s="93">
        <f t="shared" si="2"/>
        <v>57.3</v>
      </c>
      <c r="S25" s="185">
        <v>2</v>
      </c>
      <c r="T25" s="839"/>
      <c r="U25" s="852"/>
      <c r="V25" s="82" t="s">
        <v>486</v>
      </c>
      <c r="W25" s="185" t="s">
        <v>82</v>
      </c>
      <c r="X25" s="185" t="s">
        <v>18</v>
      </c>
      <c r="Y25" s="83">
        <v>28</v>
      </c>
      <c r="Z25" s="185" t="s">
        <v>487</v>
      </c>
      <c r="AA25" s="185" t="s">
        <v>17</v>
      </c>
      <c r="AB25" s="185" t="s">
        <v>11</v>
      </c>
      <c r="AC25" s="185">
        <v>10</v>
      </c>
      <c r="AD25" s="82" t="s">
        <v>488</v>
      </c>
      <c r="AE25" s="185" t="s">
        <v>86</v>
      </c>
      <c r="AF25" s="185" t="s">
        <v>11</v>
      </c>
      <c r="AG25" s="83">
        <v>8</v>
      </c>
      <c r="AH25" s="185" t="s">
        <v>489</v>
      </c>
      <c r="AI25" s="185" t="s">
        <v>22</v>
      </c>
      <c r="AJ25" s="185" t="s">
        <v>11</v>
      </c>
      <c r="AK25" s="185">
        <v>11.3</v>
      </c>
      <c r="AL25" s="82"/>
      <c r="AO25" s="83"/>
      <c r="AP25" s="82"/>
      <c r="AS25" s="83"/>
      <c r="AW25" s="83"/>
      <c r="BA25" s="84"/>
    </row>
    <row r="26" spans="1:53" s="185" customFormat="1">
      <c r="A26" s="101">
        <v>1969</v>
      </c>
      <c r="B26" s="852"/>
      <c r="C26" s="917" t="s">
        <v>810</v>
      </c>
      <c r="D26" s="917"/>
      <c r="E26" s="185">
        <v>0</v>
      </c>
      <c r="G26" s="119">
        <v>8</v>
      </c>
      <c r="H26" s="185">
        <v>6</v>
      </c>
      <c r="J26" s="126">
        <v>14</v>
      </c>
      <c r="K26" s="92">
        <f t="shared" si="0"/>
        <v>57.142857142857139</v>
      </c>
      <c r="L26" s="92">
        <f t="shared" si="0"/>
        <v>42.857142857142854</v>
      </c>
      <c r="M26" s="92">
        <f t="shared" si="0"/>
        <v>0</v>
      </c>
      <c r="N26" s="121">
        <f t="shared" si="1"/>
        <v>100</v>
      </c>
      <c r="O26" s="91">
        <v>29.3</v>
      </c>
      <c r="P26" s="92">
        <v>28</v>
      </c>
      <c r="Q26" s="92"/>
      <c r="R26" s="93">
        <f t="shared" si="2"/>
        <v>57.3</v>
      </c>
      <c r="S26" s="185">
        <v>2</v>
      </c>
      <c r="T26" s="839"/>
      <c r="U26" s="852"/>
      <c r="V26" s="82" t="s">
        <v>486</v>
      </c>
      <c r="W26" s="185" t="s">
        <v>82</v>
      </c>
      <c r="X26" s="185" t="s">
        <v>18</v>
      </c>
      <c r="Y26" s="83">
        <v>28</v>
      </c>
      <c r="Z26" s="185" t="s">
        <v>487</v>
      </c>
      <c r="AA26" s="185" t="s">
        <v>17</v>
      </c>
      <c r="AB26" s="185" t="s">
        <v>11</v>
      </c>
      <c r="AC26" s="185">
        <v>10</v>
      </c>
      <c r="AD26" s="82" t="s">
        <v>488</v>
      </c>
      <c r="AE26" s="185" t="s">
        <v>86</v>
      </c>
      <c r="AF26" s="185" t="s">
        <v>11</v>
      </c>
      <c r="AG26" s="83">
        <v>8</v>
      </c>
      <c r="AH26" s="185" t="s">
        <v>489</v>
      </c>
      <c r="AI26" s="185" t="s">
        <v>22</v>
      </c>
      <c r="AJ26" s="185" t="s">
        <v>11</v>
      </c>
      <c r="AK26" s="185">
        <v>11.3</v>
      </c>
      <c r="AL26" s="82"/>
      <c r="AO26" s="83"/>
      <c r="AP26" s="82"/>
      <c r="AS26" s="83"/>
      <c r="AW26" s="83"/>
      <c r="BA26" s="84"/>
    </row>
    <row r="27" spans="1:53" s="185" customFormat="1">
      <c r="A27" s="101">
        <v>1968.5428571428599</v>
      </c>
      <c r="B27" s="852"/>
      <c r="C27" s="917" t="s">
        <v>810</v>
      </c>
      <c r="D27" s="917"/>
      <c r="E27" s="185">
        <v>365</v>
      </c>
      <c r="G27" s="119">
        <v>8</v>
      </c>
      <c r="H27" s="185">
        <v>6</v>
      </c>
      <c r="J27" s="126">
        <v>14</v>
      </c>
      <c r="K27" s="92">
        <f t="shared" si="0"/>
        <v>57.142857142857139</v>
      </c>
      <c r="L27" s="92">
        <f t="shared" si="0"/>
        <v>42.857142857142854</v>
      </c>
      <c r="M27" s="92">
        <f t="shared" si="0"/>
        <v>0</v>
      </c>
      <c r="N27" s="121">
        <f t="shared" si="1"/>
        <v>100</v>
      </c>
      <c r="O27" s="91">
        <v>29.3</v>
      </c>
      <c r="P27" s="92">
        <v>28</v>
      </c>
      <c r="Q27" s="92"/>
      <c r="R27" s="93">
        <f t="shared" si="2"/>
        <v>57.3</v>
      </c>
      <c r="S27" s="185">
        <v>2</v>
      </c>
      <c r="T27" s="839"/>
      <c r="U27" s="852"/>
      <c r="V27" s="82" t="s">
        <v>486</v>
      </c>
      <c r="W27" s="185" t="s">
        <v>82</v>
      </c>
      <c r="X27" s="185" t="s">
        <v>18</v>
      </c>
      <c r="Y27" s="83">
        <v>28</v>
      </c>
      <c r="Z27" s="185" t="s">
        <v>487</v>
      </c>
      <c r="AA27" s="185" t="s">
        <v>17</v>
      </c>
      <c r="AB27" s="185" t="s">
        <v>11</v>
      </c>
      <c r="AC27" s="185">
        <v>10</v>
      </c>
      <c r="AD27" s="82" t="s">
        <v>488</v>
      </c>
      <c r="AE27" s="185" t="s">
        <v>86</v>
      </c>
      <c r="AF27" s="185" t="s">
        <v>11</v>
      </c>
      <c r="AG27" s="83">
        <v>8</v>
      </c>
      <c r="AH27" s="185" t="s">
        <v>489</v>
      </c>
      <c r="AI27" s="185" t="s">
        <v>22</v>
      </c>
      <c r="AJ27" s="185" t="s">
        <v>11</v>
      </c>
      <c r="AK27" s="185">
        <v>11.3</v>
      </c>
      <c r="AL27" s="82"/>
      <c r="AO27" s="83"/>
      <c r="AP27" s="82"/>
      <c r="AS27" s="83"/>
      <c r="AW27" s="83"/>
      <c r="BA27" s="84"/>
    </row>
    <row r="28" spans="1:53" s="185" customFormat="1">
      <c r="A28" s="101">
        <v>1970</v>
      </c>
      <c r="B28" s="852"/>
      <c r="C28" s="917" t="s">
        <v>810</v>
      </c>
      <c r="D28" s="917"/>
      <c r="E28" s="185">
        <v>0</v>
      </c>
      <c r="G28" s="119">
        <v>8</v>
      </c>
      <c r="H28" s="185">
        <v>6</v>
      </c>
      <c r="J28" s="126">
        <v>14</v>
      </c>
      <c r="K28" s="92">
        <f t="shared" si="0"/>
        <v>57.142857142857139</v>
      </c>
      <c r="L28" s="92">
        <f t="shared" si="0"/>
        <v>42.857142857142854</v>
      </c>
      <c r="M28" s="92">
        <f t="shared" si="0"/>
        <v>0</v>
      </c>
      <c r="N28" s="121">
        <f t="shared" si="1"/>
        <v>100</v>
      </c>
      <c r="O28" s="91">
        <v>29.3</v>
      </c>
      <c r="P28" s="92">
        <v>28</v>
      </c>
      <c r="Q28" s="92"/>
      <c r="R28" s="93">
        <f t="shared" si="2"/>
        <v>57.3</v>
      </c>
      <c r="S28" s="185">
        <v>2</v>
      </c>
      <c r="T28" s="839"/>
      <c r="U28" s="852"/>
      <c r="V28" s="82" t="s">
        <v>486</v>
      </c>
      <c r="W28" s="185" t="s">
        <v>82</v>
      </c>
      <c r="X28" s="185" t="s">
        <v>18</v>
      </c>
      <c r="Y28" s="83">
        <v>28</v>
      </c>
      <c r="Z28" s="185" t="s">
        <v>487</v>
      </c>
      <c r="AA28" s="185" t="s">
        <v>17</v>
      </c>
      <c r="AB28" s="185" t="s">
        <v>11</v>
      </c>
      <c r="AC28" s="185">
        <v>10</v>
      </c>
      <c r="AD28" s="82" t="s">
        <v>488</v>
      </c>
      <c r="AE28" s="185" t="s">
        <v>86</v>
      </c>
      <c r="AF28" s="185" t="s">
        <v>11</v>
      </c>
      <c r="AG28" s="83">
        <v>8</v>
      </c>
      <c r="AH28" s="185" t="s">
        <v>489</v>
      </c>
      <c r="AI28" s="185" t="s">
        <v>22</v>
      </c>
      <c r="AJ28" s="185" t="s">
        <v>11</v>
      </c>
      <c r="AK28" s="185">
        <v>11.3</v>
      </c>
      <c r="AL28" s="82"/>
      <c r="AO28" s="83"/>
      <c r="AP28" s="82"/>
      <c r="AS28" s="83"/>
      <c r="AW28" s="83"/>
      <c r="BA28" s="84"/>
    </row>
    <row r="29" spans="1:53" s="185" customFormat="1">
      <c r="A29" s="101">
        <v>1970</v>
      </c>
      <c r="B29" s="852"/>
      <c r="C29" s="917" t="s">
        <v>810</v>
      </c>
      <c r="D29" s="917"/>
      <c r="E29" s="185">
        <v>365</v>
      </c>
      <c r="G29" s="119">
        <v>8</v>
      </c>
      <c r="H29" s="185">
        <v>6</v>
      </c>
      <c r="J29" s="126">
        <v>14</v>
      </c>
      <c r="K29" s="92">
        <f t="shared" si="0"/>
        <v>57.142857142857139</v>
      </c>
      <c r="L29" s="92">
        <f t="shared" si="0"/>
        <v>42.857142857142854</v>
      </c>
      <c r="M29" s="92">
        <f t="shared" si="0"/>
        <v>0</v>
      </c>
      <c r="N29" s="121">
        <f t="shared" si="1"/>
        <v>100</v>
      </c>
      <c r="O29" s="91">
        <v>29.3</v>
      </c>
      <c r="P29" s="92">
        <v>28</v>
      </c>
      <c r="Q29" s="92"/>
      <c r="R29" s="93">
        <f t="shared" si="2"/>
        <v>57.3</v>
      </c>
      <c r="S29" s="185">
        <v>2</v>
      </c>
      <c r="T29" s="839"/>
      <c r="U29" s="852"/>
      <c r="V29" s="82" t="s">
        <v>486</v>
      </c>
      <c r="W29" s="185" t="s">
        <v>82</v>
      </c>
      <c r="X29" s="185" t="s">
        <v>18</v>
      </c>
      <c r="Y29" s="83">
        <v>28</v>
      </c>
      <c r="Z29" s="185" t="s">
        <v>487</v>
      </c>
      <c r="AA29" s="185" t="s">
        <v>17</v>
      </c>
      <c r="AB29" s="185" t="s">
        <v>11</v>
      </c>
      <c r="AC29" s="185">
        <v>10</v>
      </c>
      <c r="AD29" s="82" t="s">
        <v>488</v>
      </c>
      <c r="AE29" s="185" t="s">
        <v>86</v>
      </c>
      <c r="AF29" s="185" t="s">
        <v>11</v>
      </c>
      <c r="AG29" s="83">
        <v>8</v>
      </c>
      <c r="AH29" s="185" t="s">
        <v>489</v>
      </c>
      <c r="AI29" s="185" t="s">
        <v>22</v>
      </c>
      <c r="AJ29" s="185" t="s">
        <v>11</v>
      </c>
      <c r="AK29" s="185">
        <v>11.3</v>
      </c>
      <c r="AL29" s="82"/>
      <c r="AO29" s="83"/>
      <c r="AP29" s="82"/>
      <c r="AS29" s="83"/>
      <c r="AW29" s="83"/>
      <c r="BA29" s="84"/>
    </row>
    <row r="30" spans="1:53" s="185" customFormat="1">
      <c r="A30" s="101">
        <v>1971</v>
      </c>
      <c r="B30" s="852"/>
      <c r="C30" s="917" t="s">
        <v>810</v>
      </c>
      <c r="D30" s="917"/>
      <c r="E30" s="185">
        <v>186</v>
      </c>
      <c r="G30" s="119">
        <v>8</v>
      </c>
      <c r="H30" s="185">
        <v>6</v>
      </c>
      <c r="J30" s="126">
        <v>14</v>
      </c>
      <c r="K30" s="92">
        <f t="shared" si="0"/>
        <v>57.142857142857139</v>
      </c>
      <c r="L30" s="92">
        <f t="shared" si="0"/>
        <v>42.857142857142854</v>
      </c>
      <c r="M30" s="92">
        <f t="shared" si="0"/>
        <v>0</v>
      </c>
      <c r="N30" s="121">
        <f t="shared" si="1"/>
        <v>100</v>
      </c>
      <c r="O30" s="91">
        <v>29.3</v>
      </c>
      <c r="P30" s="92">
        <v>28</v>
      </c>
      <c r="Q30" s="92"/>
      <c r="R30" s="93">
        <f t="shared" si="2"/>
        <v>57.3</v>
      </c>
      <c r="S30" s="185">
        <v>2</v>
      </c>
      <c r="T30" s="839"/>
      <c r="U30" s="852"/>
      <c r="V30" s="82" t="s">
        <v>486</v>
      </c>
      <c r="W30" s="185" t="s">
        <v>82</v>
      </c>
      <c r="X30" s="185" t="s">
        <v>18</v>
      </c>
      <c r="Y30" s="83">
        <v>28</v>
      </c>
      <c r="Z30" s="185" t="s">
        <v>487</v>
      </c>
      <c r="AA30" s="185" t="s">
        <v>17</v>
      </c>
      <c r="AB30" s="185" t="s">
        <v>11</v>
      </c>
      <c r="AC30" s="185">
        <v>10</v>
      </c>
      <c r="AD30" s="82" t="s">
        <v>488</v>
      </c>
      <c r="AE30" s="185" t="s">
        <v>86</v>
      </c>
      <c r="AF30" s="185" t="s">
        <v>11</v>
      </c>
      <c r="AG30" s="83">
        <v>8</v>
      </c>
      <c r="AH30" s="185" t="s">
        <v>489</v>
      </c>
      <c r="AI30" s="185" t="s">
        <v>22</v>
      </c>
      <c r="AJ30" s="185" t="s">
        <v>11</v>
      </c>
      <c r="AK30" s="185">
        <v>11.3</v>
      </c>
      <c r="AL30" s="82"/>
      <c r="AO30" s="83"/>
      <c r="AP30" s="82"/>
      <c r="AS30" s="83"/>
      <c r="AW30" s="83"/>
      <c r="BA30" s="84"/>
    </row>
    <row r="31" spans="1:53" s="292" customFormat="1">
      <c r="A31" s="338">
        <v>1971</v>
      </c>
      <c r="B31" s="836">
        <v>26120</v>
      </c>
      <c r="C31" s="916" t="s">
        <v>658</v>
      </c>
      <c r="D31" s="916"/>
      <c r="E31" s="292">
        <v>179</v>
      </c>
      <c r="F31" s="292">
        <v>1</v>
      </c>
      <c r="G31" s="366">
        <v>8</v>
      </c>
      <c r="H31" s="292">
        <v>8</v>
      </c>
      <c r="J31" s="377">
        <v>16</v>
      </c>
      <c r="K31" s="336">
        <f t="shared" si="0"/>
        <v>50</v>
      </c>
      <c r="L31" s="336">
        <f t="shared" si="0"/>
        <v>50</v>
      </c>
      <c r="M31" s="336">
        <f t="shared" si="0"/>
        <v>0</v>
      </c>
      <c r="N31" s="368">
        <f t="shared" si="1"/>
        <v>100</v>
      </c>
      <c r="O31" s="335">
        <v>26.099999999999998</v>
      </c>
      <c r="P31" s="336">
        <v>28.6</v>
      </c>
      <c r="Q31" s="336"/>
      <c r="R31" s="337">
        <f t="shared" si="2"/>
        <v>54.7</v>
      </c>
      <c r="S31" s="292">
        <v>2</v>
      </c>
      <c r="T31" s="838">
        <v>26020</v>
      </c>
      <c r="U31" s="836">
        <v>26120</v>
      </c>
      <c r="V31" s="299" t="s">
        <v>486</v>
      </c>
      <c r="W31" s="292" t="s">
        <v>82</v>
      </c>
      <c r="X31" s="292" t="s">
        <v>18</v>
      </c>
      <c r="Y31" s="300">
        <v>23.3</v>
      </c>
      <c r="Z31" s="292" t="s">
        <v>487</v>
      </c>
      <c r="AA31" s="292" t="s">
        <v>17</v>
      </c>
      <c r="AB31" s="292" t="s">
        <v>11</v>
      </c>
      <c r="AC31" s="292">
        <v>8.6999999999999993</v>
      </c>
      <c r="AD31" s="299" t="s">
        <v>488</v>
      </c>
      <c r="AE31" s="292" t="s">
        <v>86</v>
      </c>
      <c r="AF31" s="292" t="s">
        <v>11</v>
      </c>
      <c r="AG31" s="300">
        <v>6.7</v>
      </c>
      <c r="AH31" s="292" t="s">
        <v>489</v>
      </c>
      <c r="AI31" s="292" t="s">
        <v>22</v>
      </c>
      <c r="AJ31" s="292" t="s">
        <v>11</v>
      </c>
      <c r="AK31" s="292">
        <v>10.7</v>
      </c>
      <c r="AL31" s="299" t="s">
        <v>491</v>
      </c>
      <c r="AM31" s="292" t="s">
        <v>98</v>
      </c>
      <c r="AN31" s="292" t="s">
        <v>18</v>
      </c>
      <c r="AO31" s="300">
        <v>5.3</v>
      </c>
      <c r="AP31" s="299"/>
      <c r="AS31" s="300"/>
      <c r="AW31" s="300"/>
      <c r="BA31" s="301"/>
    </row>
    <row r="32" spans="1:53" s="292" customFormat="1">
      <c r="A32" s="338">
        <v>1972</v>
      </c>
      <c r="B32" s="836"/>
      <c r="C32" s="916" t="s">
        <v>658</v>
      </c>
      <c r="D32" s="916"/>
      <c r="E32" s="292">
        <v>229</v>
      </c>
      <c r="G32" s="366">
        <v>8</v>
      </c>
      <c r="H32" s="292">
        <v>8</v>
      </c>
      <c r="J32" s="377">
        <v>16</v>
      </c>
      <c r="K32" s="336">
        <f t="shared" si="0"/>
        <v>50</v>
      </c>
      <c r="L32" s="336">
        <f t="shared" si="0"/>
        <v>50</v>
      </c>
      <c r="M32" s="336">
        <f t="shared" si="0"/>
        <v>0</v>
      </c>
      <c r="N32" s="368">
        <f t="shared" si="1"/>
        <v>100</v>
      </c>
      <c r="O32" s="335">
        <v>26.099999999999998</v>
      </c>
      <c r="P32" s="336">
        <v>28.6</v>
      </c>
      <c r="Q32" s="336"/>
      <c r="R32" s="337">
        <f t="shared" si="2"/>
        <v>54.7</v>
      </c>
      <c r="S32" s="292">
        <v>2</v>
      </c>
      <c r="T32" s="838"/>
      <c r="U32" s="836"/>
      <c r="V32" s="299" t="s">
        <v>486</v>
      </c>
      <c r="W32" s="292" t="s">
        <v>82</v>
      </c>
      <c r="X32" s="292" t="s">
        <v>18</v>
      </c>
      <c r="Y32" s="300">
        <v>23.3</v>
      </c>
      <c r="Z32" s="292" t="s">
        <v>487</v>
      </c>
      <c r="AA32" s="292" t="s">
        <v>17</v>
      </c>
      <c r="AB32" s="292" t="s">
        <v>11</v>
      </c>
      <c r="AC32" s="292">
        <v>8.6999999999999993</v>
      </c>
      <c r="AD32" s="299" t="s">
        <v>488</v>
      </c>
      <c r="AE32" s="292" t="s">
        <v>86</v>
      </c>
      <c r="AF32" s="292" t="s">
        <v>11</v>
      </c>
      <c r="AG32" s="300">
        <v>6.7</v>
      </c>
      <c r="AH32" s="292" t="s">
        <v>489</v>
      </c>
      <c r="AI32" s="292" t="s">
        <v>22</v>
      </c>
      <c r="AJ32" s="292" t="s">
        <v>11</v>
      </c>
      <c r="AK32" s="292">
        <v>10.7</v>
      </c>
      <c r="AL32" s="299" t="s">
        <v>491</v>
      </c>
      <c r="AM32" s="292" t="s">
        <v>98</v>
      </c>
      <c r="AN32" s="292" t="s">
        <v>18</v>
      </c>
      <c r="AO32" s="300">
        <v>5.3</v>
      </c>
      <c r="AP32" s="299"/>
      <c r="AS32" s="300"/>
      <c r="AW32" s="300"/>
      <c r="BA32" s="301"/>
    </row>
    <row r="33" spans="1:53" s="185" customFormat="1">
      <c r="A33" s="101">
        <v>1972</v>
      </c>
      <c r="B33" s="852">
        <v>26528</v>
      </c>
      <c r="C33" s="917" t="s">
        <v>659</v>
      </c>
      <c r="D33" s="917"/>
      <c r="E33" s="185">
        <f>366-E32</f>
        <v>137</v>
      </c>
      <c r="F33" s="185">
        <v>4</v>
      </c>
      <c r="G33" s="119">
        <v>8</v>
      </c>
      <c r="H33" s="185">
        <v>6</v>
      </c>
      <c r="J33" s="126">
        <v>14</v>
      </c>
      <c r="K33" s="92">
        <f t="shared" si="0"/>
        <v>57.142857142857139</v>
      </c>
      <c r="L33" s="92">
        <f t="shared" si="0"/>
        <v>42.857142857142854</v>
      </c>
      <c r="M33" s="92">
        <f t="shared" si="0"/>
        <v>0</v>
      </c>
      <c r="N33" s="121">
        <f t="shared" si="1"/>
        <v>100</v>
      </c>
      <c r="O33" s="91">
        <v>26.099999999999998</v>
      </c>
      <c r="P33" s="92">
        <v>23.3</v>
      </c>
      <c r="Q33" s="92"/>
      <c r="R33" s="93">
        <f t="shared" si="2"/>
        <v>49.4</v>
      </c>
      <c r="S33" s="185">
        <v>6</v>
      </c>
      <c r="T33" s="839">
        <v>26632</v>
      </c>
      <c r="U33" s="852">
        <v>26528</v>
      </c>
      <c r="V33" s="82" t="s">
        <v>486</v>
      </c>
      <c r="W33" s="185" t="s">
        <v>82</v>
      </c>
      <c r="X33" s="185" t="s">
        <v>18</v>
      </c>
      <c r="Y33" s="83">
        <v>23.3</v>
      </c>
      <c r="Z33" s="185" t="s">
        <v>487</v>
      </c>
      <c r="AA33" s="185" t="s">
        <v>17</v>
      </c>
      <c r="AB33" s="185" t="s">
        <v>11</v>
      </c>
      <c r="AC33" s="185">
        <v>8.6999999999999993</v>
      </c>
      <c r="AD33" s="82" t="s">
        <v>488</v>
      </c>
      <c r="AE33" s="185" t="s">
        <v>86</v>
      </c>
      <c r="AF33" s="185" t="s">
        <v>11</v>
      </c>
      <c r="AG33" s="83">
        <v>6.7</v>
      </c>
      <c r="AH33" s="185" t="s">
        <v>489</v>
      </c>
      <c r="AI33" s="185" t="s">
        <v>22</v>
      </c>
      <c r="AJ33" s="185" t="s">
        <v>11</v>
      </c>
      <c r="AK33" s="185">
        <v>10.7</v>
      </c>
      <c r="AL33" s="82"/>
      <c r="AO33" s="83"/>
      <c r="AP33" s="82"/>
      <c r="AS33" s="83"/>
      <c r="AW33" s="83"/>
      <c r="BA33" s="84"/>
    </row>
    <row r="34" spans="1:53" s="185" customFormat="1">
      <c r="A34" s="101">
        <v>1973</v>
      </c>
      <c r="B34" s="852"/>
      <c r="C34" s="917" t="s">
        <v>659</v>
      </c>
      <c r="D34" s="917"/>
      <c r="E34" s="185">
        <v>130</v>
      </c>
      <c r="G34" s="119">
        <v>8</v>
      </c>
      <c r="H34" s="185">
        <v>6</v>
      </c>
      <c r="J34" s="126">
        <v>14</v>
      </c>
      <c r="K34" s="92">
        <f t="shared" si="0"/>
        <v>57.142857142857139</v>
      </c>
      <c r="L34" s="92">
        <f t="shared" si="0"/>
        <v>42.857142857142854</v>
      </c>
      <c r="M34" s="92">
        <f t="shared" si="0"/>
        <v>0</v>
      </c>
      <c r="N34" s="121">
        <f t="shared" si="1"/>
        <v>100</v>
      </c>
      <c r="O34" s="91">
        <v>26.099999999999998</v>
      </c>
      <c r="P34" s="92">
        <v>23.3</v>
      </c>
      <c r="Q34" s="92"/>
      <c r="R34" s="93">
        <f t="shared" si="2"/>
        <v>49.4</v>
      </c>
      <c r="S34" s="185">
        <v>6</v>
      </c>
      <c r="T34" s="839"/>
      <c r="U34" s="852"/>
      <c r="V34" s="82" t="s">
        <v>486</v>
      </c>
      <c r="W34" s="185" t="s">
        <v>82</v>
      </c>
      <c r="X34" s="185" t="s">
        <v>18</v>
      </c>
      <c r="Y34" s="83">
        <v>23.3</v>
      </c>
      <c r="Z34" s="185" t="s">
        <v>487</v>
      </c>
      <c r="AA34" s="185" t="s">
        <v>17</v>
      </c>
      <c r="AB34" s="185" t="s">
        <v>11</v>
      </c>
      <c r="AC34" s="185">
        <v>8.6999999999999993</v>
      </c>
      <c r="AD34" s="82" t="s">
        <v>488</v>
      </c>
      <c r="AE34" s="185" t="s">
        <v>86</v>
      </c>
      <c r="AF34" s="185" t="s">
        <v>11</v>
      </c>
      <c r="AG34" s="83">
        <v>6.7</v>
      </c>
      <c r="AH34" s="185" t="s">
        <v>489</v>
      </c>
      <c r="AI34" s="185" t="s">
        <v>22</v>
      </c>
      <c r="AJ34" s="185" t="s">
        <v>11</v>
      </c>
      <c r="AK34" s="185">
        <v>10.7</v>
      </c>
      <c r="AL34" s="82"/>
      <c r="AO34" s="83"/>
      <c r="AP34" s="82"/>
      <c r="AS34" s="83"/>
      <c r="AW34" s="83"/>
      <c r="BA34" s="84"/>
    </row>
    <row r="35" spans="1:53" s="292" customFormat="1">
      <c r="A35" s="338">
        <v>1973</v>
      </c>
      <c r="B35" s="836">
        <v>26795</v>
      </c>
      <c r="C35" s="916" t="s">
        <v>811</v>
      </c>
      <c r="D35" s="916"/>
      <c r="E35" s="292">
        <f>365-E34</f>
        <v>235</v>
      </c>
      <c r="F35" s="292">
        <v>1</v>
      </c>
      <c r="G35" s="366">
        <v>2</v>
      </c>
      <c r="H35" s="292">
        <v>5</v>
      </c>
      <c r="I35" s="292">
        <v>9</v>
      </c>
      <c r="J35" s="377">
        <v>16</v>
      </c>
      <c r="K35" s="336">
        <f t="shared" si="0"/>
        <v>12.5</v>
      </c>
      <c r="L35" s="336">
        <f t="shared" si="0"/>
        <v>31.25</v>
      </c>
      <c r="M35" s="336">
        <f t="shared" si="0"/>
        <v>56.25</v>
      </c>
      <c r="N35" s="368">
        <f t="shared" si="1"/>
        <v>100</v>
      </c>
      <c r="O35" s="335">
        <v>9.3000000000000007</v>
      </c>
      <c r="P35" s="336">
        <v>22</v>
      </c>
      <c r="Q35" s="336">
        <v>33.4</v>
      </c>
      <c r="R35" s="337">
        <f t="shared" si="2"/>
        <v>64.7</v>
      </c>
      <c r="S35" s="292">
        <v>3</v>
      </c>
      <c r="T35" s="838"/>
      <c r="U35" s="836">
        <v>26795</v>
      </c>
      <c r="V35" s="299" t="s">
        <v>486</v>
      </c>
      <c r="W35" s="292" t="s">
        <v>82</v>
      </c>
      <c r="X35" s="292" t="s">
        <v>18</v>
      </c>
      <c r="Y35" s="300">
        <v>18</v>
      </c>
      <c r="Z35" s="292" t="s">
        <v>487</v>
      </c>
      <c r="AA35" s="292" t="s">
        <v>17</v>
      </c>
      <c r="AB35" s="292" t="s">
        <v>11</v>
      </c>
      <c r="AC35" s="292">
        <v>9.3000000000000007</v>
      </c>
      <c r="AD35" s="299" t="s">
        <v>490</v>
      </c>
      <c r="AE35" s="292" t="s">
        <v>20</v>
      </c>
      <c r="AF35" s="292" t="s">
        <v>12</v>
      </c>
      <c r="AG35" s="300">
        <v>28.7</v>
      </c>
      <c r="AH35" s="292" t="s">
        <v>492</v>
      </c>
      <c r="AI35" s="292" t="s">
        <v>88</v>
      </c>
      <c r="AJ35" s="292" t="s">
        <v>18</v>
      </c>
      <c r="AK35" s="292">
        <v>4</v>
      </c>
      <c r="AL35" s="299" t="s">
        <v>567</v>
      </c>
      <c r="AM35" s="292" t="s">
        <v>327</v>
      </c>
      <c r="AN35" s="292" t="s">
        <v>12</v>
      </c>
      <c r="AO35" s="300">
        <v>4.7</v>
      </c>
      <c r="AP35" s="299"/>
      <c r="AS35" s="300"/>
      <c r="AW35" s="300"/>
      <c r="BA35" s="301"/>
    </row>
    <row r="36" spans="1:53" s="292" customFormat="1">
      <c r="A36" s="338">
        <v>1974</v>
      </c>
      <c r="B36" s="836"/>
      <c r="C36" s="916" t="s">
        <v>811</v>
      </c>
      <c r="D36" s="916"/>
      <c r="E36" s="292">
        <v>0</v>
      </c>
      <c r="G36" s="366">
        <v>2</v>
      </c>
      <c r="H36" s="292">
        <v>5</v>
      </c>
      <c r="I36" s="292">
        <v>9</v>
      </c>
      <c r="J36" s="377">
        <v>16</v>
      </c>
      <c r="K36" s="336">
        <f t="shared" si="0"/>
        <v>12.5</v>
      </c>
      <c r="L36" s="336">
        <f t="shared" si="0"/>
        <v>31.25</v>
      </c>
      <c r="M36" s="336">
        <f t="shared" si="0"/>
        <v>56.25</v>
      </c>
      <c r="N36" s="368">
        <f t="shared" si="1"/>
        <v>100</v>
      </c>
      <c r="O36" s="335">
        <v>9.3000000000000007</v>
      </c>
      <c r="P36" s="336">
        <v>22</v>
      </c>
      <c r="Q36" s="336">
        <v>33.4</v>
      </c>
      <c r="R36" s="337">
        <f t="shared" si="2"/>
        <v>64.7</v>
      </c>
      <c r="S36" s="292">
        <v>3</v>
      </c>
      <c r="T36" s="838"/>
      <c r="U36" s="836"/>
      <c r="V36" s="299" t="s">
        <v>486</v>
      </c>
      <c r="W36" s="292" t="s">
        <v>82</v>
      </c>
      <c r="X36" s="292" t="s">
        <v>18</v>
      </c>
      <c r="Y36" s="300">
        <v>18</v>
      </c>
      <c r="Z36" s="292" t="s">
        <v>487</v>
      </c>
      <c r="AA36" s="292" t="s">
        <v>17</v>
      </c>
      <c r="AB36" s="292" t="s">
        <v>11</v>
      </c>
      <c r="AC36" s="292">
        <v>9.3000000000000007</v>
      </c>
      <c r="AD36" s="299" t="s">
        <v>490</v>
      </c>
      <c r="AE36" s="292" t="s">
        <v>20</v>
      </c>
      <c r="AF36" s="292" t="s">
        <v>12</v>
      </c>
      <c r="AG36" s="300">
        <v>28.7</v>
      </c>
      <c r="AH36" s="292" t="s">
        <v>492</v>
      </c>
      <c r="AI36" s="292" t="s">
        <v>88</v>
      </c>
      <c r="AJ36" s="292" t="s">
        <v>18</v>
      </c>
      <c r="AK36" s="292">
        <v>4</v>
      </c>
      <c r="AL36" s="299" t="s">
        <v>567</v>
      </c>
      <c r="AM36" s="292" t="s">
        <v>327</v>
      </c>
      <c r="AN36" s="292" t="s">
        <v>12</v>
      </c>
      <c r="AO36" s="300">
        <v>4.7</v>
      </c>
      <c r="AP36" s="299"/>
      <c r="AS36" s="300"/>
      <c r="AW36" s="300"/>
      <c r="BA36" s="301"/>
    </row>
    <row r="37" spans="1:53" s="292" customFormat="1">
      <c r="A37" s="338">
        <v>1974</v>
      </c>
      <c r="B37" s="836"/>
      <c r="C37" s="916" t="s">
        <v>811</v>
      </c>
      <c r="D37" s="916"/>
      <c r="E37" s="292">
        <v>365</v>
      </c>
      <c r="G37" s="366">
        <v>2</v>
      </c>
      <c r="H37" s="292">
        <v>5</v>
      </c>
      <c r="I37" s="292">
        <v>9</v>
      </c>
      <c r="J37" s="377">
        <v>16</v>
      </c>
      <c r="K37" s="336">
        <f t="shared" si="0"/>
        <v>12.5</v>
      </c>
      <c r="L37" s="336">
        <f t="shared" si="0"/>
        <v>31.25</v>
      </c>
      <c r="M37" s="336">
        <f t="shared" si="0"/>
        <v>56.25</v>
      </c>
      <c r="N37" s="368">
        <f t="shared" si="1"/>
        <v>100</v>
      </c>
      <c r="O37" s="335">
        <v>9.3000000000000007</v>
      </c>
      <c r="P37" s="336">
        <v>22</v>
      </c>
      <c r="Q37" s="336">
        <v>33.4</v>
      </c>
      <c r="R37" s="337">
        <f t="shared" si="2"/>
        <v>64.7</v>
      </c>
      <c r="S37" s="292">
        <v>3</v>
      </c>
      <c r="T37" s="838"/>
      <c r="U37" s="836"/>
      <c r="V37" s="299" t="s">
        <v>486</v>
      </c>
      <c r="W37" s="292" t="s">
        <v>82</v>
      </c>
      <c r="X37" s="292" t="s">
        <v>18</v>
      </c>
      <c r="Y37" s="300">
        <v>18</v>
      </c>
      <c r="Z37" s="292" t="s">
        <v>487</v>
      </c>
      <c r="AA37" s="292" t="s">
        <v>17</v>
      </c>
      <c r="AB37" s="292" t="s">
        <v>11</v>
      </c>
      <c r="AC37" s="292">
        <v>9.3000000000000007</v>
      </c>
      <c r="AD37" s="299" t="s">
        <v>490</v>
      </c>
      <c r="AE37" s="292" t="s">
        <v>20</v>
      </c>
      <c r="AF37" s="292" t="s">
        <v>12</v>
      </c>
      <c r="AG37" s="300">
        <v>28.7</v>
      </c>
      <c r="AH37" s="292" t="s">
        <v>492</v>
      </c>
      <c r="AI37" s="292" t="s">
        <v>88</v>
      </c>
      <c r="AJ37" s="292" t="s">
        <v>18</v>
      </c>
      <c r="AK37" s="292">
        <v>4</v>
      </c>
      <c r="AL37" s="299" t="s">
        <v>567</v>
      </c>
      <c r="AM37" s="292" t="s">
        <v>327</v>
      </c>
      <c r="AN37" s="292" t="s">
        <v>12</v>
      </c>
      <c r="AO37" s="300">
        <v>4.7</v>
      </c>
      <c r="AP37" s="299"/>
      <c r="AS37" s="300"/>
      <c r="AW37" s="300"/>
      <c r="BA37" s="301"/>
    </row>
    <row r="38" spans="1:53" s="292" customFormat="1">
      <c r="A38" s="338">
        <v>1975</v>
      </c>
      <c r="B38" s="836"/>
      <c r="C38" s="916" t="s">
        <v>811</v>
      </c>
      <c r="D38" s="916"/>
      <c r="E38" s="292">
        <v>0</v>
      </c>
      <c r="G38" s="366">
        <v>2</v>
      </c>
      <c r="H38" s="292">
        <v>5</v>
      </c>
      <c r="I38" s="292">
        <v>9</v>
      </c>
      <c r="J38" s="377">
        <v>16</v>
      </c>
      <c r="K38" s="336">
        <f t="shared" si="0"/>
        <v>12.5</v>
      </c>
      <c r="L38" s="336">
        <f t="shared" si="0"/>
        <v>31.25</v>
      </c>
      <c r="M38" s="336">
        <f t="shared" si="0"/>
        <v>56.25</v>
      </c>
      <c r="N38" s="368">
        <f t="shared" si="1"/>
        <v>100</v>
      </c>
      <c r="O38" s="335">
        <v>9.3000000000000007</v>
      </c>
      <c r="P38" s="336">
        <v>22</v>
      </c>
      <c r="Q38" s="336">
        <v>33.4</v>
      </c>
      <c r="R38" s="337">
        <f t="shared" si="2"/>
        <v>64.7</v>
      </c>
      <c r="S38" s="292">
        <v>3</v>
      </c>
      <c r="T38" s="838"/>
      <c r="U38" s="836"/>
      <c r="V38" s="299" t="s">
        <v>486</v>
      </c>
      <c r="W38" s="292" t="s">
        <v>82</v>
      </c>
      <c r="X38" s="292" t="s">
        <v>18</v>
      </c>
      <c r="Y38" s="300">
        <v>18</v>
      </c>
      <c r="Z38" s="292" t="s">
        <v>487</v>
      </c>
      <c r="AA38" s="292" t="s">
        <v>17</v>
      </c>
      <c r="AB38" s="292" t="s">
        <v>11</v>
      </c>
      <c r="AC38" s="292">
        <v>9.3000000000000007</v>
      </c>
      <c r="AD38" s="299" t="s">
        <v>490</v>
      </c>
      <c r="AE38" s="292" t="s">
        <v>20</v>
      </c>
      <c r="AF38" s="292" t="s">
        <v>12</v>
      </c>
      <c r="AG38" s="300">
        <v>28.7</v>
      </c>
      <c r="AH38" s="292" t="s">
        <v>492</v>
      </c>
      <c r="AI38" s="292" t="s">
        <v>88</v>
      </c>
      <c r="AJ38" s="292" t="s">
        <v>18</v>
      </c>
      <c r="AK38" s="292">
        <v>4</v>
      </c>
      <c r="AL38" s="299" t="s">
        <v>567</v>
      </c>
      <c r="AM38" s="292" t="s">
        <v>327</v>
      </c>
      <c r="AN38" s="292" t="s">
        <v>12</v>
      </c>
      <c r="AO38" s="300">
        <v>4.7</v>
      </c>
      <c r="AP38" s="299"/>
      <c r="AS38" s="300"/>
      <c r="AW38" s="300"/>
      <c r="BA38" s="301"/>
    </row>
    <row r="39" spans="1:53" s="292" customFormat="1">
      <c r="A39" s="338">
        <v>1975</v>
      </c>
      <c r="B39" s="836"/>
      <c r="C39" s="916" t="s">
        <v>811</v>
      </c>
      <c r="D39" s="916"/>
      <c r="E39" s="292">
        <v>365</v>
      </c>
      <c r="G39" s="366">
        <v>2</v>
      </c>
      <c r="H39" s="292">
        <v>5</v>
      </c>
      <c r="I39" s="292">
        <v>9</v>
      </c>
      <c r="J39" s="377">
        <v>16</v>
      </c>
      <c r="K39" s="336">
        <f t="shared" si="0"/>
        <v>12.5</v>
      </c>
      <c r="L39" s="336">
        <f t="shared" si="0"/>
        <v>31.25</v>
      </c>
      <c r="M39" s="336">
        <f t="shared" si="0"/>
        <v>56.25</v>
      </c>
      <c r="N39" s="368">
        <f t="shared" si="1"/>
        <v>100</v>
      </c>
      <c r="O39" s="335">
        <v>9.3000000000000007</v>
      </c>
      <c r="P39" s="336">
        <v>22</v>
      </c>
      <c r="Q39" s="336">
        <v>33.4</v>
      </c>
      <c r="R39" s="337">
        <f t="shared" si="2"/>
        <v>64.7</v>
      </c>
      <c r="S39" s="292">
        <v>3</v>
      </c>
      <c r="T39" s="838"/>
      <c r="U39" s="836"/>
      <c r="V39" s="299" t="s">
        <v>486</v>
      </c>
      <c r="W39" s="292" t="s">
        <v>82</v>
      </c>
      <c r="X39" s="292" t="s">
        <v>18</v>
      </c>
      <c r="Y39" s="300">
        <v>18</v>
      </c>
      <c r="Z39" s="292" t="s">
        <v>487</v>
      </c>
      <c r="AA39" s="292" t="s">
        <v>17</v>
      </c>
      <c r="AB39" s="292" t="s">
        <v>11</v>
      </c>
      <c r="AC39" s="292">
        <v>9.3000000000000007</v>
      </c>
      <c r="AD39" s="299" t="s">
        <v>490</v>
      </c>
      <c r="AE39" s="292" t="s">
        <v>20</v>
      </c>
      <c r="AF39" s="292" t="s">
        <v>12</v>
      </c>
      <c r="AG39" s="300">
        <v>28.7</v>
      </c>
      <c r="AH39" s="292" t="s">
        <v>492</v>
      </c>
      <c r="AI39" s="292" t="s">
        <v>88</v>
      </c>
      <c r="AJ39" s="292" t="s">
        <v>18</v>
      </c>
      <c r="AK39" s="292">
        <v>4</v>
      </c>
      <c r="AL39" s="299" t="s">
        <v>567</v>
      </c>
      <c r="AM39" s="292" t="s">
        <v>327</v>
      </c>
      <c r="AN39" s="292" t="s">
        <v>12</v>
      </c>
      <c r="AO39" s="300">
        <v>4.7</v>
      </c>
      <c r="AP39" s="299"/>
      <c r="AS39" s="300"/>
      <c r="AW39" s="300"/>
      <c r="BA39" s="301"/>
    </row>
    <row r="40" spans="1:53" s="292" customFormat="1">
      <c r="A40" s="338">
        <v>1976</v>
      </c>
      <c r="B40" s="836"/>
      <c r="C40" s="916" t="s">
        <v>811</v>
      </c>
      <c r="D40" s="916"/>
      <c r="E40" s="292">
        <v>0</v>
      </c>
      <c r="G40" s="366">
        <v>2</v>
      </c>
      <c r="H40" s="292">
        <v>5</v>
      </c>
      <c r="I40" s="292">
        <v>9</v>
      </c>
      <c r="J40" s="377">
        <v>16</v>
      </c>
      <c r="K40" s="336">
        <f t="shared" si="0"/>
        <v>12.5</v>
      </c>
      <c r="L40" s="336">
        <f t="shared" si="0"/>
        <v>31.25</v>
      </c>
      <c r="M40" s="336">
        <f t="shared" si="0"/>
        <v>56.25</v>
      </c>
      <c r="N40" s="368">
        <f t="shared" si="1"/>
        <v>100</v>
      </c>
      <c r="O40" s="335">
        <v>9.3000000000000007</v>
      </c>
      <c r="P40" s="336">
        <v>22</v>
      </c>
      <c r="Q40" s="336">
        <v>33.4</v>
      </c>
      <c r="R40" s="337">
        <f t="shared" si="2"/>
        <v>64.7</v>
      </c>
      <c r="S40" s="292">
        <v>3</v>
      </c>
      <c r="T40" s="838"/>
      <c r="U40" s="836"/>
      <c r="V40" s="299" t="s">
        <v>486</v>
      </c>
      <c r="W40" s="292" t="s">
        <v>82</v>
      </c>
      <c r="X40" s="292" t="s">
        <v>18</v>
      </c>
      <c r="Y40" s="300">
        <v>18</v>
      </c>
      <c r="Z40" s="292" t="s">
        <v>487</v>
      </c>
      <c r="AA40" s="292" t="s">
        <v>17</v>
      </c>
      <c r="AB40" s="292" t="s">
        <v>11</v>
      </c>
      <c r="AC40" s="292">
        <v>9.3000000000000007</v>
      </c>
      <c r="AD40" s="299" t="s">
        <v>490</v>
      </c>
      <c r="AE40" s="292" t="s">
        <v>20</v>
      </c>
      <c r="AF40" s="292" t="s">
        <v>12</v>
      </c>
      <c r="AG40" s="300">
        <v>28.7</v>
      </c>
      <c r="AH40" s="292" t="s">
        <v>492</v>
      </c>
      <c r="AI40" s="292" t="s">
        <v>88</v>
      </c>
      <c r="AJ40" s="292" t="s">
        <v>18</v>
      </c>
      <c r="AK40" s="292">
        <v>4</v>
      </c>
      <c r="AL40" s="299" t="s">
        <v>567</v>
      </c>
      <c r="AM40" s="292" t="s">
        <v>327</v>
      </c>
      <c r="AN40" s="292" t="s">
        <v>12</v>
      </c>
      <c r="AO40" s="300">
        <v>4.7</v>
      </c>
      <c r="AP40" s="299"/>
      <c r="AS40" s="300"/>
      <c r="AW40" s="300"/>
      <c r="BA40" s="301"/>
    </row>
    <row r="41" spans="1:53" s="292" customFormat="1">
      <c r="A41" s="338">
        <v>1976</v>
      </c>
      <c r="B41" s="836"/>
      <c r="C41" s="916" t="s">
        <v>811</v>
      </c>
      <c r="D41" s="916"/>
      <c r="E41" s="292">
        <v>366</v>
      </c>
      <c r="G41" s="366">
        <v>2</v>
      </c>
      <c r="H41" s="292">
        <v>5</v>
      </c>
      <c r="I41" s="292">
        <v>9</v>
      </c>
      <c r="J41" s="377">
        <v>16</v>
      </c>
      <c r="K41" s="336">
        <f t="shared" si="0"/>
        <v>12.5</v>
      </c>
      <c r="L41" s="336">
        <f t="shared" si="0"/>
        <v>31.25</v>
      </c>
      <c r="M41" s="336">
        <f t="shared" si="0"/>
        <v>56.25</v>
      </c>
      <c r="N41" s="368">
        <f t="shared" si="1"/>
        <v>100</v>
      </c>
      <c r="O41" s="335">
        <v>9.3000000000000007</v>
      </c>
      <c r="P41" s="336">
        <v>22</v>
      </c>
      <c r="Q41" s="336">
        <v>33.4</v>
      </c>
      <c r="R41" s="337">
        <f t="shared" si="2"/>
        <v>64.7</v>
      </c>
      <c r="S41" s="292">
        <v>3</v>
      </c>
      <c r="T41" s="838"/>
      <c r="U41" s="836"/>
      <c r="V41" s="299" t="s">
        <v>486</v>
      </c>
      <c r="W41" s="292" t="s">
        <v>82</v>
      </c>
      <c r="X41" s="292" t="s">
        <v>18</v>
      </c>
      <c r="Y41" s="300">
        <v>18</v>
      </c>
      <c r="Z41" s="292" t="s">
        <v>487</v>
      </c>
      <c r="AA41" s="292" t="s">
        <v>17</v>
      </c>
      <c r="AB41" s="292" t="s">
        <v>11</v>
      </c>
      <c r="AC41" s="292">
        <v>9.3000000000000007</v>
      </c>
      <c r="AD41" s="299" t="s">
        <v>490</v>
      </c>
      <c r="AE41" s="292" t="s">
        <v>20</v>
      </c>
      <c r="AF41" s="292" t="s">
        <v>12</v>
      </c>
      <c r="AG41" s="300">
        <v>28.7</v>
      </c>
      <c r="AH41" s="292" t="s">
        <v>492</v>
      </c>
      <c r="AI41" s="292" t="s">
        <v>88</v>
      </c>
      <c r="AJ41" s="292" t="s">
        <v>18</v>
      </c>
      <c r="AK41" s="292">
        <v>4</v>
      </c>
      <c r="AL41" s="299" t="s">
        <v>567</v>
      </c>
      <c r="AM41" s="292" t="s">
        <v>327</v>
      </c>
      <c r="AN41" s="292" t="s">
        <v>12</v>
      </c>
      <c r="AO41" s="300">
        <v>4.7</v>
      </c>
      <c r="AP41" s="299"/>
      <c r="AS41" s="300"/>
      <c r="AW41" s="300"/>
      <c r="BA41" s="301"/>
    </row>
    <row r="42" spans="1:53" s="292" customFormat="1">
      <c r="A42" s="338">
        <v>1977</v>
      </c>
      <c r="B42" s="836"/>
      <c r="C42" s="916" t="s">
        <v>811</v>
      </c>
      <c r="D42" s="916"/>
      <c r="E42" s="292">
        <v>352</v>
      </c>
      <c r="G42" s="366">
        <v>2</v>
      </c>
      <c r="H42" s="292">
        <v>5</v>
      </c>
      <c r="I42" s="292">
        <v>9</v>
      </c>
      <c r="J42" s="377">
        <v>16</v>
      </c>
      <c r="K42" s="336">
        <f t="shared" si="0"/>
        <v>12.5</v>
      </c>
      <c r="L42" s="336">
        <f t="shared" si="0"/>
        <v>31.25</v>
      </c>
      <c r="M42" s="336">
        <f t="shared" si="0"/>
        <v>56.25</v>
      </c>
      <c r="N42" s="368">
        <f t="shared" si="1"/>
        <v>100</v>
      </c>
      <c r="O42" s="335">
        <v>9.3000000000000007</v>
      </c>
      <c r="P42" s="336">
        <v>22</v>
      </c>
      <c r="Q42" s="336">
        <v>33.4</v>
      </c>
      <c r="R42" s="337">
        <f t="shared" si="2"/>
        <v>64.7</v>
      </c>
      <c r="S42" s="292">
        <v>3</v>
      </c>
      <c r="T42" s="838"/>
      <c r="U42" s="836"/>
      <c r="V42" s="299" t="s">
        <v>486</v>
      </c>
      <c r="W42" s="292" t="s">
        <v>82</v>
      </c>
      <c r="X42" s="292" t="s">
        <v>18</v>
      </c>
      <c r="Y42" s="300">
        <v>18</v>
      </c>
      <c r="Z42" s="292" t="s">
        <v>487</v>
      </c>
      <c r="AA42" s="292" t="s">
        <v>17</v>
      </c>
      <c r="AB42" s="292" t="s">
        <v>11</v>
      </c>
      <c r="AC42" s="292">
        <v>9.3000000000000007</v>
      </c>
      <c r="AD42" s="299" t="s">
        <v>490</v>
      </c>
      <c r="AE42" s="292" t="s">
        <v>20</v>
      </c>
      <c r="AF42" s="292" t="s">
        <v>12</v>
      </c>
      <c r="AG42" s="300">
        <v>28.7</v>
      </c>
      <c r="AH42" s="292" t="s">
        <v>492</v>
      </c>
      <c r="AI42" s="292" t="s">
        <v>88</v>
      </c>
      <c r="AJ42" s="292" t="s">
        <v>18</v>
      </c>
      <c r="AK42" s="292">
        <v>4</v>
      </c>
      <c r="AL42" s="299" t="s">
        <v>567</v>
      </c>
      <c r="AM42" s="292" t="s">
        <v>327</v>
      </c>
      <c r="AN42" s="292" t="s">
        <v>12</v>
      </c>
      <c r="AO42" s="300">
        <v>4.7</v>
      </c>
      <c r="AP42" s="299"/>
      <c r="AS42" s="300"/>
      <c r="AW42" s="300"/>
      <c r="BA42" s="301"/>
    </row>
    <row r="43" spans="1:53" s="185" customFormat="1">
      <c r="A43" s="101">
        <v>1977</v>
      </c>
      <c r="B43" s="852">
        <v>28478</v>
      </c>
      <c r="C43" s="917" t="s">
        <v>812</v>
      </c>
      <c r="D43" s="917"/>
      <c r="E43" s="185">
        <f>365-E42</f>
        <v>13</v>
      </c>
      <c r="F43" s="185">
        <v>4</v>
      </c>
      <c r="G43" s="119">
        <v>5</v>
      </c>
      <c r="H43" s="185">
        <v>10</v>
      </c>
      <c r="J43" s="126">
        <v>15</v>
      </c>
      <c r="K43" s="92">
        <f t="shared" si="0"/>
        <v>33.333333333333329</v>
      </c>
      <c r="L43" s="92">
        <f>H43/$J43*100</f>
        <v>66.666666666666657</v>
      </c>
      <c r="M43" s="92">
        <f>I43/$J43*100</f>
        <v>0</v>
      </c>
      <c r="N43" s="121">
        <f t="shared" si="1"/>
        <v>99.999999999999986</v>
      </c>
      <c r="O43" s="91">
        <v>18.7</v>
      </c>
      <c r="P43" s="92">
        <v>32.700000000000003</v>
      </c>
      <c r="Q43" s="92"/>
      <c r="R43" s="93">
        <f t="shared" si="2"/>
        <v>51.400000000000006</v>
      </c>
      <c r="S43" s="185">
        <v>2</v>
      </c>
      <c r="T43" s="839">
        <v>28270</v>
      </c>
      <c r="U43" s="852">
        <v>28478</v>
      </c>
      <c r="V43" s="82" t="s">
        <v>493</v>
      </c>
      <c r="W43" s="185" t="s">
        <v>328</v>
      </c>
      <c r="X43" s="185" t="s">
        <v>18</v>
      </c>
      <c r="Y43" s="83">
        <v>32.700000000000003</v>
      </c>
      <c r="Z43" s="185" t="s">
        <v>489</v>
      </c>
      <c r="AA43" s="185" t="s">
        <v>22</v>
      </c>
      <c r="AB43" s="185" t="s">
        <v>11</v>
      </c>
      <c r="AC43" s="185">
        <v>18.7</v>
      </c>
      <c r="AD43" s="82"/>
      <c r="AG43" s="83"/>
      <c r="AL43" s="82"/>
      <c r="AO43" s="83"/>
      <c r="AP43" s="82"/>
      <c r="AS43" s="83"/>
      <c r="AW43" s="83"/>
      <c r="BA43" s="84"/>
    </row>
    <row r="44" spans="1:53" s="185" customFormat="1">
      <c r="A44" s="101">
        <v>1978</v>
      </c>
      <c r="B44" s="852"/>
      <c r="C44" s="917" t="s">
        <v>812</v>
      </c>
      <c r="D44" s="917"/>
      <c r="E44" s="185">
        <v>0</v>
      </c>
      <c r="G44" s="119">
        <v>5</v>
      </c>
      <c r="H44" s="185">
        <v>10</v>
      </c>
      <c r="J44" s="126">
        <v>15</v>
      </c>
      <c r="K44" s="92">
        <f>G44/$J44*100</f>
        <v>33.333333333333329</v>
      </c>
      <c r="L44" s="92">
        <f t="shared" si="0"/>
        <v>66.666666666666657</v>
      </c>
      <c r="M44" s="92">
        <f t="shared" si="0"/>
        <v>0</v>
      </c>
      <c r="N44" s="121">
        <f t="shared" si="1"/>
        <v>99.999999999999986</v>
      </c>
      <c r="O44" s="91">
        <v>18.7</v>
      </c>
      <c r="P44" s="92">
        <v>32.700000000000003</v>
      </c>
      <c r="Q44" s="92"/>
      <c r="R44" s="93">
        <f t="shared" si="2"/>
        <v>51.400000000000006</v>
      </c>
      <c r="S44" s="185">
        <v>2</v>
      </c>
      <c r="T44" s="839"/>
      <c r="U44" s="852"/>
      <c r="V44" s="82" t="s">
        <v>493</v>
      </c>
      <c r="W44" s="185" t="s">
        <v>328</v>
      </c>
      <c r="X44" s="185" t="s">
        <v>18</v>
      </c>
      <c r="Y44" s="83">
        <v>32.700000000000003</v>
      </c>
      <c r="Z44" s="185" t="s">
        <v>489</v>
      </c>
      <c r="AA44" s="185" t="s">
        <v>22</v>
      </c>
      <c r="AB44" s="185" t="s">
        <v>11</v>
      </c>
      <c r="AC44" s="185">
        <v>18.7</v>
      </c>
      <c r="AD44" s="82"/>
      <c r="AG44" s="83"/>
      <c r="AL44" s="82"/>
      <c r="AO44" s="83"/>
      <c r="AP44" s="82"/>
      <c r="AS44" s="83"/>
      <c r="AW44" s="83"/>
      <c r="BA44" s="84"/>
    </row>
    <row r="45" spans="1:53" s="185" customFormat="1">
      <c r="A45" s="101">
        <v>1978</v>
      </c>
      <c r="B45" s="852"/>
      <c r="C45" s="917" t="s">
        <v>812</v>
      </c>
      <c r="D45" s="917"/>
      <c r="E45" s="185">
        <v>365</v>
      </c>
      <c r="G45" s="119">
        <v>5</v>
      </c>
      <c r="H45" s="185">
        <v>10</v>
      </c>
      <c r="J45" s="126">
        <v>15</v>
      </c>
      <c r="K45" s="92">
        <f t="shared" si="0"/>
        <v>33.333333333333329</v>
      </c>
      <c r="L45" s="92">
        <f t="shared" si="0"/>
        <v>66.666666666666657</v>
      </c>
      <c r="M45" s="92">
        <f t="shared" si="0"/>
        <v>0</v>
      </c>
      <c r="N45" s="121">
        <f t="shared" si="1"/>
        <v>99.999999999999986</v>
      </c>
      <c r="O45" s="91">
        <v>18.7</v>
      </c>
      <c r="P45" s="92">
        <v>32.700000000000003</v>
      </c>
      <c r="Q45" s="92"/>
      <c r="R45" s="93">
        <f t="shared" si="2"/>
        <v>51.400000000000006</v>
      </c>
      <c r="S45" s="185">
        <v>2</v>
      </c>
      <c r="T45" s="839"/>
      <c r="U45" s="852"/>
      <c r="V45" s="82" t="s">
        <v>493</v>
      </c>
      <c r="W45" s="185" t="s">
        <v>328</v>
      </c>
      <c r="X45" s="185" t="s">
        <v>18</v>
      </c>
      <c r="Y45" s="83">
        <v>32.700000000000003</v>
      </c>
      <c r="Z45" s="185" t="s">
        <v>489</v>
      </c>
      <c r="AA45" s="185" t="s">
        <v>22</v>
      </c>
      <c r="AB45" s="185" t="s">
        <v>11</v>
      </c>
      <c r="AC45" s="185">
        <v>18.7</v>
      </c>
      <c r="AD45" s="82"/>
      <c r="AG45" s="83"/>
      <c r="AL45" s="82"/>
      <c r="AO45" s="83"/>
      <c r="AP45" s="82"/>
      <c r="AS45" s="83"/>
      <c r="AW45" s="83"/>
      <c r="BA45" s="84"/>
    </row>
    <row r="46" spans="1:53" s="185" customFormat="1">
      <c r="A46" s="101">
        <v>1979</v>
      </c>
      <c r="B46" s="852"/>
      <c r="C46" s="917" t="s">
        <v>812</v>
      </c>
      <c r="D46" s="917"/>
      <c r="E46" s="185">
        <v>0</v>
      </c>
      <c r="G46" s="119">
        <v>5</v>
      </c>
      <c r="H46" s="185">
        <v>10</v>
      </c>
      <c r="J46" s="126">
        <v>15</v>
      </c>
      <c r="K46" s="92">
        <f t="shared" si="0"/>
        <v>33.333333333333329</v>
      </c>
      <c r="L46" s="92">
        <f t="shared" si="0"/>
        <v>66.666666666666657</v>
      </c>
      <c r="M46" s="92">
        <f t="shared" si="0"/>
        <v>0</v>
      </c>
      <c r="N46" s="121">
        <f t="shared" si="1"/>
        <v>99.999999999999986</v>
      </c>
      <c r="O46" s="91">
        <v>18.7</v>
      </c>
      <c r="P46" s="92">
        <v>32.700000000000003</v>
      </c>
      <c r="Q46" s="92"/>
      <c r="R46" s="93">
        <f t="shared" si="2"/>
        <v>51.400000000000006</v>
      </c>
      <c r="S46" s="185">
        <v>2</v>
      </c>
      <c r="T46" s="839"/>
      <c r="U46" s="852"/>
      <c r="V46" s="82" t="s">
        <v>493</v>
      </c>
      <c r="W46" s="185" t="s">
        <v>328</v>
      </c>
      <c r="X46" s="185" t="s">
        <v>18</v>
      </c>
      <c r="Y46" s="83">
        <v>32.700000000000003</v>
      </c>
      <c r="Z46" s="185" t="s">
        <v>489</v>
      </c>
      <c r="AA46" s="185" t="s">
        <v>22</v>
      </c>
      <c r="AB46" s="185" t="s">
        <v>11</v>
      </c>
      <c r="AC46" s="185">
        <v>18.7</v>
      </c>
      <c r="AD46" s="82"/>
      <c r="AG46" s="83"/>
      <c r="AL46" s="82"/>
      <c r="AO46" s="83"/>
      <c r="AP46" s="82"/>
      <c r="AS46" s="83"/>
      <c r="AW46" s="83"/>
      <c r="BA46" s="84"/>
    </row>
    <row r="47" spans="1:53" s="185" customFormat="1">
      <c r="A47" s="101">
        <v>1979</v>
      </c>
      <c r="B47" s="852"/>
      <c r="C47" s="917" t="s">
        <v>812</v>
      </c>
      <c r="D47" s="917"/>
      <c r="E47" s="185">
        <v>365</v>
      </c>
      <c r="G47" s="119">
        <v>5</v>
      </c>
      <c r="H47" s="185">
        <v>10</v>
      </c>
      <c r="J47" s="126">
        <v>15</v>
      </c>
      <c r="K47" s="92">
        <f t="shared" si="0"/>
        <v>33.333333333333329</v>
      </c>
      <c r="L47" s="92">
        <f t="shared" si="0"/>
        <v>66.666666666666657</v>
      </c>
      <c r="M47" s="92">
        <f t="shared" si="0"/>
        <v>0</v>
      </c>
      <c r="N47" s="121">
        <f t="shared" si="1"/>
        <v>99.999999999999986</v>
      </c>
      <c r="O47" s="91">
        <v>18.7</v>
      </c>
      <c r="P47" s="92">
        <v>32.700000000000003</v>
      </c>
      <c r="Q47" s="92"/>
      <c r="R47" s="93">
        <f t="shared" si="2"/>
        <v>51.400000000000006</v>
      </c>
      <c r="S47" s="185">
        <v>2</v>
      </c>
      <c r="T47" s="839"/>
      <c r="U47" s="852"/>
      <c r="V47" s="82" t="s">
        <v>493</v>
      </c>
      <c r="W47" s="185" t="s">
        <v>328</v>
      </c>
      <c r="X47" s="185" t="s">
        <v>18</v>
      </c>
      <c r="Y47" s="83">
        <v>32.700000000000003</v>
      </c>
      <c r="Z47" s="185" t="s">
        <v>489</v>
      </c>
      <c r="AA47" s="185" t="s">
        <v>22</v>
      </c>
      <c r="AB47" s="185" t="s">
        <v>11</v>
      </c>
      <c r="AC47" s="185">
        <v>18.7</v>
      </c>
      <c r="AD47" s="82"/>
      <c r="AG47" s="83"/>
      <c r="AL47" s="82"/>
      <c r="AO47" s="83"/>
      <c r="AP47" s="82"/>
      <c r="AS47" s="83"/>
      <c r="AW47" s="83"/>
      <c r="BA47" s="84"/>
    </row>
    <row r="48" spans="1:53" s="185" customFormat="1">
      <c r="A48" s="101">
        <v>1980</v>
      </c>
      <c r="B48" s="852"/>
      <c r="C48" s="917" t="s">
        <v>812</v>
      </c>
      <c r="D48" s="917"/>
      <c r="E48" s="185">
        <v>0</v>
      </c>
      <c r="G48" s="119">
        <v>5</v>
      </c>
      <c r="H48" s="185">
        <v>10</v>
      </c>
      <c r="J48" s="126">
        <v>15</v>
      </c>
      <c r="K48" s="92">
        <f t="shared" si="0"/>
        <v>33.333333333333329</v>
      </c>
      <c r="L48" s="92">
        <f t="shared" si="0"/>
        <v>66.666666666666657</v>
      </c>
      <c r="M48" s="92">
        <f t="shared" si="0"/>
        <v>0</v>
      </c>
      <c r="N48" s="121">
        <f t="shared" si="1"/>
        <v>99.999999999999986</v>
      </c>
      <c r="O48" s="91">
        <v>18.7</v>
      </c>
      <c r="P48" s="92">
        <v>32.700000000000003</v>
      </c>
      <c r="Q48" s="92"/>
      <c r="R48" s="93">
        <f t="shared" si="2"/>
        <v>51.400000000000006</v>
      </c>
      <c r="S48" s="185">
        <v>2</v>
      </c>
      <c r="T48" s="839"/>
      <c r="U48" s="852"/>
      <c r="V48" s="82" t="s">
        <v>493</v>
      </c>
      <c r="W48" s="185" t="s">
        <v>328</v>
      </c>
      <c r="X48" s="185" t="s">
        <v>18</v>
      </c>
      <c r="Y48" s="83">
        <v>32.700000000000003</v>
      </c>
      <c r="Z48" s="185" t="s">
        <v>489</v>
      </c>
      <c r="AA48" s="185" t="s">
        <v>22</v>
      </c>
      <c r="AB48" s="185" t="s">
        <v>11</v>
      </c>
      <c r="AC48" s="185">
        <v>18.7</v>
      </c>
      <c r="AD48" s="82"/>
      <c r="AG48" s="83"/>
      <c r="AL48" s="82"/>
      <c r="AO48" s="83"/>
      <c r="AP48" s="82"/>
      <c r="AS48" s="83"/>
      <c r="AW48" s="83"/>
      <c r="BA48" s="84"/>
    </row>
    <row r="49" spans="1:53" s="185" customFormat="1">
      <c r="A49" s="101">
        <v>1980</v>
      </c>
      <c r="B49" s="852"/>
      <c r="C49" s="917" t="s">
        <v>812</v>
      </c>
      <c r="D49" s="917"/>
      <c r="E49" s="185">
        <v>366</v>
      </c>
      <c r="G49" s="119">
        <v>5</v>
      </c>
      <c r="H49" s="185">
        <v>10</v>
      </c>
      <c r="J49" s="126">
        <v>15</v>
      </c>
      <c r="K49" s="92">
        <f t="shared" si="0"/>
        <v>33.333333333333329</v>
      </c>
      <c r="L49" s="92">
        <f t="shared" si="0"/>
        <v>66.666666666666657</v>
      </c>
      <c r="M49" s="92">
        <f t="shared" si="0"/>
        <v>0</v>
      </c>
      <c r="N49" s="121">
        <f t="shared" si="1"/>
        <v>99.999999999999986</v>
      </c>
      <c r="O49" s="91">
        <v>18.7</v>
      </c>
      <c r="P49" s="92">
        <v>32.700000000000003</v>
      </c>
      <c r="Q49" s="92"/>
      <c r="R49" s="93">
        <f t="shared" si="2"/>
        <v>51.400000000000006</v>
      </c>
      <c r="S49" s="185">
        <v>2</v>
      </c>
      <c r="T49" s="839"/>
      <c r="U49" s="852"/>
      <c r="V49" s="82" t="s">
        <v>493</v>
      </c>
      <c r="W49" s="185" t="s">
        <v>328</v>
      </c>
      <c r="X49" s="185" t="s">
        <v>18</v>
      </c>
      <c r="Y49" s="83">
        <v>32.700000000000003</v>
      </c>
      <c r="Z49" s="185" t="s">
        <v>489</v>
      </c>
      <c r="AA49" s="185" t="s">
        <v>22</v>
      </c>
      <c r="AB49" s="185" t="s">
        <v>11</v>
      </c>
      <c r="AC49" s="185">
        <v>18.7</v>
      </c>
      <c r="AD49" s="82"/>
      <c r="AG49" s="83"/>
      <c r="AL49" s="82"/>
      <c r="AO49" s="83"/>
      <c r="AP49" s="82"/>
      <c r="AS49" s="83"/>
      <c r="AW49" s="83"/>
      <c r="BA49" s="84"/>
    </row>
    <row r="50" spans="1:53" s="185" customFormat="1">
      <c r="A50" s="101">
        <v>1981</v>
      </c>
      <c r="B50" s="852"/>
      <c r="C50" s="917" t="s">
        <v>812</v>
      </c>
      <c r="D50" s="917"/>
      <c r="E50" s="185">
        <v>253</v>
      </c>
      <c r="G50" s="119">
        <v>5</v>
      </c>
      <c r="H50" s="185">
        <v>10</v>
      </c>
      <c r="J50" s="126">
        <v>15</v>
      </c>
      <c r="K50" s="92">
        <f t="shared" si="0"/>
        <v>33.333333333333329</v>
      </c>
      <c r="L50" s="92">
        <f t="shared" si="0"/>
        <v>66.666666666666657</v>
      </c>
      <c r="M50" s="92">
        <f t="shared" si="0"/>
        <v>0</v>
      </c>
      <c r="N50" s="121">
        <f t="shared" si="1"/>
        <v>99.999999999999986</v>
      </c>
      <c r="O50" s="91">
        <v>18.7</v>
      </c>
      <c r="P50" s="92">
        <v>32.700000000000003</v>
      </c>
      <c r="Q50" s="92"/>
      <c r="R50" s="93">
        <f t="shared" si="2"/>
        <v>51.400000000000006</v>
      </c>
      <c r="S50" s="185">
        <v>2</v>
      </c>
      <c r="T50" s="839"/>
      <c r="U50" s="852"/>
      <c r="V50" s="82" t="s">
        <v>493</v>
      </c>
      <c r="W50" s="185" t="s">
        <v>328</v>
      </c>
      <c r="X50" s="185" t="s">
        <v>18</v>
      </c>
      <c r="Y50" s="83">
        <v>32.700000000000003</v>
      </c>
      <c r="Z50" s="185" t="s">
        <v>489</v>
      </c>
      <c r="AA50" s="185" t="s">
        <v>22</v>
      </c>
      <c r="AB50" s="185" t="s">
        <v>11</v>
      </c>
      <c r="AC50" s="185">
        <v>18.7</v>
      </c>
      <c r="AD50" s="82"/>
      <c r="AG50" s="83"/>
      <c r="AL50" s="82"/>
      <c r="AO50" s="83"/>
      <c r="AP50" s="82"/>
      <c r="AS50" s="83"/>
      <c r="AW50" s="83"/>
      <c r="BA50" s="84"/>
    </row>
    <row r="51" spans="1:53" s="292" customFormat="1">
      <c r="A51" s="338">
        <v>1981</v>
      </c>
      <c r="B51" s="836">
        <v>29840</v>
      </c>
      <c r="C51" s="916" t="s">
        <v>813</v>
      </c>
      <c r="D51" s="916"/>
      <c r="E51" s="292">
        <f>365-E50</f>
        <v>112</v>
      </c>
      <c r="F51" s="292">
        <v>1</v>
      </c>
      <c r="G51" s="366"/>
      <c r="H51" s="292">
        <v>9</v>
      </c>
      <c r="I51" s="292">
        <v>6</v>
      </c>
      <c r="J51" s="377">
        <v>15</v>
      </c>
      <c r="K51" s="336">
        <f t="shared" si="0"/>
        <v>0</v>
      </c>
      <c r="L51" s="336">
        <f t="shared" si="0"/>
        <v>60</v>
      </c>
      <c r="M51" s="336">
        <f t="shared" si="0"/>
        <v>40</v>
      </c>
      <c r="N51" s="368">
        <f t="shared" si="1"/>
        <v>100</v>
      </c>
      <c r="O51" s="335"/>
      <c r="P51" s="336">
        <v>43.3</v>
      </c>
      <c r="Q51" s="336">
        <v>29.3</v>
      </c>
      <c r="R51" s="337">
        <f t="shared" si="2"/>
        <v>72.599999999999994</v>
      </c>
      <c r="S51" s="292">
        <v>3</v>
      </c>
      <c r="T51" s="838">
        <v>29732</v>
      </c>
      <c r="U51" s="836">
        <v>29840</v>
      </c>
      <c r="V51" s="299" t="s">
        <v>493</v>
      </c>
      <c r="W51" s="292" t="s">
        <v>328</v>
      </c>
      <c r="X51" s="292" t="s">
        <v>18</v>
      </c>
      <c r="Y51" s="300">
        <v>32</v>
      </c>
      <c r="Z51" s="299" t="s">
        <v>490</v>
      </c>
      <c r="AA51" s="292" t="s">
        <v>20</v>
      </c>
      <c r="AB51" s="292" t="s">
        <v>12</v>
      </c>
      <c r="AC51" s="292">
        <v>29.3</v>
      </c>
      <c r="AD51" s="299" t="s">
        <v>492</v>
      </c>
      <c r="AE51" s="292" t="s">
        <v>88</v>
      </c>
      <c r="AF51" s="292" t="s">
        <v>18</v>
      </c>
      <c r="AG51" s="300">
        <v>11.3</v>
      </c>
      <c r="AL51" s="299"/>
      <c r="AO51" s="300"/>
      <c r="AP51" s="299"/>
      <c r="AS51" s="300"/>
      <c r="AW51" s="300"/>
      <c r="BA51" s="301"/>
    </row>
    <row r="52" spans="1:53" s="292" customFormat="1">
      <c r="A52" s="338">
        <v>1982</v>
      </c>
      <c r="B52" s="836"/>
      <c r="C52" s="916" t="s">
        <v>813</v>
      </c>
      <c r="D52" s="916"/>
      <c r="E52" s="292">
        <v>148</v>
      </c>
      <c r="G52" s="366"/>
      <c r="H52" s="292">
        <v>9</v>
      </c>
      <c r="I52" s="292">
        <v>6</v>
      </c>
      <c r="J52" s="377">
        <v>15</v>
      </c>
      <c r="K52" s="336">
        <f t="shared" si="0"/>
        <v>0</v>
      </c>
      <c r="L52" s="336">
        <f t="shared" si="0"/>
        <v>60</v>
      </c>
      <c r="M52" s="336">
        <f t="shared" si="0"/>
        <v>40</v>
      </c>
      <c r="N52" s="368">
        <f t="shared" si="1"/>
        <v>100</v>
      </c>
      <c r="O52" s="335"/>
      <c r="P52" s="336">
        <v>43.3</v>
      </c>
      <c r="Q52" s="336">
        <v>29.3</v>
      </c>
      <c r="R52" s="337">
        <f t="shared" si="2"/>
        <v>72.599999999999994</v>
      </c>
      <c r="S52" s="292">
        <v>3</v>
      </c>
      <c r="T52" s="838"/>
      <c r="U52" s="836"/>
      <c r="V52" s="299" t="s">
        <v>493</v>
      </c>
      <c r="W52" s="292" t="s">
        <v>328</v>
      </c>
      <c r="X52" s="292" t="s">
        <v>18</v>
      </c>
      <c r="Y52" s="300">
        <v>32</v>
      </c>
      <c r="Z52" s="299" t="s">
        <v>490</v>
      </c>
      <c r="AA52" s="292" t="s">
        <v>20</v>
      </c>
      <c r="AB52" s="292" t="s">
        <v>12</v>
      </c>
      <c r="AC52" s="292">
        <v>29.3</v>
      </c>
      <c r="AD52" s="299" t="s">
        <v>492</v>
      </c>
      <c r="AE52" s="292" t="s">
        <v>88</v>
      </c>
      <c r="AF52" s="292" t="s">
        <v>18</v>
      </c>
      <c r="AG52" s="300">
        <v>11.3</v>
      </c>
      <c r="AL52" s="299"/>
      <c r="AO52" s="300"/>
      <c r="AP52" s="299"/>
      <c r="AS52" s="300"/>
      <c r="AW52" s="300"/>
      <c r="BA52" s="301"/>
    </row>
    <row r="53" spans="1:53" s="185" customFormat="1">
      <c r="A53" s="101">
        <v>1982</v>
      </c>
      <c r="B53" s="852">
        <v>30100</v>
      </c>
      <c r="C53" s="917" t="s">
        <v>814</v>
      </c>
      <c r="D53" s="917"/>
      <c r="E53" s="185">
        <v>159</v>
      </c>
      <c r="F53" s="185">
        <v>4</v>
      </c>
      <c r="G53" s="119"/>
      <c r="H53" s="185">
        <v>9</v>
      </c>
      <c r="I53" s="185">
        <v>6</v>
      </c>
      <c r="J53" s="126">
        <v>15</v>
      </c>
      <c r="K53" s="92">
        <f t="shared" si="0"/>
        <v>0</v>
      </c>
      <c r="L53" s="92">
        <f t="shared" si="0"/>
        <v>60</v>
      </c>
      <c r="M53" s="92">
        <f t="shared" si="0"/>
        <v>40</v>
      </c>
      <c r="N53" s="121">
        <f t="shared" si="1"/>
        <v>100</v>
      </c>
      <c r="O53" s="91"/>
      <c r="P53" s="92">
        <v>43.3</v>
      </c>
      <c r="Q53" s="92"/>
      <c r="R53" s="93">
        <f t="shared" si="2"/>
        <v>43.3</v>
      </c>
      <c r="S53" s="185">
        <v>6</v>
      </c>
      <c r="T53" s="839"/>
      <c r="U53" s="852">
        <v>30100</v>
      </c>
      <c r="V53" s="82" t="s">
        <v>493</v>
      </c>
      <c r="W53" s="185" t="s">
        <v>328</v>
      </c>
      <c r="X53" s="185" t="s">
        <v>18</v>
      </c>
      <c r="Y53" s="83">
        <v>32</v>
      </c>
      <c r="Z53" s="185" t="s">
        <v>492</v>
      </c>
      <c r="AA53" s="185" t="s">
        <v>88</v>
      </c>
      <c r="AB53" s="185" t="s">
        <v>18</v>
      </c>
      <c r="AC53" s="185">
        <v>11.3</v>
      </c>
      <c r="AD53" s="82"/>
      <c r="AG53" s="83"/>
      <c r="AL53" s="82"/>
      <c r="AO53" s="83"/>
      <c r="AP53" s="82"/>
      <c r="AS53" s="83"/>
      <c r="AW53" s="83"/>
      <c r="BA53" s="84"/>
    </row>
    <row r="54" spans="1:53" s="292" customFormat="1">
      <c r="A54" s="338">
        <v>1982</v>
      </c>
      <c r="B54" s="836">
        <v>30259</v>
      </c>
      <c r="C54" s="916" t="s">
        <v>660</v>
      </c>
      <c r="D54" s="916"/>
      <c r="E54" s="292">
        <f>365-E52-E53</f>
        <v>58</v>
      </c>
      <c r="F54" s="292">
        <v>1</v>
      </c>
      <c r="G54" s="366"/>
      <c r="H54" s="292">
        <v>14</v>
      </c>
      <c r="J54" s="377">
        <v>14</v>
      </c>
      <c r="K54" s="336">
        <f t="shared" si="0"/>
        <v>0</v>
      </c>
      <c r="L54" s="336">
        <f t="shared" si="0"/>
        <v>100</v>
      </c>
      <c r="M54" s="336">
        <f t="shared" si="0"/>
        <v>0</v>
      </c>
      <c r="N54" s="368">
        <f t="shared" si="1"/>
        <v>100</v>
      </c>
      <c r="O54" s="335">
        <v>24</v>
      </c>
      <c r="P54" s="336">
        <v>30</v>
      </c>
      <c r="Q54" s="336"/>
      <c r="R54" s="337">
        <f t="shared" si="2"/>
        <v>54</v>
      </c>
      <c r="S54" s="292">
        <v>2</v>
      </c>
      <c r="T54" s="838">
        <v>30202</v>
      </c>
      <c r="U54" s="836">
        <v>30259</v>
      </c>
      <c r="V54" s="299" t="s">
        <v>493</v>
      </c>
      <c r="W54" s="292" t="s">
        <v>328</v>
      </c>
      <c r="X54" s="292" t="s">
        <v>18</v>
      </c>
      <c r="Y54" s="300">
        <v>30</v>
      </c>
      <c r="Z54" s="292" t="s">
        <v>489</v>
      </c>
      <c r="AA54" s="292" t="s">
        <v>22</v>
      </c>
      <c r="AB54" s="292" t="s">
        <v>11</v>
      </c>
      <c r="AC54" s="292">
        <v>24</v>
      </c>
      <c r="AD54" s="299"/>
      <c r="AG54" s="300"/>
      <c r="AL54" s="299"/>
      <c r="AO54" s="300"/>
      <c r="AP54" s="299"/>
      <c r="AS54" s="300"/>
      <c r="AW54" s="300"/>
      <c r="BA54" s="301"/>
    </row>
    <row r="55" spans="1:53" s="292" customFormat="1">
      <c r="A55" s="338">
        <v>1983</v>
      </c>
      <c r="B55" s="836"/>
      <c r="C55" s="916" t="s">
        <v>660</v>
      </c>
      <c r="D55" s="916"/>
      <c r="E55" s="292">
        <v>0</v>
      </c>
      <c r="G55" s="366"/>
      <c r="H55" s="292">
        <v>14</v>
      </c>
      <c r="J55" s="377">
        <v>14</v>
      </c>
      <c r="K55" s="336">
        <f t="shared" si="0"/>
        <v>0</v>
      </c>
      <c r="L55" s="336">
        <f t="shared" si="0"/>
        <v>100</v>
      </c>
      <c r="M55" s="336">
        <f t="shared" si="0"/>
        <v>0</v>
      </c>
      <c r="N55" s="368">
        <f t="shared" si="1"/>
        <v>100</v>
      </c>
      <c r="O55" s="335">
        <v>24</v>
      </c>
      <c r="P55" s="336">
        <v>30</v>
      </c>
      <c r="Q55" s="336"/>
      <c r="R55" s="337">
        <f t="shared" si="2"/>
        <v>54</v>
      </c>
      <c r="S55" s="292">
        <v>2</v>
      </c>
      <c r="T55" s="838"/>
      <c r="U55" s="836"/>
      <c r="V55" s="299" t="s">
        <v>493</v>
      </c>
      <c r="W55" s="292" t="s">
        <v>328</v>
      </c>
      <c r="X55" s="292" t="s">
        <v>18</v>
      </c>
      <c r="Y55" s="300">
        <v>30</v>
      </c>
      <c r="Z55" s="292" t="s">
        <v>489</v>
      </c>
      <c r="AA55" s="292" t="s">
        <v>22</v>
      </c>
      <c r="AB55" s="292" t="s">
        <v>11</v>
      </c>
      <c r="AC55" s="292">
        <v>24</v>
      </c>
      <c r="AD55" s="299"/>
      <c r="AG55" s="300"/>
      <c r="AL55" s="299"/>
      <c r="AO55" s="300"/>
      <c r="AP55" s="299"/>
      <c r="AS55" s="300"/>
      <c r="AW55" s="300"/>
      <c r="BA55" s="301"/>
    </row>
    <row r="56" spans="1:53" s="292" customFormat="1">
      <c r="A56" s="338">
        <v>1983</v>
      </c>
      <c r="B56" s="836"/>
      <c r="C56" s="916" t="s">
        <v>660</v>
      </c>
      <c r="D56" s="916"/>
      <c r="E56" s="292">
        <v>365</v>
      </c>
      <c r="G56" s="366"/>
      <c r="H56" s="292">
        <v>14</v>
      </c>
      <c r="J56" s="377">
        <v>14</v>
      </c>
      <c r="K56" s="336">
        <f t="shared" si="0"/>
        <v>0</v>
      </c>
      <c r="L56" s="336">
        <f t="shared" si="0"/>
        <v>100</v>
      </c>
      <c r="M56" s="336">
        <f t="shared" si="0"/>
        <v>0</v>
      </c>
      <c r="N56" s="368">
        <f t="shared" si="1"/>
        <v>100</v>
      </c>
      <c r="O56" s="335">
        <v>24</v>
      </c>
      <c r="P56" s="336">
        <v>30</v>
      </c>
      <c r="Q56" s="336"/>
      <c r="R56" s="337">
        <f t="shared" si="2"/>
        <v>54</v>
      </c>
      <c r="S56" s="292">
        <v>2</v>
      </c>
      <c r="T56" s="838"/>
      <c r="U56" s="836"/>
      <c r="V56" s="299" t="s">
        <v>493</v>
      </c>
      <c r="W56" s="292" t="s">
        <v>328</v>
      </c>
      <c r="X56" s="292" t="s">
        <v>18</v>
      </c>
      <c r="Y56" s="300">
        <v>30</v>
      </c>
      <c r="Z56" s="292" t="s">
        <v>489</v>
      </c>
      <c r="AA56" s="292" t="s">
        <v>22</v>
      </c>
      <c r="AB56" s="292" t="s">
        <v>11</v>
      </c>
      <c r="AC56" s="292">
        <v>24</v>
      </c>
      <c r="AD56" s="299"/>
      <c r="AG56" s="300"/>
      <c r="AL56" s="299"/>
      <c r="AO56" s="300"/>
      <c r="AP56" s="299"/>
      <c r="AS56" s="300"/>
      <c r="AW56" s="300"/>
      <c r="BA56" s="301"/>
    </row>
    <row r="57" spans="1:53" s="292" customFormat="1">
      <c r="A57" s="338">
        <v>1984</v>
      </c>
      <c r="B57" s="836"/>
      <c r="C57" s="916" t="s">
        <v>660</v>
      </c>
      <c r="D57" s="916"/>
      <c r="E57" s="292">
        <v>0</v>
      </c>
      <c r="G57" s="366"/>
      <c r="H57" s="292">
        <v>14</v>
      </c>
      <c r="J57" s="377">
        <v>14</v>
      </c>
      <c r="K57" s="336">
        <f t="shared" si="0"/>
        <v>0</v>
      </c>
      <c r="L57" s="336">
        <f t="shared" si="0"/>
        <v>100</v>
      </c>
      <c r="M57" s="336">
        <f t="shared" si="0"/>
        <v>0</v>
      </c>
      <c r="N57" s="368">
        <f t="shared" si="1"/>
        <v>100</v>
      </c>
      <c r="O57" s="335">
        <v>24</v>
      </c>
      <c r="P57" s="336">
        <v>30</v>
      </c>
      <c r="Q57" s="336"/>
      <c r="R57" s="337">
        <f t="shared" si="2"/>
        <v>54</v>
      </c>
      <c r="S57" s="292">
        <v>2</v>
      </c>
      <c r="T57" s="838"/>
      <c r="U57" s="836"/>
      <c r="V57" s="299" t="s">
        <v>493</v>
      </c>
      <c r="W57" s="292" t="s">
        <v>328</v>
      </c>
      <c r="X57" s="292" t="s">
        <v>18</v>
      </c>
      <c r="Y57" s="300">
        <v>30</v>
      </c>
      <c r="Z57" s="292" t="s">
        <v>489</v>
      </c>
      <c r="AA57" s="292" t="s">
        <v>22</v>
      </c>
      <c r="AB57" s="292" t="s">
        <v>11</v>
      </c>
      <c r="AC57" s="292">
        <v>24</v>
      </c>
      <c r="AD57" s="299"/>
      <c r="AG57" s="300"/>
      <c r="AL57" s="299"/>
      <c r="AO57" s="300"/>
      <c r="AP57" s="299"/>
      <c r="AS57" s="300"/>
      <c r="AW57" s="300"/>
      <c r="BA57" s="301"/>
    </row>
    <row r="58" spans="1:53" s="292" customFormat="1">
      <c r="A58" s="338">
        <v>1984</v>
      </c>
      <c r="B58" s="836"/>
      <c r="C58" s="916" t="s">
        <v>660</v>
      </c>
      <c r="D58" s="916"/>
      <c r="E58" s="292">
        <v>366</v>
      </c>
      <c r="G58" s="366"/>
      <c r="H58" s="292">
        <v>14</v>
      </c>
      <c r="J58" s="377">
        <v>14</v>
      </c>
      <c r="K58" s="336">
        <f t="shared" si="0"/>
        <v>0</v>
      </c>
      <c r="L58" s="336">
        <f t="shared" si="0"/>
        <v>100</v>
      </c>
      <c r="M58" s="336">
        <f t="shared" si="0"/>
        <v>0</v>
      </c>
      <c r="N58" s="368">
        <f t="shared" si="1"/>
        <v>100</v>
      </c>
      <c r="O58" s="335">
        <v>24</v>
      </c>
      <c r="P58" s="336">
        <v>30</v>
      </c>
      <c r="Q58" s="336"/>
      <c r="R58" s="337">
        <f t="shared" si="2"/>
        <v>54</v>
      </c>
      <c r="S58" s="292">
        <v>2</v>
      </c>
      <c r="T58" s="838"/>
      <c r="U58" s="836"/>
      <c r="V58" s="299" t="s">
        <v>493</v>
      </c>
      <c r="W58" s="292" t="s">
        <v>328</v>
      </c>
      <c r="X58" s="292" t="s">
        <v>18</v>
      </c>
      <c r="Y58" s="300">
        <v>30</v>
      </c>
      <c r="Z58" s="292" t="s">
        <v>489</v>
      </c>
      <c r="AA58" s="292" t="s">
        <v>22</v>
      </c>
      <c r="AB58" s="292" t="s">
        <v>11</v>
      </c>
      <c r="AC58" s="292">
        <v>24</v>
      </c>
      <c r="AD58" s="299"/>
      <c r="AG58" s="300"/>
      <c r="AL58" s="299"/>
      <c r="AO58" s="300"/>
      <c r="AP58" s="299"/>
      <c r="AS58" s="300"/>
      <c r="AW58" s="300"/>
      <c r="BA58" s="301"/>
    </row>
    <row r="59" spans="1:53" s="292" customFormat="1">
      <c r="A59" s="338">
        <v>1985</v>
      </c>
      <c r="B59" s="836"/>
      <c r="C59" s="916" t="s">
        <v>660</v>
      </c>
      <c r="D59" s="916"/>
      <c r="E59" s="292">
        <v>0</v>
      </c>
      <c r="G59" s="366"/>
      <c r="H59" s="292">
        <v>14</v>
      </c>
      <c r="J59" s="377">
        <v>14</v>
      </c>
      <c r="K59" s="336">
        <f t="shared" si="0"/>
        <v>0</v>
      </c>
      <c r="L59" s="336">
        <f t="shared" si="0"/>
        <v>100</v>
      </c>
      <c r="M59" s="336">
        <f t="shared" si="0"/>
        <v>0</v>
      </c>
      <c r="N59" s="368">
        <f t="shared" si="1"/>
        <v>100</v>
      </c>
      <c r="O59" s="335">
        <v>24</v>
      </c>
      <c r="P59" s="336">
        <v>30</v>
      </c>
      <c r="Q59" s="336"/>
      <c r="R59" s="337">
        <f t="shared" si="2"/>
        <v>54</v>
      </c>
      <c r="S59" s="292">
        <v>2</v>
      </c>
      <c r="T59" s="838"/>
      <c r="U59" s="836"/>
      <c r="V59" s="299" t="s">
        <v>493</v>
      </c>
      <c r="W59" s="292" t="s">
        <v>328</v>
      </c>
      <c r="X59" s="292" t="s">
        <v>18</v>
      </c>
      <c r="Y59" s="300">
        <v>30</v>
      </c>
      <c r="Z59" s="292" t="s">
        <v>489</v>
      </c>
      <c r="AA59" s="292" t="s">
        <v>22</v>
      </c>
      <c r="AB59" s="292" t="s">
        <v>11</v>
      </c>
      <c r="AC59" s="292">
        <v>24</v>
      </c>
      <c r="AD59" s="299"/>
      <c r="AG59" s="300"/>
      <c r="AL59" s="299"/>
      <c r="AO59" s="300"/>
      <c r="AP59" s="299"/>
      <c r="AS59" s="300"/>
      <c r="AW59" s="300"/>
      <c r="BA59" s="301"/>
    </row>
    <row r="60" spans="1:53" s="292" customFormat="1">
      <c r="A60" s="338">
        <v>1985</v>
      </c>
      <c r="B60" s="836"/>
      <c r="C60" s="916" t="s">
        <v>660</v>
      </c>
      <c r="D60" s="916"/>
      <c r="E60" s="292">
        <v>365</v>
      </c>
      <c r="G60" s="366"/>
      <c r="H60" s="292">
        <v>14</v>
      </c>
      <c r="J60" s="377">
        <v>14</v>
      </c>
      <c r="K60" s="336">
        <f>G60/$J60*100</f>
        <v>0</v>
      </c>
      <c r="L60" s="336">
        <f t="shared" ref="L60:M112" si="3">H60/$J60*100</f>
        <v>100</v>
      </c>
      <c r="M60" s="336">
        <f t="shared" si="3"/>
        <v>0</v>
      </c>
      <c r="N60" s="368">
        <f t="shared" si="1"/>
        <v>100</v>
      </c>
      <c r="O60" s="335">
        <v>24</v>
      </c>
      <c r="P60" s="336">
        <v>30</v>
      </c>
      <c r="Q60" s="336"/>
      <c r="R60" s="337">
        <f t="shared" si="2"/>
        <v>54</v>
      </c>
      <c r="S60" s="292">
        <v>2</v>
      </c>
      <c r="T60" s="838"/>
      <c r="U60" s="836"/>
      <c r="V60" s="299" t="s">
        <v>493</v>
      </c>
      <c r="W60" s="292" t="s">
        <v>328</v>
      </c>
      <c r="X60" s="292" t="s">
        <v>18</v>
      </c>
      <c r="Y60" s="300">
        <v>30</v>
      </c>
      <c r="Z60" s="292" t="s">
        <v>489</v>
      </c>
      <c r="AA60" s="292" t="s">
        <v>22</v>
      </c>
      <c r="AB60" s="292" t="s">
        <v>11</v>
      </c>
      <c r="AC60" s="292">
        <v>24</v>
      </c>
      <c r="AD60" s="299"/>
      <c r="AG60" s="300"/>
      <c r="AL60" s="299"/>
      <c r="AO60" s="300"/>
      <c r="AP60" s="299"/>
      <c r="AS60" s="300"/>
      <c r="AW60" s="300"/>
      <c r="BA60" s="301"/>
    </row>
    <row r="61" spans="1:53" s="292" customFormat="1">
      <c r="A61" s="338">
        <v>1986</v>
      </c>
      <c r="B61" s="836"/>
      <c r="C61" s="916" t="s">
        <v>660</v>
      </c>
      <c r="D61" s="916"/>
      <c r="E61" s="292">
        <v>317</v>
      </c>
      <c r="G61" s="366"/>
      <c r="H61" s="292">
        <v>14</v>
      </c>
      <c r="J61" s="377">
        <v>14</v>
      </c>
      <c r="K61" s="336">
        <f t="shared" ref="K61:K102" si="4">G61/$J61*100</f>
        <v>0</v>
      </c>
      <c r="L61" s="336">
        <f t="shared" si="3"/>
        <v>100</v>
      </c>
      <c r="M61" s="336">
        <f t="shared" si="3"/>
        <v>0</v>
      </c>
      <c r="N61" s="368">
        <f t="shared" si="1"/>
        <v>100</v>
      </c>
      <c r="O61" s="335">
        <v>24</v>
      </c>
      <c r="P61" s="336">
        <v>30</v>
      </c>
      <c r="Q61" s="336"/>
      <c r="R61" s="337">
        <f t="shared" si="2"/>
        <v>54</v>
      </c>
      <c r="S61" s="292">
        <v>2</v>
      </c>
      <c r="T61" s="838"/>
      <c r="U61" s="836"/>
      <c r="V61" s="299" t="s">
        <v>493</v>
      </c>
      <c r="W61" s="292" t="s">
        <v>328</v>
      </c>
      <c r="X61" s="292" t="s">
        <v>18</v>
      </c>
      <c r="Y61" s="300">
        <v>30</v>
      </c>
      <c r="Z61" s="292" t="s">
        <v>489</v>
      </c>
      <c r="AA61" s="292" t="s">
        <v>22</v>
      </c>
      <c r="AB61" s="292" t="s">
        <v>11</v>
      </c>
      <c r="AC61" s="292">
        <v>24</v>
      </c>
      <c r="AD61" s="299"/>
      <c r="AG61" s="300"/>
      <c r="AL61" s="299"/>
      <c r="AO61" s="300"/>
      <c r="AP61" s="299"/>
      <c r="AS61" s="300"/>
      <c r="AW61" s="300"/>
      <c r="BA61" s="301"/>
    </row>
    <row r="62" spans="1:53" s="185" customFormat="1">
      <c r="A62" s="101">
        <v>1986</v>
      </c>
      <c r="B62" s="852">
        <v>31730</v>
      </c>
      <c r="C62" s="917" t="s">
        <v>661</v>
      </c>
      <c r="D62" s="917"/>
      <c r="E62" s="185">
        <f>365-E61</f>
        <v>48</v>
      </c>
      <c r="F62" s="185">
        <v>1</v>
      </c>
      <c r="G62" s="119">
        <v>5</v>
      </c>
      <c r="H62" s="185">
        <v>9</v>
      </c>
      <c r="J62" s="126">
        <v>14</v>
      </c>
      <c r="K62" s="92">
        <f t="shared" si="4"/>
        <v>35.714285714285715</v>
      </c>
      <c r="L62" s="92">
        <f t="shared" si="3"/>
        <v>64.285714285714292</v>
      </c>
      <c r="M62" s="92">
        <f t="shared" si="3"/>
        <v>0</v>
      </c>
      <c r="N62" s="121">
        <f t="shared" si="1"/>
        <v>100</v>
      </c>
      <c r="O62" s="91">
        <v>18</v>
      </c>
      <c r="P62" s="92">
        <v>36</v>
      </c>
      <c r="Q62" s="92"/>
      <c r="R62" s="93">
        <f t="shared" si="2"/>
        <v>54</v>
      </c>
      <c r="S62" s="185">
        <v>2</v>
      </c>
      <c r="T62" s="839">
        <v>31553</v>
      </c>
      <c r="U62" s="852">
        <v>31730</v>
      </c>
      <c r="V62" s="82" t="s">
        <v>493</v>
      </c>
      <c r="W62" s="185" t="s">
        <v>328</v>
      </c>
      <c r="X62" s="185" t="s">
        <v>18</v>
      </c>
      <c r="Y62" s="83">
        <v>36</v>
      </c>
      <c r="Z62" s="185" t="s">
        <v>489</v>
      </c>
      <c r="AA62" s="185" t="s">
        <v>22</v>
      </c>
      <c r="AB62" s="185" t="s">
        <v>11</v>
      </c>
      <c r="AC62" s="185">
        <v>18</v>
      </c>
      <c r="AD62" s="82"/>
      <c r="AG62" s="83"/>
      <c r="AL62" s="82"/>
      <c r="AO62" s="83"/>
      <c r="AP62" s="82"/>
      <c r="AS62" s="83"/>
      <c r="AW62" s="83"/>
      <c r="BA62" s="84"/>
    </row>
    <row r="63" spans="1:53" s="185" customFormat="1">
      <c r="A63" s="101">
        <v>1987</v>
      </c>
      <c r="B63" s="852"/>
      <c r="C63" s="917" t="s">
        <v>661</v>
      </c>
      <c r="D63" s="917"/>
      <c r="E63" s="185">
        <v>0</v>
      </c>
      <c r="G63" s="119">
        <v>5</v>
      </c>
      <c r="H63" s="185">
        <v>9</v>
      </c>
      <c r="J63" s="126">
        <v>14</v>
      </c>
      <c r="K63" s="92">
        <f t="shared" si="4"/>
        <v>35.714285714285715</v>
      </c>
      <c r="L63" s="92">
        <f t="shared" si="3"/>
        <v>64.285714285714292</v>
      </c>
      <c r="M63" s="92">
        <f t="shared" si="3"/>
        <v>0</v>
      </c>
      <c r="N63" s="121">
        <f t="shared" si="1"/>
        <v>100</v>
      </c>
      <c r="O63" s="91">
        <v>18</v>
      </c>
      <c r="P63" s="92">
        <v>36</v>
      </c>
      <c r="Q63" s="92"/>
      <c r="R63" s="93">
        <f t="shared" si="2"/>
        <v>54</v>
      </c>
      <c r="S63" s="185">
        <v>2</v>
      </c>
      <c r="T63" s="839"/>
      <c r="U63" s="852"/>
      <c r="V63" s="82" t="s">
        <v>493</v>
      </c>
      <c r="W63" s="185" t="s">
        <v>328</v>
      </c>
      <c r="X63" s="185" t="s">
        <v>18</v>
      </c>
      <c r="Y63" s="83">
        <v>36</v>
      </c>
      <c r="Z63" s="185" t="s">
        <v>489</v>
      </c>
      <c r="AA63" s="185" t="s">
        <v>22</v>
      </c>
      <c r="AB63" s="185" t="s">
        <v>11</v>
      </c>
      <c r="AC63" s="185">
        <v>18</v>
      </c>
      <c r="AD63" s="82"/>
      <c r="AG63" s="83"/>
      <c r="AL63" s="82"/>
      <c r="AO63" s="83"/>
      <c r="AP63" s="82"/>
      <c r="AS63" s="83"/>
      <c r="AW63" s="83"/>
      <c r="BA63" s="84"/>
    </row>
    <row r="64" spans="1:53" s="185" customFormat="1">
      <c r="A64" s="101">
        <v>1987</v>
      </c>
      <c r="B64" s="852"/>
      <c r="C64" s="917" t="s">
        <v>661</v>
      </c>
      <c r="D64" s="917"/>
      <c r="E64" s="185">
        <v>365</v>
      </c>
      <c r="G64" s="119">
        <v>5</v>
      </c>
      <c r="H64" s="185">
        <v>9</v>
      </c>
      <c r="J64" s="126">
        <v>14</v>
      </c>
      <c r="K64" s="92">
        <f t="shared" si="4"/>
        <v>35.714285714285715</v>
      </c>
      <c r="L64" s="92">
        <f t="shared" si="3"/>
        <v>64.285714285714292</v>
      </c>
      <c r="M64" s="92">
        <f t="shared" si="3"/>
        <v>0</v>
      </c>
      <c r="N64" s="121">
        <f t="shared" si="1"/>
        <v>100</v>
      </c>
      <c r="O64" s="91">
        <v>18</v>
      </c>
      <c r="P64" s="92">
        <v>36</v>
      </c>
      <c r="Q64" s="92"/>
      <c r="R64" s="93">
        <f t="shared" si="2"/>
        <v>54</v>
      </c>
      <c r="S64" s="185">
        <v>2</v>
      </c>
      <c r="T64" s="839"/>
      <c r="U64" s="852"/>
      <c r="V64" s="82" t="s">
        <v>493</v>
      </c>
      <c r="W64" s="185" t="s">
        <v>328</v>
      </c>
      <c r="X64" s="185" t="s">
        <v>18</v>
      </c>
      <c r="Y64" s="83">
        <v>36</v>
      </c>
      <c r="Z64" s="185" t="s">
        <v>489</v>
      </c>
      <c r="AA64" s="185" t="s">
        <v>22</v>
      </c>
      <c r="AB64" s="185" t="s">
        <v>11</v>
      </c>
      <c r="AC64" s="185">
        <v>18</v>
      </c>
      <c r="AD64" s="82"/>
      <c r="AG64" s="83"/>
      <c r="AL64" s="82"/>
      <c r="AO64" s="83"/>
      <c r="AP64" s="82"/>
      <c r="AS64" s="83"/>
      <c r="AW64" s="83"/>
      <c r="BA64" s="84"/>
    </row>
    <row r="65" spans="1:53" s="185" customFormat="1">
      <c r="A65" s="101">
        <v>1988</v>
      </c>
      <c r="B65" s="852"/>
      <c r="C65" s="917" t="s">
        <v>661</v>
      </c>
      <c r="D65" s="917"/>
      <c r="E65" s="185">
        <v>0</v>
      </c>
      <c r="G65" s="119">
        <v>5</v>
      </c>
      <c r="H65" s="185">
        <v>9</v>
      </c>
      <c r="J65" s="126">
        <v>14</v>
      </c>
      <c r="K65" s="92">
        <f t="shared" si="4"/>
        <v>35.714285714285715</v>
      </c>
      <c r="L65" s="92">
        <f t="shared" si="3"/>
        <v>64.285714285714292</v>
      </c>
      <c r="M65" s="92">
        <f t="shared" si="3"/>
        <v>0</v>
      </c>
      <c r="N65" s="121">
        <f t="shared" si="1"/>
        <v>100</v>
      </c>
      <c r="O65" s="91">
        <v>18</v>
      </c>
      <c r="P65" s="92">
        <v>36</v>
      </c>
      <c r="Q65" s="92"/>
      <c r="R65" s="93">
        <f t="shared" si="2"/>
        <v>54</v>
      </c>
      <c r="S65" s="185">
        <v>2</v>
      </c>
      <c r="T65" s="839"/>
      <c r="U65" s="852"/>
      <c r="V65" s="82" t="s">
        <v>493</v>
      </c>
      <c r="W65" s="185" t="s">
        <v>328</v>
      </c>
      <c r="X65" s="185" t="s">
        <v>18</v>
      </c>
      <c r="Y65" s="83">
        <v>36</v>
      </c>
      <c r="Z65" s="185" t="s">
        <v>489</v>
      </c>
      <c r="AA65" s="185" t="s">
        <v>22</v>
      </c>
      <c r="AB65" s="185" t="s">
        <v>11</v>
      </c>
      <c r="AC65" s="185">
        <v>18</v>
      </c>
      <c r="AD65" s="82"/>
      <c r="AG65" s="83"/>
      <c r="AL65" s="82"/>
      <c r="AO65" s="83"/>
      <c r="AP65" s="82"/>
      <c r="AS65" s="83"/>
      <c r="AW65" s="83"/>
      <c r="BA65" s="84"/>
    </row>
    <row r="66" spans="1:53" s="185" customFormat="1">
      <c r="A66" s="101">
        <v>1988</v>
      </c>
      <c r="B66" s="852"/>
      <c r="C66" s="917" t="s">
        <v>661</v>
      </c>
      <c r="D66" s="917"/>
      <c r="E66" s="185">
        <v>366</v>
      </c>
      <c r="G66" s="119">
        <v>5</v>
      </c>
      <c r="H66" s="185">
        <v>9</v>
      </c>
      <c r="J66" s="126">
        <v>14</v>
      </c>
      <c r="K66" s="92">
        <f t="shared" si="4"/>
        <v>35.714285714285715</v>
      </c>
      <c r="L66" s="92">
        <f t="shared" si="3"/>
        <v>64.285714285714292</v>
      </c>
      <c r="M66" s="92">
        <f t="shared" si="3"/>
        <v>0</v>
      </c>
      <c r="N66" s="121">
        <f t="shared" si="1"/>
        <v>100</v>
      </c>
      <c r="O66" s="91">
        <v>18</v>
      </c>
      <c r="P66" s="92">
        <v>36</v>
      </c>
      <c r="Q66" s="92"/>
      <c r="R66" s="93">
        <f t="shared" si="2"/>
        <v>54</v>
      </c>
      <c r="S66" s="185">
        <v>2</v>
      </c>
      <c r="T66" s="839"/>
      <c r="U66" s="852"/>
      <c r="V66" s="82" t="s">
        <v>493</v>
      </c>
      <c r="W66" s="185" t="s">
        <v>328</v>
      </c>
      <c r="X66" s="185" t="s">
        <v>18</v>
      </c>
      <c r="Y66" s="83">
        <v>36</v>
      </c>
      <c r="Z66" s="185" t="s">
        <v>489</v>
      </c>
      <c r="AA66" s="185" t="s">
        <v>22</v>
      </c>
      <c r="AB66" s="185" t="s">
        <v>11</v>
      </c>
      <c r="AC66" s="185">
        <v>18</v>
      </c>
      <c r="AD66" s="82"/>
      <c r="AG66" s="83"/>
      <c r="AL66" s="82"/>
      <c r="AO66" s="83"/>
      <c r="AP66" s="82"/>
      <c r="AS66" s="83"/>
      <c r="AW66" s="83"/>
      <c r="BA66" s="84"/>
    </row>
    <row r="67" spans="1:53" s="185" customFormat="1">
      <c r="A67" s="101">
        <v>1989</v>
      </c>
      <c r="B67" s="852"/>
      <c r="C67" s="917" t="s">
        <v>661</v>
      </c>
      <c r="D67" s="917"/>
      <c r="E67" s="185">
        <v>310</v>
      </c>
      <c r="G67" s="119">
        <v>5</v>
      </c>
      <c r="H67" s="185">
        <v>9</v>
      </c>
      <c r="J67" s="126">
        <v>14</v>
      </c>
      <c r="K67" s="92">
        <f t="shared" si="4"/>
        <v>35.714285714285715</v>
      </c>
      <c r="L67" s="92">
        <f t="shared" si="3"/>
        <v>64.285714285714292</v>
      </c>
      <c r="M67" s="92">
        <f t="shared" si="3"/>
        <v>0</v>
      </c>
      <c r="N67" s="121">
        <f t="shared" si="1"/>
        <v>100</v>
      </c>
      <c r="O67" s="91">
        <v>18</v>
      </c>
      <c r="P67" s="92">
        <v>36</v>
      </c>
      <c r="Q67" s="92"/>
      <c r="R67" s="93">
        <f t="shared" si="2"/>
        <v>54</v>
      </c>
      <c r="S67" s="185">
        <v>2</v>
      </c>
      <c r="T67" s="839"/>
      <c r="U67" s="852"/>
      <c r="V67" s="82" t="s">
        <v>493</v>
      </c>
      <c r="W67" s="185" t="s">
        <v>328</v>
      </c>
      <c r="X67" s="185" t="s">
        <v>18</v>
      </c>
      <c r="Y67" s="83">
        <v>36</v>
      </c>
      <c r="Z67" s="185" t="s">
        <v>489</v>
      </c>
      <c r="AA67" s="185" t="s">
        <v>22</v>
      </c>
      <c r="AB67" s="185" t="s">
        <v>11</v>
      </c>
      <c r="AC67" s="185">
        <v>18</v>
      </c>
      <c r="AD67" s="82"/>
      <c r="AG67" s="83"/>
      <c r="AL67" s="82"/>
      <c r="AO67" s="83"/>
      <c r="AP67" s="82"/>
      <c r="AS67" s="83"/>
      <c r="AW67" s="83"/>
      <c r="BA67" s="84"/>
    </row>
    <row r="68" spans="1:53" s="103" customFormat="1">
      <c r="A68" s="180">
        <v>1989</v>
      </c>
      <c r="B68" s="846">
        <v>32819</v>
      </c>
      <c r="C68" s="923" t="s">
        <v>662</v>
      </c>
      <c r="D68" s="923"/>
      <c r="E68" s="103">
        <f>365-E67</f>
        <v>55</v>
      </c>
      <c r="F68" s="103">
        <v>5</v>
      </c>
      <c r="G68" s="386"/>
      <c r="H68" s="103">
        <v>7</v>
      </c>
      <c r="I68" s="103">
        <v>7</v>
      </c>
      <c r="J68" s="387">
        <v>14</v>
      </c>
      <c r="K68" s="352">
        <f t="shared" si="4"/>
        <v>0</v>
      </c>
      <c r="L68" s="353">
        <f t="shared" si="3"/>
        <v>50</v>
      </c>
      <c r="M68" s="353">
        <f t="shared" si="3"/>
        <v>50</v>
      </c>
      <c r="N68" s="354">
        <f t="shared" si="1"/>
        <v>100</v>
      </c>
      <c r="O68" s="352"/>
      <c r="P68" s="353">
        <v>36</v>
      </c>
      <c r="Q68" s="353">
        <v>32.700000000000003</v>
      </c>
      <c r="R68" s="354">
        <f t="shared" si="2"/>
        <v>68.7</v>
      </c>
      <c r="S68" s="396">
        <v>2</v>
      </c>
      <c r="T68" s="840">
        <v>32757</v>
      </c>
      <c r="U68" s="846">
        <v>32819</v>
      </c>
      <c r="V68" s="104" t="s">
        <v>493</v>
      </c>
      <c r="W68" s="103" t="s">
        <v>328</v>
      </c>
      <c r="X68" s="103" t="s">
        <v>18</v>
      </c>
      <c r="Y68" s="105">
        <v>36</v>
      </c>
      <c r="Z68" s="104" t="s">
        <v>490</v>
      </c>
      <c r="AA68" s="103" t="s">
        <v>20</v>
      </c>
      <c r="AB68" s="103" t="s">
        <v>12</v>
      </c>
      <c r="AC68" s="103">
        <v>32.700000000000003</v>
      </c>
      <c r="AD68" s="104"/>
      <c r="AG68" s="105"/>
      <c r="AL68" s="104"/>
      <c r="AO68" s="105"/>
      <c r="AP68" s="104"/>
      <c r="AS68" s="105"/>
      <c r="AW68" s="105"/>
      <c r="BA68" s="106"/>
    </row>
    <row r="69" spans="1:53" s="292" customFormat="1">
      <c r="A69" s="292">
        <v>1990</v>
      </c>
      <c r="B69" s="836"/>
      <c r="C69" s="916" t="s">
        <v>662</v>
      </c>
      <c r="D69" s="916"/>
      <c r="E69" s="292">
        <v>0</v>
      </c>
      <c r="G69" s="366"/>
      <c r="H69" s="292">
        <v>7</v>
      </c>
      <c r="I69" s="292">
        <v>7</v>
      </c>
      <c r="J69" s="377">
        <v>14</v>
      </c>
      <c r="K69" s="336">
        <f t="shared" si="4"/>
        <v>0</v>
      </c>
      <c r="L69" s="336">
        <f t="shared" si="3"/>
        <v>50</v>
      </c>
      <c r="M69" s="336">
        <f t="shared" si="3"/>
        <v>50</v>
      </c>
      <c r="N69" s="368">
        <f t="shared" si="1"/>
        <v>100</v>
      </c>
      <c r="O69" s="335"/>
      <c r="P69" s="336">
        <v>36</v>
      </c>
      <c r="Q69" s="336">
        <v>32.700000000000003</v>
      </c>
      <c r="R69" s="337">
        <f t="shared" si="2"/>
        <v>68.7</v>
      </c>
      <c r="S69" s="292">
        <v>2</v>
      </c>
      <c r="T69" s="838"/>
      <c r="U69" s="836"/>
      <c r="V69" s="299" t="s">
        <v>493</v>
      </c>
      <c r="W69" s="292" t="s">
        <v>328</v>
      </c>
      <c r="X69" s="292" t="s">
        <v>18</v>
      </c>
      <c r="Y69" s="292">
        <v>36</v>
      </c>
      <c r="Z69" s="299" t="s">
        <v>490</v>
      </c>
      <c r="AA69" s="292" t="s">
        <v>20</v>
      </c>
      <c r="AB69" s="292" t="s">
        <v>12</v>
      </c>
      <c r="AC69" s="292">
        <v>32.700000000000003</v>
      </c>
      <c r="AD69" s="299"/>
      <c r="AG69" s="300"/>
      <c r="AL69" s="299"/>
      <c r="AO69" s="300"/>
      <c r="AP69" s="299"/>
      <c r="AS69" s="300"/>
      <c r="AW69" s="300"/>
      <c r="BA69" s="301"/>
    </row>
    <row r="70" spans="1:53" s="292" customFormat="1">
      <c r="A70" s="292">
        <v>1990</v>
      </c>
      <c r="B70" s="836"/>
      <c r="C70" s="916" t="s">
        <v>662</v>
      </c>
      <c r="D70" s="916"/>
      <c r="E70" s="292">
        <f>365-E69</f>
        <v>365</v>
      </c>
      <c r="G70" s="366"/>
      <c r="H70" s="292">
        <v>7</v>
      </c>
      <c r="I70" s="292">
        <v>7</v>
      </c>
      <c r="J70" s="377">
        <v>14</v>
      </c>
      <c r="K70" s="336">
        <f t="shared" si="4"/>
        <v>0</v>
      </c>
      <c r="L70" s="336">
        <f t="shared" si="3"/>
        <v>50</v>
      </c>
      <c r="M70" s="336">
        <f t="shared" si="3"/>
        <v>50</v>
      </c>
      <c r="N70" s="368">
        <f t="shared" si="1"/>
        <v>100</v>
      </c>
      <c r="O70" s="335"/>
      <c r="P70" s="336">
        <v>36</v>
      </c>
      <c r="Q70" s="336">
        <v>32.700000000000003</v>
      </c>
      <c r="R70" s="337">
        <f t="shared" si="2"/>
        <v>68.7</v>
      </c>
      <c r="S70" s="292">
        <v>2</v>
      </c>
      <c r="T70" s="838"/>
      <c r="U70" s="836"/>
      <c r="V70" s="299" t="s">
        <v>493</v>
      </c>
      <c r="W70" s="292" t="s">
        <v>328</v>
      </c>
      <c r="X70" s="292" t="s">
        <v>18</v>
      </c>
      <c r="Y70" s="292">
        <v>36</v>
      </c>
      <c r="Z70" s="299" t="s">
        <v>490</v>
      </c>
      <c r="AA70" s="292" t="s">
        <v>20</v>
      </c>
      <c r="AB70" s="292" t="s">
        <v>12</v>
      </c>
      <c r="AC70" s="292">
        <v>32.700000000000003</v>
      </c>
      <c r="AD70" s="299"/>
      <c r="AG70" s="300"/>
      <c r="AL70" s="299"/>
      <c r="AO70" s="300"/>
      <c r="AP70" s="299"/>
      <c r="AS70" s="300"/>
      <c r="AW70" s="300"/>
      <c r="BA70" s="301"/>
    </row>
    <row r="71" spans="1:53" s="292" customFormat="1">
      <c r="A71" s="292">
        <v>1991</v>
      </c>
      <c r="B71" s="836"/>
      <c r="C71" s="916" t="s">
        <v>662</v>
      </c>
      <c r="D71" s="916"/>
      <c r="E71" s="292">
        <v>0</v>
      </c>
      <c r="G71" s="366"/>
      <c r="H71" s="292">
        <v>7</v>
      </c>
      <c r="I71" s="292">
        <v>7</v>
      </c>
      <c r="J71" s="377">
        <v>14</v>
      </c>
      <c r="K71" s="336">
        <f t="shared" si="4"/>
        <v>0</v>
      </c>
      <c r="L71" s="336">
        <f t="shared" si="3"/>
        <v>50</v>
      </c>
      <c r="M71" s="336">
        <f t="shared" si="3"/>
        <v>50</v>
      </c>
      <c r="N71" s="368">
        <f t="shared" si="1"/>
        <v>100</v>
      </c>
      <c r="O71" s="335"/>
      <c r="P71" s="336">
        <v>36</v>
      </c>
      <c r="Q71" s="336">
        <v>32.700000000000003</v>
      </c>
      <c r="R71" s="337">
        <f t="shared" si="2"/>
        <v>68.7</v>
      </c>
      <c r="S71" s="292">
        <v>2</v>
      </c>
      <c r="T71" s="838"/>
      <c r="U71" s="836"/>
      <c r="V71" s="299" t="s">
        <v>493</v>
      </c>
      <c r="W71" s="292" t="s">
        <v>328</v>
      </c>
      <c r="X71" s="292" t="s">
        <v>18</v>
      </c>
      <c r="Y71" s="292">
        <v>36</v>
      </c>
      <c r="Z71" s="299" t="s">
        <v>490</v>
      </c>
      <c r="AA71" s="292" t="s">
        <v>20</v>
      </c>
      <c r="AB71" s="292" t="s">
        <v>12</v>
      </c>
      <c r="AC71" s="292">
        <v>32.700000000000003</v>
      </c>
      <c r="AD71" s="299"/>
      <c r="AG71" s="300"/>
      <c r="AL71" s="299"/>
      <c r="AO71" s="300"/>
      <c r="AP71" s="299"/>
      <c r="AS71" s="300"/>
      <c r="AW71" s="300"/>
      <c r="BA71" s="301"/>
    </row>
    <row r="72" spans="1:53" s="292" customFormat="1">
      <c r="A72" s="292">
        <v>1991</v>
      </c>
      <c r="B72" s="836"/>
      <c r="C72" s="916" t="s">
        <v>662</v>
      </c>
      <c r="D72" s="916"/>
      <c r="E72" s="292">
        <f>365-E71</f>
        <v>365</v>
      </c>
      <c r="G72" s="366"/>
      <c r="H72" s="292">
        <v>7</v>
      </c>
      <c r="I72" s="292">
        <v>7</v>
      </c>
      <c r="J72" s="377">
        <v>14</v>
      </c>
      <c r="K72" s="336">
        <f t="shared" si="4"/>
        <v>0</v>
      </c>
      <c r="L72" s="336">
        <f t="shared" si="3"/>
        <v>50</v>
      </c>
      <c r="M72" s="336">
        <f t="shared" si="3"/>
        <v>50</v>
      </c>
      <c r="N72" s="368">
        <f t="shared" si="1"/>
        <v>100</v>
      </c>
      <c r="O72" s="335"/>
      <c r="P72" s="336">
        <v>36</v>
      </c>
      <c r="Q72" s="336">
        <v>32.700000000000003</v>
      </c>
      <c r="R72" s="337">
        <f t="shared" si="2"/>
        <v>68.7</v>
      </c>
      <c r="S72" s="292">
        <v>2</v>
      </c>
      <c r="T72" s="838"/>
      <c r="U72" s="836"/>
      <c r="V72" s="299" t="s">
        <v>493</v>
      </c>
      <c r="W72" s="292" t="s">
        <v>328</v>
      </c>
      <c r="X72" s="292" t="s">
        <v>18</v>
      </c>
      <c r="Y72" s="292">
        <v>36</v>
      </c>
      <c r="Z72" s="299" t="s">
        <v>490</v>
      </c>
      <c r="AA72" s="292" t="s">
        <v>20</v>
      </c>
      <c r="AB72" s="292" t="s">
        <v>12</v>
      </c>
      <c r="AC72" s="292">
        <v>32.700000000000003</v>
      </c>
      <c r="AD72" s="299"/>
      <c r="AG72" s="300"/>
      <c r="AL72" s="299"/>
      <c r="AO72" s="300"/>
      <c r="AP72" s="299"/>
      <c r="AS72" s="300"/>
      <c r="AW72" s="300"/>
      <c r="BA72" s="301"/>
    </row>
    <row r="73" spans="1:53" s="292" customFormat="1">
      <c r="A73" s="292">
        <v>1992</v>
      </c>
      <c r="B73" s="836"/>
      <c r="C73" s="916" t="s">
        <v>662</v>
      </c>
      <c r="D73" s="916"/>
      <c r="E73" s="292">
        <v>0</v>
      </c>
      <c r="G73" s="366"/>
      <c r="H73" s="292">
        <v>7</v>
      </c>
      <c r="I73" s="292">
        <v>7</v>
      </c>
      <c r="J73" s="377">
        <v>14</v>
      </c>
      <c r="K73" s="336">
        <f t="shared" si="4"/>
        <v>0</v>
      </c>
      <c r="L73" s="336">
        <f t="shared" si="3"/>
        <v>50</v>
      </c>
      <c r="M73" s="336">
        <f t="shared" si="3"/>
        <v>50</v>
      </c>
      <c r="N73" s="368">
        <f t="shared" ref="N73:N120" si="5">K73+L73+M73</f>
        <v>100</v>
      </c>
      <c r="O73" s="335"/>
      <c r="P73" s="336">
        <v>36</v>
      </c>
      <c r="Q73" s="336">
        <v>32.700000000000003</v>
      </c>
      <c r="R73" s="337">
        <f t="shared" ref="R73:R118" si="6">O73+P73+Q73</f>
        <v>68.7</v>
      </c>
      <c r="S73" s="292">
        <v>2</v>
      </c>
      <c r="T73" s="838"/>
      <c r="U73" s="836"/>
      <c r="V73" s="299" t="s">
        <v>493</v>
      </c>
      <c r="W73" s="292" t="s">
        <v>328</v>
      </c>
      <c r="X73" s="292" t="s">
        <v>18</v>
      </c>
      <c r="Y73" s="292">
        <v>36</v>
      </c>
      <c r="Z73" s="299" t="s">
        <v>490</v>
      </c>
      <c r="AA73" s="292" t="s">
        <v>20</v>
      </c>
      <c r="AB73" s="292" t="s">
        <v>12</v>
      </c>
      <c r="AC73" s="292">
        <v>32.700000000000003</v>
      </c>
      <c r="AD73" s="299"/>
      <c r="AG73" s="300"/>
      <c r="AL73" s="299"/>
      <c r="AO73" s="300"/>
      <c r="AP73" s="299"/>
      <c r="AS73" s="300"/>
      <c r="AW73" s="300"/>
      <c r="BA73" s="301"/>
    </row>
    <row r="74" spans="1:53" s="292" customFormat="1">
      <c r="A74" s="292">
        <v>1992</v>
      </c>
      <c r="B74" s="836"/>
      <c r="C74" s="916" t="s">
        <v>662</v>
      </c>
      <c r="D74" s="916"/>
      <c r="E74" s="292">
        <v>366</v>
      </c>
      <c r="G74" s="366"/>
      <c r="H74" s="292">
        <v>7</v>
      </c>
      <c r="I74" s="292">
        <v>7</v>
      </c>
      <c r="J74" s="377">
        <v>14</v>
      </c>
      <c r="K74" s="336">
        <f t="shared" si="4"/>
        <v>0</v>
      </c>
      <c r="L74" s="336">
        <f t="shared" si="3"/>
        <v>50</v>
      </c>
      <c r="M74" s="336">
        <f t="shared" si="3"/>
        <v>50</v>
      </c>
      <c r="N74" s="368">
        <f t="shared" si="5"/>
        <v>100</v>
      </c>
      <c r="O74" s="335"/>
      <c r="P74" s="336">
        <v>36</v>
      </c>
      <c r="Q74" s="336">
        <v>32.700000000000003</v>
      </c>
      <c r="R74" s="337">
        <f t="shared" si="6"/>
        <v>68.7</v>
      </c>
      <c r="S74" s="292">
        <v>2</v>
      </c>
      <c r="T74" s="838"/>
      <c r="U74" s="836"/>
      <c r="V74" s="299" t="s">
        <v>493</v>
      </c>
      <c r="W74" s="292" t="s">
        <v>328</v>
      </c>
      <c r="X74" s="292" t="s">
        <v>18</v>
      </c>
      <c r="Y74" s="292">
        <v>36</v>
      </c>
      <c r="Z74" s="299" t="s">
        <v>490</v>
      </c>
      <c r="AA74" s="292" t="s">
        <v>20</v>
      </c>
      <c r="AB74" s="292" t="s">
        <v>12</v>
      </c>
      <c r="AC74" s="292">
        <v>32.700000000000003</v>
      </c>
      <c r="AD74" s="299"/>
      <c r="AG74" s="300"/>
      <c r="AL74" s="299"/>
      <c r="AO74" s="300"/>
      <c r="AP74" s="299"/>
      <c r="AS74" s="300"/>
      <c r="AW74" s="300"/>
      <c r="BA74" s="301"/>
    </row>
    <row r="75" spans="1:53" s="292" customFormat="1">
      <c r="A75" s="292">
        <v>1993</v>
      </c>
      <c r="B75" s="836"/>
      <c r="C75" s="916" t="s">
        <v>662</v>
      </c>
      <c r="D75" s="916"/>
      <c r="E75" s="292">
        <v>0</v>
      </c>
      <c r="G75" s="366"/>
      <c r="H75" s="292">
        <v>7</v>
      </c>
      <c r="I75" s="292">
        <v>7</v>
      </c>
      <c r="J75" s="377">
        <v>14</v>
      </c>
      <c r="K75" s="336">
        <f t="shared" si="4"/>
        <v>0</v>
      </c>
      <c r="L75" s="336">
        <f t="shared" si="3"/>
        <v>50</v>
      </c>
      <c r="M75" s="336">
        <f t="shared" si="3"/>
        <v>50</v>
      </c>
      <c r="N75" s="368">
        <f t="shared" si="5"/>
        <v>100</v>
      </c>
      <c r="O75" s="335"/>
      <c r="P75" s="336">
        <v>36</v>
      </c>
      <c r="Q75" s="336">
        <v>32.700000000000003</v>
      </c>
      <c r="R75" s="337">
        <f t="shared" si="6"/>
        <v>68.7</v>
      </c>
      <c r="S75" s="292">
        <v>2</v>
      </c>
      <c r="T75" s="838"/>
      <c r="U75" s="836"/>
      <c r="V75" s="299" t="s">
        <v>493</v>
      </c>
      <c r="W75" s="292" t="s">
        <v>328</v>
      </c>
      <c r="X75" s="292" t="s">
        <v>18</v>
      </c>
      <c r="Y75" s="292">
        <v>36</v>
      </c>
      <c r="Z75" s="299" t="s">
        <v>490</v>
      </c>
      <c r="AA75" s="292" t="s">
        <v>20</v>
      </c>
      <c r="AB75" s="292" t="s">
        <v>12</v>
      </c>
      <c r="AC75" s="292">
        <v>32.700000000000003</v>
      </c>
      <c r="AD75" s="299"/>
      <c r="AG75" s="300"/>
      <c r="AL75" s="299"/>
      <c r="AO75" s="300"/>
      <c r="AP75" s="299"/>
      <c r="AS75" s="300"/>
      <c r="AW75" s="300"/>
      <c r="BA75" s="301"/>
    </row>
    <row r="76" spans="1:53" s="292" customFormat="1">
      <c r="A76" s="292">
        <v>1993</v>
      </c>
      <c r="B76" s="836"/>
      <c r="C76" s="916" t="s">
        <v>662</v>
      </c>
      <c r="D76" s="916"/>
      <c r="E76" s="292">
        <f>365-E75</f>
        <v>365</v>
      </c>
      <c r="G76" s="366"/>
      <c r="H76" s="292">
        <v>7</v>
      </c>
      <c r="I76" s="292">
        <v>7</v>
      </c>
      <c r="J76" s="377">
        <v>14</v>
      </c>
      <c r="K76" s="336">
        <f t="shared" si="4"/>
        <v>0</v>
      </c>
      <c r="L76" s="336">
        <f t="shared" si="3"/>
        <v>50</v>
      </c>
      <c r="M76" s="336">
        <f t="shared" si="3"/>
        <v>50</v>
      </c>
      <c r="N76" s="368">
        <f t="shared" si="5"/>
        <v>100</v>
      </c>
      <c r="O76" s="335"/>
      <c r="P76" s="336">
        <v>36</v>
      </c>
      <c r="Q76" s="336">
        <v>32.700000000000003</v>
      </c>
      <c r="R76" s="337">
        <f t="shared" si="6"/>
        <v>68.7</v>
      </c>
      <c r="S76" s="292">
        <v>2</v>
      </c>
      <c r="T76" s="838"/>
      <c r="U76" s="836"/>
      <c r="V76" s="299" t="s">
        <v>493</v>
      </c>
      <c r="W76" s="292" t="s">
        <v>328</v>
      </c>
      <c r="X76" s="292" t="s">
        <v>18</v>
      </c>
      <c r="Y76" s="292">
        <v>36</v>
      </c>
      <c r="Z76" s="299" t="s">
        <v>490</v>
      </c>
      <c r="AA76" s="292" t="s">
        <v>20</v>
      </c>
      <c r="AB76" s="292" t="s">
        <v>12</v>
      </c>
      <c r="AC76" s="292">
        <v>32.700000000000003</v>
      </c>
      <c r="AD76" s="299"/>
      <c r="AG76" s="300"/>
      <c r="AL76" s="299"/>
      <c r="AO76" s="300"/>
      <c r="AP76" s="299"/>
      <c r="AS76" s="300"/>
      <c r="AW76" s="300"/>
      <c r="BA76" s="301"/>
    </row>
    <row r="77" spans="1:53" s="292" customFormat="1">
      <c r="A77" s="292">
        <v>1994</v>
      </c>
      <c r="B77" s="836"/>
      <c r="C77" s="916" t="s">
        <v>662</v>
      </c>
      <c r="D77" s="916"/>
      <c r="E77" s="292">
        <v>233</v>
      </c>
      <c r="G77" s="366"/>
      <c r="H77" s="292">
        <v>7</v>
      </c>
      <c r="I77" s="292">
        <v>7</v>
      </c>
      <c r="J77" s="377">
        <v>14</v>
      </c>
      <c r="K77" s="336">
        <f t="shared" si="4"/>
        <v>0</v>
      </c>
      <c r="L77" s="336">
        <f t="shared" si="3"/>
        <v>50</v>
      </c>
      <c r="M77" s="336">
        <f t="shared" si="3"/>
        <v>50</v>
      </c>
      <c r="N77" s="368">
        <f t="shared" si="5"/>
        <v>100</v>
      </c>
      <c r="O77" s="335"/>
      <c r="P77" s="336">
        <v>36</v>
      </c>
      <c r="Q77" s="336">
        <v>32.700000000000003</v>
      </c>
      <c r="R77" s="337">
        <f t="shared" si="6"/>
        <v>68.7</v>
      </c>
      <c r="S77" s="292">
        <v>2</v>
      </c>
      <c r="T77" s="838"/>
      <c r="U77" s="836"/>
      <c r="V77" s="299" t="s">
        <v>493</v>
      </c>
      <c r="W77" s="292" t="s">
        <v>328</v>
      </c>
      <c r="X77" s="292" t="s">
        <v>18</v>
      </c>
      <c r="Y77" s="292">
        <v>36</v>
      </c>
      <c r="Z77" s="299" t="s">
        <v>490</v>
      </c>
      <c r="AA77" s="292" t="s">
        <v>20</v>
      </c>
      <c r="AB77" s="292" t="s">
        <v>12</v>
      </c>
      <c r="AC77" s="292">
        <v>32.700000000000003</v>
      </c>
      <c r="AD77" s="299"/>
      <c r="AG77" s="300"/>
      <c r="AL77" s="299"/>
      <c r="AO77" s="300"/>
      <c r="AP77" s="299"/>
      <c r="AS77" s="300"/>
      <c r="AW77" s="300"/>
      <c r="BA77" s="301"/>
    </row>
    <row r="78" spans="1:53" s="185" customFormat="1">
      <c r="A78" s="185">
        <v>1994</v>
      </c>
      <c r="B78" s="852">
        <v>34568</v>
      </c>
      <c r="C78" s="917" t="s">
        <v>663</v>
      </c>
      <c r="D78" s="917"/>
      <c r="E78" s="185">
        <f>365-E77</f>
        <v>132</v>
      </c>
      <c r="F78" s="185">
        <v>1</v>
      </c>
      <c r="G78" s="119">
        <v>5</v>
      </c>
      <c r="H78" s="185">
        <v>4</v>
      </c>
      <c r="I78" s="185">
        <v>5</v>
      </c>
      <c r="J78" s="126">
        <v>14</v>
      </c>
      <c r="K78" s="92">
        <f t="shared" si="4"/>
        <v>35.714285714285715</v>
      </c>
      <c r="L78" s="92">
        <f t="shared" si="3"/>
        <v>28.571428571428569</v>
      </c>
      <c r="M78" s="92">
        <f t="shared" si="3"/>
        <v>35.714285714285715</v>
      </c>
      <c r="N78" s="121">
        <f t="shared" si="5"/>
        <v>100</v>
      </c>
      <c r="O78" s="91">
        <v>20.7</v>
      </c>
      <c r="P78" s="92">
        <v>16</v>
      </c>
      <c r="Q78" s="92">
        <v>24.7</v>
      </c>
      <c r="R78" s="93">
        <f t="shared" si="6"/>
        <v>61.400000000000006</v>
      </c>
      <c r="S78" s="185">
        <v>2</v>
      </c>
      <c r="T78" s="839">
        <v>34457</v>
      </c>
      <c r="U78" s="852">
        <v>34568</v>
      </c>
      <c r="V78" s="82" t="s">
        <v>490</v>
      </c>
      <c r="W78" s="185" t="s">
        <v>20</v>
      </c>
      <c r="X78" s="185" t="s">
        <v>12</v>
      </c>
      <c r="Y78" s="83">
        <v>24.7</v>
      </c>
      <c r="Z78" s="185" t="s">
        <v>489</v>
      </c>
      <c r="AA78" s="185" t="s">
        <v>22</v>
      </c>
      <c r="AB78" s="185" t="s">
        <v>11</v>
      </c>
      <c r="AC78" s="185">
        <v>20.7</v>
      </c>
      <c r="AD78" s="82" t="s">
        <v>492</v>
      </c>
      <c r="AE78" s="185" t="s">
        <v>88</v>
      </c>
      <c r="AF78" s="185" t="s">
        <v>18</v>
      </c>
      <c r="AG78" s="83">
        <v>16</v>
      </c>
      <c r="AL78" s="82"/>
      <c r="AO78" s="83"/>
      <c r="AP78" s="82"/>
      <c r="AS78" s="83"/>
      <c r="AW78" s="83"/>
      <c r="BA78" s="84"/>
    </row>
    <row r="79" spans="1:53" s="185" customFormat="1">
      <c r="A79" s="185">
        <v>1995</v>
      </c>
      <c r="B79" s="852"/>
      <c r="C79" s="917" t="s">
        <v>663</v>
      </c>
      <c r="D79" s="917"/>
      <c r="E79" s="185">
        <v>0</v>
      </c>
      <c r="G79" s="119">
        <v>5</v>
      </c>
      <c r="H79" s="185">
        <v>4</v>
      </c>
      <c r="I79" s="185">
        <v>5</v>
      </c>
      <c r="J79" s="126">
        <v>14</v>
      </c>
      <c r="K79" s="92">
        <f t="shared" si="4"/>
        <v>35.714285714285715</v>
      </c>
      <c r="L79" s="92">
        <f t="shared" si="3"/>
        <v>28.571428571428569</v>
      </c>
      <c r="M79" s="92">
        <f t="shared" si="3"/>
        <v>35.714285714285715</v>
      </c>
      <c r="N79" s="121">
        <f t="shared" si="5"/>
        <v>100</v>
      </c>
      <c r="O79" s="91">
        <v>20.7</v>
      </c>
      <c r="P79" s="92">
        <v>16</v>
      </c>
      <c r="Q79" s="92">
        <v>24.7</v>
      </c>
      <c r="R79" s="93">
        <f t="shared" si="6"/>
        <v>61.400000000000006</v>
      </c>
      <c r="S79" s="185">
        <v>2</v>
      </c>
      <c r="T79" s="839"/>
      <c r="U79" s="852"/>
      <c r="V79" s="82" t="s">
        <v>490</v>
      </c>
      <c r="W79" s="185" t="s">
        <v>20</v>
      </c>
      <c r="X79" s="185" t="s">
        <v>12</v>
      </c>
      <c r="Y79" s="83">
        <v>24.7</v>
      </c>
      <c r="Z79" s="185" t="s">
        <v>489</v>
      </c>
      <c r="AA79" s="185" t="s">
        <v>22</v>
      </c>
      <c r="AB79" s="185" t="s">
        <v>11</v>
      </c>
      <c r="AC79" s="185">
        <v>20.7</v>
      </c>
      <c r="AD79" s="82" t="s">
        <v>492</v>
      </c>
      <c r="AE79" s="185" t="s">
        <v>88</v>
      </c>
      <c r="AF79" s="185" t="s">
        <v>18</v>
      </c>
      <c r="AG79" s="83">
        <v>16</v>
      </c>
      <c r="AL79" s="82"/>
      <c r="AO79" s="83"/>
      <c r="AP79" s="82"/>
      <c r="AS79" s="83"/>
      <c r="AW79" s="83"/>
      <c r="BA79" s="84"/>
    </row>
    <row r="80" spans="1:53" s="185" customFormat="1">
      <c r="A80" s="185">
        <v>1995</v>
      </c>
      <c r="B80" s="852"/>
      <c r="C80" s="917" t="s">
        <v>663</v>
      </c>
      <c r="D80" s="917"/>
      <c r="E80" s="185">
        <f>365-E79</f>
        <v>365</v>
      </c>
      <c r="G80" s="119">
        <v>5</v>
      </c>
      <c r="H80" s="185">
        <v>4</v>
      </c>
      <c r="I80" s="185">
        <v>5</v>
      </c>
      <c r="J80" s="126">
        <v>14</v>
      </c>
      <c r="K80" s="92">
        <f t="shared" si="4"/>
        <v>35.714285714285715</v>
      </c>
      <c r="L80" s="92">
        <f t="shared" si="3"/>
        <v>28.571428571428569</v>
      </c>
      <c r="M80" s="92">
        <f t="shared" si="3"/>
        <v>35.714285714285715</v>
      </c>
      <c r="N80" s="121">
        <f t="shared" si="5"/>
        <v>100</v>
      </c>
      <c r="O80" s="91">
        <v>20.7</v>
      </c>
      <c r="P80" s="92">
        <v>16</v>
      </c>
      <c r="Q80" s="92">
        <v>24.7</v>
      </c>
      <c r="R80" s="93">
        <f t="shared" si="6"/>
        <v>61.400000000000006</v>
      </c>
      <c r="S80" s="185">
        <v>2</v>
      </c>
      <c r="T80" s="839"/>
      <c r="U80" s="852"/>
      <c r="V80" s="82" t="s">
        <v>490</v>
      </c>
      <c r="W80" s="185" t="s">
        <v>20</v>
      </c>
      <c r="X80" s="185" t="s">
        <v>12</v>
      </c>
      <c r="Y80" s="83">
        <v>24.7</v>
      </c>
      <c r="Z80" s="185" t="s">
        <v>489</v>
      </c>
      <c r="AA80" s="185" t="s">
        <v>22</v>
      </c>
      <c r="AB80" s="185" t="s">
        <v>11</v>
      </c>
      <c r="AC80" s="185">
        <v>20.7</v>
      </c>
      <c r="AD80" s="82" t="s">
        <v>492</v>
      </c>
      <c r="AE80" s="185" t="s">
        <v>88</v>
      </c>
      <c r="AF80" s="185" t="s">
        <v>18</v>
      </c>
      <c r="AG80" s="83">
        <v>16</v>
      </c>
      <c r="AL80" s="82"/>
      <c r="AO80" s="83"/>
      <c r="AP80" s="82"/>
      <c r="AS80" s="83"/>
      <c r="AW80" s="83"/>
      <c r="BA80" s="84"/>
    </row>
    <row r="81" spans="1:53" s="185" customFormat="1">
      <c r="A81" s="185">
        <v>1996</v>
      </c>
      <c r="B81" s="852"/>
      <c r="C81" s="917" t="s">
        <v>663</v>
      </c>
      <c r="D81" s="917"/>
      <c r="E81" s="185">
        <v>0</v>
      </c>
      <c r="G81" s="119">
        <v>5</v>
      </c>
      <c r="H81" s="185">
        <v>4</v>
      </c>
      <c r="I81" s="185">
        <v>5</v>
      </c>
      <c r="J81" s="126">
        <v>14</v>
      </c>
      <c r="K81" s="92">
        <f t="shared" si="4"/>
        <v>35.714285714285715</v>
      </c>
      <c r="L81" s="92">
        <f t="shared" si="3"/>
        <v>28.571428571428569</v>
      </c>
      <c r="M81" s="92">
        <f t="shared" si="3"/>
        <v>35.714285714285715</v>
      </c>
      <c r="N81" s="121">
        <f t="shared" si="5"/>
        <v>100</v>
      </c>
      <c r="O81" s="91">
        <v>20.7</v>
      </c>
      <c r="P81" s="92">
        <v>16</v>
      </c>
      <c r="Q81" s="92">
        <v>24.7</v>
      </c>
      <c r="R81" s="93">
        <f t="shared" si="6"/>
        <v>61.400000000000006</v>
      </c>
      <c r="S81" s="185">
        <v>2</v>
      </c>
      <c r="T81" s="839"/>
      <c r="U81" s="852"/>
      <c r="V81" s="82" t="s">
        <v>490</v>
      </c>
      <c r="W81" s="185" t="s">
        <v>20</v>
      </c>
      <c r="X81" s="185" t="s">
        <v>12</v>
      </c>
      <c r="Y81" s="83">
        <v>24.7</v>
      </c>
      <c r="Z81" s="185" t="s">
        <v>489</v>
      </c>
      <c r="AA81" s="185" t="s">
        <v>22</v>
      </c>
      <c r="AB81" s="185" t="s">
        <v>11</v>
      </c>
      <c r="AC81" s="185">
        <v>20.7</v>
      </c>
      <c r="AD81" s="82" t="s">
        <v>492</v>
      </c>
      <c r="AE81" s="185" t="s">
        <v>88</v>
      </c>
      <c r="AF81" s="185" t="s">
        <v>18</v>
      </c>
      <c r="AG81" s="83">
        <v>16</v>
      </c>
      <c r="AL81" s="82"/>
      <c r="AO81" s="83"/>
      <c r="AP81" s="82"/>
      <c r="AS81" s="83"/>
      <c r="AW81" s="83"/>
      <c r="BA81" s="84"/>
    </row>
    <row r="82" spans="1:53" s="185" customFormat="1">
      <c r="A82" s="185">
        <v>1996</v>
      </c>
      <c r="B82" s="852"/>
      <c r="C82" s="917" t="s">
        <v>663</v>
      </c>
      <c r="D82" s="917"/>
      <c r="E82" s="185">
        <v>366</v>
      </c>
      <c r="G82" s="119">
        <v>5</v>
      </c>
      <c r="H82" s="185">
        <v>4</v>
      </c>
      <c r="I82" s="185">
        <v>5</v>
      </c>
      <c r="J82" s="126">
        <v>14</v>
      </c>
      <c r="K82" s="92">
        <f t="shared" si="4"/>
        <v>35.714285714285715</v>
      </c>
      <c r="L82" s="92">
        <f t="shared" si="3"/>
        <v>28.571428571428569</v>
      </c>
      <c r="M82" s="92">
        <f t="shared" si="3"/>
        <v>35.714285714285715</v>
      </c>
      <c r="N82" s="121">
        <f t="shared" si="5"/>
        <v>100</v>
      </c>
      <c r="O82" s="91">
        <v>20.7</v>
      </c>
      <c r="P82" s="92">
        <v>16</v>
      </c>
      <c r="Q82" s="92">
        <v>24.7</v>
      </c>
      <c r="R82" s="93">
        <f t="shared" si="6"/>
        <v>61.400000000000006</v>
      </c>
      <c r="S82" s="185">
        <v>2</v>
      </c>
      <c r="T82" s="839"/>
      <c r="U82" s="852"/>
      <c r="V82" s="82" t="s">
        <v>490</v>
      </c>
      <c r="W82" s="185" t="s">
        <v>20</v>
      </c>
      <c r="X82" s="185" t="s">
        <v>12</v>
      </c>
      <c r="Y82" s="83">
        <v>24.7</v>
      </c>
      <c r="Z82" s="185" t="s">
        <v>489</v>
      </c>
      <c r="AA82" s="185" t="s">
        <v>22</v>
      </c>
      <c r="AB82" s="185" t="s">
        <v>11</v>
      </c>
      <c r="AC82" s="185">
        <v>20.7</v>
      </c>
      <c r="AD82" s="82" t="s">
        <v>492</v>
      </c>
      <c r="AE82" s="185" t="s">
        <v>88</v>
      </c>
      <c r="AF82" s="185" t="s">
        <v>18</v>
      </c>
      <c r="AG82" s="83">
        <v>16</v>
      </c>
      <c r="AL82" s="82"/>
      <c r="AO82" s="83"/>
      <c r="AP82" s="82"/>
      <c r="AS82" s="83"/>
      <c r="AW82" s="83"/>
      <c r="BA82" s="84"/>
    </row>
    <row r="83" spans="1:53" s="185" customFormat="1">
      <c r="A83" s="185">
        <v>1997</v>
      </c>
      <c r="B83" s="852"/>
      <c r="C83" s="917" t="s">
        <v>663</v>
      </c>
      <c r="D83" s="917"/>
      <c r="E83" s="185">
        <v>0</v>
      </c>
      <c r="G83" s="119">
        <v>5</v>
      </c>
      <c r="H83" s="185">
        <v>4</v>
      </c>
      <c r="I83" s="185">
        <v>5</v>
      </c>
      <c r="J83" s="126">
        <v>14</v>
      </c>
      <c r="K83" s="92">
        <f t="shared" si="4"/>
        <v>35.714285714285715</v>
      </c>
      <c r="L83" s="92">
        <f t="shared" si="3"/>
        <v>28.571428571428569</v>
      </c>
      <c r="M83" s="92">
        <f t="shared" si="3"/>
        <v>35.714285714285715</v>
      </c>
      <c r="N83" s="121">
        <f t="shared" si="5"/>
        <v>100</v>
      </c>
      <c r="O83" s="91">
        <v>20.7</v>
      </c>
      <c r="P83" s="92">
        <v>16</v>
      </c>
      <c r="Q83" s="92">
        <v>24.7</v>
      </c>
      <c r="R83" s="93">
        <f t="shared" si="6"/>
        <v>61.400000000000006</v>
      </c>
      <c r="S83" s="185">
        <v>2</v>
      </c>
      <c r="T83" s="839"/>
      <c r="U83" s="852"/>
      <c r="V83" s="82" t="s">
        <v>490</v>
      </c>
      <c r="W83" s="185" t="s">
        <v>20</v>
      </c>
      <c r="X83" s="185" t="s">
        <v>12</v>
      </c>
      <c r="Y83" s="83">
        <v>24.7</v>
      </c>
      <c r="Z83" s="185" t="s">
        <v>489</v>
      </c>
      <c r="AA83" s="185" t="s">
        <v>22</v>
      </c>
      <c r="AB83" s="185" t="s">
        <v>11</v>
      </c>
      <c r="AC83" s="185">
        <v>20.7</v>
      </c>
      <c r="AD83" s="82" t="s">
        <v>492</v>
      </c>
      <c r="AE83" s="185" t="s">
        <v>88</v>
      </c>
      <c r="AF83" s="185" t="s">
        <v>18</v>
      </c>
      <c r="AG83" s="83">
        <v>16</v>
      </c>
      <c r="AL83" s="82"/>
      <c r="AO83" s="83"/>
      <c r="AP83" s="82"/>
      <c r="AS83" s="83"/>
      <c r="AW83" s="83"/>
      <c r="BA83" s="84"/>
    </row>
    <row r="84" spans="1:53" s="185" customFormat="1">
      <c r="A84" s="185">
        <v>1997</v>
      </c>
      <c r="B84" s="852"/>
      <c r="C84" s="917" t="s">
        <v>663</v>
      </c>
      <c r="D84" s="917"/>
      <c r="E84" s="185">
        <f>365-E83</f>
        <v>365</v>
      </c>
      <c r="G84" s="119">
        <v>5</v>
      </c>
      <c r="H84" s="185">
        <v>4</v>
      </c>
      <c r="I84" s="185">
        <v>5</v>
      </c>
      <c r="J84" s="126">
        <v>14</v>
      </c>
      <c r="K84" s="92">
        <f t="shared" si="4"/>
        <v>35.714285714285715</v>
      </c>
      <c r="L84" s="92">
        <f t="shared" si="3"/>
        <v>28.571428571428569</v>
      </c>
      <c r="M84" s="92">
        <f t="shared" si="3"/>
        <v>35.714285714285715</v>
      </c>
      <c r="N84" s="121">
        <f t="shared" si="5"/>
        <v>100</v>
      </c>
      <c r="O84" s="91">
        <v>20.7</v>
      </c>
      <c r="P84" s="92">
        <v>16</v>
      </c>
      <c r="Q84" s="92">
        <v>24.7</v>
      </c>
      <c r="R84" s="93">
        <f t="shared" si="6"/>
        <v>61.400000000000006</v>
      </c>
      <c r="S84" s="185">
        <v>2</v>
      </c>
      <c r="T84" s="839"/>
      <c r="U84" s="852"/>
      <c r="V84" s="82" t="s">
        <v>490</v>
      </c>
      <c r="W84" s="185" t="s">
        <v>20</v>
      </c>
      <c r="X84" s="185" t="s">
        <v>12</v>
      </c>
      <c r="Y84" s="83">
        <v>24.7</v>
      </c>
      <c r="Z84" s="185" t="s">
        <v>489</v>
      </c>
      <c r="AA84" s="185" t="s">
        <v>22</v>
      </c>
      <c r="AB84" s="185" t="s">
        <v>11</v>
      </c>
      <c r="AC84" s="185">
        <v>20.7</v>
      </c>
      <c r="AD84" s="82" t="s">
        <v>492</v>
      </c>
      <c r="AE84" s="185" t="s">
        <v>88</v>
      </c>
      <c r="AF84" s="185" t="s">
        <v>18</v>
      </c>
      <c r="AG84" s="83">
        <v>16</v>
      </c>
      <c r="AL84" s="82"/>
      <c r="AO84" s="83"/>
      <c r="AP84" s="82"/>
      <c r="AS84" s="83"/>
      <c r="AW84" s="83"/>
      <c r="BA84" s="84"/>
    </row>
    <row r="85" spans="1:53" s="185" customFormat="1">
      <c r="A85" s="185">
        <v>1998</v>
      </c>
      <c r="B85" s="852"/>
      <c r="C85" s="917" t="s">
        <v>663</v>
      </c>
      <c r="D85" s="917"/>
      <c r="E85" s="185">
        <v>214</v>
      </c>
      <c r="G85" s="119">
        <v>5</v>
      </c>
      <c r="H85" s="185">
        <v>4</v>
      </c>
      <c r="I85" s="185">
        <v>5</v>
      </c>
      <c r="J85" s="126">
        <v>14</v>
      </c>
      <c r="K85" s="92">
        <f t="shared" si="4"/>
        <v>35.714285714285715</v>
      </c>
      <c r="L85" s="92">
        <f t="shared" si="3"/>
        <v>28.571428571428569</v>
      </c>
      <c r="M85" s="92">
        <f t="shared" si="3"/>
        <v>35.714285714285715</v>
      </c>
      <c r="N85" s="121">
        <f t="shared" si="5"/>
        <v>100</v>
      </c>
      <c r="O85" s="91">
        <v>20.7</v>
      </c>
      <c r="P85" s="92">
        <v>16</v>
      </c>
      <c r="Q85" s="92">
        <v>24.7</v>
      </c>
      <c r="R85" s="93">
        <f t="shared" si="6"/>
        <v>61.400000000000006</v>
      </c>
      <c r="S85" s="185">
        <v>2</v>
      </c>
      <c r="T85" s="839"/>
      <c r="U85" s="852"/>
      <c r="V85" s="82" t="s">
        <v>490</v>
      </c>
      <c r="W85" s="185" t="s">
        <v>20</v>
      </c>
      <c r="X85" s="185" t="s">
        <v>12</v>
      </c>
      <c r="Y85" s="83">
        <v>24.7</v>
      </c>
      <c r="Z85" s="185" t="s">
        <v>489</v>
      </c>
      <c r="AA85" s="185" t="s">
        <v>22</v>
      </c>
      <c r="AB85" s="185" t="s">
        <v>11</v>
      </c>
      <c r="AC85" s="185">
        <v>20.7</v>
      </c>
      <c r="AD85" s="82" t="s">
        <v>492</v>
      </c>
      <c r="AE85" s="185" t="s">
        <v>88</v>
      </c>
      <c r="AF85" s="185" t="s">
        <v>18</v>
      </c>
      <c r="AG85" s="83">
        <v>16</v>
      </c>
      <c r="AL85" s="82"/>
      <c r="AO85" s="83"/>
      <c r="AP85" s="82"/>
      <c r="AS85" s="83"/>
      <c r="AW85" s="83"/>
      <c r="BA85" s="84"/>
    </row>
    <row r="86" spans="1:53" s="292" customFormat="1">
      <c r="A86" s="292">
        <v>1998</v>
      </c>
      <c r="B86" s="836">
        <v>36010</v>
      </c>
      <c r="C86" s="916" t="s">
        <v>664</v>
      </c>
      <c r="D86" s="916"/>
      <c r="E86" s="292">
        <f>365-E85</f>
        <v>151</v>
      </c>
      <c r="F86" s="292">
        <v>1</v>
      </c>
      <c r="G86" s="366">
        <v>6</v>
      </c>
      <c r="H86" s="292">
        <v>3</v>
      </c>
      <c r="I86" s="292">
        <v>5</v>
      </c>
      <c r="J86" s="377">
        <v>14</v>
      </c>
      <c r="K86" s="336">
        <f t="shared" si="4"/>
        <v>42.857142857142854</v>
      </c>
      <c r="L86" s="336">
        <f t="shared" si="3"/>
        <v>21.428571428571427</v>
      </c>
      <c r="M86" s="336">
        <f t="shared" si="3"/>
        <v>35.714285714285715</v>
      </c>
      <c r="N86" s="368">
        <f t="shared" si="5"/>
        <v>100</v>
      </c>
      <c r="O86" s="335">
        <v>25.3</v>
      </c>
      <c r="P86" s="336">
        <v>9.3000000000000007</v>
      </c>
      <c r="Q86" s="336">
        <v>30</v>
      </c>
      <c r="R86" s="337">
        <f t="shared" si="6"/>
        <v>64.599999999999994</v>
      </c>
      <c r="S86" s="292">
        <v>3</v>
      </c>
      <c r="T86" s="838">
        <v>35921</v>
      </c>
      <c r="U86" s="836">
        <v>36010</v>
      </c>
      <c r="V86" s="299" t="s">
        <v>490</v>
      </c>
      <c r="W86" s="292" t="s">
        <v>20</v>
      </c>
      <c r="X86" s="292" t="s">
        <v>12</v>
      </c>
      <c r="Y86" s="300">
        <v>30</v>
      </c>
      <c r="Z86" s="292" t="s">
        <v>489</v>
      </c>
      <c r="AA86" s="292" t="s">
        <v>22</v>
      </c>
      <c r="AB86" s="292" t="s">
        <v>11</v>
      </c>
      <c r="AC86" s="292">
        <v>25.3</v>
      </c>
      <c r="AD86" s="299" t="s">
        <v>492</v>
      </c>
      <c r="AE86" s="292" t="s">
        <v>88</v>
      </c>
      <c r="AF86" s="292" t="s">
        <v>18</v>
      </c>
      <c r="AG86" s="300">
        <v>9.3000000000000007</v>
      </c>
      <c r="AL86" s="299"/>
      <c r="AO86" s="300"/>
      <c r="AP86" s="299"/>
      <c r="AS86" s="300"/>
      <c r="AW86" s="300"/>
      <c r="BA86" s="301"/>
    </row>
    <row r="87" spans="1:53" s="292" customFormat="1">
      <c r="A87" s="292">
        <v>1999</v>
      </c>
      <c r="B87" s="836"/>
      <c r="C87" s="916" t="s">
        <v>664</v>
      </c>
      <c r="D87" s="916"/>
      <c r="E87" s="292">
        <v>0</v>
      </c>
      <c r="G87" s="366">
        <v>6</v>
      </c>
      <c r="H87" s="292">
        <v>3</v>
      </c>
      <c r="I87" s="292">
        <v>6</v>
      </c>
      <c r="J87" s="377">
        <v>15</v>
      </c>
      <c r="K87" s="336">
        <f t="shared" si="4"/>
        <v>40</v>
      </c>
      <c r="L87" s="336">
        <f t="shared" si="3"/>
        <v>20</v>
      </c>
      <c r="M87" s="336">
        <f t="shared" si="3"/>
        <v>40</v>
      </c>
      <c r="N87" s="368">
        <f t="shared" si="5"/>
        <v>100</v>
      </c>
      <c r="O87" s="335">
        <v>25.3</v>
      </c>
      <c r="P87" s="336">
        <v>9.3000000000000007</v>
      </c>
      <c r="Q87" s="336">
        <v>30</v>
      </c>
      <c r="R87" s="337">
        <f t="shared" si="6"/>
        <v>64.599999999999994</v>
      </c>
      <c r="S87" s="292">
        <v>3</v>
      </c>
      <c r="T87" s="838"/>
      <c r="U87" s="836"/>
      <c r="V87" s="299" t="s">
        <v>490</v>
      </c>
      <c r="W87" s="292" t="s">
        <v>20</v>
      </c>
      <c r="X87" s="292" t="s">
        <v>12</v>
      </c>
      <c r="Y87" s="300">
        <v>30</v>
      </c>
      <c r="Z87" s="292" t="s">
        <v>489</v>
      </c>
      <c r="AA87" s="292" t="s">
        <v>22</v>
      </c>
      <c r="AB87" s="292" t="s">
        <v>11</v>
      </c>
      <c r="AC87" s="292">
        <v>25.3</v>
      </c>
      <c r="AD87" s="299" t="s">
        <v>492</v>
      </c>
      <c r="AE87" s="292" t="s">
        <v>88</v>
      </c>
      <c r="AF87" s="292" t="s">
        <v>18</v>
      </c>
      <c r="AG87" s="300">
        <v>9.3000000000000007</v>
      </c>
      <c r="AL87" s="299"/>
      <c r="AO87" s="300"/>
      <c r="AP87" s="299"/>
      <c r="AS87" s="300"/>
      <c r="AW87" s="300"/>
      <c r="BA87" s="301"/>
    </row>
    <row r="88" spans="1:53" s="292" customFormat="1">
      <c r="A88" s="292">
        <v>1999</v>
      </c>
      <c r="B88" s="836"/>
      <c r="C88" s="916" t="s">
        <v>664</v>
      </c>
      <c r="D88" s="916"/>
      <c r="E88" s="292">
        <f>365-E87</f>
        <v>365</v>
      </c>
      <c r="G88" s="366">
        <v>6</v>
      </c>
      <c r="H88" s="292">
        <v>3</v>
      </c>
      <c r="I88" s="292">
        <v>6</v>
      </c>
      <c r="J88" s="377">
        <v>15</v>
      </c>
      <c r="K88" s="336">
        <f t="shared" si="4"/>
        <v>40</v>
      </c>
      <c r="L88" s="336">
        <f t="shared" si="3"/>
        <v>20</v>
      </c>
      <c r="M88" s="336">
        <f t="shared" si="3"/>
        <v>40</v>
      </c>
      <c r="N88" s="368">
        <f t="shared" si="5"/>
        <v>100</v>
      </c>
      <c r="O88" s="335">
        <v>25.3</v>
      </c>
      <c r="P88" s="336">
        <v>9.3000000000000007</v>
      </c>
      <c r="Q88" s="336">
        <v>30</v>
      </c>
      <c r="R88" s="337">
        <f t="shared" si="6"/>
        <v>64.599999999999994</v>
      </c>
      <c r="S88" s="292">
        <v>3</v>
      </c>
      <c r="T88" s="838"/>
      <c r="U88" s="836"/>
      <c r="V88" s="299" t="s">
        <v>490</v>
      </c>
      <c r="W88" s="292" t="s">
        <v>20</v>
      </c>
      <c r="X88" s="292" t="s">
        <v>12</v>
      </c>
      <c r="Y88" s="300">
        <v>30</v>
      </c>
      <c r="Z88" s="292" t="s">
        <v>489</v>
      </c>
      <c r="AA88" s="292" t="s">
        <v>22</v>
      </c>
      <c r="AB88" s="292" t="s">
        <v>11</v>
      </c>
      <c r="AC88" s="292">
        <v>25.3</v>
      </c>
      <c r="AD88" s="299" t="s">
        <v>492</v>
      </c>
      <c r="AE88" s="292" t="s">
        <v>88</v>
      </c>
      <c r="AF88" s="292" t="s">
        <v>18</v>
      </c>
      <c r="AG88" s="300">
        <v>9.3000000000000007</v>
      </c>
      <c r="AL88" s="299"/>
      <c r="AO88" s="300"/>
      <c r="AP88" s="299"/>
      <c r="AS88" s="300"/>
      <c r="AW88" s="300"/>
      <c r="BA88" s="301"/>
    </row>
    <row r="89" spans="1:53" s="292" customFormat="1">
      <c r="A89" s="292">
        <v>2000</v>
      </c>
      <c r="B89" s="836"/>
      <c r="C89" s="916" t="s">
        <v>664</v>
      </c>
      <c r="D89" s="916"/>
      <c r="E89" s="292">
        <v>0</v>
      </c>
      <c r="G89" s="366">
        <v>6</v>
      </c>
      <c r="H89" s="292">
        <v>3</v>
      </c>
      <c r="I89" s="292">
        <v>6</v>
      </c>
      <c r="J89" s="377">
        <v>15</v>
      </c>
      <c r="K89" s="336">
        <f t="shared" si="4"/>
        <v>40</v>
      </c>
      <c r="L89" s="336">
        <f t="shared" si="3"/>
        <v>20</v>
      </c>
      <c r="M89" s="336">
        <f t="shared" si="3"/>
        <v>40</v>
      </c>
      <c r="N89" s="368">
        <f t="shared" si="5"/>
        <v>100</v>
      </c>
      <c r="O89" s="335">
        <v>25.3</v>
      </c>
      <c r="P89" s="336">
        <v>9.3000000000000007</v>
      </c>
      <c r="Q89" s="336">
        <v>30</v>
      </c>
      <c r="R89" s="337">
        <f t="shared" si="6"/>
        <v>64.599999999999994</v>
      </c>
      <c r="S89" s="292">
        <v>3</v>
      </c>
      <c r="T89" s="838"/>
      <c r="U89" s="836"/>
      <c r="V89" s="299" t="s">
        <v>490</v>
      </c>
      <c r="W89" s="292" t="s">
        <v>20</v>
      </c>
      <c r="X89" s="292" t="s">
        <v>12</v>
      </c>
      <c r="Y89" s="300">
        <v>30</v>
      </c>
      <c r="Z89" s="292" t="s">
        <v>489</v>
      </c>
      <c r="AA89" s="292" t="s">
        <v>22</v>
      </c>
      <c r="AB89" s="292" t="s">
        <v>11</v>
      </c>
      <c r="AC89" s="292">
        <v>25.3</v>
      </c>
      <c r="AD89" s="299" t="s">
        <v>492</v>
      </c>
      <c r="AE89" s="292" t="s">
        <v>88</v>
      </c>
      <c r="AF89" s="292" t="s">
        <v>18</v>
      </c>
      <c r="AG89" s="300">
        <v>9.3000000000000007</v>
      </c>
      <c r="AL89" s="299"/>
      <c r="AO89" s="300"/>
      <c r="AP89" s="299"/>
      <c r="AS89" s="300"/>
      <c r="AW89" s="300"/>
      <c r="BA89" s="301"/>
    </row>
    <row r="90" spans="1:53" s="292" customFormat="1">
      <c r="A90" s="292">
        <v>2000</v>
      </c>
      <c r="B90" s="836"/>
      <c r="C90" s="916" t="s">
        <v>664</v>
      </c>
      <c r="D90" s="916"/>
      <c r="E90" s="292">
        <v>366</v>
      </c>
      <c r="G90" s="366">
        <v>6</v>
      </c>
      <c r="H90" s="292">
        <v>3</v>
      </c>
      <c r="I90" s="292">
        <v>6</v>
      </c>
      <c r="J90" s="377">
        <v>15</v>
      </c>
      <c r="K90" s="336">
        <f t="shared" si="4"/>
        <v>40</v>
      </c>
      <c r="L90" s="336">
        <f t="shared" si="3"/>
        <v>20</v>
      </c>
      <c r="M90" s="336">
        <f t="shared" si="3"/>
        <v>40</v>
      </c>
      <c r="N90" s="368">
        <f t="shared" si="5"/>
        <v>100</v>
      </c>
      <c r="O90" s="335">
        <v>25.3</v>
      </c>
      <c r="P90" s="336">
        <v>9.3000000000000007</v>
      </c>
      <c r="Q90" s="336">
        <v>30</v>
      </c>
      <c r="R90" s="337">
        <f t="shared" si="6"/>
        <v>64.599999999999994</v>
      </c>
      <c r="S90" s="292">
        <v>3</v>
      </c>
      <c r="T90" s="838"/>
      <c r="U90" s="836"/>
      <c r="V90" s="299" t="s">
        <v>490</v>
      </c>
      <c r="W90" s="292" t="s">
        <v>20</v>
      </c>
      <c r="X90" s="292" t="s">
        <v>12</v>
      </c>
      <c r="Y90" s="300">
        <v>30</v>
      </c>
      <c r="Z90" s="292" t="s">
        <v>489</v>
      </c>
      <c r="AA90" s="292" t="s">
        <v>22</v>
      </c>
      <c r="AB90" s="292" t="s">
        <v>11</v>
      </c>
      <c r="AC90" s="292">
        <v>25.3</v>
      </c>
      <c r="AD90" s="299" t="s">
        <v>492</v>
      </c>
      <c r="AE90" s="292" t="s">
        <v>88</v>
      </c>
      <c r="AF90" s="292" t="s">
        <v>18</v>
      </c>
      <c r="AG90" s="300">
        <v>9.3000000000000007</v>
      </c>
      <c r="AL90" s="299"/>
      <c r="AO90" s="300"/>
      <c r="AP90" s="299"/>
      <c r="AS90" s="300"/>
      <c r="AW90" s="300"/>
      <c r="BA90" s="301"/>
    </row>
    <row r="91" spans="1:53" s="292" customFormat="1">
      <c r="A91" s="292">
        <v>2001</v>
      </c>
      <c r="B91" s="836"/>
      <c r="C91" s="916" t="s">
        <v>664</v>
      </c>
      <c r="D91" s="916"/>
      <c r="E91" s="292">
        <v>0</v>
      </c>
      <c r="G91" s="366">
        <v>6</v>
      </c>
      <c r="H91" s="292">
        <v>3</v>
      </c>
      <c r="I91" s="292">
        <v>6</v>
      </c>
      <c r="J91" s="377">
        <v>15</v>
      </c>
      <c r="K91" s="336">
        <f t="shared" si="4"/>
        <v>40</v>
      </c>
      <c r="L91" s="336">
        <f t="shared" si="3"/>
        <v>20</v>
      </c>
      <c r="M91" s="336">
        <f t="shared" si="3"/>
        <v>40</v>
      </c>
      <c r="N91" s="368">
        <f t="shared" si="5"/>
        <v>100</v>
      </c>
      <c r="O91" s="335">
        <v>25.3</v>
      </c>
      <c r="P91" s="336">
        <v>9.3000000000000007</v>
      </c>
      <c r="Q91" s="336">
        <v>30</v>
      </c>
      <c r="R91" s="337">
        <f t="shared" si="6"/>
        <v>64.599999999999994</v>
      </c>
      <c r="S91" s="292">
        <v>3</v>
      </c>
      <c r="T91" s="838"/>
      <c r="U91" s="836"/>
      <c r="V91" s="299" t="s">
        <v>490</v>
      </c>
      <c r="W91" s="292" t="s">
        <v>20</v>
      </c>
      <c r="X91" s="292" t="s">
        <v>12</v>
      </c>
      <c r="Y91" s="300">
        <v>30</v>
      </c>
      <c r="Z91" s="292" t="s">
        <v>489</v>
      </c>
      <c r="AA91" s="292" t="s">
        <v>22</v>
      </c>
      <c r="AB91" s="292" t="s">
        <v>11</v>
      </c>
      <c r="AC91" s="292">
        <v>25.3</v>
      </c>
      <c r="AD91" s="299" t="s">
        <v>492</v>
      </c>
      <c r="AE91" s="292" t="s">
        <v>88</v>
      </c>
      <c r="AF91" s="292" t="s">
        <v>18</v>
      </c>
      <c r="AG91" s="300">
        <v>9.3000000000000007</v>
      </c>
      <c r="AL91" s="299"/>
      <c r="AO91" s="300"/>
      <c r="AP91" s="299"/>
      <c r="AS91" s="300"/>
      <c r="AW91" s="300"/>
      <c r="BA91" s="301"/>
    </row>
    <row r="92" spans="1:53" s="292" customFormat="1">
      <c r="A92" s="292">
        <v>2001</v>
      </c>
      <c r="B92" s="836"/>
      <c r="C92" s="916" t="s">
        <v>664</v>
      </c>
      <c r="D92" s="916"/>
      <c r="E92" s="292">
        <f>365-E91</f>
        <v>365</v>
      </c>
      <c r="G92" s="366">
        <v>6</v>
      </c>
      <c r="H92" s="292">
        <v>3</v>
      </c>
      <c r="I92" s="292">
        <v>6</v>
      </c>
      <c r="J92" s="377">
        <v>15</v>
      </c>
      <c r="K92" s="336">
        <f t="shared" si="4"/>
        <v>40</v>
      </c>
      <c r="L92" s="336">
        <f t="shared" si="3"/>
        <v>20</v>
      </c>
      <c r="M92" s="336">
        <f t="shared" si="3"/>
        <v>40</v>
      </c>
      <c r="N92" s="368">
        <f t="shared" si="5"/>
        <v>100</v>
      </c>
      <c r="O92" s="335">
        <v>25.3</v>
      </c>
      <c r="P92" s="336">
        <v>9.3000000000000007</v>
      </c>
      <c r="Q92" s="336">
        <v>30</v>
      </c>
      <c r="R92" s="337">
        <f t="shared" si="6"/>
        <v>64.599999999999994</v>
      </c>
      <c r="S92" s="292">
        <v>3</v>
      </c>
      <c r="T92" s="838"/>
      <c r="U92" s="836"/>
      <c r="V92" s="299" t="s">
        <v>490</v>
      </c>
      <c r="W92" s="292" t="s">
        <v>20</v>
      </c>
      <c r="X92" s="292" t="s">
        <v>12</v>
      </c>
      <c r="Y92" s="300">
        <v>30</v>
      </c>
      <c r="Z92" s="292" t="s">
        <v>489</v>
      </c>
      <c r="AA92" s="292" t="s">
        <v>22</v>
      </c>
      <c r="AB92" s="292" t="s">
        <v>11</v>
      </c>
      <c r="AC92" s="292">
        <v>25.3</v>
      </c>
      <c r="AD92" s="299" t="s">
        <v>492</v>
      </c>
      <c r="AE92" s="292" t="s">
        <v>88</v>
      </c>
      <c r="AF92" s="292" t="s">
        <v>18</v>
      </c>
      <c r="AG92" s="300">
        <v>9.3000000000000007</v>
      </c>
      <c r="AL92" s="299"/>
      <c r="AO92" s="300"/>
      <c r="AP92" s="299"/>
      <c r="AS92" s="300"/>
      <c r="AW92" s="300"/>
      <c r="BA92" s="301"/>
    </row>
    <row r="93" spans="1:53" s="292" customFormat="1">
      <c r="A93" s="292">
        <v>2002</v>
      </c>
      <c r="B93" s="836"/>
      <c r="C93" s="916" t="s">
        <v>664</v>
      </c>
      <c r="D93" s="916"/>
      <c r="E93" s="292">
        <v>105</v>
      </c>
      <c r="G93" s="366">
        <v>6</v>
      </c>
      <c r="H93" s="292">
        <v>3</v>
      </c>
      <c r="I93" s="292">
        <v>6</v>
      </c>
      <c r="J93" s="377">
        <v>15</v>
      </c>
      <c r="K93" s="336">
        <f t="shared" si="4"/>
        <v>40</v>
      </c>
      <c r="L93" s="336">
        <f t="shared" si="3"/>
        <v>20</v>
      </c>
      <c r="M93" s="336">
        <f t="shared" si="3"/>
        <v>40</v>
      </c>
      <c r="N93" s="368">
        <f t="shared" si="5"/>
        <v>100</v>
      </c>
      <c r="O93" s="335">
        <v>25.3</v>
      </c>
      <c r="P93" s="336">
        <v>9.3000000000000007</v>
      </c>
      <c r="Q93" s="336">
        <v>30</v>
      </c>
      <c r="R93" s="337">
        <f t="shared" si="6"/>
        <v>64.599999999999994</v>
      </c>
      <c r="S93" s="292">
        <v>3</v>
      </c>
      <c r="T93" s="838"/>
      <c r="U93" s="836"/>
      <c r="V93" s="299" t="s">
        <v>490</v>
      </c>
      <c r="W93" s="292" t="s">
        <v>20</v>
      </c>
      <c r="X93" s="292" t="s">
        <v>12</v>
      </c>
      <c r="Y93" s="300">
        <v>30</v>
      </c>
      <c r="Z93" s="292" t="s">
        <v>489</v>
      </c>
      <c r="AA93" s="292" t="s">
        <v>22</v>
      </c>
      <c r="AB93" s="292" t="s">
        <v>11</v>
      </c>
      <c r="AC93" s="292">
        <v>25.3</v>
      </c>
      <c r="AD93" s="299" t="s">
        <v>492</v>
      </c>
      <c r="AE93" s="292" t="s">
        <v>88</v>
      </c>
      <c r="AF93" s="292" t="s">
        <v>18</v>
      </c>
      <c r="AG93" s="300">
        <v>9.3000000000000007</v>
      </c>
      <c r="AL93" s="299"/>
      <c r="AO93" s="300"/>
      <c r="AP93" s="299"/>
      <c r="AS93" s="300"/>
      <c r="AW93" s="300"/>
      <c r="BA93" s="301"/>
    </row>
    <row r="94" spans="1:53" s="185" customFormat="1">
      <c r="A94" s="185">
        <v>2002</v>
      </c>
      <c r="B94" s="852">
        <v>37362</v>
      </c>
      <c r="C94" s="917" t="s">
        <v>665</v>
      </c>
      <c r="D94" s="917"/>
      <c r="E94" s="185">
        <v>97</v>
      </c>
      <c r="F94" s="185">
        <v>2</v>
      </c>
      <c r="G94" s="119">
        <v>6</v>
      </c>
      <c r="H94" s="185">
        <v>3</v>
      </c>
      <c r="I94" s="185">
        <v>6</v>
      </c>
      <c r="J94" s="126">
        <v>15</v>
      </c>
      <c r="K94" s="92">
        <f t="shared" si="4"/>
        <v>40</v>
      </c>
      <c r="L94" s="92">
        <f t="shared" si="3"/>
        <v>20</v>
      </c>
      <c r="M94" s="92">
        <f t="shared" si="3"/>
        <v>40</v>
      </c>
      <c r="N94" s="121">
        <f t="shared" si="5"/>
        <v>100</v>
      </c>
      <c r="O94" s="91">
        <v>25.3</v>
      </c>
      <c r="P94" s="92">
        <v>9.3000000000000007</v>
      </c>
      <c r="Q94" s="92">
        <v>30</v>
      </c>
      <c r="R94" s="93">
        <f t="shared" si="6"/>
        <v>64.599999999999994</v>
      </c>
      <c r="S94" s="185">
        <v>6</v>
      </c>
      <c r="T94" s="839"/>
      <c r="U94" s="852">
        <v>37362</v>
      </c>
      <c r="V94" s="82" t="s">
        <v>490</v>
      </c>
      <c r="W94" s="185" t="s">
        <v>20</v>
      </c>
      <c r="X94" s="185" t="s">
        <v>12</v>
      </c>
      <c r="Y94" s="83">
        <v>30</v>
      </c>
      <c r="Z94" s="185" t="s">
        <v>489</v>
      </c>
      <c r="AA94" s="185" t="s">
        <v>22</v>
      </c>
      <c r="AB94" s="185" t="s">
        <v>11</v>
      </c>
      <c r="AC94" s="185">
        <v>25.3</v>
      </c>
      <c r="AD94" s="82" t="s">
        <v>492</v>
      </c>
      <c r="AE94" s="185" t="s">
        <v>88</v>
      </c>
      <c r="AF94" s="185" t="s">
        <v>18</v>
      </c>
      <c r="AG94" s="83">
        <v>9.3000000000000007</v>
      </c>
      <c r="AL94" s="82"/>
      <c r="AO94" s="83"/>
      <c r="AP94" s="82"/>
      <c r="AS94" s="83"/>
      <c r="AW94" s="83"/>
      <c r="BA94" s="84"/>
    </row>
    <row r="95" spans="1:53" s="292" customFormat="1">
      <c r="A95" s="292">
        <v>2002</v>
      </c>
      <c r="B95" s="836">
        <v>37459</v>
      </c>
      <c r="C95" s="916" t="s">
        <v>666</v>
      </c>
      <c r="D95" s="916"/>
      <c r="E95" s="292">
        <v>86</v>
      </c>
      <c r="F95" s="292">
        <v>1</v>
      </c>
      <c r="G95" s="366">
        <v>5</v>
      </c>
      <c r="H95" s="292">
        <v>6</v>
      </c>
      <c r="J95" s="377">
        <v>11</v>
      </c>
      <c r="K95" s="336">
        <f t="shared" si="4"/>
        <v>45.454545454545453</v>
      </c>
      <c r="L95" s="336">
        <f t="shared" si="3"/>
        <v>54.54545454545454</v>
      </c>
      <c r="M95" s="336">
        <f t="shared" si="3"/>
        <v>0</v>
      </c>
      <c r="N95" s="368">
        <f t="shared" si="5"/>
        <v>100</v>
      </c>
      <c r="O95" s="335">
        <v>33.299999999999997</v>
      </c>
      <c r="P95" s="336">
        <v>28.7</v>
      </c>
      <c r="Q95" s="336"/>
      <c r="R95" s="337">
        <f t="shared" si="6"/>
        <v>62</v>
      </c>
      <c r="S95" s="292">
        <v>2</v>
      </c>
      <c r="T95" s="838">
        <v>37391</v>
      </c>
      <c r="U95" s="836">
        <v>37459</v>
      </c>
      <c r="V95" s="299" t="s">
        <v>493</v>
      </c>
      <c r="W95" s="292" t="s">
        <v>328</v>
      </c>
      <c r="X95" s="292" t="s">
        <v>18</v>
      </c>
      <c r="Y95" s="300">
        <v>28.7</v>
      </c>
      <c r="Z95" s="292" t="s">
        <v>489</v>
      </c>
      <c r="AA95" s="292" t="s">
        <v>22</v>
      </c>
      <c r="AB95" s="292" t="s">
        <v>11</v>
      </c>
      <c r="AC95" s="292">
        <v>16</v>
      </c>
      <c r="AD95" s="299" t="s">
        <v>494</v>
      </c>
      <c r="AE95" s="292" t="s">
        <v>297</v>
      </c>
      <c r="AF95" s="292" t="s">
        <v>11</v>
      </c>
      <c r="AG95" s="300">
        <v>17.3</v>
      </c>
      <c r="AL95" s="299"/>
      <c r="AO95" s="300"/>
      <c r="AP95" s="299"/>
      <c r="AS95" s="300"/>
      <c r="AW95" s="300"/>
      <c r="BA95" s="301"/>
    </row>
    <row r="96" spans="1:53" s="185" customFormat="1">
      <c r="A96" s="185">
        <v>2002</v>
      </c>
      <c r="B96" s="852">
        <v>37545</v>
      </c>
      <c r="C96" s="917" t="s">
        <v>667</v>
      </c>
      <c r="D96" s="917"/>
      <c r="E96" s="185">
        <v>57</v>
      </c>
      <c r="F96" s="185">
        <v>2</v>
      </c>
      <c r="G96" s="119">
        <v>3</v>
      </c>
      <c r="H96" s="185">
        <v>6</v>
      </c>
      <c r="J96" s="126">
        <v>9</v>
      </c>
      <c r="K96" s="92">
        <f t="shared" si="4"/>
        <v>33.333333333333329</v>
      </c>
      <c r="L96" s="92">
        <f t="shared" si="3"/>
        <v>66.666666666666657</v>
      </c>
      <c r="M96" s="92">
        <f t="shared" si="3"/>
        <v>0</v>
      </c>
      <c r="N96" s="121">
        <f t="shared" si="5"/>
        <v>99.999999999999986</v>
      </c>
      <c r="O96" s="91">
        <v>16</v>
      </c>
      <c r="P96" s="92">
        <v>28.7</v>
      </c>
      <c r="Q96" s="92"/>
      <c r="R96" s="93">
        <f t="shared" si="6"/>
        <v>44.7</v>
      </c>
      <c r="S96" s="185">
        <v>6</v>
      </c>
      <c r="T96" s="839"/>
      <c r="U96" s="852">
        <v>37545</v>
      </c>
      <c r="V96" s="82" t="s">
        <v>493</v>
      </c>
      <c r="W96" s="185" t="s">
        <v>328</v>
      </c>
      <c r="X96" s="185" t="s">
        <v>18</v>
      </c>
      <c r="Y96" s="83">
        <v>28.7</v>
      </c>
      <c r="Z96" s="185" t="s">
        <v>489</v>
      </c>
      <c r="AA96" s="185" t="s">
        <v>22</v>
      </c>
      <c r="AB96" s="185" t="s">
        <v>11</v>
      </c>
      <c r="AC96" s="185">
        <v>16</v>
      </c>
      <c r="AD96" s="82"/>
      <c r="AG96" s="83"/>
      <c r="AL96" s="82"/>
      <c r="AO96" s="83"/>
      <c r="AP96" s="82"/>
      <c r="AS96" s="83"/>
      <c r="AW96" s="83"/>
      <c r="BA96" s="84"/>
    </row>
    <row r="97" spans="1:53" s="185" customFormat="1">
      <c r="A97" s="185">
        <v>2002</v>
      </c>
      <c r="B97" s="860">
        <v>37602</v>
      </c>
      <c r="C97" s="917" t="s">
        <v>667</v>
      </c>
      <c r="D97" s="917"/>
      <c r="E97" s="185">
        <f>365-E93-E94-E95-E96</f>
        <v>20</v>
      </c>
      <c r="F97" s="139">
        <v>0</v>
      </c>
      <c r="G97" s="119">
        <v>2</v>
      </c>
      <c r="H97" s="185">
        <v>6</v>
      </c>
      <c r="J97" s="126">
        <v>8</v>
      </c>
      <c r="K97" s="92">
        <f t="shared" si="4"/>
        <v>25</v>
      </c>
      <c r="L97" s="92">
        <f t="shared" si="3"/>
        <v>75</v>
      </c>
      <c r="M97" s="92">
        <f t="shared" si="3"/>
        <v>0</v>
      </c>
      <c r="N97" s="121">
        <f t="shared" si="5"/>
        <v>100</v>
      </c>
      <c r="O97" s="91">
        <v>16</v>
      </c>
      <c r="P97" s="92">
        <v>28.7</v>
      </c>
      <c r="Q97" s="92"/>
      <c r="R97" s="93">
        <f>O97+P97+Q97</f>
        <v>44.7</v>
      </c>
      <c r="S97" s="185">
        <v>6</v>
      </c>
      <c r="T97" s="839"/>
      <c r="U97" s="852"/>
      <c r="V97" s="82" t="s">
        <v>493</v>
      </c>
      <c r="W97" s="185" t="s">
        <v>328</v>
      </c>
      <c r="X97" s="185" t="s">
        <v>18</v>
      </c>
      <c r="Y97" s="83">
        <v>28.7</v>
      </c>
      <c r="Z97" s="185" t="s">
        <v>489</v>
      </c>
      <c r="AA97" s="185" t="s">
        <v>22</v>
      </c>
      <c r="AB97" s="185" t="s">
        <v>11</v>
      </c>
      <c r="AC97" s="185">
        <v>16</v>
      </c>
      <c r="AD97" s="82"/>
      <c r="AG97" s="83"/>
      <c r="AL97" s="82"/>
      <c r="AO97" s="83"/>
      <c r="AP97" s="82"/>
      <c r="AS97" s="83"/>
      <c r="AW97" s="83"/>
      <c r="BA97" s="84"/>
    </row>
    <row r="98" spans="1:53" s="185" customFormat="1">
      <c r="A98" s="185">
        <v>2003</v>
      </c>
      <c r="B98" s="852"/>
      <c r="C98" s="917" t="s">
        <v>667</v>
      </c>
      <c r="D98" s="917"/>
      <c r="E98" s="185">
        <v>146</v>
      </c>
      <c r="G98" s="119">
        <v>2</v>
      </c>
      <c r="H98" s="185">
        <v>6</v>
      </c>
      <c r="J98" s="126">
        <v>8</v>
      </c>
      <c r="K98" s="92">
        <f t="shared" si="4"/>
        <v>25</v>
      </c>
      <c r="L98" s="92">
        <f t="shared" si="3"/>
        <v>75</v>
      </c>
      <c r="M98" s="92">
        <f t="shared" si="3"/>
        <v>0</v>
      </c>
      <c r="N98" s="121">
        <f t="shared" si="5"/>
        <v>100</v>
      </c>
      <c r="O98" s="91">
        <v>16</v>
      </c>
      <c r="P98" s="92">
        <v>28.7</v>
      </c>
      <c r="Q98" s="92"/>
      <c r="R98" s="93">
        <f t="shared" si="6"/>
        <v>44.7</v>
      </c>
      <c r="S98" s="185">
        <v>6</v>
      </c>
      <c r="T98" s="839"/>
      <c r="U98" s="852"/>
      <c r="V98" s="82" t="s">
        <v>493</v>
      </c>
      <c r="W98" s="185" t="s">
        <v>328</v>
      </c>
      <c r="X98" s="185" t="s">
        <v>18</v>
      </c>
      <c r="Y98" s="83">
        <v>28.7</v>
      </c>
      <c r="Z98" s="185" t="s">
        <v>489</v>
      </c>
      <c r="AA98" s="185" t="s">
        <v>22</v>
      </c>
      <c r="AB98" s="185" t="s">
        <v>11</v>
      </c>
      <c r="AC98" s="185">
        <v>16</v>
      </c>
      <c r="AD98" s="82"/>
      <c r="AG98" s="83"/>
      <c r="AL98" s="82"/>
      <c r="AO98" s="83"/>
      <c r="AP98" s="82"/>
      <c r="AS98" s="83"/>
      <c r="AW98" s="83"/>
      <c r="BA98" s="84"/>
    </row>
    <row r="99" spans="1:53" s="292" customFormat="1">
      <c r="A99" s="292">
        <v>2003</v>
      </c>
      <c r="B99" s="836">
        <v>37768</v>
      </c>
      <c r="C99" s="916" t="s">
        <v>668</v>
      </c>
      <c r="D99" s="916"/>
      <c r="E99" s="292">
        <f>365-E98</f>
        <v>219</v>
      </c>
      <c r="F99" s="292">
        <v>1</v>
      </c>
      <c r="G99" s="366">
        <v>6</v>
      </c>
      <c r="H99" s="292">
        <v>10</v>
      </c>
      <c r="J99" s="377">
        <v>16</v>
      </c>
      <c r="K99" s="336">
        <f t="shared" si="4"/>
        <v>37.5</v>
      </c>
      <c r="L99" s="336">
        <f t="shared" si="3"/>
        <v>62.5</v>
      </c>
      <c r="M99" s="336">
        <f t="shared" si="3"/>
        <v>0</v>
      </c>
      <c r="N99" s="368">
        <f t="shared" si="5"/>
        <v>100</v>
      </c>
      <c r="O99" s="335">
        <v>18.7</v>
      </c>
      <c r="P99" s="336">
        <v>33.299999999999997</v>
      </c>
      <c r="Q99" s="336"/>
      <c r="R99" s="337">
        <f t="shared" si="6"/>
        <v>52</v>
      </c>
      <c r="S99" s="292">
        <v>2</v>
      </c>
      <c r="T99" s="838">
        <v>37643</v>
      </c>
      <c r="U99" s="836">
        <v>37768</v>
      </c>
      <c r="V99" s="299" t="s">
        <v>493</v>
      </c>
      <c r="W99" s="292" t="s">
        <v>328</v>
      </c>
      <c r="X99" s="292" t="s">
        <v>18</v>
      </c>
      <c r="Y99" s="300">
        <v>29.3</v>
      </c>
      <c r="Z99" s="292" t="s">
        <v>489</v>
      </c>
      <c r="AA99" s="292" t="s">
        <v>22</v>
      </c>
      <c r="AB99" s="292" t="s">
        <v>11</v>
      </c>
      <c r="AC99" s="292">
        <v>18.7</v>
      </c>
      <c r="AD99" s="299" t="s">
        <v>492</v>
      </c>
      <c r="AE99" s="292" t="s">
        <v>88</v>
      </c>
      <c r="AF99" s="292" t="s">
        <v>18</v>
      </c>
      <c r="AG99" s="300">
        <v>4</v>
      </c>
      <c r="AL99" s="299"/>
      <c r="AO99" s="300"/>
      <c r="AP99" s="299"/>
      <c r="AS99" s="300"/>
      <c r="AW99" s="300"/>
      <c r="BA99" s="301"/>
    </row>
    <row r="100" spans="1:53" s="292" customFormat="1">
      <c r="A100" s="292">
        <v>2004</v>
      </c>
      <c r="B100" s="836"/>
      <c r="C100" s="916" t="s">
        <v>668</v>
      </c>
      <c r="D100" s="916"/>
      <c r="E100" s="292">
        <v>0</v>
      </c>
      <c r="G100" s="366">
        <v>6</v>
      </c>
      <c r="H100" s="292">
        <v>10</v>
      </c>
      <c r="J100" s="377">
        <v>16</v>
      </c>
      <c r="K100" s="336">
        <f t="shared" si="4"/>
        <v>37.5</v>
      </c>
      <c r="L100" s="336">
        <f t="shared" si="3"/>
        <v>62.5</v>
      </c>
      <c r="M100" s="336">
        <f t="shared" si="3"/>
        <v>0</v>
      </c>
      <c r="N100" s="368">
        <f t="shared" si="5"/>
        <v>100</v>
      </c>
      <c r="O100" s="335">
        <v>18.7</v>
      </c>
      <c r="P100" s="336">
        <v>33.299999999999997</v>
      </c>
      <c r="Q100" s="336"/>
      <c r="R100" s="337">
        <f t="shared" si="6"/>
        <v>52</v>
      </c>
      <c r="S100" s="292">
        <v>2</v>
      </c>
      <c r="T100" s="838"/>
      <c r="U100" s="836"/>
      <c r="V100" s="299" t="s">
        <v>493</v>
      </c>
      <c r="W100" s="292" t="s">
        <v>328</v>
      </c>
      <c r="X100" s="292" t="s">
        <v>18</v>
      </c>
      <c r="Y100" s="300">
        <v>29.3</v>
      </c>
      <c r="Z100" s="292" t="s">
        <v>489</v>
      </c>
      <c r="AA100" s="292" t="s">
        <v>22</v>
      </c>
      <c r="AB100" s="292" t="s">
        <v>11</v>
      </c>
      <c r="AC100" s="292">
        <v>18.7</v>
      </c>
      <c r="AD100" s="299" t="s">
        <v>492</v>
      </c>
      <c r="AE100" s="292" t="s">
        <v>88</v>
      </c>
      <c r="AF100" s="292" t="s">
        <v>18</v>
      </c>
      <c r="AG100" s="300">
        <v>4</v>
      </c>
      <c r="AL100" s="299"/>
      <c r="AO100" s="300"/>
      <c r="AP100" s="299"/>
      <c r="AS100" s="300"/>
      <c r="AW100" s="300"/>
      <c r="BA100" s="301"/>
    </row>
    <row r="101" spans="1:53" s="292" customFormat="1">
      <c r="A101" s="292">
        <v>2004</v>
      </c>
      <c r="B101" s="836"/>
      <c r="C101" s="916" t="s">
        <v>668</v>
      </c>
      <c r="D101" s="916"/>
      <c r="E101" s="292">
        <v>366</v>
      </c>
      <c r="G101" s="366">
        <v>6</v>
      </c>
      <c r="H101" s="292">
        <v>10</v>
      </c>
      <c r="J101" s="377">
        <v>16</v>
      </c>
      <c r="K101" s="336">
        <f t="shared" si="4"/>
        <v>37.5</v>
      </c>
      <c r="L101" s="336">
        <f t="shared" si="3"/>
        <v>62.5</v>
      </c>
      <c r="M101" s="336">
        <f t="shared" si="3"/>
        <v>0</v>
      </c>
      <c r="N101" s="368">
        <f t="shared" si="5"/>
        <v>100</v>
      </c>
      <c r="O101" s="335">
        <v>18.7</v>
      </c>
      <c r="P101" s="336">
        <v>33.299999999999997</v>
      </c>
      <c r="Q101" s="336"/>
      <c r="R101" s="337">
        <f t="shared" si="6"/>
        <v>52</v>
      </c>
      <c r="S101" s="292">
        <v>2</v>
      </c>
      <c r="T101" s="838"/>
      <c r="U101" s="836"/>
      <c r="V101" s="299" t="s">
        <v>493</v>
      </c>
      <c r="W101" s="292" t="s">
        <v>328</v>
      </c>
      <c r="X101" s="292" t="s">
        <v>18</v>
      </c>
      <c r="Y101" s="300">
        <v>29.3</v>
      </c>
      <c r="Z101" s="292" t="s">
        <v>489</v>
      </c>
      <c r="AA101" s="292" t="s">
        <v>22</v>
      </c>
      <c r="AB101" s="292" t="s">
        <v>11</v>
      </c>
      <c r="AC101" s="292">
        <v>18.7</v>
      </c>
      <c r="AD101" s="299" t="s">
        <v>492</v>
      </c>
      <c r="AE101" s="292" t="s">
        <v>88</v>
      </c>
      <c r="AF101" s="292" t="s">
        <v>18</v>
      </c>
      <c r="AG101" s="300">
        <v>4</v>
      </c>
      <c r="AL101" s="299"/>
      <c r="AO101" s="300"/>
      <c r="AP101" s="299"/>
      <c r="AS101" s="300"/>
      <c r="AW101" s="300"/>
      <c r="BA101" s="301"/>
    </row>
    <row r="102" spans="1:53" s="292" customFormat="1">
      <c r="A102" s="292">
        <v>2005</v>
      </c>
      <c r="B102" s="836"/>
      <c r="C102" s="916" t="s">
        <v>668</v>
      </c>
      <c r="D102" s="916"/>
      <c r="E102" s="292">
        <v>0</v>
      </c>
      <c r="G102" s="366">
        <v>6</v>
      </c>
      <c r="H102" s="292">
        <v>10</v>
      </c>
      <c r="J102" s="377">
        <v>16</v>
      </c>
      <c r="K102" s="336">
        <f t="shared" si="4"/>
        <v>37.5</v>
      </c>
      <c r="L102" s="336">
        <f t="shared" si="3"/>
        <v>62.5</v>
      </c>
      <c r="M102" s="336">
        <f t="shared" si="3"/>
        <v>0</v>
      </c>
      <c r="N102" s="368">
        <f t="shared" si="5"/>
        <v>100</v>
      </c>
      <c r="O102" s="335">
        <v>18.7</v>
      </c>
      <c r="P102" s="336">
        <v>33.299999999999997</v>
      </c>
      <c r="Q102" s="336"/>
      <c r="R102" s="337">
        <f t="shared" si="6"/>
        <v>52</v>
      </c>
      <c r="S102" s="292">
        <v>2</v>
      </c>
      <c r="T102" s="838"/>
      <c r="U102" s="836"/>
      <c r="V102" s="299" t="s">
        <v>493</v>
      </c>
      <c r="W102" s="292" t="s">
        <v>328</v>
      </c>
      <c r="X102" s="292" t="s">
        <v>18</v>
      </c>
      <c r="Y102" s="300">
        <v>29.3</v>
      </c>
      <c r="Z102" s="292" t="s">
        <v>489</v>
      </c>
      <c r="AA102" s="292" t="s">
        <v>22</v>
      </c>
      <c r="AB102" s="292" t="s">
        <v>11</v>
      </c>
      <c r="AC102" s="292">
        <v>18.7</v>
      </c>
      <c r="AD102" s="299" t="s">
        <v>492</v>
      </c>
      <c r="AE102" s="292" t="s">
        <v>88</v>
      </c>
      <c r="AF102" s="292" t="s">
        <v>18</v>
      </c>
      <c r="AG102" s="300">
        <v>4</v>
      </c>
      <c r="AL102" s="299"/>
      <c r="AO102" s="300"/>
      <c r="AP102" s="299"/>
      <c r="AS102" s="300"/>
      <c r="AW102" s="300"/>
      <c r="BA102" s="301"/>
    </row>
    <row r="103" spans="1:53" s="292" customFormat="1">
      <c r="A103" s="292">
        <v>2005</v>
      </c>
      <c r="B103" s="836"/>
      <c r="C103" s="916" t="s">
        <v>668</v>
      </c>
      <c r="D103" s="916"/>
      <c r="E103" s="292">
        <f>365-E102</f>
        <v>365</v>
      </c>
      <c r="G103" s="366">
        <v>6</v>
      </c>
      <c r="H103" s="292">
        <v>10</v>
      </c>
      <c r="J103" s="377">
        <v>16</v>
      </c>
      <c r="K103" s="336">
        <f>G103/$J103*100</f>
        <v>37.5</v>
      </c>
      <c r="L103" s="336">
        <f t="shared" si="3"/>
        <v>62.5</v>
      </c>
      <c r="M103" s="336">
        <f t="shared" si="3"/>
        <v>0</v>
      </c>
      <c r="N103" s="368">
        <f t="shared" si="5"/>
        <v>100</v>
      </c>
      <c r="O103" s="335">
        <v>18.7</v>
      </c>
      <c r="P103" s="336">
        <v>33.299999999999997</v>
      </c>
      <c r="Q103" s="336"/>
      <c r="R103" s="337">
        <f t="shared" si="6"/>
        <v>52</v>
      </c>
      <c r="S103" s="292">
        <v>2</v>
      </c>
      <c r="T103" s="838"/>
      <c r="U103" s="836"/>
      <c r="V103" s="299" t="s">
        <v>493</v>
      </c>
      <c r="W103" s="292" t="s">
        <v>328</v>
      </c>
      <c r="X103" s="292" t="s">
        <v>18</v>
      </c>
      <c r="Y103" s="300">
        <v>29.3</v>
      </c>
      <c r="Z103" s="292" t="s">
        <v>489</v>
      </c>
      <c r="AA103" s="292" t="s">
        <v>22</v>
      </c>
      <c r="AB103" s="292" t="s">
        <v>11</v>
      </c>
      <c r="AC103" s="292">
        <v>18.7</v>
      </c>
      <c r="AD103" s="299" t="s">
        <v>492</v>
      </c>
      <c r="AE103" s="292" t="s">
        <v>88</v>
      </c>
      <c r="AF103" s="292" t="s">
        <v>18</v>
      </c>
      <c r="AG103" s="300">
        <v>4</v>
      </c>
      <c r="AL103" s="299"/>
      <c r="AO103" s="300"/>
      <c r="AP103" s="299"/>
      <c r="AS103" s="300"/>
      <c r="AW103" s="300"/>
      <c r="BA103" s="301"/>
    </row>
    <row r="104" spans="1:53" s="292" customFormat="1">
      <c r="A104" s="292">
        <v>2006</v>
      </c>
      <c r="B104" s="836"/>
      <c r="C104" s="916" t="s">
        <v>668</v>
      </c>
      <c r="D104" s="916"/>
      <c r="E104" s="292">
        <v>187</v>
      </c>
      <c r="G104" s="366">
        <v>6</v>
      </c>
      <c r="H104" s="292">
        <v>10</v>
      </c>
      <c r="J104" s="377">
        <v>16</v>
      </c>
      <c r="K104" s="336">
        <f t="shared" ref="K104:M120" si="7">G104/$J104*100</f>
        <v>37.5</v>
      </c>
      <c r="L104" s="336">
        <f t="shared" si="3"/>
        <v>62.5</v>
      </c>
      <c r="M104" s="336">
        <f t="shared" si="3"/>
        <v>0</v>
      </c>
      <c r="N104" s="368">
        <f t="shared" si="5"/>
        <v>100</v>
      </c>
      <c r="O104" s="335">
        <v>18.7</v>
      </c>
      <c r="P104" s="336">
        <v>33.299999999999997</v>
      </c>
      <c r="Q104" s="336"/>
      <c r="R104" s="337">
        <f t="shared" si="6"/>
        <v>52</v>
      </c>
      <c r="S104" s="292">
        <v>2</v>
      </c>
      <c r="T104" s="838"/>
      <c r="U104" s="836"/>
      <c r="V104" s="299" t="s">
        <v>493</v>
      </c>
      <c r="W104" s="292" t="s">
        <v>328</v>
      </c>
      <c r="X104" s="292" t="s">
        <v>18</v>
      </c>
      <c r="Y104" s="300">
        <v>29.3</v>
      </c>
      <c r="Z104" s="292" t="s">
        <v>489</v>
      </c>
      <c r="AA104" s="292" t="s">
        <v>22</v>
      </c>
      <c r="AB104" s="292" t="s">
        <v>11</v>
      </c>
      <c r="AC104" s="292">
        <v>18.7</v>
      </c>
      <c r="AD104" s="299" t="s">
        <v>492</v>
      </c>
      <c r="AE104" s="292" t="s">
        <v>88</v>
      </c>
      <c r="AF104" s="292" t="s">
        <v>18</v>
      </c>
      <c r="AG104" s="300">
        <v>4</v>
      </c>
      <c r="AL104" s="299"/>
      <c r="AO104" s="300"/>
      <c r="AP104" s="299"/>
      <c r="AS104" s="300"/>
      <c r="AW104" s="300"/>
      <c r="BA104" s="301"/>
    </row>
    <row r="105" spans="1:53" s="185" customFormat="1">
      <c r="A105" s="185">
        <v>2006</v>
      </c>
      <c r="B105" s="852">
        <v>38905</v>
      </c>
      <c r="C105" s="917" t="s">
        <v>669</v>
      </c>
      <c r="D105" s="917"/>
      <c r="E105" s="185">
        <f>365-E104</f>
        <v>178</v>
      </c>
      <c r="F105" s="185">
        <v>4</v>
      </c>
      <c r="G105" s="119">
        <v>7</v>
      </c>
      <c r="H105" s="185">
        <v>9</v>
      </c>
      <c r="J105" s="126">
        <v>16</v>
      </c>
      <c r="K105" s="92">
        <f t="shared" si="7"/>
        <v>43.75</v>
      </c>
      <c r="L105" s="92">
        <f t="shared" si="3"/>
        <v>56.25</v>
      </c>
      <c r="M105" s="92">
        <f t="shared" si="3"/>
        <v>0</v>
      </c>
      <c r="N105" s="121">
        <f t="shared" si="5"/>
        <v>100</v>
      </c>
      <c r="O105" s="91">
        <v>18.7</v>
      </c>
      <c r="P105" s="92">
        <v>29.3</v>
      </c>
      <c r="Q105" s="92"/>
      <c r="R105" s="93">
        <f t="shared" si="6"/>
        <v>48</v>
      </c>
      <c r="S105" s="185">
        <v>5</v>
      </c>
      <c r="T105" s="839"/>
      <c r="U105" s="852">
        <v>38905</v>
      </c>
      <c r="V105" s="82" t="s">
        <v>493</v>
      </c>
      <c r="W105" s="185" t="s">
        <v>328</v>
      </c>
      <c r="X105" s="185" t="s">
        <v>18</v>
      </c>
      <c r="Y105" s="83">
        <v>29.3</v>
      </c>
      <c r="Z105" s="185" t="s">
        <v>489</v>
      </c>
      <c r="AA105" s="185" t="s">
        <v>22</v>
      </c>
      <c r="AB105" s="185" t="s">
        <v>11</v>
      </c>
      <c r="AC105" s="185">
        <v>18.7</v>
      </c>
      <c r="AD105" s="82"/>
      <c r="AG105" s="83"/>
      <c r="AL105" s="82"/>
      <c r="AO105" s="83"/>
      <c r="AP105" s="82"/>
      <c r="AS105" s="83"/>
      <c r="AW105" s="83"/>
      <c r="BA105" s="84"/>
    </row>
    <row r="106" spans="1:53" s="185" customFormat="1">
      <c r="A106" s="185">
        <v>2007</v>
      </c>
      <c r="B106" s="852"/>
      <c r="C106" s="917" t="s">
        <v>669</v>
      </c>
      <c r="D106" s="917"/>
      <c r="E106" s="185">
        <v>52</v>
      </c>
      <c r="G106" s="119">
        <v>7</v>
      </c>
      <c r="H106" s="185">
        <v>9</v>
      </c>
      <c r="J106" s="126">
        <v>16</v>
      </c>
      <c r="K106" s="92">
        <f t="shared" si="7"/>
        <v>43.75</v>
      </c>
      <c r="L106" s="92">
        <f t="shared" si="3"/>
        <v>56.25</v>
      </c>
      <c r="M106" s="92">
        <f t="shared" si="3"/>
        <v>0</v>
      </c>
      <c r="N106" s="121">
        <f t="shared" si="5"/>
        <v>100</v>
      </c>
      <c r="O106" s="91">
        <v>18.7</v>
      </c>
      <c r="P106" s="92">
        <v>29.3</v>
      </c>
      <c r="Q106" s="92"/>
      <c r="R106" s="93">
        <f t="shared" si="6"/>
        <v>48</v>
      </c>
      <c r="S106" s="185">
        <v>5</v>
      </c>
      <c r="T106" s="839">
        <v>39043</v>
      </c>
      <c r="U106" s="852"/>
      <c r="V106" s="82" t="s">
        <v>493</v>
      </c>
      <c r="W106" s="185" t="s">
        <v>328</v>
      </c>
      <c r="X106" s="185" t="s">
        <v>18</v>
      </c>
      <c r="Y106" s="83">
        <v>29.3</v>
      </c>
      <c r="Z106" s="185" t="s">
        <v>489</v>
      </c>
      <c r="AA106" s="185" t="s">
        <v>22</v>
      </c>
      <c r="AB106" s="185" t="s">
        <v>11</v>
      </c>
      <c r="AC106" s="185">
        <v>18.7</v>
      </c>
      <c r="AD106" s="82"/>
      <c r="AG106" s="83"/>
      <c r="AL106" s="82"/>
      <c r="AO106" s="83"/>
      <c r="AP106" s="82"/>
      <c r="AS106" s="83"/>
      <c r="AW106" s="83"/>
      <c r="BA106" s="84"/>
    </row>
    <row r="107" spans="1:53" s="292" customFormat="1">
      <c r="A107" s="292">
        <v>2007</v>
      </c>
      <c r="B107" s="836">
        <v>39135</v>
      </c>
      <c r="C107" s="916" t="s">
        <v>670</v>
      </c>
      <c r="D107" s="916"/>
      <c r="E107" s="292">
        <f>365-E106</f>
        <v>313</v>
      </c>
      <c r="F107" s="292">
        <v>1</v>
      </c>
      <c r="G107" s="366"/>
      <c r="H107" s="292">
        <v>10</v>
      </c>
      <c r="I107" s="292">
        <v>6</v>
      </c>
      <c r="J107" s="377">
        <v>16</v>
      </c>
      <c r="K107" s="336">
        <f t="shared" si="7"/>
        <v>0</v>
      </c>
      <c r="L107" s="336">
        <f t="shared" si="3"/>
        <v>62.5</v>
      </c>
      <c r="M107" s="336">
        <f t="shared" si="3"/>
        <v>37.5</v>
      </c>
      <c r="N107" s="368">
        <f t="shared" si="5"/>
        <v>100</v>
      </c>
      <c r="O107" s="335"/>
      <c r="P107" s="336">
        <v>31.3</v>
      </c>
      <c r="Q107" s="336">
        <v>22</v>
      </c>
      <c r="R107" s="337">
        <f t="shared" si="6"/>
        <v>53.3</v>
      </c>
      <c r="S107" s="292">
        <v>2</v>
      </c>
      <c r="T107" s="838"/>
      <c r="U107" s="836">
        <v>39135</v>
      </c>
      <c r="V107" s="299" t="s">
        <v>493</v>
      </c>
      <c r="W107" s="292" t="s">
        <v>328</v>
      </c>
      <c r="X107" s="292" t="s">
        <v>18</v>
      </c>
      <c r="Y107" s="300">
        <v>27.3</v>
      </c>
      <c r="Z107" s="299" t="s">
        <v>490</v>
      </c>
      <c r="AA107" s="292" t="s">
        <v>20</v>
      </c>
      <c r="AB107" s="292" t="s">
        <v>12</v>
      </c>
      <c r="AC107" s="292">
        <v>22</v>
      </c>
      <c r="AD107" s="299" t="s">
        <v>568</v>
      </c>
      <c r="AE107" s="292" t="s">
        <v>329</v>
      </c>
      <c r="AF107" s="292" t="s">
        <v>18</v>
      </c>
      <c r="AG107" s="300">
        <v>4</v>
      </c>
      <c r="AL107" s="299"/>
      <c r="AO107" s="300"/>
      <c r="AP107" s="299"/>
      <c r="AS107" s="300"/>
      <c r="AW107" s="300"/>
      <c r="BA107" s="301"/>
    </row>
    <row r="108" spans="1:53" s="292" customFormat="1">
      <c r="A108" s="292">
        <v>2008</v>
      </c>
      <c r="B108" s="836"/>
      <c r="C108" s="916" t="s">
        <v>670</v>
      </c>
      <c r="D108" s="916"/>
      <c r="E108" s="292">
        <v>0</v>
      </c>
      <c r="G108" s="366"/>
      <c r="H108" s="292">
        <v>10</v>
      </c>
      <c r="I108" s="292">
        <v>6</v>
      </c>
      <c r="J108" s="377">
        <v>16</v>
      </c>
      <c r="K108" s="336">
        <f t="shared" si="7"/>
        <v>0</v>
      </c>
      <c r="L108" s="336">
        <f t="shared" si="3"/>
        <v>62.5</v>
      </c>
      <c r="M108" s="336">
        <f t="shared" si="3"/>
        <v>37.5</v>
      </c>
      <c r="N108" s="368">
        <f t="shared" si="5"/>
        <v>100</v>
      </c>
      <c r="O108" s="335"/>
      <c r="P108" s="336">
        <v>31.3</v>
      </c>
      <c r="Q108" s="336">
        <v>22</v>
      </c>
      <c r="R108" s="337">
        <f t="shared" si="6"/>
        <v>53.3</v>
      </c>
      <c r="S108" s="292">
        <v>2</v>
      </c>
      <c r="T108" s="838"/>
      <c r="U108" s="836"/>
      <c r="V108" s="299" t="s">
        <v>493</v>
      </c>
      <c r="W108" s="292" t="s">
        <v>328</v>
      </c>
      <c r="X108" s="292" t="s">
        <v>18</v>
      </c>
      <c r="Y108" s="300">
        <v>27.3</v>
      </c>
      <c r="Z108" s="299" t="s">
        <v>490</v>
      </c>
      <c r="AA108" s="292" t="s">
        <v>20</v>
      </c>
      <c r="AB108" s="292" t="s">
        <v>12</v>
      </c>
      <c r="AC108" s="292">
        <v>22</v>
      </c>
      <c r="AD108" s="299" t="s">
        <v>568</v>
      </c>
      <c r="AE108" s="292" t="s">
        <v>329</v>
      </c>
      <c r="AF108" s="292" t="s">
        <v>18</v>
      </c>
      <c r="AG108" s="300">
        <v>4</v>
      </c>
      <c r="AL108" s="299"/>
      <c r="AO108" s="300"/>
      <c r="AP108" s="299"/>
      <c r="AS108" s="300"/>
      <c r="AW108" s="300"/>
      <c r="BA108" s="301"/>
    </row>
    <row r="109" spans="1:53" s="292" customFormat="1">
      <c r="A109" s="292">
        <v>2008</v>
      </c>
      <c r="B109" s="836"/>
      <c r="C109" s="916" t="s">
        <v>670</v>
      </c>
      <c r="D109" s="916"/>
      <c r="E109" s="292">
        <v>366</v>
      </c>
      <c r="G109" s="366"/>
      <c r="H109" s="292">
        <v>10</v>
      </c>
      <c r="I109" s="292">
        <v>6</v>
      </c>
      <c r="J109" s="377">
        <v>16</v>
      </c>
      <c r="K109" s="336">
        <f t="shared" si="7"/>
        <v>0</v>
      </c>
      <c r="L109" s="336">
        <f t="shared" si="3"/>
        <v>62.5</v>
      </c>
      <c r="M109" s="336">
        <f t="shared" si="3"/>
        <v>37.5</v>
      </c>
      <c r="N109" s="368">
        <f t="shared" si="5"/>
        <v>100</v>
      </c>
      <c r="O109" s="335"/>
      <c r="P109" s="336">
        <v>31.3</v>
      </c>
      <c r="Q109" s="336">
        <v>22</v>
      </c>
      <c r="R109" s="337">
        <f t="shared" si="6"/>
        <v>53.3</v>
      </c>
      <c r="S109" s="292">
        <v>2</v>
      </c>
      <c r="T109" s="838"/>
      <c r="U109" s="836"/>
      <c r="V109" s="299" t="s">
        <v>493</v>
      </c>
      <c r="W109" s="292" t="s">
        <v>328</v>
      </c>
      <c r="X109" s="292" t="s">
        <v>18</v>
      </c>
      <c r="Y109" s="300">
        <v>27.3</v>
      </c>
      <c r="Z109" s="299" t="s">
        <v>490</v>
      </c>
      <c r="AA109" s="292" t="s">
        <v>20</v>
      </c>
      <c r="AB109" s="292" t="s">
        <v>12</v>
      </c>
      <c r="AC109" s="292">
        <v>22</v>
      </c>
      <c r="AD109" s="299" t="s">
        <v>568</v>
      </c>
      <c r="AE109" s="292" t="s">
        <v>329</v>
      </c>
      <c r="AF109" s="292" t="s">
        <v>18</v>
      </c>
      <c r="AG109" s="300">
        <v>4</v>
      </c>
      <c r="AL109" s="299"/>
      <c r="AO109" s="300"/>
      <c r="AP109" s="299"/>
      <c r="AS109" s="300"/>
      <c r="AW109" s="300"/>
      <c r="BA109" s="301"/>
    </row>
    <row r="110" spans="1:53" s="292" customFormat="1">
      <c r="A110" s="292">
        <v>2009</v>
      </c>
      <c r="B110" s="836"/>
      <c r="C110" s="916" t="s">
        <v>670</v>
      </c>
      <c r="D110" s="916"/>
      <c r="E110" s="292">
        <v>0</v>
      </c>
      <c r="G110" s="366"/>
      <c r="H110" s="292">
        <v>10</v>
      </c>
      <c r="I110" s="292">
        <v>6</v>
      </c>
      <c r="J110" s="377">
        <v>16</v>
      </c>
      <c r="K110" s="336">
        <f t="shared" si="7"/>
        <v>0</v>
      </c>
      <c r="L110" s="336">
        <f t="shared" si="3"/>
        <v>62.5</v>
      </c>
      <c r="M110" s="336">
        <f t="shared" si="3"/>
        <v>37.5</v>
      </c>
      <c r="N110" s="368">
        <f t="shared" si="5"/>
        <v>100</v>
      </c>
      <c r="O110" s="335"/>
      <c r="P110" s="336">
        <v>31.3</v>
      </c>
      <c r="Q110" s="336">
        <v>22</v>
      </c>
      <c r="R110" s="337">
        <f t="shared" si="6"/>
        <v>53.3</v>
      </c>
      <c r="S110" s="292">
        <v>2</v>
      </c>
      <c r="T110" s="838"/>
      <c r="U110" s="836"/>
      <c r="V110" s="299" t="s">
        <v>493</v>
      </c>
      <c r="W110" s="292" t="s">
        <v>328</v>
      </c>
      <c r="X110" s="292" t="s">
        <v>18</v>
      </c>
      <c r="Y110" s="300">
        <v>27.3</v>
      </c>
      <c r="Z110" s="299" t="s">
        <v>490</v>
      </c>
      <c r="AA110" s="292" t="s">
        <v>20</v>
      </c>
      <c r="AB110" s="292" t="s">
        <v>12</v>
      </c>
      <c r="AC110" s="292">
        <v>22</v>
      </c>
      <c r="AD110" s="299" t="s">
        <v>568</v>
      </c>
      <c r="AE110" s="292" t="s">
        <v>329</v>
      </c>
      <c r="AF110" s="292" t="s">
        <v>18</v>
      </c>
      <c r="AG110" s="300">
        <v>4</v>
      </c>
      <c r="AL110" s="299"/>
      <c r="AO110" s="300"/>
      <c r="AP110" s="299"/>
      <c r="AS110" s="300"/>
      <c r="AW110" s="300"/>
      <c r="BA110" s="301"/>
    </row>
    <row r="111" spans="1:53" s="292" customFormat="1">
      <c r="A111" s="292">
        <v>2009</v>
      </c>
      <c r="B111" s="836"/>
      <c r="C111" s="916" t="s">
        <v>670</v>
      </c>
      <c r="D111" s="916"/>
      <c r="E111" s="292">
        <v>365</v>
      </c>
      <c r="G111" s="366"/>
      <c r="H111" s="292">
        <v>10</v>
      </c>
      <c r="I111" s="292">
        <v>6</v>
      </c>
      <c r="J111" s="377">
        <v>16</v>
      </c>
      <c r="K111" s="336">
        <f t="shared" si="7"/>
        <v>0</v>
      </c>
      <c r="L111" s="336">
        <f t="shared" si="3"/>
        <v>62.5</v>
      </c>
      <c r="M111" s="336">
        <f t="shared" si="3"/>
        <v>37.5</v>
      </c>
      <c r="N111" s="368">
        <f t="shared" si="5"/>
        <v>100</v>
      </c>
      <c r="O111" s="335"/>
      <c r="P111" s="336">
        <v>31.3</v>
      </c>
      <c r="Q111" s="336">
        <v>22</v>
      </c>
      <c r="R111" s="337">
        <f t="shared" si="6"/>
        <v>53.3</v>
      </c>
      <c r="S111" s="292">
        <v>2</v>
      </c>
      <c r="T111" s="838"/>
      <c r="U111" s="836"/>
      <c r="V111" s="299" t="s">
        <v>493</v>
      </c>
      <c r="W111" s="292" t="s">
        <v>328</v>
      </c>
      <c r="X111" s="292" t="s">
        <v>18</v>
      </c>
      <c r="Y111" s="300">
        <v>27.3</v>
      </c>
      <c r="Z111" s="299" t="s">
        <v>490</v>
      </c>
      <c r="AA111" s="292" t="s">
        <v>20</v>
      </c>
      <c r="AB111" s="292" t="s">
        <v>12</v>
      </c>
      <c r="AC111" s="292">
        <v>22</v>
      </c>
      <c r="AD111" s="299" t="s">
        <v>568</v>
      </c>
      <c r="AE111" s="292" t="s">
        <v>329</v>
      </c>
      <c r="AF111" s="292" t="s">
        <v>18</v>
      </c>
      <c r="AG111" s="300">
        <v>4</v>
      </c>
      <c r="AL111" s="299"/>
      <c r="AO111" s="300"/>
      <c r="AP111" s="299"/>
      <c r="AS111" s="300"/>
      <c r="AW111" s="300"/>
      <c r="BA111" s="301"/>
    </row>
    <row r="112" spans="1:53" s="292" customFormat="1">
      <c r="A112" s="292">
        <v>2010</v>
      </c>
      <c r="B112" s="836"/>
      <c r="C112" s="916" t="s">
        <v>670</v>
      </c>
      <c r="D112" s="916"/>
      <c r="E112" s="292">
        <v>50</v>
      </c>
      <c r="G112" s="366"/>
      <c r="H112" s="292">
        <v>10</v>
      </c>
      <c r="I112" s="292">
        <v>6</v>
      </c>
      <c r="J112" s="377">
        <v>16</v>
      </c>
      <c r="K112" s="336">
        <f t="shared" si="7"/>
        <v>0</v>
      </c>
      <c r="L112" s="336">
        <f t="shared" si="3"/>
        <v>62.5</v>
      </c>
      <c r="M112" s="336">
        <f t="shared" si="3"/>
        <v>37.5</v>
      </c>
      <c r="N112" s="368">
        <f t="shared" si="5"/>
        <v>100</v>
      </c>
      <c r="O112" s="335"/>
      <c r="P112" s="336">
        <v>31.3</v>
      </c>
      <c r="Q112" s="336">
        <v>22</v>
      </c>
      <c r="R112" s="337">
        <f t="shared" si="6"/>
        <v>53.3</v>
      </c>
      <c r="S112" s="292">
        <v>2</v>
      </c>
      <c r="T112" s="838"/>
      <c r="U112" s="836"/>
      <c r="V112" s="299" t="s">
        <v>493</v>
      </c>
      <c r="W112" s="292" t="s">
        <v>328</v>
      </c>
      <c r="X112" s="292" t="s">
        <v>18</v>
      </c>
      <c r="Y112" s="300">
        <v>27.3</v>
      </c>
      <c r="Z112" s="299" t="s">
        <v>490</v>
      </c>
      <c r="AA112" s="292" t="s">
        <v>20</v>
      </c>
      <c r="AB112" s="292" t="s">
        <v>12</v>
      </c>
      <c r="AC112" s="292">
        <v>22</v>
      </c>
      <c r="AD112" s="299" t="s">
        <v>568</v>
      </c>
      <c r="AE112" s="292" t="s">
        <v>329</v>
      </c>
      <c r="AF112" s="292" t="s">
        <v>18</v>
      </c>
      <c r="AG112" s="300">
        <v>4</v>
      </c>
      <c r="AL112" s="299"/>
      <c r="AO112" s="300"/>
      <c r="AP112" s="299"/>
      <c r="AS112" s="300"/>
      <c r="AW112" s="300"/>
      <c r="BA112" s="301"/>
    </row>
    <row r="113" spans="1:53" s="185" customFormat="1">
      <c r="A113" s="185">
        <v>2010</v>
      </c>
      <c r="B113" s="852">
        <v>40229</v>
      </c>
      <c r="C113" s="917" t="s">
        <v>671</v>
      </c>
      <c r="D113" s="917"/>
      <c r="E113" s="185">
        <f>365-E112-E114</f>
        <v>236</v>
      </c>
      <c r="F113" s="185">
        <v>4</v>
      </c>
      <c r="G113" s="119"/>
      <c r="H113" s="185">
        <v>10</v>
      </c>
      <c r="J113" s="126">
        <v>10</v>
      </c>
      <c r="K113" s="92">
        <f t="shared" si="7"/>
        <v>0</v>
      </c>
      <c r="L113" s="92">
        <f t="shared" si="7"/>
        <v>100</v>
      </c>
      <c r="M113" s="92">
        <f t="shared" si="7"/>
        <v>0</v>
      </c>
      <c r="N113" s="121">
        <f t="shared" si="5"/>
        <v>100</v>
      </c>
      <c r="O113" s="91"/>
      <c r="P113" s="92">
        <v>31.3</v>
      </c>
      <c r="Q113" s="92"/>
      <c r="R113" s="93">
        <f t="shared" si="6"/>
        <v>31.3</v>
      </c>
      <c r="S113" s="185">
        <v>6</v>
      </c>
      <c r="T113" s="839"/>
      <c r="U113" s="852">
        <v>40229</v>
      </c>
      <c r="V113" s="82" t="s">
        <v>493</v>
      </c>
      <c r="W113" s="185" t="s">
        <v>328</v>
      </c>
      <c r="X113" s="185" t="s">
        <v>18</v>
      </c>
      <c r="Y113" s="83">
        <v>27.3</v>
      </c>
      <c r="Z113" s="82" t="s">
        <v>568</v>
      </c>
      <c r="AA113" s="185" t="s">
        <v>329</v>
      </c>
      <c r="AB113" s="185" t="s">
        <v>18</v>
      </c>
      <c r="AC113" s="185">
        <v>4</v>
      </c>
      <c r="AD113" s="82"/>
      <c r="AG113" s="83"/>
      <c r="AL113" s="82"/>
      <c r="AO113" s="83"/>
      <c r="AP113" s="82"/>
      <c r="AS113" s="83"/>
      <c r="AW113" s="83"/>
      <c r="BA113" s="84"/>
    </row>
    <row r="114" spans="1:53" s="292" customFormat="1">
      <c r="A114" s="292">
        <v>2010</v>
      </c>
      <c r="B114" s="836">
        <v>40465</v>
      </c>
      <c r="C114" s="916" t="s">
        <v>672</v>
      </c>
      <c r="D114" s="916"/>
      <c r="E114" s="292">
        <v>79</v>
      </c>
      <c r="F114" s="292">
        <v>1</v>
      </c>
      <c r="G114" s="366">
        <v>8</v>
      </c>
      <c r="H114" s="292">
        <v>8</v>
      </c>
      <c r="J114" s="377">
        <v>16</v>
      </c>
      <c r="K114" s="336">
        <f t="shared" si="7"/>
        <v>50</v>
      </c>
      <c r="L114" s="336">
        <f t="shared" si="7"/>
        <v>50</v>
      </c>
      <c r="M114" s="336">
        <f t="shared" si="7"/>
        <v>0</v>
      </c>
      <c r="N114" s="368">
        <f t="shared" si="5"/>
        <v>100</v>
      </c>
      <c r="O114" s="335">
        <v>20.7</v>
      </c>
      <c r="P114" s="336">
        <v>14</v>
      </c>
      <c r="Q114" s="336"/>
      <c r="R114" s="337">
        <f t="shared" si="6"/>
        <v>34.700000000000003</v>
      </c>
      <c r="S114" s="292">
        <v>5</v>
      </c>
      <c r="T114" s="838">
        <v>40338</v>
      </c>
      <c r="U114" s="836">
        <v>40465</v>
      </c>
      <c r="V114" s="299" t="s">
        <v>489</v>
      </c>
      <c r="W114" s="292" t="s">
        <v>22</v>
      </c>
      <c r="X114" s="292" t="s">
        <v>11</v>
      </c>
      <c r="Y114" s="300">
        <v>20.7</v>
      </c>
      <c r="Z114" s="292" t="s">
        <v>493</v>
      </c>
      <c r="AA114" s="292" t="s">
        <v>328</v>
      </c>
      <c r="AB114" s="292" t="s">
        <v>18</v>
      </c>
      <c r="AC114" s="292">
        <v>14</v>
      </c>
      <c r="AD114" s="299"/>
      <c r="AG114" s="300"/>
      <c r="AL114" s="299"/>
      <c r="AO114" s="300"/>
      <c r="AP114" s="299"/>
      <c r="AS114" s="300"/>
      <c r="AW114" s="300"/>
      <c r="BA114" s="301"/>
    </row>
    <row r="115" spans="1:53" s="292" customFormat="1">
      <c r="A115" s="292">
        <v>2011</v>
      </c>
      <c r="B115" s="836"/>
      <c r="C115" s="916" t="s">
        <v>672</v>
      </c>
      <c r="D115" s="916"/>
      <c r="E115" s="292">
        <v>0</v>
      </c>
      <c r="G115" s="366">
        <v>8</v>
      </c>
      <c r="H115" s="292">
        <v>8</v>
      </c>
      <c r="J115" s="377">
        <v>16</v>
      </c>
      <c r="K115" s="336">
        <f t="shared" si="7"/>
        <v>50</v>
      </c>
      <c r="L115" s="336">
        <f t="shared" si="7"/>
        <v>50</v>
      </c>
      <c r="M115" s="336">
        <f t="shared" si="7"/>
        <v>0</v>
      </c>
      <c r="N115" s="368">
        <f t="shared" si="5"/>
        <v>100</v>
      </c>
      <c r="O115" s="335">
        <v>20.7</v>
      </c>
      <c r="P115" s="336">
        <v>14</v>
      </c>
      <c r="Q115" s="336"/>
      <c r="R115" s="337">
        <f t="shared" si="6"/>
        <v>34.700000000000003</v>
      </c>
      <c r="S115" s="292">
        <v>5</v>
      </c>
      <c r="T115" s="838"/>
      <c r="U115" s="836"/>
      <c r="V115" s="299" t="s">
        <v>489</v>
      </c>
      <c r="W115" s="292" t="s">
        <v>22</v>
      </c>
      <c r="X115" s="292" t="s">
        <v>11</v>
      </c>
      <c r="Y115" s="300">
        <v>20.7</v>
      </c>
      <c r="Z115" s="292" t="s">
        <v>493</v>
      </c>
      <c r="AA115" s="292" t="s">
        <v>328</v>
      </c>
      <c r="AB115" s="292" t="s">
        <v>18</v>
      </c>
      <c r="AC115" s="292">
        <v>14</v>
      </c>
      <c r="AD115" s="299"/>
      <c r="AG115" s="300"/>
      <c r="AL115" s="299"/>
      <c r="AO115" s="300"/>
      <c r="AP115" s="299"/>
      <c r="AS115" s="300"/>
      <c r="AW115" s="300"/>
      <c r="BA115" s="301"/>
    </row>
    <row r="116" spans="1:53" s="292" customFormat="1">
      <c r="A116" s="292">
        <v>2011</v>
      </c>
      <c r="B116" s="836"/>
      <c r="C116" s="916" t="s">
        <v>672</v>
      </c>
      <c r="D116" s="916"/>
      <c r="E116" s="292">
        <v>365</v>
      </c>
      <c r="G116" s="366">
        <v>8</v>
      </c>
      <c r="H116" s="292">
        <v>8</v>
      </c>
      <c r="J116" s="377">
        <v>16</v>
      </c>
      <c r="K116" s="336">
        <f t="shared" si="7"/>
        <v>50</v>
      </c>
      <c r="L116" s="336">
        <f t="shared" si="7"/>
        <v>50</v>
      </c>
      <c r="M116" s="336">
        <f t="shared" si="7"/>
        <v>0</v>
      </c>
      <c r="N116" s="368">
        <f t="shared" si="5"/>
        <v>100</v>
      </c>
      <c r="O116" s="335">
        <v>20.7</v>
      </c>
      <c r="P116" s="336">
        <v>14</v>
      </c>
      <c r="Q116" s="336"/>
      <c r="R116" s="337">
        <f t="shared" si="6"/>
        <v>34.700000000000003</v>
      </c>
      <c r="S116" s="292">
        <v>5</v>
      </c>
      <c r="T116" s="838"/>
      <c r="U116" s="836"/>
      <c r="V116" s="299" t="s">
        <v>489</v>
      </c>
      <c r="W116" s="292" t="s">
        <v>22</v>
      </c>
      <c r="X116" s="292" t="s">
        <v>11</v>
      </c>
      <c r="Y116" s="300">
        <v>20.7</v>
      </c>
      <c r="Z116" s="292" t="s">
        <v>493</v>
      </c>
      <c r="AA116" s="292" t="s">
        <v>328</v>
      </c>
      <c r="AB116" s="292" t="s">
        <v>18</v>
      </c>
      <c r="AC116" s="292">
        <v>14</v>
      </c>
      <c r="AD116" s="299"/>
      <c r="AG116" s="300"/>
      <c r="AL116" s="299"/>
      <c r="AO116" s="300"/>
      <c r="AP116" s="299"/>
      <c r="AS116" s="300"/>
      <c r="AW116" s="300"/>
      <c r="BA116" s="301"/>
    </row>
    <row r="117" spans="1:53" s="292" customFormat="1">
      <c r="A117" s="292">
        <v>2012</v>
      </c>
      <c r="B117" s="836"/>
      <c r="C117" s="916" t="s">
        <v>672</v>
      </c>
      <c r="D117" s="916"/>
      <c r="E117" s="292">
        <v>309</v>
      </c>
      <c r="G117" s="366">
        <v>8</v>
      </c>
      <c r="H117" s="292">
        <v>8</v>
      </c>
      <c r="J117" s="377">
        <v>16</v>
      </c>
      <c r="K117" s="336">
        <f t="shared" si="7"/>
        <v>50</v>
      </c>
      <c r="L117" s="336">
        <f t="shared" si="7"/>
        <v>50</v>
      </c>
      <c r="M117" s="336">
        <f t="shared" si="7"/>
        <v>0</v>
      </c>
      <c r="N117" s="368">
        <f t="shared" si="5"/>
        <v>100</v>
      </c>
      <c r="O117" s="335">
        <v>20.7</v>
      </c>
      <c r="P117" s="336">
        <v>14</v>
      </c>
      <c r="Q117" s="336"/>
      <c r="R117" s="337">
        <f t="shared" si="6"/>
        <v>34.700000000000003</v>
      </c>
      <c r="S117" s="292">
        <v>5</v>
      </c>
      <c r="T117" s="838"/>
      <c r="U117" s="836"/>
      <c r="V117" s="299" t="s">
        <v>489</v>
      </c>
      <c r="W117" s="292" t="s">
        <v>22</v>
      </c>
      <c r="X117" s="292" t="s">
        <v>11</v>
      </c>
      <c r="Y117" s="300">
        <v>20.7</v>
      </c>
      <c r="Z117" s="292" t="s">
        <v>493</v>
      </c>
      <c r="AA117" s="292" t="s">
        <v>328</v>
      </c>
      <c r="AB117" s="292" t="s">
        <v>18</v>
      </c>
      <c r="AC117" s="292">
        <v>14</v>
      </c>
      <c r="AD117" s="299"/>
      <c r="AG117" s="300"/>
      <c r="AL117" s="299"/>
      <c r="AO117" s="300"/>
      <c r="AP117" s="299"/>
      <c r="AS117" s="300"/>
      <c r="AW117" s="300"/>
      <c r="BA117" s="301"/>
    </row>
    <row r="118" spans="1:53" s="185" customFormat="1">
      <c r="A118" s="185">
        <v>2012</v>
      </c>
      <c r="B118" s="852">
        <v>41218</v>
      </c>
      <c r="C118" s="917" t="s">
        <v>673</v>
      </c>
      <c r="D118" s="917"/>
      <c r="E118" s="185">
        <v>57</v>
      </c>
      <c r="F118" s="185">
        <v>1</v>
      </c>
      <c r="G118" s="119">
        <v>7</v>
      </c>
      <c r="I118" s="185">
        <v>6</v>
      </c>
      <c r="J118" s="126">
        <v>13</v>
      </c>
      <c r="K118" s="92">
        <f t="shared" si="7"/>
        <v>53.846153846153847</v>
      </c>
      <c r="L118" s="92">
        <f t="shared" si="7"/>
        <v>0</v>
      </c>
      <c r="M118" s="92">
        <f t="shared" si="7"/>
        <v>46.153846153846153</v>
      </c>
      <c r="N118" s="121">
        <f t="shared" si="5"/>
        <v>100</v>
      </c>
      <c r="O118" s="91">
        <v>27.3</v>
      </c>
      <c r="P118" s="92"/>
      <c r="Q118" s="92">
        <v>25.3</v>
      </c>
      <c r="R118" s="93">
        <f t="shared" si="6"/>
        <v>52.6</v>
      </c>
      <c r="S118" s="185">
        <v>2</v>
      </c>
      <c r="T118" s="839">
        <v>41164</v>
      </c>
      <c r="U118" s="852">
        <v>41218</v>
      </c>
      <c r="V118" s="82" t="s">
        <v>489</v>
      </c>
      <c r="W118" s="185" t="s">
        <v>22</v>
      </c>
      <c r="X118" s="185" t="s">
        <v>11</v>
      </c>
      <c r="Y118" s="83">
        <v>27.3</v>
      </c>
      <c r="Z118" s="185" t="s">
        <v>490</v>
      </c>
      <c r="AA118" s="185" t="s">
        <v>20</v>
      </c>
      <c r="AB118" s="185" t="s">
        <v>12</v>
      </c>
      <c r="AC118" s="185">
        <v>25.3</v>
      </c>
      <c r="AD118" s="82"/>
      <c r="AG118" s="83"/>
      <c r="AL118" s="82"/>
      <c r="AO118" s="83"/>
      <c r="AP118" s="82"/>
      <c r="AS118" s="83"/>
      <c r="AW118" s="83"/>
      <c r="BA118" s="84"/>
    </row>
    <row r="119" spans="1:53" s="271" customFormat="1">
      <c r="A119" s="271">
        <v>2013</v>
      </c>
      <c r="B119" s="852"/>
      <c r="C119" s="917" t="s">
        <v>673</v>
      </c>
      <c r="D119" s="917"/>
      <c r="E119" s="271">
        <v>0</v>
      </c>
      <c r="G119" s="119">
        <v>7</v>
      </c>
      <c r="I119" s="271">
        <v>6</v>
      </c>
      <c r="J119" s="126">
        <v>13</v>
      </c>
      <c r="K119" s="92">
        <f t="shared" si="7"/>
        <v>53.846153846153847</v>
      </c>
      <c r="L119" s="92">
        <f t="shared" si="7"/>
        <v>0</v>
      </c>
      <c r="M119" s="92">
        <f t="shared" si="7"/>
        <v>46.153846153846153</v>
      </c>
      <c r="N119" s="121">
        <f t="shared" si="5"/>
        <v>100</v>
      </c>
      <c r="O119" s="91">
        <v>27.3</v>
      </c>
      <c r="P119" s="92"/>
      <c r="Q119" s="92">
        <v>25.3</v>
      </c>
      <c r="R119" s="93">
        <f>O119+P119+Q119</f>
        <v>52.6</v>
      </c>
      <c r="S119" s="271">
        <v>2</v>
      </c>
      <c r="T119" s="839"/>
      <c r="U119" s="852"/>
      <c r="V119" s="82" t="s">
        <v>489</v>
      </c>
      <c r="W119" s="271" t="s">
        <v>22</v>
      </c>
      <c r="X119" s="271" t="s">
        <v>11</v>
      </c>
      <c r="Y119" s="83">
        <v>27.3</v>
      </c>
      <c r="Z119" s="271" t="s">
        <v>490</v>
      </c>
      <c r="AA119" s="271" t="s">
        <v>20</v>
      </c>
      <c r="AB119" s="271" t="s">
        <v>12</v>
      </c>
      <c r="AC119" s="271">
        <v>25.3</v>
      </c>
      <c r="AD119" s="82"/>
      <c r="AG119" s="83"/>
      <c r="AL119" s="82"/>
      <c r="AO119" s="83"/>
      <c r="AP119" s="82"/>
      <c r="AS119" s="83"/>
      <c r="AW119" s="83"/>
      <c r="BA119" s="84"/>
    </row>
    <row r="120" spans="1:53" s="271" customFormat="1">
      <c r="A120" s="271">
        <v>2013</v>
      </c>
      <c r="B120" s="852"/>
      <c r="C120" s="917" t="s">
        <v>673</v>
      </c>
      <c r="D120" s="917"/>
      <c r="E120" s="271">
        <v>365</v>
      </c>
      <c r="G120" s="119">
        <v>7</v>
      </c>
      <c r="I120" s="271">
        <v>6</v>
      </c>
      <c r="J120" s="126">
        <v>13</v>
      </c>
      <c r="K120" s="92">
        <f t="shared" si="7"/>
        <v>53.846153846153847</v>
      </c>
      <c r="L120" s="92">
        <f t="shared" si="7"/>
        <v>0</v>
      </c>
      <c r="M120" s="92">
        <f t="shared" si="7"/>
        <v>46.153846153846153</v>
      </c>
      <c r="N120" s="121">
        <f t="shared" si="5"/>
        <v>100</v>
      </c>
      <c r="O120" s="91">
        <v>27.3</v>
      </c>
      <c r="P120" s="92"/>
      <c r="Q120" s="92">
        <v>25.3</v>
      </c>
      <c r="R120" s="93">
        <f>O120+P120+Q120</f>
        <v>52.6</v>
      </c>
      <c r="S120" s="271">
        <v>2</v>
      </c>
      <c r="T120" s="839"/>
      <c r="U120" s="852"/>
      <c r="V120" s="82" t="s">
        <v>489</v>
      </c>
      <c r="W120" s="271" t="s">
        <v>22</v>
      </c>
      <c r="X120" s="271" t="s">
        <v>11</v>
      </c>
      <c r="Y120" s="83">
        <v>27.3</v>
      </c>
      <c r="Z120" s="271" t="s">
        <v>490</v>
      </c>
      <c r="AA120" s="271" t="s">
        <v>20</v>
      </c>
      <c r="AB120" s="271" t="s">
        <v>12</v>
      </c>
      <c r="AC120" s="271">
        <v>25.3</v>
      </c>
      <c r="AD120" s="82"/>
      <c r="AG120" s="83"/>
      <c r="AL120" s="82"/>
      <c r="AO120" s="83"/>
      <c r="AP120" s="82"/>
      <c r="AS120" s="83"/>
      <c r="AW120" s="83"/>
      <c r="BA120" s="84"/>
    </row>
    <row r="121" spans="1:53" s="544" customFormat="1">
      <c r="A121" s="544">
        <v>2014</v>
      </c>
      <c r="B121" s="852"/>
      <c r="C121" s="917" t="s">
        <v>673</v>
      </c>
      <c r="D121" s="917"/>
      <c r="E121" s="544">
        <v>0</v>
      </c>
      <c r="G121" s="498">
        <v>7</v>
      </c>
      <c r="I121" s="544">
        <v>6</v>
      </c>
      <c r="J121" s="500">
        <v>13</v>
      </c>
      <c r="K121" s="496">
        <f t="shared" ref="K121:M122" si="8">G121/$J121*100</f>
        <v>53.846153846153847</v>
      </c>
      <c r="L121" s="496">
        <f t="shared" si="8"/>
        <v>0</v>
      </c>
      <c r="M121" s="496">
        <f t="shared" si="8"/>
        <v>46.153846153846153</v>
      </c>
      <c r="N121" s="499">
        <f>K121+L121+M121</f>
        <v>100</v>
      </c>
      <c r="O121" s="495">
        <v>27.3</v>
      </c>
      <c r="P121" s="496"/>
      <c r="Q121" s="496">
        <v>25.3</v>
      </c>
      <c r="R121" s="497">
        <f>O121+P121+Q121</f>
        <v>52.6</v>
      </c>
      <c r="S121" s="544">
        <v>2</v>
      </c>
      <c r="T121" s="839"/>
      <c r="U121" s="852"/>
      <c r="V121" s="492" t="s">
        <v>489</v>
      </c>
      <c r="W121" s="544" t="s">
        <v>22</v>
      </c>
      <c r="X121" s="544" t="s">
        <v>11</v>
      </c>
      <c r="Y121" s="493">
        <v>27.3</v>
      </c>
      <c r="Z121" s="544" t="s">
        <v>490</v>
      </c>
      <c r="AA121" s="544" t="s">
        <v>20</v>
      </c>
      <c r="AB121" s="544" t="s">
        <v>12</v>
      </c>
      <c r="AC121" s="544">
        <v>25.3</v>
      </c>
      <c r="AD121" s="492"/>
      <c r="AG121" s="493"/>
      <c r="AL121" s="492"/>
      <c r="AO121" s="493"/>
      <c r="AP121" s="492"/>
      <c r="AS121" s="493"/>
      <c r="AW121" s="493"/>
      <c r="BA121" s="494"/>
    </row>
    <row r="122" spans="1:53" s="544" customFormat="1">
      <c r="A122" s="544">
        <v>2014</v>
      </c>
      <c r="B122" s="852"/>
      <c r="C122" s="917" t="s">
        <v>673</v>
      </c>
      <c r="D122" s="917"/>
      <c r="E122" s="544">
        <v>365</v>
      </c>
      <c r="G122" s="498">
        <v>7</v>
      </c>
      <c r="I122" s="544">
        <v>6</v>
      </c>
      <c r="J122" s="500">
        <v>13</v>
      </c>
      <c r="K122" s="496">
        <f t="shared" si="8"/>
        <v>53.846153846153847</v>
      </c>
      <c r="L122" s="496">
        <f t="shared" si="8"/>
        <v>0</v>
      </c>
      <c r="M122" s="496">
        <f t="shared" si="8"/>
        <v>46.153846153846153</v>
      </c>
      <c r="N122" s="499">
        <f>K122+L122+M122</f>
        <v>100</v>
      </c>
      <c r="O122" s="495">
        <v>27.3</v>
      </c>
      <c r="P122" s="496"/>
      <c r="Q122" s="496">
        <v>25.3</v>
      </c>
      <c r="R122" s="497">
        <f>O122+P122+Q122</f>
        <v>52.6</v>
      </c>
      <c r="S122" s="544">
        <v>2</v>
      </c>
      <c r="T122" s="839"/>
      <c r="U122" s="852"/>
      <c r="V122" s="492" t="s">
        <v>489</v>
      </c>
      <c r="W122" s="544" t="s">
        <v>22</v>
      </c>
      <c r="X122" s="544" t="s">
        <v>11</v>
      </c>
      <c r="Y122" s="493">
        <v>27.3</v>
      </c>
      <c r="Z122" s="544" t="s">
        <v>490</v>
      </c>
      <c r="AA122" s="544" t="s">
        <v>20</v>
      </c>
      <c r="AB122" s="544" t="s">
        <v>12</v>
      </c>
      <c r="AC122" s="544">
        <v>25.3</v>
      </c>
      <c r="AD122" s="492"/>
      <c r="AG122" s="493"/>
      <c r="AL122" s="492"/>
      <c r="AO122" s="493"/>
      <c r="AP122" s="492"/>
      <c r="AS122" s="493"/>
      <c r="AW122" s="493"/>
      <c r="BA122" s="494"/>
    </row>
    <row r="123" spans="1:53" s="615" customFormat="1">
      <c r="A123" s="615">
        <v>2015</v>
      </c>
      <c r="B123" s="852"/>
      <c r="C123" s="917" t="s">
        <v>673</v>
      </c>
      <c r="D123" s="917"/>
      <c r="E123" s="615">
        <v>0</v>
      </c>
      <c r="G123" s="498">
        <v>7</v>
      </c>
      <c r="I123" s="615">
        <v>6</v>
      </c>
      <c r="J123" s="500">
        <v>13</v>
      </c>
      <c r="K123" s="496">
        <f t="shared" ref="K123:K124" si="9">G123/$J123*100</f>
        <v>53.846153846153847</v>
      </c>
      <c r="L123" s="496">
        <f t="shared" ref="L123:L124" si="10">H123/$J123*100</f>
        <v>0</v>
      </c>
      <c r="M123" s="496">
        <f t="shared" ref="M123:M124" si="11">I123/$J123*100</f>
        <v>46.153846153846153</v>
      </c>
      <c r="N123" s="499">
        <f t="shared" ref="N123:N124" si="12">K123+L123+M123</f>
        <v>100</v>
      </c>
      <c r="O123" s="495">
        <v>27.3</v>
      </c>
      <c r="P123" s="496"/>
      <c r="Q123" s="496">
        <v>25.3</v>
      </c>
      <c r="R123" s="497">
        <f t="shared" ref="R123:R124" si="13">O123+P123+Q123</f>
        <v>52.6</v>
      </c>
      <c r="S123" s="615">
        <v>2</v>
      </c>
      <c r="T123" s="839"/>
      <c r="U123" s="852"/>
      <c r="V123" s="492" t="s">
        <v>489</v>
      </c>
      <c r="W123" s="615" t="s">
        <v>22</v>
      </c>
      <c r="X123" s="615" t="s">
        <v>11</v>
      </c>
      <c r="Y123" s="493">
        <v>27.3</v>
      </c>
      <c r="Z123" s="615" t="s">
        <v>490</v>
      </c>
      <c r="AA123" s="615" t="s">
        <v>20</v>
      </c>
      <c r="AB123" s="615" t="s">
        <v>12</v>
      </c>
      <c r="AC123" s="615">
        <v>25.3</v>
      </c>
      <c r="AD123" s="492"/>
      <c r="AG123" s="493"/>
      <c r="AL123" s="492"/>
      <c r="AO123" s="493"/>
      <c r="AP123" s="492"/>
      <c r="AS123" s="493"/>
      <c r="AW123" s="493"/>
      <c r="BA123" s="494"/>
    </row>
    <row r="124" spans="1:53" s="615" customFormat="1">
      <c r="A124" s="615">
        <v>2015</v>
      </c>
      <c r="B124" s="852"/>
      <c r="C124" s="917" t="s">
        <v>673</v>
      </c>
      <c r="D124" s="917"/>
      <c r="E124" s="615">
        <v>365</v>
      </c>
      <c r="G124" s="498">
        <v>7</v>
      </c>
      <c r="I124" s="615">
        <v>6</v>
      </c>
      <c r="J124" s="500">
        <v>13</v>
      </c>
      <c r="K124" s="496">
        <f t="shared" si="9"/>
        <v>53.846153846153847</v>
      </c>
      <c r="L124" s="496">
        <f t="shared" si="10"/>
        <v>0</v>
      </c>
      <c r="M124" s="496">
        <f t="shared" si="11"/>
        <v>46.153846153846153</v>
      </c>
      <c r="N124" s="499">
        <f t="shared" si="12"/>
        <v>100</v>
      </c>
      <c r="O124" s="495">
        <v>27.3</v>
      </c>
      <c r="P124" s="496"/>
      <c r="Q124" s="496">
        <v>25.3</v>
      </c>
      <c r="R124" s="497">
        <f t="shared" si="13"/>
        <v>52.6</v>
      </c>
      <c r="S124" s="615">
        <v>2</v>
      </c>
      <c r="T124" s="839"/>
      <c r="U124" s="852"/>
      <c r="V124" s="492" t="s">
        <v>489</v>
      </c>
      <c r="W124" s="615" t="s">
        <v>22</v>
      </c>
      <c r="X124" s="615" t="s">
        <v>11</v>
      </c>
      <c r="Y124" s="493">
        <v>27.3</v>
      </c>
      <c r="Z124" s="615" t="s">
        <v>490</v>
      </c>
      <c r="AA124" s="615" t="s">
        <v>20</v>
      </c>
      <c r="AB124" s="615" t="s">
        <v>12</v>
      </c>
      <c r="AC124" s="615">
        <v>25.3</v>
      </c>
      <c r="AD124" s="492"/>
      <c r="AG124" s="493"/>
      <c r="AL124" s="492"/>
      <c r="AO124" s="493"/>
      <c r="AP124" s="492"/>
      <c r="AS124" s="493"/>
      <c r="AW124" s="493"/>
      <c r="BA124" s="494"/>
    </row>
    <row r="125" spans="1:53" s="686" customFormat="1">
      <c r="A125" s="686">
        <v>2016</v>
      </c>
      <c r="B125" s="852"/>
      <c r="C125" s="917" t="s">
        <v>673</v>
      </c>
      <c r="D125" s="917"/>
      <c r="E125" s="686">
        <v>0</v>
      </c>
      <c r="G125" s="498">
        <v>7</v>
      </c>
      <c r="I125" s="686">
        <v>6</v>
      </c>
      <c r="J125" s="500">
        <v>13</v>
      </c>
      <c r="K125" s="496">
        <f t="shared" ref="K125:K126" si="14">G125/$J125*100</f>
        <v>53.846153846153847</v>
      </c>
      <c r="L125" s="496">
        <f t="shared" ref="L125:L126" si="15">H125/$J125*100</f>
        <v>0</v>
      </c>
      <c r="M125" s="496">
        <f t="shared" ref="M125:M126" si="16">I125/$J125*100</f>
        <v>46.153846153846153</v>
      </c>
      <c r="N125" s="499">
        <f t="shared" ref="N125:N126" si="17">K125+L125+M125</f>
        <v>100</v>
      </c>
      <c r="O125" s="495">
        <v>27.3</v>
      </c>
      <c r="P125" s="496"/>
      <c r="Q125" s="496">
        <v>25.3</v>
      </c>
      <c r="R125" s="497">
        <f t="shared" ref="R125:R126" si="18">O125+P125+Q125</f>
        <v>52.6</v>
      </c>
      <c r="S125" s="686">
        <v>2</v>
      </c>
      <c r="T125" s="839"/>
      <c r="U125" s="852"/>
      <c r="V125" s="492" t="s">
        <v>489</v>
      </c>
      <c r="W125" s="686" t="s">
        <v>22</v>
      </c>
      <c r="X125" s="686" t="s">
        <v>11</v>
      </c>
      <c r="Y125" s="493">
        <v>27.3</v>
      </c>
      <c r="Z125" s="686" t="s">
        <v>490</v>
      </c>
      <c r="AA125" s="686" t="s">
        <v>20</v>
      </c>
      <c r="AB125" s="686" t="s">
        <v>12</v>
      </c>
      <c r="AC125" s="686">
        <v>25.3</v>
      </c>
      <c r="AD125" s="492"/>
      <c r="AG125" s="493"/>
      <c r="AL125" s="492"/>
      <c r="AO125" s="493"/>
      <c r="AP125" s="492"/>
      <c r="AS125" s="493"/>
      <c r="AW125" s="493"/>
      <c r="BA125" s="494"/>
    </row>
    <row r="126" spans="1:53" s="686" customFormat="1">
      <c r="A126" s="686">
        <v>2016</v>
      </c>
      <c r="B126" s="852"/>
      <c r="C126" s="917" t="s">
        <v>673</v>
      </c>
      <c r="D126" s="917"/>
      <c r="E126" s="686">
        <v>366</v>
      </c>
      <c r="G126" s="498">
        <v>7</v>
      </c>
      <c r="I126" s="686">
        <v>6</v>
      </c>
      <c r="J126" s="500">
        <v>13</v>
      </c>
      <c r="K126" s="496">
        <f t="shared" si="14"/>
        <v>53.846153846153847</v>
      </c>
      <c r="L126" s="496">
        <f t="shared" si="15"/>
        <v>0</v>
      </c>
      <c r="M126" s="496">
        <f t="shared" si="16"/>
        <v>46.153846153846153</v>
      </c>
      <c r="N126" s="499">
        <f t="shared" si="17"/>
        <v>100</v>
      </c>
      <c r="O126" s="495">
        <v>27.3</v>
      </c>
      <c r="P126" s="496"/>
      <c r="Q126" s="496">
        <v>25.3</v>
      </c>
      <c r="R126" s="497">
        <f t="shared" si="18"/>
        <v>52.6</v>
      </c>
      <c r="S126" s="686">
        <v>2</v>
      </c>
      <c r="T126" s="839"/>
      <c r="U126" s="852"/>
      <c r="V126" s="492" t="s">
        <v>489</v>
      </c>
      <c r="W126" s="686" t="s">
        <v>22</v>
      </c>
      <c r="X126" s="686" t="s">
        <v>11</v>
      </c>
      <c r="Y126" s="493">
        <v>27.3</v>
      </c>
      <c r="Z126" s="686" t="s">
        <v>490</v>
      </c>
      <c r="AA126" s="686" t="s">
        <v>20</v>
      </c>
      <c r="AB126" s="686" t="s">
        <v>12</v>
      </c>
      <c r="AC126" s="686">
        <v>25.3</v>
      </c>
      <c r="AD126" s="492"/>
      <c r="AG126" s="493"/>
      <c r="AL126" s="492"/>
      <c r="AO126" s="493"/>
      <c r="AP126" s="492"/>
      <c r="AS126" s="493"/>
      <c r="AW126" s="493"/>
      <c r="BA126" s="494"/>
    </row>
    <row r="127" spans="1:53" s="727" customFormat="1">
      <c r="A127" s="727">
        <v>2017</v>
      </c>
      <c r="B127" s="852"/>
      <c r="C127" s="917" t="s">
        <v>673</v>
      </c>
      <c r="D127" s="917"/>
      <c r="E127" s="727">
        <v>25</v>
      </c>
      <c r="G127" s="498">
        <v>7</v>
      </c>
      <c r="I127" s="727">
        <v>6</v>
      </c>
      <c r="J127" s="500">
        <v>13</v>
      </c>
      <c r="K127" s="496">
        <f t="shared" ref="K127:K128" si="19">G127/$J127*100</f>
        <v>53.846153846153847</v>
      </c>
      <c r="L127" s="496">
        <f t="shared" ref="L127:L128" si="20">H127/$J127*100</f>
        <v>0</v>
      </c>
      <c r="M127" s="496">
        <f t="shared" ref="M127:M128" si="21">I127/$J127*100</f>
        <v>46.153846153846153</v>
      </c>
      <c r="N127" s="499">
        <f t="shared" ref="N127:N128" si="22">K127+L127+M127</f>
        <v>100</v>
      </c>
      <c r="O127" s="495">
        <v>27.3</v>
      </c>
      <c r="P127" s="496"/>
      <c r="Q127" s="496">
        <v>25.3</v>
      </c>
      <c r="R127" s="497">
        <f t="shared" ref="R127" si="23">O127+P127+Q127</f>
        <v>52.6</v>
      </c>
      <c r="S127" s="727">
        <v>2</v>
      </c>
      <c r="T127" s="839"/>
      <c r="U127" s="852"/>
      <c r="V127" s="492" t="s">
        <v>489</v>
      </c>
      <c r="W127" s="727" t="s">
        <v>22</v>
      </c>
      <c r="X127" s="727" t="s">
        <v>11</v>
      </c>
      <c r="Y127" s="493">
        <v>27.3</v>
      </c>
      <c r="Z127" s="727" t="s">
        <v>490</v>
      </c>
      <c r="AA127" s="727" t="s">
        <v>20</v>
      </c>
      <c r="AB127" s="727" t="s">
        <v>12</v>
      </c>
      <c r="AC127" s="727">
        <v>25.3</v>
      </c>
      <c r="AD127" s="492"/>
      <c r="AG127" s="493"/>
      <c r="AL127" s="492"/>
      <c r="AO127" s="493"/>
      <c r="AP127" s="492"/>
      <c r="AS127" s="493"/>
      <c r="AW127" s="493"/>
      <c r="BA127" s="494"/>
    </row>
    <row r="128" spans="1:53" s="727" customFormat="1">
      <c r="A128" s="727">
        <v>2017</v>
      </c>
      <c r="B128" s="860">
        <v>42761</v>
      </c>
      <c r="C128" s="917" t="s">
        <v>673</v>
      </c>
      <c r="D128" s="917"/>
      <c r="E128" s="727">
        <v>273</v>
      </c>
      <c r="F128" s="502">
        <v>0</v>
      </c>
      <c r="G128" s="498">
        <v>6</v>
      </c>
      <c r="I128" s="727">
        <v>6</v>
      </c>
      <c r="J128" s="500">
        <v>12</v>
      </c>
      <c r="K128" s="496">
        <f t="shared" si="19"/>
        <v>50</v>
      </c>
      <c r="L128" s="496">
        <f t="shared" si="20"/>
        <v>0</v>
      </c>
      <c r="M128" s="496">
        <f t="shared" si="21"/>
        <v>50</v>
      </c>
      <c r="N128" s="499">
        <f t="shared" si="22"/>
        <v>100</v>
      </c>
      <c r="O128" s="495">
        <v>27.3</v>
      </c>
      <c r="P128" s="496"/>
      <c r="Q128" s="496">
        <v>25.3</v>
      </c>
      <c r="R128" s="497">
        <f t="shared" ref="R128:R129" si="24">O128+P128+Q128</f>
        <v>52.6</v>
      </c>
      <c r="S128" s="727">
        <v>2</v>
      </c>
      <c r="T128" s="839"/>
      <c r="U128" s="852"/>
      <c r="V128" s="492" t="s">
        <v>489</v>
      </c>
      <c r="W128" s="727" t="s">
        <v>22</v>
      </c>
      <c r="X128" s="727" t="s">
        <v>11</v>
      </c>
      <c r="Y128" s="493">
        <v>27.3</v>
      </c>
      <c r="Z128" s="727" t="s">
        <v>490</v>
      </c>
      <c r="AA128" s="727" t="s">
        <v>20</v>
      </c>
      <c r="AB128" s="727" t="s">
        <v>12</v>
      </c>
      <c r="AC128" s="727">
        <v>25.3</v>
      </c>
      <c r="AD128" s="492"/>
      <c r="AG128" s="493"/>
      <c r="AL128" s="492"/>
      <c r="AO128" s="493"/>
      <c r="AP128" s="492"/>
      <c r="AS128" s="493"/>
      <c r="AW128" s="493"/>
      <c r="BA128" s="494"/>
    </row>
    <row r="129" spans="1:53" s="726" customFormat="1">
      <c r="A129" s="726">
        <v>2017</v>
      </c>
      <c r="B129" s="836">
        <v>43034</v>
      </c>
      <c r="C129" s="916" t="s">
        <v>1383</v>
      </c>
      <c r="D129" s="916"/>
      <c r="E129" s="726">
        <v>67</v>
      </c>
      <c r="F129" s="726">
        <v>1</v>
      </c>
      <c r="G129" s="539">
        <v>6</v>
      </c>
      <c r="H129" s="726">
        <v>10</v>
      </c>
      <c r="J129" s="541">
        <v>16</v>
      </c>
      <c r="K129" s="537">
        <f t="shared" ref="K129" si="25">G129/$J129*100</f>
        <v>37.5</v>
      </c>
      <c r="L129" s="537">
        <f t="shared" ref="L129" si="26">H129/$J129*100</f>
        <v>62.5</v>
      </c>
      <c r="M129" s="537">
        <f t="shared" ref="M129" si="27">I129/$J129*100</f>
        <v>0</v>
      </c>
      <c r="N129" s="540">
        <f t="shared" ref="N129" si="28">K129+L129+M129</f>
        <v>100</v>
      </c>
      <c r="O129" s="536">
        <v>22</v>
      </c>
      <c r="P129" s="537">
        <v>28.7</v>
      </c>
      <c r="Q129" s="537"/>
      <c r="R129" s="538">
        <f t="shared" si="24"/>
        <v>50.7</v>
      </c>
      <c r="S129" s="726">
        <v>2</v>
      </c>
      <c r="T129" s="838">
        <v>42809</v>
      </c>
      <c r="U129" s="836">
        <v>43034</v>
      </c>
      <c r="V129" s="532" t="s">
        <v>489</v>
      </c>
      <c r="W129" s="726" t="s">
        <v>22</v>
      </c>
      <c r="X129" s="726" t="s">
        <v>11</v>
      </c>
      <c r="Y129" s="533">
        <v>22</v>
      </c>
      <c r="Z129" s="726" t="s">
        <v>493</v>
      </c>
      <c r="AA129" s="726" t="s">
        <v>328</v>
      </c>
      <c r="AB129" s="726" t="s">
        <v>18</v>
      </c>
      <c r="AC129" s="726">
        <v>12.7</v>
      </c>
      <c r="AD129" s="532" t="s">
        <v>492</v>
      </c>
      <c r="AE129" s="726" t="s">
        <v>88</v>
      </c>
      <c r="AF129" s="726" t="s">
        <v>18</v>
      </c>
      <c r="AG129" s="533">
        <v>12.7</v>
      </c>
      <c r="AH129" s="726" t="s">
        <v>568</v>
      </c>
      <c r="AI129" s="726" t="s">
        <v>329</v>
      </c>
      <c r="AJ129" s="726" t="s">
        <v>18</v>
      </c>
      <c r="AK129" s="726">
        <v>3.3</v>
      </c>
      <c r="AL129" s="532"/>
      <c r="AO129" s="533"/>
      <c r="AP129" s="532"/>
      <c r="AS129" s="533"/>
      <c r="AW129" s="533"/>
      <c r="BA129" s="534"/>
    </row>
    <row r="130" spans="1:53" s="770" customFormat="1">
      <c r="A130" s="770">
        <v>2018</v>
      </c>
      <c r="B130" s="836"/>
      <c r="C130" s="916" t="s">
        <v>1383</v>
      </c>
      <c r="D130" s="916"/>
      <c r="E130" s="770">
        <v>0</v>
      </c>
      <c r="G130" s="539">
        <v>6</v>
      </c>
      <c r="H130" s="770">
        <v>10</v>
      </c>
      <c r="J130" s="541">
        <v>16</v>
      </c>
      <c r="K130" s="537">
        <f t="shared" ref="K130:K133" si="29">G130/$J130*100</f>
        <v>37.5</v>
      </c>
      <c r="L130" s="537">
        <f t="shared" ref="L130:L133" si="30">H130/$J130*100</f>
        <v>62.5</v>
      </c>
      <c r="M130" s="537">
        <f t="shared" ref="M130:M133" si="31">I130/$J130*100</f>
        <v>0</v>
      </c>
      <c r="N130" s="540">
        <f t="shared" ref="N130:N133" si="32">K130+L130+M130</f>
        <v>100</v>
      </c>
      <c r="O130" s="536">
        <v>22</v>
      </c>
      <c r="P130" s="537">
        <v>28.7</v>
      </c>
      <c r="Q130" s="537"/>
      <c r="R130" s="538">
        <f t="shared" ref="R130:R133" si="33">O130+P130+Q130</f>
        <v>50.7</v>
      </c>
      <c r="S130" s="770">
        <v>2</v>
      </c>
      <c r="T130" s="838"/>
      <c r="U130" s="836"/>
      <c r="V130" s="532" t="s">
        <v>489</v>
      </c>
      <c r="W130" s="770" t="s">
        <v>22</v>
      </c>
      <c r="X130" s="770" t="s">
        <v>11</v>
      </c>
      <c r="Y130" s="533">
        <v>22</v>
      </c>
      <c r="Z130" s="770" t="s">
        <v>493</v>
      </c>
      <c r="AA130" s="770" t="s">
        <v>328</v>
      </c>
      <c r="AB130" s="770" t="s">
        <v>18</v>
      </c>
      <c r="AC130" s="770">
        <v>12.7</v>
      </c>
      <c r="AD130" s="532" t="s">
        <v>492</v>
      </c>
      <c r="AE130" s="770" t="s">
        <v>88</v>
      </c>
      <c r="AF130" s="770" t="s">
        <v>18</v>
      </c>
      <c r="AG130" s="533">
        <v>12.7</v>
      </c>
      <c r="AH130" s="770" t="s">
        <v>568</v>
      </c>
      <c r="AI130" s="770" t="s">
        <v>329</v>
      </c>
      <c r="AJ130" s="770" t="s">
        <v>18</v>
      </c>
      <c r="AK130" s="770">
        <v>3.3</v>
      </c>
      <c r="AL130" s="532"/>
      <c r="AO130" s="533"/>
      <c r="AP130" s="532"/>
      <c r="AS130" s="533"/>
      <c r="AW130" s="533"/>
      <c r="BA130" s="534"/>
    </row>
    <row r="131" spans="1:53" s="770" customFormat="1">
      <c r="A131" s="770">
        <v>2018</v>
      </c>
      <c r="B131" s="836"/>
      <c r="C131" s="916" t="s">
        <v>1383</v>
      </c>
      <c r="D131" s="916"/>
      <c r="E131" s="770">
        <v>365</v>
      </c>
      <c r="G131" s="539">
        <v>6</v>
      </c>
      <c r="H131" s="770">
        <v>10</v>
      </c>
      <c r="J131" s="541">
        <v>16</v>
      </c>
      <c r="K131" s="537">
        <f t="shared" si="29"/>
        <v>37.5</v>
      </c>
      <c r="L131" s="537">
        <f t="shared" si="30"/>
        <v>62.5</v>
      </c>
      <c r="M131" s="537">
        <f t="shared" si="31"/>
        <v>0</v>
      </c>
      <c r="N131" s="540">
        <f t="shared" si="32"/>
        <v>100</v>
      </c>
      <c r="O131" s="536">
        <v>22</v>
      </c>
      <c r="P131" s="537">
        <v>28.7</v>
      </c>
      <c r="Q131" s="537"/>
      <c r="R131" s="538">
        <f t="shared" si="33"/>
        <v>50.7</v>
      </c>
      <c r="S131" s="770">
        <v>2</v>
      </c>
      <c r="T131" s="838"/>
      <c r="U131" s="836"/>
      <c r="V131" s="532" t="s">
        <v>489</v>
      </c>
      <c r="W131" s="770" t="s">
        <v>22</v>
      </c>
      <c r="X131" s="770" t="s">
        <v>11</v>
      </c>
      <c r="Y131" s="533">
        <v>22</v>
      </c>
      <c r="Z131" s="770" t="s">
        <v>493</v>
      </c>
      <c r="AA131" s="770" t="s">
        <v>328</v>
      </c>
      <c r="AB131" s="770" t="s">
        <v>18</v>
      </c>
      <c r="AC131" s="770">
        <v>12.7</v>
      </c>
      <c r="AD131" s="532" t="s">
        <v>492</v>
      </c>
      <c r="AE131" s="770" t="s">
        <v>88</v>
      </c>
      <c r="AF131" s="770" t="s">
        <v>18</v>
      </c>
      <c r="AG131" s="533">
        <v>12.7</v>
      </c>
      <c r="AH131" s="770" t="s">
        <v>568</v>
      </c>
      <c r="AI131" s="770" t="s">
        <v>329</v>
      </c>
      <c r="AJ131" s="770" t="s">
        <v>18</v>
      </c>
      <c r="AK131" s="770">
        <v>3.3</v>
      </c>
      <c r="AL131" s="532"/>
      <c r="AO131" s="533"/>
      <c r="AP131" s="532"/>
      <c r="AS131" s="533"/>
      <c r="AW131" s="533"/>
      <c r="BA131" s="534"/>
    </row>
    <row r="132" spans="1:53" s="800" customFormat="1">
      <c r="A132" s="800">
        <v>2019</v>
      </c>
      <c r="B132" s="836"/>
      <c r="C132" s="916" t="s">
        <v>1383</v>
      </c>
      <c r="D132" s="916"/>
      <c r="E132" s="800">
        <v>304</v>
      </c>
      <c r="G132" s="539">
        <v>6</v>
      </c>
      <c r="H132" s="800">
        <v>10</v>
      </c>
      <c r="J132" s="541">
        <v>16</v>
      </c>
      <c r="K132" s="537">
        <f t="shared" si="29"/>
        <v>37.5</v>
      </c>
      <c r="L132" s="537">
        <f t="shared" si="30"/>
        <v>62.5</v>
      </c>
      <c r="M132" s="537">
        <f t="shared" si="31"/>
        <v>0</v>
      </c>
      <c r="N132" s="540">
        <f t="shared" si="32"/>
        <v>100</v>
      </c>
      <c r="O132" s="536">
        <v>22</v>
      </c>
      <c r="P132" s="537">
        <v>28.7</v>
      </c>
      <c r="Q132" s="537"/>
      <c r="R132" s="538">
        <f t="shared" si="33"/>
        <v>50.7</v>
      </c>
      <c r="S132" s="800">
        <v>2</v>
      </c>
      <c r="T132" s="838"/>
      <c r="U132" s="836"/>
      <c r="V132" s="532" t="s">
        <v>489</v>
      </c>
      <c r="W132" s="800" t="s">
        <v>22</v>
      </c>
      <c r="X132" s="800" t="s">
        <v>11</v>
      </c>
      <c r="Y132" s="533">
        <v>22</v>
      </c>
      <c r="Z132" s="800" t="s">
        <v>493</v>
      </c>
      <c r="AA132" s="800" t="s">
        <v>328</v>
      </c>
      <c r="AB132" s="800" t="s">
        <v>18</v>
      </c>
      <c r="AC132" s="800">
        <v>12.7</v>
      </c>
      <c r="AD132" s="532" t="s">
        <v>492</v>
      </c>
      <c r="AE132" s="800" t="s">
        <v>88</v>
      </c>
      <c r="AF132" s="800" t="s">
        <v>18</v>
      </c>
      <c r="AG132" s="533">
        <v>12.7</v>
      </c>
      <c r="AH132" s="800" t="s">
        <v>568</v>
      </c>
      <c r="AI132" s="800" t="s">
        <v>329</v>
      </c>
      <c r="AJ132" s="800" t="s">
        <v>18</v>
      </c>
      <c r="AK132" s="800">
        <v>3.3</v>
      </c>
      <c r="AL132" s="532"/>
      <c r="AO132" s="533"/>
      <c r="AP132" s="532"/>
      <c r="AS132" s="533"/>
    </row>
    <row r="133" spans="1:53" s="800" customFormat="1">
      <c r="A133" s="800">
        <v>2019</v>
      </c>
      <c r="B133" s="865">
        <v>43770</v>
      </c>
      <c r="C133" s="916" t="s">
        <v>1383</v>
      </c>
      <c r="D133" s="916"/>
      <c r="E133" s="800">
        <v>61</v>
      </c>
      <c r="F133" s="428">
        <v>0</v>
      </c>
      <c r="G133" s="539">
        <v>6</v>
      </c>
      <c r="H133" s="800">
        <v>11</v>
      </c>
      <c r="J133" s="541">
        <v>17</v>
      </c>
      <c r="K133" s="537">
        <f t="shared" si="29"/>
        <v>35.294117647058826</v>
      </c>
      <c r="L133" s="537">
        <f t="shared" si="30"/>
        <v>64.705882352941174</v>
      </c>
      <c r="M133" s="537">
        <f t="shared" si="31"/>
        <v>0</v>
      </c>
      <c r="N133" s="540">
        <f t="shared" si="32"/>
        <v>100</v>
      </c>
      <c r="O133" s="536">
        <v>22</v>
      </c>
      <c r="P133" s="537">
        <v>28.7</v>
      </c>
      <c r="Q133" s="537"/>
      <c r="R133" s="538">
        <f t="shared" si="33"/>
        <v>50.7</v>
      </c>
      <c r="S133" s="800">
        <v>2</v>
      </c>
      <c r="T133" s="838"/>
      <c r="U133" s="836"/>
      <c r="V133" s="532" t="s">
        <v>489</v>
      </c>
      <c r="W133" s="800" t="s">
        <v>22</v>
      </c>
      <c r="X133" s="800" t="s">
        <v>11</v>
      </c>
      <c r="Y133" s="533">
        <v>22</v>
      </c>
      <c r="Z133" s="800" t="s">
        <v>493</v>
      </c>
      <c r="AA133" s="800" t="s">
        <v>328</v>
      </c>
      <c r="AB133" s="800" t="s">
        <v>18</v>
      </c>
      <c r="AC133" s="800">
        <v>12.7</v>
      </c>
      <c r="AD133" s="532" t="s">
        <v>492</v>
      </c>
      <c r="AE133" s="800" t="s">
        <v>88</v>
      </c>
      <c r="AF133" s="800" t="s">
        <v>18</v>
      </c>
      <c r="AG133" s="533">
        <v>12.7</v>
      </c>
      <c r="AH133" s="800" t="s">
        <v>568</v>
      </c>
      <c r="AI133" s="800" t="s">
        <v>329</v>
      </c>
      <c r="AJ133" s="800" t="s">
        <v>18</v>
      </c>
      <c r="AK133" s="800">
        <v>3.3</v>
      </c>
      <c r="AL133" s="532"/>
      <c r="AO133" s="533"/>
      <c r="AP133" s="532"/>
      <c r="AS133" s="533"/>
    </row>
    <row r="134" spans="1:53" s="803" customFormat="1">
      <c r="B134" s="865"/>
      <c r="C134" s="916"/>
      <c r="D134" s="916"/>
      <c r="F134" s="428"/>
      <c r="G134" s="539"/>
      <c r="J134" s="541"/>
      <c r="K134" s="537"/>
      <c r="L134" s="537"/>
      <c r="M134" s="537"/>
      <c r="N134" s="540"/>
      <c r="O134" s="536"/>
      <c r="P134" s="537"/>
      <c r="Q134" s="537"/>
      <c r="R134" s="538"/>
      <c r="T134" s="838"/>
      <c r="U134" s="836"/>
      <c r="V134" s="532"/>
      <c r="Y134" s="533"/>
      <c r="AD134" s="532"/>
      <c r="AG134" s="533"/>
      <c r="AL134" s="532"/>
      <c r="AO134" s="533"/>
      <c r="AP134" s="532"/>
      <c r="AS134" s="533"/>
    </row>
    <row r="137" spans="1:53" s="2" customFormat="1" ht="18" customHeight="1">
      <c r="B137" s="22" t="s">
        <v>1269</v>
      </c>
      <c r="H137" s="6"/>
    </row>
    <row r="138" spans="1:53" s="2" customFormat="1" ht="9" customHeight="1">
      <c r="H138" s="6"/>
    </row>
    <row r="139" spans="1:53" s="317" customFormat="1" ht="9" customHeight="1">
      <c r="A139" s="315"/>
      <c r="B139" s="316" t="s">
        <v>1220</v>
      </c>
      <c r="C139" s="316"/>
      <c r="D139" s="316"/>
      <c r="E139" s="316"/>
      <c r="F139" s="316"/>
      <c r="G139" s="316" t="s">
        <v>1221</v>
      </c>
      <c r="H139" s="316"/>
      <c r="I139" s="316"/>
      <c r="J139" s="316"/>
      <c r="K139" s="316"/>
      <c r="L139" s="316"/>
      <c r="M139" s="316"/>
      <c r="N139" s="316"/>
      <c r="R139" s="895" t="s">
        <v>1222</v>
      </c>
      <c r="S139" s="895"/>
      <c r="T139" s="895"/>
      <c r="U139" s="895"/>
      <c r="V139" s="895"/>
      <c r="W139" s="895"/>
      <c r="X139" s="318"/>
      <c r="Y139" s="318"/>
      <c r="AA139" s="318"/>
      <c r="AB139" s="318"/>
      <c r="AC139" s="318"/>
      <c r="AD139" s="318"/>
    </row>
    <row r="140" spans="1:53" s="322" customFormat="1" ht="9" customHeight="1">
      <c r="A140" s="319"/>
      <c r="B140" s="320" t="s">
        <v>1224</v>
      </c>
      <c r="C140" s="321"/>
      <c r="D140" s="321"/>
      <c r="E140" s="321"/>
      <c r="F140" s="321"/>
      <c r="G140" s="320" t="s">
        <v>1223</v>
      </c>
      <c r="H140" s="321"/>
      <c r="I140" s="321"/>
      <c r="J140" s="321"/>
      <c r="K140" s="321"/>
      <c r="L140" s="321"/>
      <c r="M140" s="321"/>
      <c r="N140" s="321"/>
      <c r="R140" s="323" t="s">
        <v>1225</v>
      </c>
      <c r="S140" s="324"/>
      <c r="T140" s="325"/>
      <c r="U140" s="325"/>
      <c r="V140" s="325"/>
      <c r="W140" s="323" t="s">
        <v>1226</v>
      </c>
      <c r="X140" s="325"/>
      <c r="Y140" s="325"/>
      <c r="AA140" s="325"/>
      <c r="AB140" s="325"/>
      <c r="AC140" s="325"/>
      <c r="AD140" s="325"/>
    </row>
    <row r="141" spans="1:53" s="307" customFormat="1" ht="12" customHeight="1">
      <c r="A141" s="326" t="s">
        <v>3</v>
      </c>
      <c r="B141" s="327" t="s">
        <v>8</v>
      </c>
      <c r="C141" s="327" t="s">
        <v>9</v>
      </c>
      <c r="D141" s="327" t="s">
        <v>10</v>
      </c>
      <c r="E141" s="328" t="s">
        <v>1200</v>
      </c>
      <c r="F141" s="327"/>
      <c r="G141" s="307" t="s">
        <v>3</v>
      </c>
      <c r="H141" s="896" t="s">
        <v>0</v>
      </c>
      <c r="I141" s="896"/>
      <c r="J141" s="896" t="s">
        <v>1</v>
      </c>
      <c r="K141" s="896"/>
      <c r="L141" s="896" t="s">
        <v>2</v>
      </c>
      <c r="M141" s="896"/>
      <c r="N141" s="897" t="s">
        <v>1200</v>
      </c>
      <c r="O141" s="897"/>
      <c r="P141" s="329"/>
      <c r="Q141" s="329"/>
      <c r="R141" s="330" t="s">
        <v>3</v>
      </c>
      <c r="S141" s="331" t="s">
        <v>136</v>
      </c>
      <c r="T141" s="329" t="s">
        <v>134</v>
      </c>
      <c r="U141" s="327" t="s">
        <v>135</v>
      </c>
      <c r="V141" s="329"/>
      <c r="W141" s="332" t="s">
        <v>26</v>
      </c>
    </row>
    <row r="142" spans="1:53" s="243" customFormat="1">
      <c r="A142" s="243">
        <v>1959</v>
      </c>
      <c r="B142" s="230">
        <f>(K6*($E6/365)) + (K7*($E7/365))</f>
        <v>40.028703898840888</v>
      </c>
      <c r="C142" s="230">
        <f>(L6*($E6/365)) + (L7*($E7/365))</f>
        <v>41.06718651211802</v>
      </c>
      <c r="D142" s="230">
        <f>(M6*($E6/365)) + (M7*($E7/365))</f>
        <v>0</v>
      </c>
      <c r="E142" s="231">
        <f>B142+C142+D142</f>
        <v>81.095890410958901</v>
      </c>
      <c r="G142" s="243">
        <v>1959</v>
      </c>
      <c r="H142" s="927">
        <f>(O6/$R6*100*($E6/365))+(O7/$R7*100*($E7/365))</f>
        <v>47.846889952153113</v>
      </c>
      <c r="I142" s="927"/>
      <c r="J142" s="927">
        <f>(P6/$R6*100*($E6/365))+(P7/$R7*100*($E7/365))</f>
        <v>52.153110047846894</v>
      </c>
      <c r="K142" s="927"/>
      <c r="L142" s="927">
        <f>(Q6/$R6*100*($E6/365))+(Q7/$R7*100*($E7/365))</f>
        <v>0</v>
      </c>
      <c r="M142" s="927"/>
      <c r="N142" s="926">
        <f>H142+J142+L142</f>
        <v>100</v>
      </c>
      <c r="O142" s="926"/>
      <c r="R142" s="243">
        <v>1959</v>
      </c>
      <c r="S142" s="230">
        <f>(O6*($E6/365)) + (O7*($E7/365))</f>
        <v>30</v>
      </c>
      <c r="T142" s="230">
        <f>(P6*($E6/365)) + (P7*($E7/365))</f>
        <v>32.700000000000003</v>
      </c>
      <c r="U142" s="230">
        <f>(Q6*($E6/365)) + (Q7*($E7/365))</f>
        <v>0</v>
      </c>
      <c r="V142" s="244"/>
      <c r="W142" s="244">
        <f>S142+T142+U142</f>
        <v>62.7</v>
      </c>
    </row>
    <row r="143" spans="1:53">
      <c r="A143" s="1">
        <v>1960</v>
      </c>
      <c r="B143" s="8">
        <f>(K8*($E8/366))+(K9*($E9/366))</f>
        <v>53.846153846153847</v>
      </c>
      <c r="C143" s="8">
        <f>(L8*($E8/366))+(L9*($E9/366))</f>
        <v>46.153846153846153</v>
      </c>
      <c r="D143" s="8">
        <f>(M8*($E8/366))+(M9*($E9/366))</f>
        <v>0</v>
      </c>
      <c r="E143" s="48">
        <f>B143+C143+D143</f>
        <v>100</v>
      </c>
      <c r="G143" s="1">
        <v>1960</v>
      </c>
      <c r="H143" s="918">
        <f>(O8/$R8*100*($E8/366))+(O9/$R9*100*($E9/366))</f>
        <v>47.846889952153113</v>
      </c>
      <c r="I143" s="918"/>
      <c r="J143" s="918">
        <f>(P8/$R8*100*($E8/366))+(P9/$R9*100*($E9/366))</f>
        <v>52.153110047846894</v>
      </c>
      <c r="K143" s="918"/>
      <c r="L143" s="918">
        <f>(Q8/$R8*100*($E8/366))+(Q9/$R9*100*($E9/366))</f>
        <v>0</v>
      </c>
      <c r="M143" s="918"/>
      <c r="N143" s="919">
        <f>H143+J143+L143</f>
        <v>100</v>
      </c>
      <c r="O143" s="919"/>
      <c r="R143" s="1">
        <v>1960</v>
      </c>
      <c r="S143" s="8">
        <f>(O8*($E8/366))+(O9*($E9/366))</f>
        <v>30</v>
      </c>
      <c r="T143" s="8">
        <f>(P8*($E8/366))+(P9*($E9/366))</f>
        <v>32.700000000000003</v>
      </c>
      <c r="U143" s="8">
        <f>(Q8*($E8/366))+(Q9*($E9/366))</f>
        <v>0</v>
      </c>
      <c r="V143" s="7"/>
      <c r="W143" s="7">
        <f>S143+T143+U143</f>
        <v>62.7</v>
      </c>
    </row>
    <row r="144" spans="1:53">
      <c r="A144" s="1">
        <v>1961</v>
      </c>
      <c r="B144" s="8">
        <f>(K10*($E10/365))+(K11*($E11/365))</f>
        <v>53.846153846153847</v>
      </c>
      <c r="C144" s="8">
        <f>(L10*($E10/365))+(L11*($E11/365))</f>
        <v>46.153846153846153</v>
      </c>
      <c r="D144" s="8">
        <f>(M10*($E10/365))+(M11*($E11/365))</f>
        <v>0</v>
      </c>
      <c r="E144" s="48">
        <f t="shared" ref="E144:E196" si="34">B144+C144+D144</f>
        <v>100</v>
      </c>
      <c r="G144" s="1">
        <v>1961</v>
      </c>
      <c r="H144" s="918">
        <f>(O10/$R10*100*($E10/365))+(O11/$R11*100*($E11/365))</f>
        <v>47.846889952153113</v>
      </c>
      <c r="I144" s="918"/>
      <c r="J144" s="918">
        <f>(P10/$R10*100*($E10/365))+(P11/$R11*100*($E11/365))</f>
        <v>52.153110047846894</v>
      </c>
      <c r="K144" s="918"/>
      <c r="L144" s="918">
        <f>(Q10/$R10*100*($E10/365))+(Q11/$R11*100*($E11/365))</f>
        <v>0</v>
      </c>
      <c r="M144" s="918"/>
      <c r="N144" s="887">
        <f>H144+J144+L144</f>
        <v>100</v>
      </c>
      <c r="O144" s="887"/>
      <c r="R144" s="1">
        <v>1961</v>
      </c>
      <c r="S144" s="8">
        <f>(O10*($E10/365))+(O11*($E11/365))</f>
        <v>30</v>
      </c>
      <c r="T144" s="8">
        <f>(P10*($E10/365))+(P11*($E11/365))</f>
        <v>32.700000000000003</v>
      </c>
      <c r="U144" s="8">
        <f>(Q10*($E10/365))+(Q11*($E11/365))</f>
        <v>0</v>
      </c>
      <c r="V144" s="7"/>
      <c r="W144" s="7">
        <f t="shared" ref="W144:W196" si="35">S144+T144+U144</f>
        <v>62.7</v>
      </c>
    </row>
    <row r="145" spans="1:23">
      <c r="A145" s="1">
        <v>1962</v>
      </c>
      <c r="B145" s="8">
        <f>(K12*($E12/365))+(K13*($E13/365))</f>
        <v>53.846153846153847</v>
      </c>
      <c r="C145" s="8">
        <f>(L12*($E12/365))+(L13*($E13/365))</f>
        <v>46.153846153846153</v>
      </c>
      <c r="D145" s="8">
        <f>(M12*($E12/365))+(M13*($E13/365))</f>
        <v>0</v>
      </c>
      <c r="E145" s="48">
        <f t="shared" si="34"/>
        <v>100</v>
      </c>
      <c r="G145" s="1">
        <v>1962</v>
      </c>
      <c r="H145" s="918">
        <f>(O12/$R12*100*($E12/365))+(O13/$R13*100*($E13/365))</f>
        <v>47.846889952153113</v>
      </c>
      <c r="I145" s="918"/>
      <c r="J145" s="918">
        <f>(P12/$R12*100*($E12/365))+(P13/$R13*100*($E13/365))</f>
        <v>52.153110047846894</v>
      </c>
      <c r="K145" s="918"/>
      <c r="L145" s="918">
        <f>(Q12/$R12*100*($E12/365))+(Q13/$R13*100*($E13/365))</f>
        <v>0</v>
      </c>
      <c r="M145" s="918"/>
      <c r="N145" s="887">
        <f t="shared" ref="N145:N195" si="36">H145+J145+L145</f>
        <v>100</v>
      </c>
      <c r="O145" s="887"/>
      <c r="R145" s="1">
        <v>1962</v>
      </c>
      <c r="S145" s="8">
        <f>(O12*($E12/365))+(O13*($E13/365))</f>
        <v>30</v>
      </c>
      <c r="T145" s="8">
        <f>(P12*($E12/365))+(P13*($E13/365))</f>
        <v>32.700000000000003</v>
      </c>
      <c r="U145" s="8">
        <f>(Q12*($E12/365))+(Q13*($E13/365))</f>
        <v>0</v>
      </c>
      <c r="V145" s="7"/>
      <c r="W145" s="7">
        <f t="shared" si="35"/>
        <v>62.7</v>
      </c>
    </row>
    <row r="146" spans="1:23">
      <c r="A146" s="1">
        <v>1963</v>
      </c>
      <c r="B146" s="8">
        <f>(K14*($E14/365))+(K15*($E15/365))</f>
        <v>53.846153846153854</v>
      </c>
      <c r="C146" s="8">
        <f>(L14*($E14/365))+(L15*($E15/365))</f>
        <v>46.15384615384616</v>
      </c>
      <c r="D146" s="8">
        <f>(M14*($E14/365))+(M15*($E15/365))</f>
        <v>0</v>
      </c>
      <c r="E146" s="48">
        <f t="shared" si="34"/>
        <v>100.00000000000001</v>
      </c>
      <c r="G146" s="1">
        <v>1963</v>
      </c>
      <c r="H146" s="918">
        <f>(O14/$R14*100*($E14/365))+(O15/$R15*100*($E15/365))</f>
        <v>46.928785185163051</v>
      </c>
      <c r="I146" s="918"/>
      <c r="J146" s="918">
        <f>(P14/$R14*100*($E14/365))+(P15/$R15*100*($E15/365))</f>
        <v>53.071214814836964</v>
      </c>
      <c r="K146" s="918"/>
      <c r="L146" s="918">
        <f>(Q14/$R14*100*($E14/365))+(Q15/$R15*100*($E15/365))</f>
        <v>0</v>
      </c>
      <c r="M146" s="918"/>
      <c r="N146" s="887">
        <f t="shared" si="36"/>
        <v>100.00000000000001</v>
      </c>
      <c r="O146" s="887"/>
      <c r="R146" s="1">
        <v>1963</v>
      </c>
      <c r="S146" s="8">
        <f>(O14*($E14/365))+(O15*($E15/365))</f>
        <v>29.161917808219179</v>
      </c>
      <c r="T146" s="8">
        <f>(P14*($E14/365))+(P15*($E15/365))</f>
        <v>32.964657534246577</v>
      </c>
      <c r="U146" s="8">
        <f>(Q14*($E14/365))+(Q15*($E15/365))</f>
        <v>0</v>
      </c>
      <c r="V146" s="7"/>
      <c r="W146" s="7">
        <f t="shared" si="35"/>
        <v>62.126575342465756</v>
      </c>
    </row>
    <row r="147" spans="1:23">
      <c r="A147" s="1">
        <v>1964</v>
      </c>
      <c r="B147" s="8">
        <f>(K16*($E16/366))+(K17*($E17/366))</f>
        <v>53.846153846153847</v>
      </c>
      <c r="C147" s="8">
        <f>(L16*($E16/366))+(L17*($E17/366))</f>
        <v>46.153846153846153</v>
      </c>
      <c r="D147" s="8">
        <f>(M16*($E16/366))+(M17*($E17/366))</f>
        <v>0</v>
      </c>
      <c r="E147" s="48">
        <f t="shared" si="34"/>
        <v>100</v>
      </c>
      <c r="G147" s="1">
        <v>1964</v>
      </c>
      <c r="H147" s="918">
        <f>(O16/$R16*100*($E16/366))+(O17/$R17*100*($E17/366))</f>
        <v>45.765472312703587</v>
      </c>
      <c r="I147" s="918"/>
      <c r="J147" s="918">
        <f>(P16/$R16*100*($E16/366))+(P17/$R17*100*($E17/366))</f>
        <v>54.234527687296421</v>
      </c>
      <c r="K147" s="918"/>
      <c r="L147" s="918">
        <f>(Q16/$R16*100*($E16/366))+(Q17/$R17*100*($E17/366))</f>
        <v>0</v>
      </c>
      <c r="M147" s="918"/>
      <c r="N147" s="887">
        <f t="shared" si="36"/>
        <v>100</v>
      </c>
      <c r="O147" s="887"/>
      <c r="R147" s="1">
        <v>1964</v>
      </c>
      <c r="S147" s="8">
        <f>(O16*($E16/366))+(O17*($E17/366))</f>
        <v>28.099999999999998</v>
      </c>
      <c r="T147" s="8">
        <f>(P16*($E16/366))+(P17*($E17/366))</f>
        <v>33.299999999999997</v>
      </c>
      <c r="U147" s="8">
        <f>(Q16*($E16/366))+(Q17*($E17/366))</f>
        <v>0</v>
      </c>
      <c r="V147" s="7"/>
      <c r="W147" s="7">
        <f t="shared" si="35"/>
        <v>61.399999999999991</v>
      </c>
    </row>
    <row r="148" spans="1:23">
      <c r="A148" s="1">
        <v>1965</v>
      </c>
      <c r="B148" s="8">
        <f>(K18*($E18/365))+(K19*($E19/365))</f>
        <v>26.858347132319736</v>
      </c>
      <c r="C148" s="8">
        <f>(L18*($E18/365))+(L19*($E19/365))</f>
        <v>43.904862261026643</v>
      </c>
      <c r="D148" s="8">
        <f>(M18*($E18/365))+(M19*($E19/365))</f>
        <v>24.363992172211351</v>
      </c>
      <c r="E148" s="48">
        <f t="shared" si="34"/>
        <v>95.127201565557741</v>
      </c>
      <c r="G148" s="1">
        <v>1965</v>
      </c>
      <c r="H148" s="918">
        <f>(O18/$R18*100*($E18/365))+(O19/$R19*100*($E19/365))</f>
        <v>22.939365310919946</v>
      </c>
      <c r="I148" s="918"/>
      <c r="J148" s="918">
        <f>(P18/$R18*100*($E18/365))+(P19/$R19*100*($E19/365))</f>
        <v>49.367701012150718</v>
      </c>
      <c r="K148" s="918"/>
      <c r="L148" s="918">
        <f>(Q18/$R18*100*($E18/365))+(Q19/$R19*100*($E19/365))</f>
        <v>27.692933676929332</v>
      </c>
      <c r="M148" s="918"/>
      <c r="N148" s="887">
        <f t="shared" si="36"/>
        <v>100</v>
      </c>
      <c r="O148" s="887"/>
      <c r="R148" s="1">
        <v>1965</v>
      </c>
      <c r="S148" s="8">
        <f>(O18*($E18/365))+(O19*($E19/365))</f>
        <v>14.865479452054794</v>
      </c>
      <c r="T148" s="8">
        <f>(P18*($E18/365))+(P19*($E19/365))</f>
        <v>33.299999999999997</v>
      </c>
      <c r="U148" s="8">
        <f>(Q18*($E18/365))+(Q19*($E19/365))</f>
        <v>19.57890410958904</v>
      </c>
      <c r="V148" s="7"/>
      <c r="W148" s="7">
        <f t="shared" si="35"/>
        <v>67.744383561643829</v>
      </c>
    </row>
    <row r="149" spans="1:23">
      <c r="A149" s="1">
        <v>1966</v>
      </c>
      <c r="B149" s="8">
        <f>(K20*($E20/365))+(K21*($E21/365))</f>
        <v>16.092127051031159</v>
      </c>
      <c r="C149" s="8">
        <f>(L20*($E20/365))+(L21*($E21/365))</f>
        <v>45.747403281649852</v>
      </c>
      <c r="D149" s="8">
        <f>(M20*($E20/365))+(M21*($E21/365))</f>
        <v>31.800391389432487</v>
      </c>
      <c r="E149" s="48">
        <f t="shared" si="34"/>
        <v>93.639921722113499</v>
      </c>
      <c r="G149" s="1">
        <v>1966</v>
      </c>
      <c r="H149" s="918">
        <f>(O20/$R20*100*($E20/365))+(O21/$R21*100*($E21/365))</f>
        <v>13.227025246555966</v>
      </c>
      <c r="I149" s="918"/>
      <c r="J149" s="918">
        <f>(P20/$R20*100*($E20/365))+(P21/$R21*100*($E21/365))</f>
        <v>50.627579391990068</v>
      </c>
      <c r="K149" s="918"/>
      <c r="L149" s="918">
        <f>(Q20/$R20*100*($E20/365))+(Q21/$R21*100*($E21/365))</f>
        <v>36.14539536145395</v>
      </c>
      <c r="M149" s="918"/>
      <c r="N149" s="887">
        <f t="shared" si="36"/>
        <v>99.999999999999986</v>
      </c>
      <c r="O149" s="887"/>
      <c r="R149" s="1">
        <v>1966</v>
      </c>
      <c r="S149" s="8">
        <f>(O20*($E20/365))+(O21*($E21/365))</f>
        <v>8.6999999999999993</v>
      </c>
      <c r="T149" s="8">
        <f>(P20*($E20/365))+(P21*($E21/365))</f>
        <v>33.299999999999997</v>
      </c>
      <c r="U149" s="8">
        <f>(Q20*($E20/365))+(Q21*($E21/365))</f>
        <v>25.554794520547944</v>
      </c>
      <c r="V149" s="7"/>
      <c r="W149" s="7">
        <f t="shared" si="35"/>
        <v>67.554794520547944</v>
      </c>
    </row>
    <row r="150" spans="1:23">
      <c r="A150" s="1">
        <v>1967</v>
      </c>
      <c r="B150" s="8">
        <f>(K22*($E22/365))+(K23*($E23/365))</f>
        <v>50.495258166491041</v>
      </c>
      <c r="C150" s="8">
        <f>(L22*($E22/365))+(L23*($E23/365))</f>
        <v>49.504741833508959</v>
      </c>
      <c r="D150" s="8">
        <f>(M22*($E22/365))+(M23*($E23/365))</f>
        <v>0</v>
      </c>
      <c r="E150" s="48">
        <f t="shared" si="34"/>
        <v>100</v>
      </c>
      <c r="G150" s="1">
        <v>1967</v>
      </c>
      <c r="H150" s="918">
        <f>(O22/$R22*100*($E22/365))+(O23/$R23*100*($E23/365))</f>
        <v>43.466849724900364</v>
      </c>
      <c r="I150" s="918"/>
      <c r="J150" s="918">
        <f>(P22/$R22*100*($E22/365))+(P23/$R23*100*($E23/365))</f>
        <v>56.533150275099644</v>
      </c>
      <c r="K150" s="918"/>
      <c r="L150" s="918">
        <f>(Q22/$R22*100*($E22/365))+(Q23/$R23*100*($E23/365))</f>
        <v>0</v>
      </c>
      <c r="M150" s="918"/>
      <c r="N150" s="887">
        <f t="shared" si="36"/>
        <v>100</v>
      </c>
      <c r="O150" s="887"/>
      <c r="R150" s="1">
        <v>1967</v>
      </c>
      <c r="S150" s="8">
        <f>(O22*($E22/365))+(O23*($E23/365))</f>
        <v>24.107671232876715</v>
      </c>
      <c r="T150" s="8">
        <f>(P22*($E22/365))+(P23*($E23/365))</f>
        <v>29.335890410958907</v>
      </c>
      <c r="U150" s="8">
        <f>(Q22*($E22/365))+(Q23*($E23/365))</f>
        <v>0</v>
      </c>
      <c r="V150" s="7"/>
      <c r="W150" s="7">
        <f t="shared" si="35"/>
        <v>53.443561643835622</v>
      </c>
    </row>
    <row r="151" spans="1:23">
      <c r="A151" s="1">
        <v>1968</v>
      </c>
      <c r="B151" s="8">
        <f>(K24*($E24/366))+(K25*($E25/366))</f>
        <v>57.142857142857139</v>
      </c>
      <c r="C151" s="8">
        <f>(L24*($E24/366))+(L25*($E25/366))</f>
        <v>42.857142857142854</v>
      </c>
      <c r="D151" s="8">
        <f>(M24*($E24/366))+(M25*($E25/366))</f>
        <v>0</v>
      </c>
      <c r="E151" s="48">
        <f t="shared" si="34"/>
        <v>100</v>
      </c>
      <c r="G151" s="1">
        <v>1968</v>
      </c>
      <c r="H151" s="918">
        <f>(O24/$R24*100*($E24/366))+(O25/$R25*100*($E25/366))</f>
        <v>51.134380453752179</v>
      </c>
      <c r="I151" s="918"/>
      <c r="J151" s="918">
        <f>(P24/$R24*100*($E24/366))+(P25/$R25*100*($E25/366))</f>
        <v>48.865619546247821</v>
      </c>
      <c r="K151" s="918"/>
      <c r="L151" s="918">
        <f>(Q24/$R24*100*($E24/366))+(Q25/$R25*100*($E25/366))</f>
        <v>0</v>
      </c>
      <c r="M151" s="918"/>
      <c r="N151" s="887">
        <f t="shared" si="36"/>
        <v>100</v>
      </c>
      <c r="O151" s="887"/>
      <c r="R151" s="1">
        <v>1968</v>
      </c>
      <c r="S151" s="8">
        <f>(O24*($E24/366))+(O25*($E25/366))</f>
        <v>29.3</v>
      </c>
      <c r="T151" s="8">
        <f>(P24*($E24/366))+(P25*($E25/366))</f>
        <v>28</v>
      </c>
      <c r="U151" s="8">
        <f>(Q24*($E24/366))+(Q25*($E25/366))</f>
        <v>0</v>
      </c>
      <c r="V151" s="7"/>
      <c r="W151" s="7">
        <f t="shared" si="35"/>
        <v>57.3</v>
      </c>
    </row>
    <row r="152" spans="1:23">
      <c r="A152" s="1">
        <v>1969</v>
      </c>
      <c r="B152" s="8">
        <f>(K26*($E26/365))+(K27*($E27/365))</f>
        <v>57.142857142857139</v>
      </c>
      <c r="C152" s="8">
        <f>(L26*($E26/365))+(L27*($E27/365))</f>
        <v>42.857142857142854</v>
      </c>
      <c r="D152" s="8">
        <f>(M26*($E26/365))+(M27*($E27/365))</f>
        <v>0</v>
      </c>
      <c r="E152" s="48">
        <f t="shared" si="34"/>
        <v>100</v>
      </c>
      <c r="G152" s="1">
        <v>1969</v>
      </c>
      <c r="H152" s="918">
        <f>(O26/$R26*100*($E26/365))+(O27/$R27*100*($E27/365))</f>
        <v>51.134380453752179</v>
      </c>
      <c r="I152" s="918"/>
      <c r="J152" s="918">
        <f>(P26/$R26*100*($E26/365))+(P27/$R27*100*($E27/365))</f>
        <v>48.865619546247821</v>
      </c>
      <c r="K152" s="918"/>
      <c r="L152" s="918">
        <f>(Q26/$R26*100*($E26/365))+(Q27/$R27*100*($E27/365))</f>
        <v>0</v>
      </c>
      <c r="M152" s="918"/>
      <c r="N152" s="887">
        <f t="shared" si="36"/>
        <v>100</v>
      </c>
      <c r="O152" s="887"/>
      <c r="R152" s="1">
        <v>1969</v>
      </c>
      <c r="S152" s="8">
        <f>(O26*($E26/365))+(O27*($E27/365))</f>
        <v>29.3</v>
      </c>
      <c r="T152" s="8">
        <f>(P26*($E26/365))+(P27*($E27/365))</f>
        <v>28</v>
      </c>
      <c r="U152" s="8">
        <f>(Q26*($E26/365))+(Q27*($E27/365))</f>
        <v>0</v>
      </c>
      <c r="V152" s="7"/>
      <c r="W152" s="7">
        <f t="shared" si="35"/>
        <v>57.3</v>
      </c>
    </row>
    <row r="153" spans="1:23">
      <c r="A153" s="1">
        <v>1970</v>
      </c>
      <c r="B153" s="8">
        <f>(K28*($E28/365))+(K29*($E29/365))</f>
        <v>57.142857142857139</v>
      </c>
      <c r="C153" s="8">
        <f>(L28*($E28/365))+(L29*($E29/365))</f>
        <v>42.857142857142854</v>
      </c>
      <c r="D153" s="8">
        <f>(M28*($E28/365))+(M29*($E29/365))</f>
        <v>0</v>
      </c>
      <c r="E153" s="48">
        <f t="shared" si="34"/>
        <v>100</v>
      </c>
      <c r="G153" s="1">
        <v>1970</v>
      </c>
      <c r="H153" s="918">
        <f>(O28/$R28*100*($E28/365))+(O29/$R29*100*($E29/365))</f>
        <v>51.134380453752179</v>
      </c>
      <c r="I153" s="918"/>
      <c r="J153" s="918">
        <f>(P28/$R28*100*($E28/365))+(P29/$R29*100*($E29/365))</f>
        <v>48.865619546247821</v>
      </c>
      <c r="K153" s="918"/>
      <c r="L153" s="918">
        <f>(Q28/$R28*100*($E28/365))+(Q29/$R29*100*($E29/365))</f>
        <v>0</v>
      </c>
      <c r="M153" s="918"/>
      <c r="N153" s="887">
        <f t="shared" si="36"/>
        <v>100</v>
      </c>
      <c r="O153" s="887"/>
      <c r="R153" s="1">
        <v>1970</v>
      </c>
      <c r="S153" s="8">
        <f>(O28*($E28/365))+(O29*($E29/365))</f>
        <v>29.3</v>
      </c>
      <c r="T153" s="8">
        <f>(P28*($E28/365))+(P29*($E29/365))</f>
        <v>28</v>
      </c>
      <c r="U153" s="8">
        <f>(Q28*($E28/365))+(Q29*($E29/365))</f>
        <v>0</v>
      </c>
      <c r="V153" s="7"/>
      <c r="W153" s="7">
        <f t="shared" si="35"/>
        <v>57.3</v>
      </c>
    </row>
    <row r="154" spans="1:23">
      <c r="A154" s="1">
        <v>1971</v>
      </c>
      <c r="B154" s="8">
        <f>(K30*($E30/365))+(K31*($E31/365))</f>
        <v>53.639921722113499</v>
      </c>
      <c r="C154" s="8">
        <f>(L30*($E30/365))+(L31*($E31/365))</f>
        <v>46.360078277886494</v>
      </c>
      <c r="D154" s="8">
        <f>(M30*($E30/365))+(M31*($E31/365))</f>
        <v>0</v>
      </c>
      <c r="E154" s="48">
        <f t="shared" si="34"/>
        <v>100</v>
      </c>
      <c r="G154" s="1">
        <v>1971</v>
      </c>
      <c r="H154" s="918">
        <f>(O30/$R30*100*($E30/365))+(O31/$R31*100*($E31/365))</f>
        <v>49.457384669182602</v>
      </c>
      <c r="I154" s="918"/>
      <c r="J154" s="918">
        <f>(P30/$R30*100*($E30/365))+(P31/$R31*100*($E31/365))</f>
        <v>50.542615330817384</v>
      </c>
      <c r="K154" s="918"/>
      <c r="L154" s="918">
        <f>(Q30/$R30*100*($E30/365))+(Q31/$R31*100*($E31/365))</f>
        <v>0</v>
      </c>
      <c r="M154" s="918"/>
      <c r="N154" s="887">
        <f t="shared" si="36"/>
        <v>99.999999999999986</v>
      </c>
      <c r="O154" s="887"/>
      <c r="R154" s="1">
        <v>1971</v>
      </c>
      <c r="S154" s="8">
        <f>(O30*($E30/365))+(O31*($E31/365))</f>
        <v>27.73068493150685</v>
      </c>
      <c r="T154" s="8">
        <f>(P30*($E30/365))+(P31*($E31/365))</f>
        <v>28.294246575342466</v>
      </c>
      <c r="U154" s="8">
        <f>(Q30*($E30/365))+(Q31*($E31/365))</f>
        <v>0</v>
      </c>
      <c r="V154" s="7"/>
      <c r="W154" s="7">
        <f t="shared" si="35"/>
        <v>56.024931506849313</v>
      </c>
    </row>
    <row r="155" spans="1:23">
      <c r="A155" s="1">
        <v>1972</v>
      </c>
      <c r="B155" s="8">
        <f>(K32*($E32/366))+(K33*($E33/366))</f>
        <v>52.67369242779079</v>
      </c>
      <c r="C155" s="8">
        <f>(L32*($E32/366))+(L33*($E33/366))</f>
        <v>47.326307572209217</v>
      </c>
      <c r="D155" s="8">
        <f>(M32*($E32/366))+(M33*($E33/366))</f>
        <v>0</v>
      </c>
      <c r="E155" s="48">
        <f t="shared" si="34"/>
        <v>100</v>
      </c>
      <c r="G155" s="1">
        <v>1972</v>
      </c>
      <c r="H155" s="918">
        <f>(O32/$R32*100*($E32/366))+(O33/$R33*100*($E33/366))</f>
        <v>49.63101134251167</v>
      </c>
      <c r="I155" s="918"/>
      <c r="J155" s="918">
        <f>(P32/$R32*100*($E32/366))+(P33/$R33*100*($E33/366))</f>
        <v>50.368988657488323</v>
      </c>
      <c r="K155" s="918"/>
      <c r="L155" s="918">
        <f>(Q32/$R32*100*($E32/366))+(Q33/$R33*100*($E33/366))</f>
        <v>0</v>
      </c>
      <c r="M155" s="918"/>
      <c r="N155" s="887">
        <f t="shared" si="36"/>
        <v>100</v>
      </c>
      <c r="O155" s="887"/>
      <c r="R155" s="1">
        <v>1972</v>
      </c>
      <c r="S155" s="8">
        <f>(O32*($E32/366))+(O33*($E33/366))</f>
        <v>26.099999999999998</v>
      </c>
      <c r="T155" s="8">
        <f>(P32*($E32/366))+(P33*($E33/366))</f>
        <v>26.61612021857924</v>
      </c>
      <c r="U155" s="8">
        <f>(Q32*($E32/366))+(Q33*($E33/366))</f>
        <v>0</v>
      </c>
      <c r="V155" s="7"/>
      <c r="W155" s="7">
        <f t="shared" si="35"/>
        <v>52.716120218579235</v>
      </c>
    </row>
    <row r="156" spans="1:23">
      <c r="A156" s="1">
        <v>1973</v>
      </c>
      <c r="B156" s="8">
        <f>(K34*($E34/365))+(K35*($E35/365))</f>
        <v>28.400195694716238</v>
      </c>
      <c r="C156" s="8">
        <f>(L34*($E34/365))+(L35*($E35/365))</f>
        <v>35.384050880626219</v>
      </c>
      <c r="D156" s="8">
        <f>(M34*($E34/365))+(M35*($E35/365))</f>
        <v>36.215753424657535</v>
      </c>
      <c r="E156" s="48">
        <f t="shared" si="34"/>
        <v>100</v>
      </c>
      <c r="G156" s="1">
        <v>1973</v>
      </c>
      <c r="H156" s="918">
        <f>(O34/$R34*100*($E34/365))+(O35/$R35*100*($E35/365))</f>
        <v>28.07210696810413</v>
      </c>
      <c r="I156" s="918"/>
      <c r="J156" s="918">
        <f>(P34/$R34*100*($E34/365))+(P35/$R35*100*($E35/365))</f>
        <v>38.69124760833931</v>
      </c>
      <c r="K156" s="918"/>
      <c r="L156" s="918">
        <f>(Q34/$R34*100*($E34/365))+(Q35/$R35*100*($E35/365))</f>
        <v>33.23664542355656</v>
      </c>
      <c r="M156" s="918"/>
      <c r="N156" s="887">
        <f t="shared" si="36"/>
        <v>100</v>
      </c>
      <c r="O156" s="887"/>
      <c r="R156" s="1">
        <v>1973</v>
      </c>
      <c r="S156" s="8">
        <f>(O34*($E34/365))+(O35*($E35/365))</f>
        <v>15.283561643835615</v>
      </c>
      <c r="T156" s="8">
        <f>(P34*($E34/365))+(P35*($E35/365))</f>
        <v>22.463013698630135</v>
      </c>
      <c r="U156" s="8">
        <f>(Q34*($E34/365))+(Q35*($E35/365))</f>
        <v>21.504109589041096</v>
      </c>
      <c r="V156" s="7"/>
      <c r="W156" s="7">
        <f t="shared" si="35"/>
        <v>59.250684931506839</v>
      </c>
    </row>
    <row r="157" spans="1:23">
      <c r="A157" s="1">
        <v>1974</v>
      </c>
      <c r="B157" s="8">
        <f>(K36*($E36/365))+(K37*($E37/365))</f>
        <v>12.5</v>
      </c>
      <c r="C157" s="8">
        <f>(L36*($E36/365))+(L37*($E37/365))</f>
        <v>31.25</v>
      </c>
      <c r="D157" s="8">
        <f>(M36*($E36/365))+(M37*($E37/365))</f>
        <v>56.25</v>
      </c>
      <c r="E157" s="48">
        <f t="shared" si="34"/>
        <v>100</v>
      </c>
      <c r="G157" s="1">
        <v>1974</v>
      </c>
      <c r="H157" s="918">
        <f>(O36/$R36*100*($E36/365))+(O37/$R37*100*($E37/365))</f>
        <v>14.374034003091191</v>
      </c>
      <c r="I157" s="918"/>
      <c r="J157" s="918">
        <f>(P36/$R36*100*($E36/365))+(P37/$R37*100*($E37/365))</f>
        <v>34.003091190108194</v>
      </c>
      <c r="K157" s="918"/>
      <c r="L157" s="918">
        <f>(Q36/$R36*100*($E36/365))+(Q37/$R37*100*($E37/365))</f>
        <v>51.62287480680061</v>
      </c>
      <c r="M157" s="918"/>
      <c r="N157" s="887">
        <f t="shared" si="36"/>
        <v>100</v>
      </c>
      <c r="O157" s="887"/>
      <c r="R157" s="1">
        <v>1974</v>
      </c>
      <c r="S157" s="8">
        <f>(O36*($E36/365))+(O37*($E37/365))</f>
        <v>9.3000000000000007</v>
      </c>
      <c r="T157" s="8">
        <f>(P36*($E36/365))+(P37*($E37/365))</f>
        <v>22</v>
      </c>
      <c r="U157" s="8">
        <f>(Q36*($E36/365))+(Q37*($E37/365))</f>
        <v>33.4</v>
      </c>
      <c r="V157" s="7"/>
      <c r="W157" s="7">
        <f t="shared" si="35"/>
        <v>64.7</v>
      </c>
    </row>
    <row r="158" spans="1:23">
      <c r="A158" s="1">
        <v>1975</v>
      </c>
      <c r="B158" s="8">
        <f>(K38*($E38/365))+(K39*($E39/365))</f>
        <v>12.5</v>
      </c>
      <c r="C158" s="8">
        <f>(L38*($E38/365))+(L39*($E39/365))</f>
        <v>31.25</v>
      </c>
      <c r="D158" s="8">
        <f>(M38*($E38/365))+(M39*($E39/365))</f>
        <v>56.25</v>
      </c>
      <c r="E158" s="48">
        <f t="shared" si="34"/>
        <v>100</v>
      </c>
      <c r="G158" s="1">
        <v>1975</v>
      </c>
      <c r="H158" s="918">
        <f>(O38/$R38*100*($E38/365))+(O39/$R39*100*($E39/365))</f>
        <v>14.374034003091191</v>
      </c>
      <c r="I158" s="918"/>
      <c r="J158" s="918">
        <f>(P38/$R38*100*($E38/365))+(P39/$R39*100*($E39/365))</f>
        <v>34.003091190108194</v>
      </c>
      <c r="K158" s="918"/>
      <c r="L158" s="918">
        <f>(Q38/$R38*100*($E38/365))+(Q39/$R39*100*($E39/365))</f>
        <v>51.62287480680061</v>
      </c>
      <c r="M158" s="918"/>
      <c r="N158" s="887">
        <f t="shared" si="36"/>
        <v>100</v>
      </c>
      <c r="O158" s="887"/>
      <c r="R158" s="1">
        <v>1975</v>
      </c>
      <c r="S158" s="8">
        <f>(O38*($E38/365))+(O39*($E39/365))</f>
        <v>9.3000000000000007</v>
      </c>
      <c r="T158" s="8">
        <f>(P38*($E38/365))+(P39*($E39/365))</f>
        <v>22</v>
      </c>
      <c r="U158" s="8">
        <f>(Q38*($E38/365))+(Q39*($E39/365))</f>
        <v>33.4</v>
      </c>
      <c r="V158" s="7"/>
      <c r="W158" s="7">
        <f t="shared" si="35"/>
        <v>64.7</v>
      </c>
    </row>
    <row r="159" spans="1:23">
      <c r="A159" s="1">
        <v>1976</v>
      </c>
      <c r="B159" s="8">
        <f>(K40*($E40/366))+(K41*($E41/366))</f>
        <v>12.5</v>
      </c>
      <c r="C159" s="8">
        <f>(L40*($E40/366))+(L41*($E41/366))</f>
        <v>31.25</v>
      </c>
      <c r="D159" s="8">
        <f>(M40*($E40/366))+(M41*($E41/366))</f>
        <v>56.25</v>
      </c>
      <c r="E159" s="48">
        <f t="shared" si="34"/>
        <v>100</v>
      </c>
      <c r="G159" s="1">
        <v>1976</v>
      </c>
      <c r="H159" s="918">
        <f>(O40/$R40*100*($E40/366))+(O41/$R41*100*($E41/366))</f>
        <v>14.374034003091191</v>
      </c>
      <c r="I159" s="918"/>
      <c r="J159" s="918">
        <f>(P40/$R40*100*($E40/366))+(P41/$R41*100*($E41/366))</f>
        <v>34.003091190108194</v>
      </c>
      <c r="K159" s="918"/>
      <c r="L159" s="918">
        <f>(Q40/$R40*100*($E40/366))+(Q41/$R41*100*($E41/366))</f>
        <v>51.62287480680061</v>
      </c>
      <c r="M159" s="918"/>
      <c r="N159" s="887">
        <f t="shared" si="36"/>
        <v>100</v>
      </c>
      <c r="O159" s="887"/>
      <c r="R159" s="1">
        <v>1976</v>
      </c>
      <c r="S159" s="8">
        <f>(O40*($E40/366))+(O41*($E41/366))</f>
        <v>9.3000000000000007</v>
      </c>
      <c r="T159" s="8">
        <f>(P40*($E40/366))+(P41*($E41/366))</f>
        <v>22</v>
      </c>
      <c r="U159" s="8">
        <f>(Q40*($E40/366))+(Q41*($E41/366))</f>
        <v>33.4</v>
      </c>
      <c r="V159" s="7"/>
      <c r="W159" s="7">
        <f t="shared" si="35"/>
        <v>64.7</v>
      </c>
    </row>
    <row r="160" spans="1:23">
      <c r="A160" s="1">
        <v>1977</v>
      </c>
      <c r="B160" s="8">
        <f>(K42*($E42/365))+(K43*($E43/365))</f>
        <v>13.24200913242009</v>
      </c>
      <c r="C160" s="8">
        <f>(L42*($E42/365))+(L43*($E43/365))</f>
        <v>32.511415525114153</v>
      </c>
      <c r="D160" s="8">
        <f>(M42*($E42/365))+(M43*($E43/365))</f>
        <v>54.246575342465754</v>
      </c>
      <c r="E160" s="48">
        <f t="shared" si="34"/>
        <v>100</v>
      </c>
      <c r="G160" s="1">
        <v>1977</v>
      </c>
      <c r="H160" s="918">
        <f>(O42/$R42*100*($E42/365))+(O43/$R43*100*($E43/365))</f>
        <v>15.15785525351145</v>
      </c>
      <c r="I160" s="918"/>
      <c r="J160" s="918">
        <f>(P42/$R42*100*($E42/365))+(P43/$R43*100*($E43/365))</f>
        <v>35.057892878012346</v>
      </c>
      <c r="K160" s="918"/>
      <c r="L160" s="918">
        <f>(Q42/$R42*100*($E42/365))+(Q43/$R43*100*($E43/365))</f>
        <v>49.784251868476204</v>
      </c>
      <c r="M160" s="918"/>
      <c r="N160" s="887">
        <f t="shared" si="36"/>
        <v>100</v>
      </c>
      <c r="O160" s="887"/>
      <c r="R160" s="1">
        <v>1977</v>
      </c>
      <c r="S160" s="8">
        <f>(O42*($E42/365))+(O43*($E43/365))</f>
        <v>9.6347945205479473</v>
      </c>
      <c r="T160" s="8">
        <f>(P42*($E42/365))+(P43*($E43/365))</f>
        <v>22.381095890410961</v>
      </c>
      <c r="U160" s="8">
        <f>(Q42*($E42/365))+(Q43*($E43/365))</f>
        <v>32.210410958904106</v>
      </c>
      <c r="V160" s="7"/>
      <c r="W160" s="7">
        <f t="shared" si="35"/>
        <v>64.226301369863023</v>
      </c>
    </row>
    <row r="161" spans="1:23">
      <c r="A161" s="1">
        <v>1978</v>
      </c>
      <c r="B161" s="8">
        <f>(K44*($E44/365))+(K45*($E45/365))</f>
        <v>33.333333333333329</v>
      </c>
      <c r="C161" s="8">
        <f>(L44*($E44/365))+(L45*($E45/365))</f>
        <v>66.666666666666657</v>
      </c>
      <c r="D161" s="8">
        <f>(M44*($E44/365))+(M45*($E45/365))</f>
        <v>0</v>
      </c>
      <c r="E161" s="48">
        <f t="shared" si="34"/>
        <v>99.999999999999986</v>
      </c>
      <c r="G161" s="1">
        <v>1978</v>
      </c>
      <c r="H161" s="918">
        <f>(O44/$R44*100*($E44/365))+(O45/$R45*100*($E45/365))</f>
        <v>36.381322957198435</v>
      </c>
      <c r="I161" s="918"/>
      <c r="J161" s="918">
        <f>(P44/$R44*100*($E44/365))+(P45/$R45*100*($E45/365))</f>
        <v>63.618677042801551</v>
      </c>
      <c r="K161" s="918"/>
      <c r="L161" s="918">
        <f>(Q44/$R44*100*($E44/365))+(Q45/$R45*100*($E45/365))</f>
        <v>0</v>
      </c>
      <c r="M161" s="918"/>
      <c r="N161" s="887">
        <f t="shared" si="36"/>
        <v>99.999999999999986</v>
      </c>
      <c r="O161" s="887"/>
      <c r="R161" s="1">
        <v>1978</v>
      </c>
      <c r="S161" s="8">
        <f>(O44*($E44/365))+(O45*($E45/365))</f>
        <v>18.7</v>
      </c>
      <c r="T161" s="8">
        <f>(P44*($E44/365))+(P45*($E45/365))</f>
        <v>32.700000000000003</v>
      </c>
      <c r="U161" s="8">
        <f>(Q44*($E44/365))+(Q45*($E45/365))</f>
        <v>0</v>
      </c>
      <c r="V161" s="7"/>
      <c r="W161" s="7">
        <f t="shared" si="35"/>
        <v>51.400000000000006</v>
      </c>
    </row>
    <row r="162" spans="1:23">
      <c r="A162" s="1">
        <v>1979</v>
      </c>
      <c r="B162" s="8">
        <f>(K46*($E46/365))+(K47*($E47/365))</f>
        <v>33.333333333333329</v>
      </c>
      <c r="C162" s="8">
        <f>(L46*($E46/365))+(L47*($E47/365))</f>
        <v>66.666666666666657</v>
      </c>
      <c r="D162" s="8">
        <f>(M46*($E46/365))+(M47*($E47/365))</f>
        <v>0</v>
      </c>
      <c r="E162" s="48">
        <f t="shared" si="34"/>
        <v>99.999999999999986</v>
      </c>
      <c r="G162" s="1">
        <v>1979</v>
      </c>
      <c r="H162" s="918">
        <f>(O46/$R46*100*($E46/365))+(O47/$R47*100*($E47/365))</f>
        <v>36.381322957198435</v>
      </c>
      <c r="I162" s="918"/>
      <c r="J162" s="918">
        <f>(P46/$R46*100*($E46/365))+(P47/$R47*100*($E47/365))</f>
        <v>63.618677042801551</v>
      </c>
      <c r="K162" s="918"/>
      <c r="L162" s="918">
        <f>(Q46/$R46*100*($E46/365))+(Q47/$R47*100*($E47/365))</f>
        <v>0</v>
      </c>
      <c r="M162" s="918"/>
      <c r="N162" s="887">
        <f t="shared" si="36"/>
        <v>99.999999999999986</v>
      </c>
      <c r="O162" s="887"/>
      <c r="R162" s="1">
        <v>1979</v>
      </c>
      <c r="S162" s="8">
        <f>(O46*($E46/365))+(O47*($E47/365))</f>
        <v>18.7</v>
      </c>
      <c r="T162" s="8">
        <f>(P46*($E46/365))+(P47*($E47/365))</f>
        <v>32.700000000000003</v>
      </c>
      <c r="U162" s="8">
        <f>(Q46*($E46/365))+(Q47*($E47/365))</f>
        <v>0</v>
      </c>
      <c r="V162" s="7"/>
      <c r="W162" s="7">
        <f t="shared" si="35"/>
        <v>51.400000000000006</v>
      </c>
    </row>
    <row r="163" spans="1:23">
      <c r="A163" s="1">
        <v>1980</v>
      </c>
      <c r="B163" s="8">
        <f>(K48*($E48/366))+(K49*($E49/366))</f>
        <v>33.333333333333329</v>
      </c>
      <c r="C163" s="8">
        <f>(L48*($E48/366))+(L49*($E49/366))</f>
        <v>66.666666666666657</v>
      </c>
      <c r="D163" s="8">
        <f>(M48*($E48/366))+(M49*($E49/366))</f>
        <v>0</v>
      </c>
      <c r="E163" s="48">
        <f t="shared" si="34"/>
        <v>99.999999999999986</v>
      </c>
      <c r="G163" s="1">
        <v>1980</v>
      </c>
      <c r="H163" s="918">
        <f>(O48/$R48*100*($E48/366))+(O49/$R49*100*($E49/366))</f>
        <v>36.381322957198435</v>
      </c>
      <c r="I163" s="918"/>
      <c r="J163" s="918">
        <f>(P48/$R48*100*($E48/366))+(P49/$R49*100*($E49/366))</f>
        <v>63.618677042801551</v>
      </c>
      <c r="K163" s="918"/>
      <c r="L163" s="918">
        <f>(Q48/$R48*100*($E48/366))+(Q49/$R49*100*($E49/366))</f>
        <v>0</v>
      </c>
      <c r="M163" s="918"/>
      <c r="N163" s="887">
        <f t="shared" si="36"/>
        <v>99.999999999999986</v>
      </c>
      <c r="O163" s="887"/>
      <c r="R163" s="1">
        <v>1980</v>
      </c>
      <c r="S163" s="8">
        <f>(O48*($E48/366))+(O49*($E49/366))</f>
        <v>18.7</v>
      </c>
      <c r="T163" s="8">
        <f>(P48*($E48/366))+(P49*($E49/366))</f>
        <v>32.700000000000003</v>
      </c>
      <c r="U163" s="8">
        <f>(Q48*($E48/366))+(Q49*($E49/366))</f>
        <v>0</v>
      </c>
      <c r="V163" s="7"/>
      <c r="W163" s="7">
        <f t="shared" si="35"/>
        <v>51.400000000000006</v>
      </c>
    </row>
    <row r="164" spans="1:23">
      <c r="A164" s="1">
        <v>1981</v>
      </c>
      <c r="B164" s="8">
        <f>(K50*($E50/365))+(K51*($E51/365))</f>
        <v>23.105022831050228</v>
      </c>
      <c r="C164" s="8">
        <f>(L50*($E50/365))+(L51*($E51/365))</f>
        <v>64.621004566210047</v>
      </c>
      <c r="D164" s="8">
        <f>(M50*($E50/365))+(M51*($E51/365))</f>
        <v>12.273972602739727</v>
      </c>
      <c r="E164" s="48">
        <f t="shared" si="34"/>
        <v>100.00000000000001</v>
      </c>
      <c r="G164" s="1">
        <v>1981</v>
      </c>
      <c r="H164" s="918">
        <f>(O50/$R50*100*($E50/365))+(O51/$R51*100*($E51/365))</f>
        <v>25.217738926496452</v>
      </c>
      <c r="I164" s="918"/>
      <c r="J164" s="918">
        <f>(P50/$R50*100*($E50/365))+(P51/$R51*100*($E51/365))</f>
        <v>62.398397531483099</v>
      </c>
      <c r="K164" s="918"/>
      <c r="L164" s="918">
        <f>(Q50/$R50*100*($E50/365))+(Q51/$R51*100*($E51/365))</f>
        <v>12.383863542020455</v>
      </c>
      <c r="M164" s="918"/>
      <c r="N164" s="887">
        <f t="shared" si="36"/>
        <v>100</v>
      </c>
      <c r="O164" s="887"/>
      <c r="R164" s="1">
        <v>1981</v>
      </c>
      <c r="S164" s="8">
        <f>(O50*($E50/365))+(O51*($E51/365))</f>
        <v>12.961917808219178</v>
      </c>
      <c r="T164" s="8">
        <f>(P50*($E50/365))+(P51*($E51/365))</f>
        <v>35.952602739726032</v>
      </c>
      <c r="U164" s="8">
        <f>(Q50*($E50/365))+(Q51*($E51/365))</f>
        <v>8.9906849315068502</v>
      </c>
      <c r="V164" s="7"/>
      <c r="W164" s="7">
        <f t="shared" si="35"/>
        <v>57.905205479452057</v>
      </c>
    </row>
    <row r="165" spans="1:23">
      <c r="A165" s="1">
        <v>1982</v>
      </c>
      <c r="B165" s="8">
        <f>(K52*($E52/365))+(K53*($E53/365))+(K54*($E54/365))</f>
        <v>0</v>
      </c>
      <c r="C165" s="8">
        <f>(L52*($E52/365))+(L53*($E53/365))+(L54*($E54/365))</f>
        <v>66.356164383561648</v>
      </c>
      <c r="D165" s="8">
        <f>(M52*($E52/365))+(M53*($E53/365))+(M54*($E54/365))</f>
        <v>33.643835616438352</v>
      </c>
      <c r="E165" s="48">
        <f t="shared" si="34"/>
        <v>100</v>
      </c>
      <c r="G165" s="1">
        <v>1982</v>
      </c>
      <c r="H165" s="928">
        <f>(O52/$R52*100*($E52/365))+(O53/$R53*100*($E53/365))+(O54/$R54*100*($E54/365))</f>
        <v>7.0624048706240492</v>
      </c>
      <c r="I165" s="928"/>
      <c r="J165" s="928">
        <f>(P52/$R52*100*($E52/365))+(P53/$R53*100*($E53/365))+(P54/$R54*100*($E54/365))</f>
        <v>76.573204020277501</v>
      </c>
      <c r="K165" s="928"/>
      <c r="L165" s="928">
        <f>(Q52/$R52*100*($E52/365))+(Q53/$R53*100*($E53/365))+(Q54/$R54*100*($E54/365))</f>
        <v>16.364391109098456</v>
      </c>
      <c r="M165" s="928"/>
      <c r="N165" s="887">
        <f t="shared" si="36"/>
        <v>100</v>
      </c>
      <c r="O165" s="887"/>
      <c r="R165" s="1">
        <v>1982</v>
      </c>
      <c r="S165" s="8">
        <f>(O52*($E52/365))+(O53*($E53/365))+(O54*($E54/365))</f>
        <v>3.8136986301369866</v>
      </c>
      <c r="T165" s="8">
        <f>(P52*($E52/365))+(P53*($E53/365))+(P54*($E54/365))</f>
        <v>41.186575342465751</v>
      </c>
      <c r="U165" s="8">
        <f>(Q52*($E52/365))+(Q53*($E53/365))+(Q54*($E54/365))</f>
        <v>11.88054794520548</v>
      </c>
      <c r="V165" s="7"/>
      <c r="W165" s="7">
        <f t="shared" si="35"/>
        <v>56.88082191780822</v>
      </c>
    </row>
    <row r="166" spans="1:23">
      <c r="A166" s="1">
        <v>1983</v>
      </c>
      <c r="B166" s="8">
        <f>(K55*($E55/365))+(K56*($E56/365))</f>
        <v>0</v>
      </c>
      <c r="C166" s="8">
        <f>(L55*($E55/365))+(L56*($E56/365))</f>
        <v>100</v>
      </c>
      <c r="D166" s="8">
        <f>(M55*($E55/365))+(M56*($E56/365))</f>
        <v>0</v>
      </c>
      <c r="E166" s="48">
        <f t="shared" si="34"/>
        <v>100</v>
      </c>
      <c r="G166" s="1">
        <v>1983</v>
      </c>
      <c r="H166" s="928">
        <f>(O55/$R55*100*($E55/365))+(O56/$R56*100*($E56/365))</f>
        <v>44.444444444444443</v>
      </c>
      <c r="I166" s="928"/>
      <c r="J166" s="928">
        <f>(P55/$R55*100*($E55/365))+(P56/$R56*100*($E56/365))</f>
        <v>55.555555555555557</v>
      </c>
      <c r="K166" s="928"/>
      <c r="L166" s="928">
        <f>(Q55/$R55*100*($E55/365))+(Q56/$R56*100*($E56/365))</f>
        <v>0</v>
      </c>
      <c r="M166" s="928"/>
      <c r="N166" s="887">
        <f t="shared" si="36"/>
        <v>100</v>
      </c>
      <c r="O166" s="887"/>
      <c r="R166" s="1">
        <v>1983</v>
      </c>
      <c r="S166" s="8">
        <f>(O55*($E55/365))+(O56*($E56/365))</f>
        <v>24</v>
      </c>
      <c r="T166" s="8">
        <f>(P55*($E55/365))+(P56*($E56/365))</f>
        <v>30</v>
      </c>
      <c r="U166" s="8">
        <f>(Q55*($E55/365))+(Q56*($E56/365))</f>
        <v>0</v>
      </c>
      <c r="V166" s="7"/>
      <c r="W166" s="7">
        <f t="shared" si="35"/>
        <v>54</v>
      </c>
    </row>
    <row r="167" spans="1:23">
      <c r="A167" s="1">
        <v>1984</v>
      </c>
      <c r="B167" s="8">
        <f>(K57*($E57/366))+(K58*($E58/366))</f>
        <v>0</v>
      </c>
      <c r="C167" s="8">
        <f>(L57*($E57/366))+(L58*($E58/366))</f>
        <v>100</v>
      </c>
      <c r="D167" s="8">
        <f>(M57*($E57/366))+(M58*($E58/366))</f>
        <v>0</v>
      </c>
      <c r="E167" s="48">
        <f t="shared" si="34"/>
        <v>100</v>
      </c>
      <c r="G167" s="1">
        <v>1984</v>
      </c>
      <c r="H167" s="928">
        <f>(O57/$R57*100*($E57/366))+(O58/$R58*100*($E58/366))</f>
        <v>44.444444444444443</v>
      </c>
      <c r="I167" s="928"/>
      <c r="J167" s="928">
        <f>(P57/$R57*100*($E57/366))+(P58/$R58*100*($E58/366))</f>
        <v>55.555555555555557</v>
      </c>
      <c r="K167" s="928"/>
      <c r="L167" s="928">
        <f>(Q57/$R57*100*($E57/366))+(Q58/$R58*100*($E58/366))</f>
        <v>0</v>
      </c>
      <c r="M167" s="928"/>
      <c r="N167" s="887">
        <f t="shared" si="36"/>
        <v>100</v>
      </c>
      <c r="O167" s="887"/>
      <c r="R167" s="1">
        <v>1984</v>
      </c>
      <c r="S167" s="8">
        <f>(O57*($E57/366))+(O58*($E58/366))</f>
        <v>24</v>
      </c>
      <c r="T167" s="8">
        <f>(P57*($E57/366))+(P58*($E58/366))</f>
        <v>30</v>
      </c>
      <c r="U167" s="8">
        <f>(Q57*($E57/366))+(Q58*($E58/366))</f>
        <v>0</v>
      </c>
      <c r="V167" s="7"/>
      <c r="W167" s="7">
        <f t="shared" si="35"/>
        <v>54</v>
      </c>
    </row>
    <row r="168" spans="1:23">
      <c r="A168" s="1">
        <v>1985</v>
      </c>
      <c r="B168" s="8">
        <f>(K59*($E59/365))+(K60*($E60/365))</f>
        <v>0</v>
      </c>
      <c r="C168" s="8">
        <f>(L59*($E59/365))+(L60*($E60/365))</f>
        <v>100</v>
      </c>
      <c r="D168" s="8">
        <f>(M59*($E59/365))+(M60*($E60/365))</f>
        <v>0</v>
      </c>
      <c r="E168" s="48">
        <f t="shared" si="34"/>
        <v>100</v>
      </c>
      <c r="G168" s="1">
        <v>1985</v>
      </c>
      <c r="H168" s="928">
        <f>(O59/$R59*100*($E59/365))+(O60/$R60*100*($E60/365))</f>
        <v>44.444444444444443</v>
      </c>
      <c r="I168" s="928"/>
      <c r="J168" s="928">
        <f>(P59/$R59*100*($E59/365))+(P60/$R60*100*($E60/365))</f>
        <v>55.555555555555557</v>
      </c>
      <c r="K168" s="928"/>
      <c r="L168" s="928">
        <f>(Q59/$R59*100*($E59/365))+(Q60/$R60*100*($E60/365))</f>
        <v>0</v>
      </c>
      <c r="M168" s="928"/>
      <c r="N168" s="887">
        <f t="shared" si="36"/>
        <v>100</v>
      </c>
      <c r="O168" s="887"/>
      <c r="R168" s="1">
        <v>1985</v>
      </c>
      <c r="S168" s="8">
        <f>(O59*($E59/365))+(O60*($E60/365))</f>
        <v>24</v>
      </c>
      <c r="T168" s="8">
        <f>(P59*($E59/365))+(P60*($E60/365))</f>
        <v>30</v>
      </c>
      <c r="U168" s="8">
        <f>(Q59*($E59/365))+(Q60*($E60/365))</f>
        <v>0</v>
      </c>
      <c r="V168" s="7"/>
      <c r="W168" s="7">
        <f t="shared" si="35"/>
        <v>54</v>
      </c>
    </row>
    <row r="169" spans="1:23">
      <c r="A169" s="1">
        <v>1986</v>
      </c>
      <c r="B169" s="8">
        <f>(K61*($E61/365))+(K62*($E62/365))</f>
        <v>4.6966731898238745</v>
      </c>
      <c r="C169" s="8">
        <f>(L61*($E61/365))+(L62*($E62/365))</f>
        <v>95.303326810176131</v>
      </c>
      <c r="D169" s="8">
        <f>(M61*($E61/365))+(M62*($E62/365))</f>
        <v>0</v>
      </c>
      <c r="E169" s="48">
        <f t="shared" si="34"/>
        <v>100</v>
      </c>
      <c r="G169" s="1">
        <v>1986</v>
      </c>
      <c r="H169" s="928">
        <f>(O61/$R61*100*($E61/365))+(O62/$R62*100*($E62/365))</f>
        <v>42.983257229832567</v>
      </c>
      <c r="I169" s="928"/>
      <c r="J169" s="928">
        <f>(P61/$R61*100*($E61/365))+(P62/$R62*100*($E62/365))</f>
        <v>57.016742770167426</v>
      </c>
      <c r="K169" s="928"/>
      <c r="L169" s="928">
        <f>(Q61/$R61*100*($E61/365))+(Q62/$R62*100*($E62/365))</f>
        <v>0</v>
      </c>
      <c r="M169" s="928"/>
      <c r="N169" s="887">
        <f t="shared" si="36"/>
        <v>100</v>
      </c>
      <c r="O169" s="887"/>
      <c r="R169" s="1">
        <v>1986</v>
      </c>
      <c r="S169" s="8">
        <f>(O61*($E61/365))+(O62*($E62/365))</f>
        <v>23.210958904109589</v>
      </c>
      <c r="T169" s="8">
        <f>(P61*($E61/365))+(P62*($E62/365))</f>
        <v>30.789041095890408</v>
      </c>
      <c r="U169" s="8">
        <f>(Q61*($E61/365))+(Q62*($E62/365))</f>
        <v>0</v>
      </c>
      <c r="V169" s="7"/>
      <c r="W169" s="7">
        <f t="shared" si="35"/>
        <v>54</v>
      </c>
    </row>
    <row r="170" spans="1:23">
      <c r="A170" s="1">
        <v>1987</v>
      </c>
      <c r="B170" s="8">
        <f>(K63*($E63/365))+(K64*($E64/365))</f>
        <v>35.714285714285715</v>
      </c>
      <c r="C170" s="8">
        <f>(L63*($E63/365))+(L64*($E64/365))</f>
        <v>64.285714285714292</v>
      </c>
      <c r="D170" s="8">
        <f>(M63*($E63/365))+(M64*($E64/365))</f>
        <v>0</v>
      </c>
      <c r="E170" s="48">
        <f t="shared" si="34"/>
        <v>100</v>
      </c>
      <c r="G170" s="1">
        <v>1987</v>
      </c>
      <c r="H170" s="928">
        <f>(O63/$R63*100*($E63/365))+(O64/$R64*100*($E64/365))</f>
        <v>33.333333333333329</v>
      </c>
      <c r="I170" s="928"/>
      <c r="J170" s="928">
        <f>(P63/$R63*100*($E63/365))+(P64/$R64*100*($E64/365))</f>
        <v>66.666666666666657</v>
      </c>
      <c r="K170" s="928"/>
      <c r="L170" s="928">
        <f>(Q63/$R63*100*($E63/365))+(Q64/$R64*100*($E64/365))</f>
        <v>0</v>
      </c>
      <c r="M170" s="928"/>
      <c r="N170" s="887">
        <f t="shared" si="36"/>
        <v>99.999999999999986</v>
      </c>
      <c r="O170" s="887"/>
      <c r="R170" s="1">
        <v>1987</v>
      </c>
      <c r="S170" s="8">
        <f>(O63*($E63/365))+(O64*($E64/365))</f>
        <v>18</v>
      </c>
      <c r="T170" s="8">
        <f>(P63*($E63/365))+(P64*($E64/365))</f>
        <v>36</v>
      </c>
      <c r="U170" s="8">
        <f>(Q63*($E63/365))+(Q64*($E64/365))</f>
        <v>0</v>
      </c>
      <c r="V170" s="7"/>
      <c r="W170" s="7">
        <f t="shared" si="35"/>
        <v>54</v>
      </c>
    </row>
    <row r="171" spans="1:23">
      <c r="A171" s="1">
        <v>1988</v>
      </c>
      <c r="B171" s="8">
        <f>(K65*($E65/366))+(K66*($E66/366))</f>
        <v>35.714285714285715</v>
      </c>
      <c r="C171" s="8">
        <f>(L65*($E65/366))+(L66*($E66/366))</f>
        <v>64.285714285714292</v>
      </c>
      <c r="D171" s="8">
        <f>(M65*($E65/366))+(M66*($E66/366))</f>
        <v>0</v>
      </c>
      <c r="E171" s="48">
        <f t="shared" si="34"/>
        <v>100</v>
      </c>
      <c r="G171" s="1">
        <v>1988</v>
      </c>
      <c r="H171" s="928">
        <f>(O65/$R65*100*($E65/366))+(O66/$R66*100*($E66/366))</f>
        <v>33.333333333333329</v>
      </c>
      <c r="I171" s="928"/>
      <c r="J171" s="928">
        <f>(P65/$R65*100*($E65/366))+(P66/$R66*100*($E66/366))</f>
        <v>66.666666666666657</v>
      </c>
      <c r="K171" s="928"/>
      <c r="L171" s="928">
        <f>(Q65/$R65*100*($E65/366))+(Q66/$R66*100*($E66/366))</f>
        <v>0</v>
      </c>
      <c r="M171" s="928"/>
      <c r="N171" s="887">
        <f t="shared" si="36"/>
        <v>99.999999999999986</v>
      </c>
      <c r="O171" s="887"/>
      <c r="R171" s="1">
        <v>1988</v>
      </c>
      <c r="S171" s="8">
        <f>(O65*($E65/366))+(O66*($E66/366))</f>
        <v>18</v>
      </c>
      <c r="T171" s="8">
        <f>(P65*($E65/366))+(P66*($E66/366))</f>
        <v>36</v>
      </c>
      <c r="U171" s="8">
        <f>(Q65*($E65/366))+(Q66*($E66/366))</f>
        <v>0</v>
      </c>
      <c r="V171" s="7"/>
      <c r="W171" s="7">
        <f t="shared" si="35"/>
        <v>54</v>
      </c>
    </row>
    <row r="172" spans="1:23">
      <c r="A172" s="1">
        <v>1989</v>
      </c>
      <c r="B172" s="8">
        <f>(K67*($E67/365))+(K68*($E68/365))</f>
        <v>30.332681017612522</v>
      </c>
      <c r="C172" s="8">
        <f>(L67*($E67/365))+(L68*($E68/365))</f>
        <v>62.133072407045013</v>
      </c>
      <c r="D172" s="8">
        <f>(M67*($E67/365))+(M68*($E68/365))</f>
        <v>7.5342465753424657</v>
      </c>
      <c r="E172" s="48">
        <f t="shared" si="34"/>
        <v>100</v>
      </c>
      <c r="G172" s="1">
        <v>1989</v>
      </c>
      <c r="H172" s="928">
        <f>(O67/$R67*100*($E67/365))+(O68/$R68*100*($E68/365))</f>
        <v>28.310502283105016</v>
      </c>
      <c r="I172" s="928"/>
      <c r="J172" s="928">
        <f>(P67/$R67*100*($E67/365))+(P68/$R68*100*($E68/365))</f>
        <v>64.517158182289478</v>
      </c>
      <c r="K172" s="928"/>
      <c r="L172" s="928">
        <f>(Q67/$R67*100*($E67/365))+(Q68/$R68*100*($E68/365))</f>
        <v>7.1723395346054915</v>
      </c>
      <c r="M172" s="928"/>
      <c r="N172" s="887">
        <f t="shared" si="36"/>
        <v>100</v>
      </c>
      <c r="O172" s="887"/>
      <c r="R172" s="1">
        <v>1989</v>
      </c>
      <c r="S172" s="8">
        <f>(O67*($E67/365))+(O68*($E68/365))</f>
        <v>15.287671232876711</v>
      </c>
      <c r="T172" s="8">
        <f>(P67*($E67/365))+(P68*($E68/365))</f>
        <v>36</v>
      </c>
      <c r="U172" s="8">
        <f>(Q67*($E67/365))+(Q68*($E68/365))</f>
        <v>4.9273972602739731</v>
      </c>
      <c r="V172" s="7"/>
      <c r="W172" s="7">
        <f t="shared" si="35"/>
        <v>56.215068493150682</v>
      </c>
    </row>
    <row r="173" spans="1:23">
      <c r="A173" s="1">
        <v>1990</v>
      </c>
      <c r="B173" s="8">
        <f>(K69*($E69/365))+(K70*($E70/365))</f>
        <v>0</v>
      </c>
      <c r="C173" s="8">
        <f>(L69*($E69/365))+(L70*($E70/365))</f>
        <v>50</v>
      </c>
      <c r="D173" s="8">
        <f>(M69*($E69/365))+(M70*($E70/365))</f>
        <v>50</v>
      </c>
      <c r="E173" s="48">
        <f t="shared" si="34"/>
        <v>100</v>
      </c>
      <c r="G173" s="1">
        <v>1990</v>
      </c>
      <c r="H173" s="928">
        <f>(O69/$R69*100*($E69/365))+(O70/$R70*100*($E70/365))</f>
        <v>0</v>
      </c>
      <c r="I173" s="928"/>
      <c r="J173" s="928">
        <f>(P69/$R69*100*($E69/365))+(P70/$R70*100*($E70/365))</f>
        <v>52.401746724890828</v>
      </c>
      <c r="K173" s="928"/>
      <c r="L173" s="928">
        <f>(Q69/$R69*100*($E69/365))+(Q70/$R70*100*($E70/365))</f>
        <v>47.598253275109172</v>
      </c>
      <c r="M173" s="928"/>
      <c r="N173" s="887">
        <f t="shared" si="36"/>
        <v>100</v>
      </c>
      <c r="O173" s="887"/>
      <c r="R173" s="1">
        <v>1990</v>
      </c>
      <c r="S173" s="8">
        <f>(O69*($E69/365))+(O70*($E70/365))</f>
        <v>0</v>
      </c>
      <c r="T173" s="8">
        <f>(P69*($E69/365))+(P70*($E70/365))</f>
        <v>36</v>
      </c>
      <c r="U173" s="8">
        <f>(Q69*($E69/365))+(Q70*($E70/365))</f>
        <v>32.700000000000003</v>
      </c>
      <c r="V173" s="7"/>
      <c r="W173" s="7">
        <f t="shared" si="35"/>
        <v>68.7</v>
      </c>
    </row>
    <row r="174" spans="1:23">
      <c r="A174" s="1">
        <v>1991</v>
      </c>
      <c r="B174" s="8">
        <f>(K71*($E71/365))+(K72*($E72/365))</f>
        <v>0</v>
      </c>
      <c r="C174" s="8">
        <f>(L71*($E71/365))+(L72*($E72/365))</f>
        <v>50</v>
      </c>
      <c r="D174" s="8">
        <f>(M71*($E71/365))+(M72*($E72/365))</f>
        <v>50</v>
      </c>
      <c r="E174" s="48">
        <f t="shared" si="34"/>
        <v>100</v>
      </c>
      <c r="G174" s="1">
        <v>1991</v>
      </c>
      <c r="H174" s="928">
        <f>(O71/$R71*100*($E71/365))+(O72/$R72*100*($E72/365))</f>
        <v>0</v>
      </c>
      <c r="I174" s="928"/>
      <c r="J174" s="928">
        <f>(P71/$R71*100*($E71/365))+(P72/$R72*100*($E72/365))</f>
        <v>52.401746724890828</v>
      </c>
      <c r="K174" s="928"/>
      <c r="L174" s="928">
        <f>(Q71/$R71*100*($E71/365))+(Q72/$R72*100*($E72/365))</f>
        <v>47.598253275109172</v>
      </c>
      <c r="M174" s="928"/>
      <c r="N174" s="887">
        <f t="shared" si="36"/>
        <v>100</v>
      </c>
      <c r="O174" s="887"/>
      <c r="R174" s="1">
        <v>1991</v>
      </c>
      <c r="S174" s="8">
        <f>(O71*($E71/365))+(O72*($E72/365))</f>
        <v>0</v>
      </c>
      <c r="T174" s="8">
        <f>(P71*($E71/365))+(P72*($E72/365))</f>
        <v>36</v>
      </c>
      <c r="U174" s="8">
        <f>(Q71*($E71/365))+(Q72*($E72/365))</f>
        <v>32.700000000000003</v>
      </c>
      <c r="V174" s="7"/>
      <c r="W174" s="7">
        <f t="shared" si="35"/>
        <v>68.7</v>
      </c>
    </row>
    <row r="175" spans="1:23">
      <c r="A175" s="1">
        <v>1992</v>
      </c>
      <c r="B175" s="8">
        <f>(K73*($E73/366))+(K74*($E74/366))</f>
        <v>0</v>
      </c>
      <c r="C175" s="8">
        <f>(L73*($E73/366))+(L74*($E74/366))</f>
        <v>50</v>
      </c>
      <c r="D175" s="8">
        <f>(M73*($E73/366))+(M74*($E74/366))</f>
        <v>50</v>
      </c>
      <c r="E175" s="48">
        <f t="shared" si="34"/>
        <v>100</v>
      </c>
      <c r="G175" s="1">
        <v>1992</v>
      </c>
      <c r="H175" s="928">
        <f>(O73/$R73*100*($E73/366))+(O74/$R74*100*($E74/366))</f>
        <v>0</v>
      </c>
      <c r="I175" s="928"/>
      <c r="J175" s="928">
        <f>(P73/$R73*100*($E73/366))+(P74/$R74*100*($E74/366))</f>
        <v>52.401746724890828</v>
      </c>
      <c r="K175" s="928"/>
      <c r="L175" s="928">
        <f>(Q73/$R73*100*($E73/366))+(Q74/$R74*100*($E74/366))</f>
        <v>47.598253275109172</v>
      </c>
      <c r="M175" s="928"/>
      <c r="N175" s="887">
        <f t="shared" si="36"/>
        <v>100</v>
      </c>
      <c r="O175" s="887"/>
      <c r="R175" s="1">
        <v>1992</v>
      </c>
      <c r="S175" s="8">
        <f>(O73*($E73/366))+(O74*($E74/366))</f>
        <v>0</v>
      </c>
      <c r="T175" s="8">
        <f>(P73*($E73/366))+(P74*($E74/366))</f>
        <v>36</v>
      </c>
      <c r="U175" s="8">
        <f>(Q73*($E73/366))+(Q74*($E74/366))</f>
        <v>32.700000000000003</v>
      </c>
      <c r="V175" s="7"/>
      <c r="W175" s="7">
        <f t="shared" si="35"/>
        <v>68.7</v>
      </c>
    </row>
    <row r="176" spans="1:23">
      <c r="A176" s="1">
        <v>1993</v>
      </c>
      <c r="B176" s="8">
        <f>(K75*($E75/365))+(K76*($E76/365))</f>
        <v>0</v>
      </c>
      <c r="C176" s="8">
        <f>(L75*($E75/365))+(L76*($E76/365))</f>
        <v>50</v>
      </c>
      <c r="D176" s="8">
        <f>(M75*($E75/365))+(M76*($E76/365))</f>
        <v>50</v>
      </c>
      <c r="E176" s="48">
        <f t="shared" si="34"/>
        <v>100</v>
      </c>
      <c r="G176" s="1">
        <v>1993</v>
      </c>
      <c r="H176" s="928">
        <f>(O75/$R75*100*($E75/365))+(O76/$R76*100*($E76/365))</f>
        <v>0</v>
      </c>
      <c r="I176" s="928"/>
      <c r="J176" s="928">
        <f>(P75/$R75*100*($E75/365))+(P76/$R76*100*($E76/365))</f>
        <v>52.401746724890828</v>
      </c>
      <c r="K176" s="928"/>
      <c r="L176" s="928">
        <f>(Q75/$R75*100*($E75/365))+(Q76/$R76*100*($E76/365))</f>
        <v>47.598253275109172</v>
      </c>
      <c r="M176" s="928"/>
      <c r="N176" s="887">
        <f t="shared" si="36"/>
        <v>100</v>
      </c>
      <c r="O176" s="887"/>
      <c r="R176" s="1">
        <v>1993</v>
      </c>
      <c r="S176" s="8">
        <f>(O75*($E75/365))+(O76*($E76/365))</f>
        <v>0</v>
      </c>
      <c r="T176" s="8">
        <f>(P75*($E75/365))+(P76*($E76/365))</f>
        <v>36</v>
      </c>
      <c r="U176" s="8">
        <f>(Q75*($E75/365))+(Q76*($E76/365))</f>
        <v>32.700000000000003</v>
      </c>
      <c r="V176" s="7"/>
      <c r="W176" s="7">
        <f t="shared" si="35"/>
        <v>68.7</v>
      </c>
    </row>
    <row r="177" spans="1:23">
      <c r="A177" s="1">
        <v>1994</v>
      </c>
      <c r="B177" s="8">
        <f>(K77*($E77/365))+(K78*($E78/365))</f>
        <v>12.915851272015656</v>
      </c>
      <c r="C177" s="8">
        <f>(L77*($E77/365))+(L78*($E78/365))</f>
        <v>42.250489236790607</v>
      </c>
      <c r="D177" s="8">
        <f>(M77*($E77/365))+(M78*($E78/365))</f>
        <v>44.833659491193742</v>
      </c>
      <c r="E177" s="48">
        <f t="shared" si="34"/>
        <v>100</v>
      </c>
      <c r="G177" s="1">
        <v>1994</v>
      </c>
      <c r="H177" s="928">
        <f>(O77/$R77*100*($E77/365))+(O78/$R78*100*($E78/365))</f>
        <v>12.192227031368523</v>
      </c>
      <c r="I177" s="928"/>
      <c r="J177" s="928">
        <f>(P77/$R77*100*($E77/365))+(P78/$R78*100*($E78/365))</f>
        <v>42.874921645425601</v>
      </c>
      <c r="K177" s="928"/>
      <c r="L177" s="928">
        <f>(Q77/$R77*100*($E77/365))+(Q78/$R78*100*($E78/365))</f>
        <v>44.932851323205874</v>
      </c>
      <c r="M177" s="928"/>
      <c r="N177" s="887">
        <f t="shared" si="36"/>
        <v>100</v>
      </c>
      <c r="O177" s="887"/>
      <c r="R177" s="1">
        <v>1994</v>
      </c>
      <c r="S177" s="8">
        <f>(O77*($E77/365))+(O78*($E78/365))</f>
        <v>7.4860273972602736</v>
      </c>
      <c r="T177" s="8">
        <f>(P77*($E77/365))+(P78*($E78/365))</f>
        <v>28.767123287671236</v>
      </c>
      <c r="U177" s="8">
        <f>(Q77*($E77/365))+(Q78*($E78/365))</f>
        <v>29.806849315068497</v>
      </c>
      <c r="V177" s="7"/>
      <c r="W177" s="7">
        <f t="shared" si="35"/>
        <v>66.06</v>
      </c>
    </row>
    <row r="178" spans="1:23">
      <c r="A178" s="1">
        <v>1995</v>
      </c>
      <c r="B178" s="8">
        <f>(K79*($E79/365))+(K80*($E80/365))</f>
        <v>35.714285714285715</v>
      </c>
      <c r="C178" s="8">
        <f>(L79*($E79/365))+(L80*($E80/365))</f>
        <v>28.571428571428569</v>
      </c>
      <c r="D178" s="8">
        <f>(M79*($E79/365))+(M80*($E80/365))</f>
        <v>35.714285714285715</v>
      </c>
      <c r="E178" s="48">
        <f t="shared" si="34"/>
        <v>100</v>
      </c>
      <c r="G178" s="1">
        <v>1995</v>
      </c>
      <c r="H178" s="928">
        <f>(O79/$R79*100*($E79/365))+(O80/$R80*100*($E80/365))</f>
        <v>33.713355048859931</v>
      </c>
      <c r="I178" s="928"/>
      <c r="J178" s="928">
        <f>(P79/$R79*100*($E79/365))+(P80/$R80*100*($E80/365))</f>
        <v>26.058631921824098</v>
      </c>
      <c r="K178" s="928"/>
      <c r="L178" s="928">
        <f>(Q79/$R79*100*($E79/365))+(Q80/$R80*100*($E80/365))</f>
        <v>40.22801302931596</v>
      </c>
      <c r="M178" s="928"/>
      <c r="N178" s="887">
        <f t="shared" si="36"/>
        <v>99.999999999999986</v>
      </c>
      <c r="O178" s="887"/>
      <c r="R178" s="1">
        <v>1995</v>
      </c>
      <c r="S178" s="8">
        <f>(O79*($E79/365))+(O80*($E80/365))</f>
        <v>20.7</v>
      </c>
      <c r="T178" s="8">
        <f>(P79*($E79/365))+(P80*($E80/365))</f>
        <v>16</v>
      </c>
      <c r="U178" s="8">
        <f>(Q79*($E79/365))+(Q80*($E80/365))</f>
        <v>24.7</v>
      </c>
      <c r="V178" s="7"/>
      <c r="W178" s="7">
        <f t="shared" si="35"/>
        <v>61.400000000000006</v>
      </c>
    </row>
    <row r="179" spans="1:23">
      <c r="A179" s="1">
        <v>1996</v>
      </c>
      <c r="B179" s="8">
        <f>(K81*($E81/366))+(K82*($E82/366))</f>
        <v>35.714285714285715</v>
      </c>
      <c r="C179" s="8">
        <f>(L81*($E81/366))+(L82*($E82/366))</f>
        <v>28.571428571428569</v>
      </c>
      <c r="D179" s="8">
        <f>(M81*($E81/366))+(M82*($E82/366))</f>
        <v>35.714285714285715</v>
      </c>
      <c r="E179" s="48">
        <f t="shared" si="34"/>
        <v>100</v>
      </c>
      <c r="G179" s="1">
        <v>1996</v>
      </c>
      <c r="H179" s="928">
        <f>(O81/$R81*100*($E81/366))+(O82/$R82*100*($E82/366))</f>
        <v>33.713355048859931</v>
      </c>
      <c r="I179" s="928"/>
      <c r="J179" s="928">
        <f>(P81/$R81*100*($E81/366))+(P82/$R82*100*($E82/366))</f>
        <v>26.058631921824098</v>
      </c>
      <c r="K179" s="928"/>
      <c r="L179" s="928">
        <f>(Q81/$R81*100*($E81/366))+(Q82/$R82*100*($E82/366))</f>
        <v>40.22801302931596</v>
      </c>
      <c r="M179" s="928"/>
      <c r="N179" s="887">
        <f t="shared" si="36"/>
        <v>99.999999999999986</v>
      </c>
      <c r="O179" s="887"/>
      <c r="R179" s="1">
        <v>1996</v>
      </c>
      <c r="S179" s="8">
        <f>(O81*($E81/366))+(O82*($E82/366))</f>
        <v>20.7</v>
      </c>
      <c r="T179" s="8">
        <f>(P81*($E81/366))+(P82*($E82/366))</f>
        <v>16</v>
      </c>
      <c r="U179" s="8">
        <f>(Q81*($E81/366))+(Q82*($E82/366))</f>
        <v>24.7</v>
      </c>
      <c r="V179" s="7"/>
      <c r="W179" s="7">
        <f t="shared" si="35"/>
        <v>61.400000000000006</v>
      </c>
    </row>
    <row r="180" spans="1:23">
      <c r="A180" s="1">
        <v>1997</v>
      </c>
      <c r="B180" s="8">
        <f>(K83*($E83/365))+(K84*($E84/365))</f>
        <v>35.714285714285715</v>
      </c>
      <c r="C180" s="8">
        <f>(L83*($E83/365))+(L84*($E84/365))</f>
        <v>28.571428571428569</v>
      </c>
      <c r="D180" s="8">
        <f>(M83*($E83/365))+(M84*($E84/365))</f>
        <v>35.714285714285715</v>
      </c>
      <c r="E180" s="48">
        <f t="shared" si="34"/>
        <v>100</v>
      </c>
      <c r="G180" s="1">
        <v>1997</v>
      </c>
      <c r="H180" s="928">
        <f>(O83/$R83*100*($E83/365))+(O84/$R84*100*($E84/365))</f>
        <v>33.713355048859931</v>
      </c>
      <c r="I180" s="928"/>
      <c r="J180" s="928">
        <f>(P83/$R83*100*($E83/365))+(P84/$R84*100*($E84/365))</f>
        <v>26.058631921824098</v>
      </c>
      <c r="K180" s="928"/>
      <c r="L180" s="928">
        <f>(Q83/$R83*100*($E83/365))+(Q84/$R84*100*($E84/365))</f>
        <v>40.22801302931596</v>
      </c>
      <c r="M180" s="928"/>
      <c r="N180" s="887">
        <f t="shared" si="36"/>
        <v>99.999999999999986</v>
      </c>
      <c r="O180" s="887"/>
      <c r="R180" s="1">
        <v>1997</v>
      </c>
      <c r="S180" s="8">
        <f>(O83*($E83/365))+(O84*($E84/365))</f>
        <v>20.7</v>
      </c>
      <c r="T180" s="8">
        <f>(P83*($E83/365))+(P84*($E84/365))</f>
        <v>16</v>
      </c>
      <c r="U180" s="8">
        <f>(Q83*($E83/365))+(Q84*($E84/365))</f>
        <v>24.7</v>
      </c>
      <c r="V180" s="7"/>
      <c r="W180" s="7">
        <f t="shared" si="35"/>
        <v>61.400000000000006</v>
      </c>
    </row>
    <row r="181" spans="1:23">
      <c r="A181" s="1">
        <v>1998</v>
      </c>
      <c r="B181" s="8">
        <f>(K85*($E85/365))+(K86*($E86/365))</f>
        <v>38.669275929549904</v>
      </c>
      <c r="C181" s="8">
        <f>(L85*($E85/365))+(L86*($E86/365))</f>
        <v>25.616438356164384</v>
      </c>
      <c r="D181" s="8">
        <f>(M85*($E85/365))+(M86*($E86/365))</f>
        <v>35.714285714285715</v>
      </c>
      <c r="E181" s="48">
        <f t="shared" si="34"/>
        <v>100</v>
      </c>
      <c r="G181" s="1">
        <v>1998</v>
      </c>
      <c r="H181" s="928">
        <f>(O85/$R85*100*($E85/365))+(O86/$R86*100*($E86/365))</f>
        <v>35.968315260929614</v>
      </c>
      <c r="I181" s="928"/>
      <c r="J181" s="928">
        <f>(P85/$R85*100*($E85/365))+(P86/$R86*100*($E86/365))</f>
        <v>21.233934905639135</v>
      </c>
      <c r="K181" s="928"/>
      <c r="L181" s="928">
        <f>(Q85/$R85*100*($E85/365))+(Q86/$R86*100*($E86/365))</f>
        <v>42.797749833431254</v>
      </c>
      <c r="M181" s="928"/>
      <c r="N181" s="887">
        <f t="shared" si="36"/>
        <v>100</v>
      </c>
      <c r="O181" s="887"/>
      <c r="R181" s="1">
        <v>1998</v>
      </c>
      <c r="S181" s="8">
        <f>(O85*($E85/365))+(O86*($E86/365))</f>
        <v>22.603013698630136</v>
      </c>
      <c r="T181" s="8">
        <f>(P85*($E85/365))+(P86*($E86/365))</f>
        <v>13.228219178082192</v>
      </c>
      <c r="U181" s="8">
        <f>(Q85*($E85/365))+(Q86*($E86/365))</f>
        <v>26.89260273972603</v>
      </c>
      <c r="V181" s="7"/>
      <c r="W181" s="7">
        <f t="shared" si="35"/>
        <v>62.723835616438357</v>
      </c>
    </row>
    <row r="182" spans="1:23">
      <c r="A182" s="1">
        <v>1999</v>
      </c>
      <c r="B182" s="8">
        <f>(K87*($E87/365))+(K88*($E88/365))</f>
        <v>40</v>
      </c>
      <c r="C182" s="8">
        <f>(L87*($E87/365))+(L88*($E88/365))</f>
        <v>20</v>
      </c>
      <c r="D182" s="8">
        <f>(M87*($E87/365))+(M88*($E88/365))</f>
        <v>40</v>
      </c>
      <c r="E182" s="48">
        <f t="shared" si="34"/>
        <v>100</v>
      </c>
      <c r="G182" s="1">
        <v>1999</v>
      </c>
      <c r="H182" s="928">
        <f>(O87/$R87*100*($E87/365))+(O88/$R88*100*($E88/365))</f>
        <v>39.164086687306501</v>
      </c>
      <c r="I182" s="928"/>
      <c r="J182" s="928">
        <f>(P87/$R87*100*($E87/365))+(P88/$R88*100*($E88/365))</f>
        <v>14.396284829721365</v>
      </c>
      <c r="K182" s="928"/>
      <c r="L182" s="928">
        <f>(Q87/$R87*100*($E87/365))+(Q88/$R88*100*($E88/365))</f>
        <v>46.43962848297214</v>
      </c>
      <c r="M182" s="928"/>
      <c r="N182" s="887">
        <f t="shared" si="36"/>
        <v>100</v>
      </c>
      <c r="O182" s="887"/>
      <c r="R182" s="1">
        <v>1999</v>
      </c>
      <c r="S182" s="8">
        <f>(O87*($E87/365))+(O88*($E88/365))</f>
        <v>25.3</v>
      </c>
      <c r="T182" s="8">
        <f>(P87*($E87/365))+(P88*($E88/365))</f>
        <v>9.3000000000000007</v>
      </c>
      <c r="U182" s="8">
        <f>(Q87*($E87/365))+(Q88*($E88/365))</f>
        <v>30</v>
      </c>
      <c r="V182" s="7"/>
      <c r="W182" s="7">
        <f t="shared" si="35"/>
        <v>64.599999999999994</v>
      </c>
    </row>
    <row r="183" spans="1:23">
      <c r="A183" s="1">
        <v>2000</v>
      </c>
      <c r="B183" s="8">
        <f>(K89*($E89/366))+(K90*($E90/366))</f>
        <v>40</v>
      </c>
      <c r="C183" s="8">
        <f>(L89*($E89/366))+(L90*($E90/366))</f>
        <v>20</v>
      </c>
      <c r="D183" s="8">
        <f>(M89*($E89/366))+(M90*($E90/366))</f>
        <v>40</v>
      </c>
      <c r="E183" s="48">
        <f t="shared" si="34"/>
        <v>100</v>
      </c>
      <c r="G183" s="1">
        <v>2000</v>
      </c>
      <c r="H183" s="928">
        <f>(O89/$R89*100*($E89/366))+(O90/$R90*100*($E90/366))</f>
        <v>39.164086687306501</v>
      </c>
      <c r="I183" s="928"/>
      <c r="J183" s="928">
        <f>(P89/$R89*100*($E89/366))+(P90/$R90*100*($E90/366))</f>
        <v>14.396284829721365</v>
      </c>
      <c r="K183" s="928"/>
      <c r="L183" s="928">
        <f>(Q89/$R89*100*($E89/366))+(Q90/$R90*100*($E90/366))</f>
        <v>46.43962848297214</v>
      </c>
      <c r="M183" s="928"/>
      <c r="N183" s="887">
        <f t="shared" si="36"/>
        <v>100</v>
      </c>
      <c r="O183" s="887"/>
      <c r="R183" s="1">
        <v>2000</v>
      </c>
      <c r="S183" s="8">
        <f>(O89*($E89/366))+(O90*($E90/366))</f>
        <v>25.3</v>
      </c>
      <c r="T183" s="8">
        <f>(P89*($E89/366))+(P90*($E90/366))</f>
        <v>9.3000000000000007</v>
      </c>
      <c r="U183" s="8">
        <f>(Q89*($E89/366))+(Q90*($E90/366))</f>
        <v>30</v>
      </c>
      <c r="V183" s="7"/>
      <c r="W183" s="7">
        <f t="shared" si="35"/>
        <v>64.599999999999994</v>
      </c>
    </row>
    <row r="184" spans="1:23">
      <c r="A184" s="1">
        <v>2001</v>
      </c>
      <c r="B184" s="8">
        <f>(K91*($E91/365))+(K92*($E92/365))</f>
        <v>40</v>
      </c>
      <c r="C184" s="8">
        <f>(L91*($E91/365))+(L92*($E92/365))</f>
        <v>20</v>
      </c>
      <c r="D184" s="8">
        <f>(M91*($E91/365))+(M92*($E92/365))</f>
        <v>40</v>
      </c>
      <c r="E184" s="48">
        <f t="shared" si="34"/>
        <v>100</v>
      </c>
      <c r="G184" s="1">
        <v>2001</v>
      </c>
      <c r="H184" s="928">
        <f>(O91/$R91*100*($E91/365))+(O92/$R92*100*($E92/365))</f>
        <v>39.164086687306501</v>
      </c>
      <c r="I184" s="928"/>
      <c r="J184" s="928">
        <f>(P91/$R91*100*($E91/365))+(P92/$R92*100*($E92/365))</f>
        <v>14.396284829721365</v>
      </c>
      <c r="K184" s="928"/>
      <c r="L184" s="928">
        <f>(Q91/$R91*100*($E91/365))+(Q92/$R92*100*($E92/365))</f>
        <v>46.43962848297214</v>
      </c>
      <c r="M184" s="928"/>
      <c r="N184" s="887">
        <f t="shared" si="36"/>
        <v>100</v>
      </c>
      <c r="O184" s="887"/>
      <c r="R184" s="1">
        <v>2001</v>
      </c>
      <c r="S184" s="8">
        <f>(O91*($E91/365))+(O92*($E92/365))</f>
        <v>25.3</v>
      </c>
      <c r="T184" s="8">
        <f>(P91*($E91/365))+(P92*($E92/365))</f>
        <v>9.3000000000000007</v>
      </c>
      <c r="U184" s="8">
        <f>(Q91*($E91/365))+(Q92*($E92/365))</f>
        <v>30</v>
      </c>
      <c r="V184" s="7"/>
      <c r="W184" s="7">
        <f t="shared" si="35"/>
        <v>64.599999999999994</v>
      </c>
    </row>
    <row r="185" spans="1:23">
      <c r="A185" s="1">
        <v>2002</v>
      </c>
      <c r="B185" s="8">
        <f>(K93*($E93/365))+(K94*($E94/365))+(K95*($E95/365))+(K96*($E96/365))+(K97*($E97/365))</f>
        <v>39.422166874221666</v>
      </c>
      <c r="C185" s="8">
        <f>(L93*($E93/365))+(L94*($E94/365))+(L95*($E95/365))+(L96*($E96/365))+(L97*($E97/365))</f>
        <v>38.440846824408467</v>
      </c>
      <c r="D185" s="8">
        <f>(M93*($E93/365))+(M94*($E94/365))+(M95*($E95/365))+(M96*($E96/365))+(M97*($E97/365))</f>
        <v>22.136986301369863</v>
      </c>
      <c r="E185" s="48">
        <f t="shared" si="34"/>
        <v>100</v>
      </c>
      <c r="G185" s="1">
        <v>2002</v>
      </c>
      <c r="H185" s="928">
        <f>(O93/$R93*100*($E93/365))+(O94/$R94*100*($E94/365))+(O95/$R95*100*($E95/365))+(O96/$R96*100*($E96/365))+(O97/$R97*100*($E97/365))</f>
        <v>41.880355874465941</v>
      </c>
      <c r="I185" s="928"/>
      <c r="J185" s="928">
        <f>(P93/$R93*100*($E93/365))+(P94/$R94*100*($E94/365))+(P95/$R95*100*($E95/365))+(P96/$R96*100*($E96/365))+(P97/$R97*100*($E97/365))</f>
        <v>32.418808636327554</v>
      </c>
      <c r="K185" s="928"/>
      <c r="L185" s="928">
        <f>(Q93/$R93*100*($E93/365))+(Q94/$R94*100*($E94/365))+(Q95/$R95*100*($E95/365))+(Q96/$R96*100*($E96/365))+(Q97/$R97*100*($E97/365))</f>
        <v>25.700835489206501</v>
      </c>
      <c r="M185" s="928"/>
      <c r="N185" s="887">
        <f t="shared" si="36"/>
        <v>100</v>
      </c>
      <c r="O185" s="887"/>
      <c r="R185" s="1">
        <v>2002</v>
      </c>
      <c r="S185" s="8">
        <f>(O93*($E93/365))+(O94*($E94/365))+(O95*($E95/365))+(O96*($E96/365))+(O97*($E97/365))</f>
        <v>25.223013698630133</v>
      </c>
      <c r="T185" s="8">
        <f>(P93*($E93/365))+(P94*($E94/365))+(P95*($E95/365))+(P96*($E96/365))+(P97*($E97/365))</f>
        <v>17.963561643835614</v>
      </c>
      <c r="U185" s="8">
        <f>(Q93*($E93/365))+(Q94*($E94/365))+(Q95*($E95/365))+(Q96*($E96/365))+(Q97*($E97/365))</f>
        <v>16.602739726027398</v>
      </c>
      <c r="V185" s="7"/>
      <c r="W185" s="7">
        <f t="shared" si="35"/>
        <v>59.789315068493138</v>
      </c>
    </row>
    <row r="186" spans="1:23">
      <c r="A186" s="1">
        <v>2003</v>
      </c>
      <c r="B186" s="8">
        <f>(K98*($E98/365))+(K99*($E99/365))</f>
        <v>32.5</v>
      </c>
      <c r="C186" s="8">
        <f>(L98*($E98/365))+(L99*($E99/365))</f>
        <v>67.5</v>
      </c>
      <c r="D186" s="8">
        <f>(M98*($E98/365))+(M99*($E99/365))</f>
        <v>0</v>
      </c>
      <c r="E186" s="48">
        <f t="shared" si="34"/>
        <v>100</v>
      </c>
      <c r="G186" s="1">
        <v>2003</v>
      </c>
      <c r="H186" s="928">
        <f>(O98/$R98*100*($E98/365))+(O99/$R99*100*($E99/365))</f>
        <v>35.894596454999139</v>
      </c>
      <c r="I186" s="928"/>
      <c r="J186" s="928">
        <f>(P98/$R98*100*($E98/365))+(P99/$R99*100*($E99/365))</f>
        <v>64.105403545000854</v>
      </c>
      <c r="K186" s="928"/>
      <c r="L186" s="928">
        <f>(Q98/$R98*100*($E98/365))+(Q99/$R99*100*($E99/365))</f>
        <v>0</v>
      </c>
      <c r="M186" s="928"/>
      <c r="N186" s="887">
        <f t="shared" si="36"/>
        <v>100</v>
      </c>
      <c r="O186" s="887"/>
      <c r="R186" s="1">
        <v>2003</v>
      </c>
      <c r="S186" s="8">
        <f>(O98*($E98/365))+(O99*($E99/365))</f>
        <v>17.619999999999997</v>
      </c>
      <c r="T186" s="8">
        <f>(P98*($E98/365))+(P99*($E99/365))</f>
        <v>31.459999999999997</v>
      </c>
      <c r="U186" s="8">
        <f>(Q98*($E98/365))+(Q99*($E99/365))</f>
        <v>0</v>
      </c>
      <c r="V186" s="7"/>
      <c r="W186" s="7">
        <f t="shared" si="35"/>
        <v>49.08</v>
      </c>
    </row>
    <row r="187" spans="1:23">
      <c r="A187" s="1">
        <v>2004</v>
      </c>
      <c r="B187" s="8">
        <f>(K100*($E100/366))+(K101*($E101/366))</f>
        <v>37.5</v>
      </c>
      <c r="C187" s="8">
        <f>(L100*($E100/366))+(L101*($E101/366))</f>
        <v>62.5</v>
      </c>
      <c r="D187" s="8">
        <f>(M100*($E100/366))+(M101*($E101/366))</f>
        <v>0</v>
      </c>
      <c r="E187" s="48">
        <f t="shared" si="34"/>
        <v>100</v>
      </c>
      <c r="G187" s="1">
        <v>2004</v>
      </c>
      <c r="H187" s="928">
        <f>(O100/$R100*100*($E100/366))+(O101/$R101*100*($E101/366))</f>
        <v>35.96153846153846</v>
      </c>
      <c r="I187" s="928"/>
      <c r="J187" s="928">
        <f>(P100/$R100*100*($E100/366))+(P101/$R101*100*($E101/366))</f>
        <v>64.038461538461533</v>
      </c>
      <c r="K187" s="928"/>
      <c r="L187" s="928">
        <f>(Q100/$R100*100*($E100/366))+(Q101/$R101*100*($E101/366))</f>
        <v>0</v>
      </c>
      <c r="M187" s="928"/>
      <c r="N187" s="887">
        <f t="shared" si="36"/>
        <v>100</v>
      </c>
      <c r="O187" s="887"/>
      <c r="R187" s="1">
        <v>2004</v>
      </c>
      <c r="S187" s="8">
        <f>(O100*($E100/366))+(O101*($E101/366))</f>
        <v>18.7</v>
      </c>
      <c r="T187" s="8">
        <f>(P100*($E100/366))+(P101*($E101/366))</f>
        <v>33.299999999999997</v>
      </c>
      <c r="U187" s="8">
        <f>(Q100*($E100/366))+(Q101*($E101/366))</f>
        <v>0</v>
      </c>
      <c r="V187" s="7"/>
      <c r="W187" s="7">
        <f t="shared" si="35"/>
        <v>52</v>
      </c>
    </row>
    <row r="188" spans="1:23">
      <c r="A188" s="1">
        <v>2005</v>
      </c>
      <c r="B188" s="8">
        <f>(K102*($E102/365))+(K103*($E103/365))</f>
        <v>37.5</v>
      </c>
      <c r="C188" s="8">
        <f>(L102*($E102/365))+(L103*($E103/365))</f>
        <v>62.5</v>
      </c>
      <c r="D188" s="8">
        <f>(M102*($E102/365))+(M103*($E103/365))</f>
        <v>0</v>
      </c>
      <c r="E188" s="48">
        <f t="shared" si="34"/>
        <v>100</v>
      </c>
      <c r="G188" s="1">
        <v>2005</v>
      </c>
      <c r="H188" s="928">
        <f>(O102/$R102*100*($E102/365))+(O103/$R103*100*($E103/365))</f>
        <v>35.96153846153846</v>
      </c>
      <c r="I188" s="928"/>
      <c r="J188" s="928">
        <f>(P102/$R102*100*($E102/365))+(P103/$R103*100*($E103/365))</f>
        <v>64.038461538461533</v>
      </c>
      <c r="K188" s="928"/>
      <c r="L188" s="928">
        <f>(Q102/$R102*100*($E102/365))+(Q103/$R103*100*($E103/365))</f>
        <v>0</v>
      </c>
      <c r="M188" s="928"/>
      <c r="N188" s="887">
        <f t="shared" si="36"/>
        <v>100</v>
      </c>
      <c r="O188" s="887"/>
      <c r="R188" s="1">
        <v>2005</v>
      </c>
      <c r="S188" s="8">
        <f>(O102*($E102/365))+(O103*($E103/365))</f>
        <v>18.7</v>
      </c>
      <c r="T188" s="8">
        <f>(P102*($E102/365))+(P103*($E103/365))</f>
        <v>33.299999999999997</v>
      </c>
      <c r="U188" s="8">
        <f>(Q102*($E102/365))+(Q103*($E103/365))</f>
        <v>0</v>
      </c>
      <c r="V188" s="7"/>
      <c r="W188" s="7">
        <f t="shared" si="35"/>
        <v>52</v>
      </c>
    </row>
    <row r="189" spans="1:23">
      <c r="A189" s="1">
        <v>2006</v>
      </c>
      <c r="B189" s="8">
        <f>(K104*($E104/365))+(K105*($E105/365))</f>
        <v>40.547945205479451</v>
      </c>
      <c r="C189" s="8">
        <f>(L104*($E104/365))+(L105*($E105/365))</f>
        <v>59.452054794520549</v>
      </c>
      <c r="D189" s="8">
        <f>(M104*($E104/365))+(M105*($E105/365))</f>
        <v>0</v>
      </c>
      <c r="E189" s="48">
        <f t="shared" si="34"/>
        <v>100</v>
      </c>
      <c r="G189" s="1">
        <v>2006</v>
      </c>
      <c r="H189" s="928">
        <f>(O104/$R104*100*($E104/365))+(O105/$R105*100*($E105/365))</f>
        <v>37.422989111345274</v>
      </c>
      <c r="I189" s="928"/>
      <c r="J189" s="928">
        <f>(P104/$R104*100*($E104/365))+(P105/$R105*100*($E105/365))</f>
        <v>62.577010888654726</v>
      </c>
      <c r="K189" s="928"/>
      <c r="L189" s="928">
        <f>(Q104/$R104*100*($E104/365))+(Q105/$R105*100*($E105/365))</f>
        <v>0</v>
      </c>
      <c r="M189" s="928"/>
      <c r="N189" s="887">
        <f t="shared" si="36"/>
        <v>100</v>
      </c>
      <c r="O189" s="887"/>
      <c r="R189" s="1">
        <v>2006</v>
      </c>
      <c r="S189" s="8">
        <f>(O104*($E104/365))+(O105*($E105/365))</f>
        <v>18.7</v>
      </c>
      <c r="T189" s="8">
        <f>(P104*($E104/365))+(P105*($E105/365))</f>
        <v>31.349315068493148</v>
      </c>
      <c r="U189" s="8">
        <f>(Q104*($E104/365))+(Q105*($E105/365))</f>
        <v>0</v>
      </c>
      <c r="V189" s="7"/>
      <c r="W189" s="7">
        <f t="shared" si="35"/>
        <v>50.049315068493144</v>
      </c>
    </row>
    <row r="190" spans="1:23">
      <c r="A190" s="1">
        <v>2007</v>
      </c>
      <c r="B190" s="8">
        <f>(K106*($E106/365))+(K107*($E107/365))</f>
        <v>6.2328767123287667</v>
      </c>
      <c r="C190" s="8">
        <f>(L106*($E106/365))+(L107*($E107/365))</f>
        <v>61.609589041095894</v>
      </c>
      <c r="D190" s="8">
        <f>(M106*($E106/365))+(M107*($E107/365))</f>
        <v>32.157534246575345</v>
      </c>
      <c r="E190" s="48">
        <f t="shared" si="34"/>
        <v>100</v>
      </c>
      <c r="G190" s="1">
        <v>2007</v>
      </c>
      <c r="H190" s="928">
        <f>(O106/$R106*100*($E106/365))+(O107/$R107*100*($E107/365))</f>
        <v>5.5502283105022832</v>
      </c>
      <c r="I190" s="928"/>
      <c r="J190" s="928">
        <f>(P106/$R106*100*($E106/365))+(P107/$R107*100*($E107/365))</f>
        <v>59.05436188713837</v>
      </c>
      <c r="K190" s="928"/>
      <c r="L190" s="928">
        <f>(Q106/$R106*100*($E106/365))+(Q107/$R107*100*($E107/365))</f>
        <v>35.395409802359353</v>
      </c>
      <c r="M190" s="928"/>
      <c r="N190" s="887">
        <f t="shared" si="36"/>
        <v>100</v>
      </c>
      <c r="O190" s="887"/>
      <c r="R190" s="1">
        <v>2007</v>
      </c>
      <c r="S190" s="8">
        <f>(O106*($E106/365))+(O107*($E107/365))</f>
        <v>2.6641095890410957</v>
      </c>
      <c r="T190" s="8">
        <f>(P106*($E106/365))+(P107*($E107/365))</f>
        <v>31.015068493150686</v>
      </c>
      <c r="U190" s="8">
        <f>(Q106*($E106/365))+(Q107*($E107/365))</f>
        <v>18.865753424657534</v>
      </c>
      <c r="V190" s="7"/>
      <c r="W190" s="7">
        <f t="shared" si="35"/>
        <v>52.544931506849316</v>
      </c>
    </row>
    <row r="191" spans="1:23">
      <c r="A191" s="1">
        <v>2008</v>
      </c>
      <c r="B191" s="8">
        <f>(K108*($E108/366))+(K109*($E109/366))</f>
        <v>0</v>
      </c>
      <c r="C191" s="8">
        <f>(L108*($E108/366))+(L109*($E109/366))</f>
        <v>62.5</v>
      </c>
      <c r="D191" s="8">
        <f>(M108*($E108/366))+(M109*($E109/366))</f>
        <v>37.5</v>
      </c>
      <c r="E191" s="48">
        <f t="shared" si="34"/>
        <v>100</v>
      </c>
      <c r="G191" s="1">
        <v>2008</v>
      </c>
      <c r="H191" s="928">
        <f>(O108/$R108*100*($E108/366))+(O109/$R109*100*($E109/366))</f>
        <v>0</v>
      </c>
      <c r="I191" s="928"/>
      <c r="J191" s="928">
        <f>(P108/$R108*100*($E108/366))+(P109/$R109*100*($E109/366))</f>
        <v>58.724202626641656</v>
      </c>
      <c r="K191" s="928"/>
      <c r="L191" s="928">
        <f>(Q108/$R108*100*($E108/366))+(Q109/$R109*100*($E109/366))</f>
        <v>41.275797373358351</v>
      </c>
      <c r="M191" s="928"/>
      <c r="N191" s="887">
        <f t="shared" si="36"/>
        <v>100</v>
      </c>
      <c r="O191" s="887"/>
      <c r="R191" s="1">
        <v>2008</v>
      </c>
      <c r="S191" s="8">
        <f>(O108*($E108/366))+(O109*($E109/366))</f>
        <v>0</v>
      </c>
      <c r="T191" s="8">
        <f>(P108*($E108/366))+(P109*($E109/366))</f>
        <v>31.3</v>
      </c>
      <c r="U191" s="8">
        <f>(Q108*($E108/366))+(Q109*($E109/366))</f>
        <v>22</v>
      </c>
      <c r="V191" s="7"/>
      <c r="W191" s="7">
        <f t="shared" si="35"/>
        <v>53.3</v>
      </c>
    </row>
    <row r="192" spans="1:23">
      <c r="A192" s="1">
        <v>2009</v>
      </c>
      <c r="B192" s="8">
        <f>(K110*($E110/365))+(K111*($E111/365))</f>
        <v>0</v>
      </c>
      <c r="C192" s="8">
        <f>(L110*($E110/365))+(L111*($E111/365))</f>
        <v>62.5</v>
      </c>
      <c r="D192" s="8">
        <f>(M110*($E110/365))+(M111*($E111/365))</f>
        <v>37.5</v>
      </c>
      <c r="E192" s="48">
        <f t="shared" si="34"/>
        <v>100</v>
      </c>
      <c r="G192" s="1">
        <v>2009</v>
      </c>
      <c r="H192" s="928">
        <f>(O110/$R110*100*($E110/365))+(O111/$R111*100*($E111/365))</f>
        <v>0</v>
      </c>
      <c r="I192" s="928"/>
      <c r="J192" s="928">
        <f>(P110/$R110*100*($E110/365))+(P111/$R111*100*($E111/365))</f>
        <v>58.724202626641656</v>
      </c>
      <c r="K192" s="928"/>
      <c r="L192" s="928">
        <f>(Q110/$R110*100*($E110/365))+(Q111/$R111*100*($E111/365))</f>
        <v>41.275797373358351</v>
      </c>
      <c r="M192" s="928"/>
      <c r="N192" s="887">
        <f t="shared" si="36"/>
        <v>100</v>
      </c>
      <c r="O192" s="887"/>
      <c r="R192" s="1">
        <v>2009</v>
      </c>
      <c r="S192" s="8">
        <f>(O110*($E110/365))+(O111*($E111/365))</f>
        <v>0</v>
      </c>
      <c r="T192" s="8">
        <f>(P110*($E110/365))+(P111*($E111/365))</f>
        <v>31.3</v>
      </c>
      <c r="U192" s="8">
        <f>(Q110*($E110/365))+(Q111*($E111/365))</f>
        <v>22</v>
      </c>
      <c r="V192" s="7"/>
      <c r="W192" s="7">
        <f t="shared" si="35"/>
        <v>53.3</v>
      </c>
    </row>
    <row r="193" spans="1:23">
      <c r="A193" s="1">
        <v>2010</v>
      </c>
      <c r="B193" s="8">
        <f>(K112*($E112/365))+(K113*($E113/365))+(K114*($E114/365))</f>
        <v>10.821917808219178</v>
      </c>
      <c r="C193" s="8">
        <f>(L112*($E112/365))+(L113*($E113/365))+(L114*($E114/365))</f>
        <v>84.041095890410958</v>
      </c>
      <c r="D193" s="8">
        <f>(M112*($E112/365))+(M113*($E113/365))+(M114*($E114/365))</f>
        <v>5.1369863013698627</v>
      </c>
      <c r="E193" s="48">
        <f t="shared" si="34"/>
        <v>100</v>
      </c>
      <c r="G193" s="1">
        <v>2010</v>
      </c>
      <c r="H193" s="928">
        <f>(O112/$R112*100*($E112/365))+(O113/$R113*100*($E113/365))+(O114/$R114*100*($E114/365))</f>
        <v>12.91145237061308</v>
      </c>
      <c r="I193" s="928"/>
      <c r="J193" s="928">
        <f>(P112/$R112*100*($E112/365))+(P113/$R113*100*($E113/365))+(P114/$R114*100*($E114/365))</f>
        <v>81.434328811118647</v>
      </c>
      <c r="K193" s="928"/>
      <c r="L193" s="928">
        <f>(Q112/$R112*100*($E112/365))+(Q113/$R113*100*($E113/365))+(Q114/$R114*100*($E114/365))</f>
        <v>5.6542188182682667</v>
      </c>
      <c r="M193" s="928"/>
      <c r="N193" s="887">
        <f t="shared" si="36"/>
        <v>99.999999999999986</v>
      </c>
      <c r="O193" s="887"/>
      <c r="R193" s="1">
        <v>2010</v>
      </c>
      <c r="S193" s="8">
        <f>(O112*($E112/365))+(O113*($E113/365))+(O114*($E114/365))</f>
        <v>4.4802739726027392</v>
      </c>
      <c r="T193" s="8">
        <f>(P112*($E112/365))+(P113*($E113/365))+(P114*($E114/365))</f>
        <v>27.555616438356161</v>
      </c>
      <c r="U193" s="8">
        <f>(Q112*($E112/365))+(Q113*($E113/365))+(Q114*($E114/365))</f>
        <v>3.0136986301369859</v>
      </c>
      <c r="V193" s="7"/>
      <c r="W193" s="7">
        <f t="shared" si="35"/>
        <v>35.049589041095885</v>
      </c>
    </row>
    <row r="194" spans="1:23">
      <c r="A194" s="1">
        <v>2011</v>
      </c>
      <c r="B194" s="8">
        <f>(K115*($E115/365))+(K116*($E116/365))</f>
        <v>50</v>
      </c>
      <c r="C194" s="8">
        <f>(L115*($E115/365))+(L116*($E116/365))</f>
        <v>50</v>
      </c>
      <c r="D194" s="8">
        <f>(M115*($E115/365))+(M116*($E116/365))</f>
        <v>0</v>
      </c>
      <c r="E194" s="48">
        <f t="shared" si="34"/>
        <v>100</v>
      </c>
      <c r="G194" s="1">
        <v>2011</v>
      </c>
      <c r="H194" s="928">
        <f>(O115/$R115*100*($E115/365))+(O116/$R116*100*($E116/365))</f>
        <v>59.654178674351577</v>
      </c>
      <c r="I194" s="928"/>
      <c r="J194" s="928">
        <f>(P115/$R115*100*($E115/365))+(P116/$R116*100*($E116/365))</f>
        <v>40.345821325648416</v>
      </c>
      <c r="K194" s="928"/>
      <c r="L194" s="928">
        <f>(Q115/$R115*100*($E115/365))+(Q116/$R116*100*($E116/365))</f>
        <v>0</v>
      </c>
      <c r="M194" s="928"/>
      <c r="N194" s="887">
        <f t="shared" si="36"/>
        <v>100</v>
      </c>
      <c r="O194" s="887"/>
      <c r="R194" s="1">
        <v>2011</v>
      </c>
      <c r="S194" s="8">
        <f>(O115*($E115/365))+(O116*($E116/365))</f>
        <v>20.7</v>
      </c>
      <c r="T194" s="8">
        <f>(P115*($E115/365))+(P116*($E116/365))</f>
        <v>14</v>
      </c>
      <c r="U194" s="8">
        <f>(Q115*($E115/365))+(Q116*($E116/365))</f>
        <v>0</v>
      </c>
      <c r="V194" s="7"/>
      <c r="W194" s="7">
        <f t="shared" si="35"/>
        <v>34.700000000000003</v>
      </c>
    </row>
    <row r="195" spans="1:23">
      <c r="A195" s="1">
        <v>2012</v>
      </c>
      <c r="B195" s="8">
        <f>(K117*($E117/366))+(K118*($E118/366))</f>
        <v>50.598991172761671</v>
      </c>
      <c r="C195" s="8">
        <f>(L117*($E117/366))+(L118*($E118/366))</f>
        <v>42.213114754098363</v>
      </c>
      <c r="D195" s="8">
        <f>(M117*($E117/366))+(M118*($E118/366))</f>
        <v>7.187894073139975</v>
      </c>
      <c r="E195" s="48">
        <f t="shared" si="34"/>
        <v>100</v>
      </c>
      <c r="G195" s="1">
        <v>2012</v>
      </c>
      <c r="H195" s="928">
        <f>(O117/$R117*100*($E117/366))+(O118/$R118*100*($E118/366))</f>
        <v>58.446738331655865</v>
      </c>
      <c r="I195" s="928"/>
      <c r="J195" s="928">
        <f>(P117/$R117*100*($E117/366))+(P118/$R118*100*($E118/366))</f>
        <v>34.062455709358908</v>
      </c>
      <c r="K195" s="928"/>
      <c r="L195" s="928">
        <f>(Q117/$R117*100*($E117/366))+(Q118/$R118*100*($E118/366))</f>
        <v>7.4908059589852272</v>
      </c>
      <c r="M195" s="928"/>
      <c r="N195" s="887">
        <f t="shared" si="36"/>
        <v>100</v>
      </c>
      <c r="O195" s="887"/>
      <c r="R195" s="1">
        <v>2012</v>
      </c>
      <c r="S195" s="8">
        <f>(O117*($E117/366))+(O118*($E118/366))</f>
        <v>21.727868852459014</v>
      </c>
      <c r="T195" s="8">
        <f>(P117*($E117/366))+(P118*($E118/366))</f>
        <v>11.819672131147541</v>
      </c>
      <c r="U195" s="8">
        <f>(Q117*($E117/366))+(Q118*($E118/366))</f>
        <v>3.9401639344262298</v>
      </c>
      <c r="V195" s="7"/>
      <c r="W195" s="7">
        <f t="shared" si="35"/>
        <v>37.487704918032783</v>
      </c>
    </row>
    <row r="196" spans="1:23">
      <c r="A196" s="1">
        <v>2013</v>
      </c>
      <c r="B196" s="8">
        <f>(K119*($E119/365))+(K120*($E120/365))</f>
        <v>53.846153846153847</v>
      </c>
      <c r="C196" s="8">
        <f>(L119*($E119/365))+(L120*($E120/365))</f>
        <v>0</v>
      </c>
      <c r="D196" s="8">
        <f>(M119*($E119/365))+(M120*($E120/365))</f>
        <v>46.153846153846153</v>
      </c>
      <c r="E196" s="270">
        <f t="shared" si="34"/>
        <v>100</v>
      </c>
      <c r="F196" s="8"/>
      <c r="G196" s="1">
        <v>2013</v>
      </c>
      <c r="H196" s="928">
        <f>(O119/$R119*100*($E119/365))+(O120/$R120*100*($E120/365))</f>
        <v>51.901140684410649</v>
      </c>
      <c r="I196" s="928"/>
      <c r="J196" s="928">
        <f>(P119/$R119*100*($E119/365))+(P120/$R120*100*($E120/365))</f>
        <v>0</v>
      </c>
      <c r="K196" s="928"/>
      <c r="L196" s="928">
        <f>(Q119/$R119*100*($E119/365))+(Q120/$R120*100*($E120/365))</f>
        <v>48.098859315589351</v>
      </c>
      <c r="M196" s="928"/>
      <c r="N196" s="887">
        <f>H196+J196+L196</f>
        <v>100</v>
      </c>
      <c r="O196" s="887"/>
      <c r="R196" s="1">
        <v>2013</v>
      </c>
      <c r="S196" s="8">
        <f>(O119*($E119/365))+(O120*($E120/365))</f>
        <v>27.3</v>
      </c>
      <c r="T196" s="8">
        <f>(P119*($E119/365))+(P120*($E120/365))</f>
        <v>0</v>
      </c>
      <c r="U196" s="8">
        <f>(Q119*($E119/365))+(Q120*($E120/365))</f>
        <v>25.3</v>
      </c>
      <c r="W196" s="7">
        <f t="shared" si="35"/>
        <v>52.6</v>
      </c>
    </row>
    <row r="197" spans="1:23">
      <c r="A197" s="1">
        <v>2014</v>
      </c>
      <c r="B197" s="8">
        <f>(K121*($E121/365))+(K122*($E122/365))</f>
        <v>53.846153846153847</v>
      </c>
      <c r="C197" s="8">
        <f>(L121*($E121/365))+(L122*($E122/365))</f>
        <v>0</v>
      </c>
      <c r="D197" s="8">
        <f>(M121*($E121/365))+(M122*($E122/365))</f>
        <v>46.153846153846153</v>
      </c>
      <c r="E197" s="543">
        <f>B197+C197+D197</f>
        <v>100</v>
      </c>
      <c r="F197" s="8"/>
      <c r="G197" s="1">
        <v>2014</v>
      </c>
      <c r="H197" s="928">
        <f>(O121/$R121*100*($E121/365))+(O122/$R122*100*($E122/365))</f>
        <v>51.901140684410649</v>
      </c>
      <c r="I197" s="928"/>
      <c r="J197" s="928">
        <f>(P121/$R121*100*($E121/365))+(P122/$R122*100*($E122/365))</f>
        <v>0</v>
      </c>
      <c r="K197" s="928"/>
      <c r="L197" s="928">
        <f>(Q121/$R121*100*($E121/365))+(Q122/$R122*100*($E122/365))</f>
        <v>48.098859315589351</v>
      </c>
      <c r="M197" s="928"/>
      <c r="N197" s="887">
        <f>H197+J197+L197</f>
        <v>100</v>
      </c>
      <c r="O197" s="887"/>
      <c r="R197" s="1">
        <v>2014</v>
      </c>
      <c r="S197" s="8">
        <f>(O121*($E121/365))+(O122*($E122/365))</f>
        <v>27.3</v>
      </c>
      <c r="T197" s="8">
        <f>(P121*($E121/365))+(P122*($E122/365))</f>
        <v>0</v>
      </c>
      <c r="U197" s="8">
        <f>(Q121*($E121/365))+(Q122*($E122/365))</f>
        <v>25.3</v>
      </c>
      <c r="W197" s="7">
        <f>S197+T197+U197</f>
        <v>52.6</v>
      </c>
    </row>
    <row r="198" spans="1:23" s="618" customFormat="1">
      <c r="A198" s="618">
        <v>2015</v>
      </c>
      <c r="B198" s="613">
        <f>(K123*($E123/365))+(K124*($E124/365))</f>
        <v>53.846153846153847</v>
      </c>
      <c r="C198" s="613">
        <f>(L123*($E123/365))+(L124*($E124/365))</f>
        <v>0</v>
      </c>
      <c r="D198" s="613">
        <f>(M123*($E123/365))+(M124*($E124/365))</f>
        <v>46.153846153846153</v>
      </c>
      <c r="E198" s="614">
        <f>B198+C198+D198</f>
        <v>100</v>
      </c>
      <c r="F198" s="613"/>
      <c r="G198" s="618">
        <v>2015</v>
      </c>
      <c r="H198" s="928">
        <f>(O123/$R123*100*($E123/365))+(O124/$R124*100*($E124/365))</f>
        <v>51.901140684410649</v>
      </c>
      <c r="I198" s="928"/>
      <c r="J198" s="928">
        <f>(P123/$R123*100*($E123/365))+(P124/$R124*100*($E124/365))</f>
        <v>0</v>
      </c>
      <c r="K198" s="928"/>
      <c r="L198" s="928">
        <f>(Q123/$R123*100*($E123/365))+(Q124/$R124*100*($E124/365))</f>
        <v>48.098859315589351</v>
      </c>
      <c r="M198" s="928"/>
      <c r="N198" s="887">
        <f>H198+J198+L198</f>
        <v>100</v>
      </c>
      <c r="O198" s="887"/>
      <c r="R198" s="618">
        <v>2015</v>
      </c>
      <c r="S198" s="613">
        <f>(O123*($E123/365))+(O124*($E124/365))</f>
        <v>27.3</v>
      </c>
      <c r="T198" s="613">
        <f>(P123*($E123/365))+(P124*($E124/365))</f>
        <v>0</v>
      </c>
      <c r="U198" s="613">
        <f>(Q123*($E123/365))+(Q124*($E124/365))</f>
        <v>25.3</v>
      </c>
      <c r="W198" s="617">
        <f>S198+T198+U198</f>
        <v>52.6</v>
      </c>
    </row>
    <row r="199" spans="1:23">
      <c r="A199" s="690">
        <v>2016</v>
      </c>
      <c r="B199" s="684">
        <f>(K125*($E125/366))+(K126*($E126/366))</f>
        <v>53.846153846153847</v>
      </c>
      <c r="C199" s="684">
        <f>(L125*($E125/366))+(L126*($E126/366))</f>
        <v>0</v>
      </c>
      <c r="D199" s="684">
        <f>(M125*($E125/366))+(M126*($E126/366))</f>
        <v>46.153846153846153</v>
      </c>
      <c r="E199" s="685">
        <f t="shared" ref="E199" si="37">B199+C199+D199</f>
        <v>100</v>
      </c>
      <c r="F199" s="684"/>
      <c r="G199" s="690">
        <v>2016</v>
      </c>
      <c r="H199" s="928">
        <f>(O125/$R125*100*($E125/366))+(O126/$R126*100*($E126/366))</f>
        <v>51.901140684410649</v>
      </c>
      <c r="I199" s="928"/>
      <c r="J199" s="928">
        <f>(P125/$R125*100*($E125/366))+(P126/$R126*100*($E126/366))</f>
        <v>0</v>
      </c>
      <c r="K199" s="928"/>
      <c r="L199" s="928">
        <f>(Q125/$R125*100*($E125/366))+(Q126/$R126*100*($E126/366))</f>
        <v>48.098859315589351</v>
      </c>
      <c r="M199" s="928"/>
      <c r="N199" s="887">
        <f t="shared" ref="N199" si="38">H199+J199+L199</f>
        <v>100</v>
      </c>
      <c r="O199" s="887"/>
      <c r="P199" s="690"/>
      <c r="Q199" s="690"/>
      <c r="R199" s="690">
        <v>2016</v>
      </c>
      <c r="S199" s="684">
        <f>(O125*($E125/366))+(O126*($E126/366))</f>
        <v>27.3</v>
      </c>
      <c r="T199" s="684">
        <f>(P125*($E125/366))+(P126*($E126/366))</f>
        <v>0</v>
      </c>
      <c r="U199" s="684">
        <f>(Q125*($E125/366))+(Q126*($E126/366))</f>
        <v>25.3</v>
      </c>
      <c r="V199" s="690"/>
      <c r="W199" s="688">
        <f t="shared" ref="W199" si="39">S199+T199+U199</f>
        <v>52.6</v>
      </c>
    </row>
    <row r="200" spans="1:23" s="749" customFormat="1">
      <c r="A200" s="749">
        <v>2017</v>
      </c>
      <c r="B200" s="744">
        <f>(K127*($E127/365))+(K128*($E128/365))+(K129*($E129/365))</f>
        <v>47.968914646996836</v>
      </c>
      <c r="C200" s="744">
        <f t="shared" ref="C200:D200" si="40">(L127*($E127/365))+(L128*($E128/365))+(L129*($E129/365))</f>
        <v>11.472602739726026</v>
      </c>
      <c r="D200" s="744">
        <f t="shared" si="40"/>
        <v>40.558482613277135</v>
      </c>
      <c r="E200" s="745">
        <f t="shared" ref="E200" si="41">B200+C200+D200</f>
        <v>100</v>
      </c>
      <c r="F200" s="744"/>
      <c r="G200" s="749">
        <v>2017</v>
      </c>
      <c r="H200" s="928">
        <f>(O127/$R127*100*($E127/365))+(O128/$R128*100*($E128/365))+(O129/$R129*100*($E129/365))</f>
        <v>50.339281518709939</v>
      </c>
      <c r="I200" s="928"/>
      <c r="J200" s="928">
        <f>(P127/$R127*100*($E127/365))+(P128/$R128*100*($E128/365))+(P129/$R129*100*($E129/365))</f>
        <v>10.390964848288347</v>
      </c>
      <c r="K200" s="928"/>
      <c r="L200" s="928">
        <f>(Q127/$R127*100*($E127/365))+(Q128/$R128*100*($E128/365))+(Q129/$R129*100*($E129/365))</f>
        <v>39.26975363300172</v>
      </c>
      <c r="M200" s="928"/>
      <c r="N200" s="887">
        <f t="shared" ref="N200" si="42">H200+J200+L200</f>
        <v>100</v>
      </c>
      <c r="O200" s="887"/>
      <c r="R200" s="749">
        <v>2017</v>
      </c>
      <c r="S200" s="744">
        <f>(O127*($E127/365))+(O128*($E128/365))+(O129*($E129/365))</f>
        <v>26.327123287671235</v>
      </c>
      <c r="T200" s="744">
        <f t="shared" ref="T200:U200" si="43">(P127*($E127/365))+(P128*($E128/365))+(P129*($E129/365))</f>
        <v>5.2682191780821919</v>
      </c>
      <c r="U200" s="744">
        <f t="shared" si="43"/>
        <v>20.655890410958907</v>
      </c>
      <c r="W200" s="746">
        <f t="shared" ref="W200" si="44">S200+T200+U200</f>
        <v>52.251232876712336</v>
      </c>
    </row>
    <row r="201" spans="1:23" s="749" customFormat="1">
      <c r="A201" s="749">
        <v>2018</v>
      </c>
      <c r="B201" s="772">
        <f>(K130*($E130/365))+(K131*($E131/365))</f>
        <v>37.5</v>
      </c>
      <c r="C201" s="772">
        <f>(L130*($E130/365))+(L131*($E131/365))</f>
        <v>62.5</v>
      </c>
      <c r="D201" s="772">
        <f>(M130*($E130/365))+(M131*($E131/365))</f>
        <v>0</v>
      </c>
      <c r="E201" s="773">
        <f>B201+C201+D201</f>
        <v>100</v>
      </c>
      <c r="F201" s="744"/>
      <c r="G201" s="749">
        <v>2018</v>
      </c>
      <c r="H201" s="928">
        <f>(O130/$R130*100*($E130/365))+(O131/$R131*100*($E131/365))</f>
        <v>43.392504930966467</v>
      </c>
      <c r="I201" s="928"/>
      <c r="J201" s="928">
        <f>(P130/$R130*100*($E130/365))+(P131/$R131*100*($E131/365))</f>
        <v>56.607495069033533</v>
      </c>
      <c r="K201" s="928"/>
      <c r="L201" s="928">
        <f>(Q130/$R130*100*($E130/365))+(Q131/$R131*100*($E131/365))</f>
        <v>0</v>
      </c>
      <c r="M201" s="928"/>
      <c r="N201" s="887">
        <f t="shared" ref="N201" si="45">H201+J201+L201</f>
        <v>100</v>
      </c>
      <c r="O201" s="887"/>
      <c r="R201" s="749">
        <v>2018</v>
      </c>
      <c r="S201" s="772">
        <f>(O130*($E130/365))+(O131*($E131/365))</f>
        <v>22</v>
      </c>
      <c r="T201" s="772">
        <f>(P130*($E130/365))+(P131*($E131/365))</f>
        <v>28.7</v>
      </c>
      <c r="U201" s="772">
        <f>(Q130*($E130/365))+(Q131*($E131/365))</f>
        <v>0</v>
      </c>
      <c r="V201" s="775"/>
      <c r="W201" s="774">
        <f>S201+T201+U201</f>
        <v>50.7</v>
      </c>
    </row>
    <row r="202" spans="1:23" s="749" customFormat="1">
      <c r="A202" s="802">
        <v>2019</v>
      </c>
      <c r="B202" s="798">
        <f>(K132*($E132/365))+(K133*($E133/365))</f>
        <v>37.131345688960515</v>
      </c>
      <c r="C202" s="798">
        <f>(L132*($E132/365))+(L133*($E133/365))</f>
        <v>62.868654311039485</v>
      </c>
      <c r="D202" s="798">
        <f>(M132*($E132/365))+(M133*($E133/365))</f>
        <v>0</v>
      </c>
      <c r="E202" s="797">
        <f>B202+C202+D202</f>
        <v>100</v>
      </c>
      <c r="F202" s="798"/>
      <c r="G202" s="802">
        <v>2019</v>
      </c>
      <c r="H202" s="928">
        <f>(O132/$R132*100*($E132/365))+(O133/$R133*100*($E133/365))</f>
        <v>43.392504930966467</v>
      </c>
      <c r="I202" s="928"/>
      <c r="J202" s="928">
        <f>(P132/$R132*100*($E132/365))+(P133/$R133*100*($E133/365))</f>
        <v>56.607495069033533</v>
      </c>
      <c r="K202" s="928"/>
      <c r="L202" s="928">
        <f>(Q132/$R132*100*($E132/365))+(Q133/$R133*100*($E133/365))</f>
        <v>0</v>
      </c>
      <c r="M202" s="928"/>
      <c r="N202" s="887">
        <f t="shared" ref="N202" si="46">H202+J202+L202</f>
        <v>100</v>
      </c>
      <c r="O202" s="887"/>
      <c r="P202" s="802"/>
      <c r="Q202" s="802"/>
      <c r="R202" s="802">
        <v>2019</v>
      </c>
      <c r="S202" s="798">
        <f>(O132*($E132/365))+(O133*($E133/365))</f>
        <v>22</v>
      </c>
      <c r="T202" s="798">
        <f>(P132*($E132/365))+(P133*($E133/365))</f>
        <v>28.7</v>
      </c>
      <c r="U202" s="798">
        <f>(Q132*($E132/365))+(Q133*($E133/365))</f>
        <v>0</v>
      </c>
      <c r="V202" s="802"/>
      <c r="W202" s="801">
        <f>S202+T202+U202</f>
        <v>50.7</v>
      </c>
    </row>
    <row r="203" spans="1:23" s="749" customFormat="1">
      <c r="B203" s="744"/>
      <c r="C203" s="744"/>
      <c r="D203" s="744"/>
      <c r="E203" s="745"/>
      <c r="F203" s="744"/>
      <c r="H203" s="928"/>
      <c r="I203" s="928"/>
      <c r="J203" s="928"/>
      <c r="K203" s="928"/>
      <c r="L203" s="928"/>
      <c r="M203" s="928"/>
      <c r="N203" s="887"/>
      <c r="O203" s="887"/>
      <c r="S203" s="744"/>
      <c r="T203" s="744"/>
      <c r="U203" s="744"/>
      <c r="W203" s="746"/>
    </row>
    <row r="204" spans="1:23" s="749" customFormat="1">
      <c r="B204" s="1"/>
      <c r="C204" s="1"/>
      <c r="D204" s="1"/>
      <c r="E204" s="1"/>
      <c r="F204" s="744"/>
      <c r="H204" s="1"/>
      <c r="I204" s="1"/>
      <c r="J204" s="1"/>
      <c r="K204" s="1"/>
      <c r="L204" s="1"/>
      <c r="M204" s="1"/>
      <c r="N204" s="1"/>
      <c r="O204" s="1"/>
      <c r="S204" s="1"/>
      <c r="T204" s="1"/>
      <c r="U204" s="1"/>
      <c r="V204" s="1"/>
      <c r="W204" s="1"/>
    </row>
    <row r="205" spans="1:23" s="749" customFormat="1">
      <c r="A205" s="1"/>
      <c r="B205" s="1"/>
      <c r="C205" s="1"/>
      <c r="D205" s="1"/>
      <c r="E205" s="1"/>
      <c r="F205" s="1"/>
      <c r="G205" s="1"/>
      <c r="H205" s="1"/>
      <c r="I205" s="1"/>
      <c r="J205" s="1"/>
      <c r="K205" s="1"/>
      <c r="L205" s="1"/>
      <c r="M205" s="1"/>
      <c r="N205" s="1"/>
      <c r="O205" s="1"/>
      <c r="P205" s="1"/>
      <c r="Q205" s="1"/>
      <c r="R205" s="1"/>
      <c r="S205" s="1"/>
      <c r="T205" s="1"/>
      <c r="U205" s="1"/>
      <c r="V205" s="1"/>
      <c r="W205" s="1"/>
    </row>
  </sheetData>
  <mergeCells count="403">
    <mergeCell ref="H203:I203"/>
    <mergeCell ref="J203:K203"/>
    <mergeCell ref="L203:M203"/>
    <mergeCell ref="N203:O203"/>
    <mergeCell ref="H201:I201"/>
    <mergeCell ref="J201:K201"/>
    <mergeCell ref="L201:M201"/>
    <mergeCell ref="N201:O201"/>
    <mergeCell ref="H202:I202"/>
    <mergeCell ref="J202:K202"/>
    <mergeCell ref="L202:M202"/>
    <mergeCell ref="N202:O202"/>
    <mergeCell ref="H199:I199"/>
    <mergeCell ref="J199:K199"/>
    <mergeCell ref="L199:M199"/>
    <mergeCell ref="N199:O199"/>
    <mergeCell ref="J149:K149"/>
    <mergeCell ref="L149:M149"/>
    <mergeCell ref="N149:O149"/>
    <mergeCell ref="L147:M147"/>
    <mergeCell ref="N147:O147"/>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C127:D127"/>
    <mergeCell ref="C128:D128"/>
    <mergeCell ref="C129:D129"/>
    <mergeCell ref="L153:M153"/>
    <mergeCell ref="N153:O153"/>
    <mergeCell ref="H150:I150"/>
    <mergeCell ref="J150:K150"/>
    <mergeCell ref="L150:M150"/>
    <mergeCell ref="N150:O150"/>
    <mergeCell ref="H151:I151"/>
    <mergeCell ref="J151:K151"/>
    <mergeCell ref="C130:D130"/>
    <mergeCell ref="C131:D131"/>
    <mergeCell ref="C132:D132"/>
    <mergeCell ref="C133:D133"/>
    <mergeCell ref="C134:D134"/>
    <mergeCell ref="H200:I200"/>
    <mergeCell ref="J200:K200"/>
    <mergeCell ref="L200:M200"/>
    <mergeCell ref="N200:O200"/>
    <mergeCell ref="C114:D114"/>
    <mergeCell ref="C115:D115"/>
    <mergeCell ref="L151:M151"/>
    <mergeCell ref="N151:O151"/>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C109:D109"/>
    <mergeCell ref="C110:D110"/>
    <mergeCell ref="C111:D111"/>
    <mergeCell ref="N196:O196"/>
    <mergeCell ref="C119:D119"/>
    <mergeCell ref="C120:D120"/>
    <mergeCell ref="H196:I196"/>
    <mergeCell ref="J196:K196"/>
    <mergeCell ref="L196:M196"/>
    <mergeCell ref="L142:M142"/>
    <mergeCell ref="N142:O142"/>
    <mergeCell ref="L141:M141"/>
    <mergeCell ref="N141:O141"/>
    <mergeCell ref="L145:M145"/>
    <mergeCell ref="N145:O145"/>
    <mergeCell ref="C123:D123"/>
    <mergeCell ref="C124:D124"/>
    <mergeCell ref="C125:D125"/>
    <mergeCell ref="C126:D126"/>
    <mergeCell ref="H153:I153"/>
    <mergeCell ref="J153:K153"/>
    <mergeCell ref="H152:I152"/>
    <mergeCell ref="J152:K152"/>
    <mergeCell ref="L152:M152"/>
    <mergeCell ref="C102:D102"/>
    <mergeCell ref="C103:D103"/>
    <mergeCell ref="C112:D112"/>
    <mergeCell ref="C113:D113"/>
    <mergeCell ref="C104:D104"/>
    <mergeCell ref="C105:D105"/>
    <mergeCell ref="C101:D101"/>
    <mergeCell ref="H149:I149"/>
    <mergeCell ref="C82:D82"/>
    <mergeCell ref="C89:D89"/>
    <mergeCell ref="C90:D90"/>
    <mergeCell ref="C93:D93"/>
    <mergeCell ref="C94:D94"/>
    <mergeCell ref="C91:D91"/>
    <mergeCell ref="C92:D92"/>
    <mergeCell ref="C95:D95"/>
    <mergeCell ref="C96:D96"/>
    <mergeCell ref="C100:D100"/>
    <mergeCell ref="C98:D98"/>
    <mergeCell ref="C99:D99"/>
    <mergeCell ref="C97:D97"/>
    <mergeCell ref="C106:D106"/>
    <mergeCell ref="C107:D107"/>
    <mergeCell ref="C108:D108"/>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64:D64"/>
    <mergeCell ref="C61:D61"/>
    <mergeCell ref="C62:D62"/>
    <mergeCell ref="C65:D65"/>
    <mergeCell ref="C66:D66"/>
    <mergeCell ref="C69:D69"/>
    <mergeCell ref="C70:D70"/>
    <mergeCell ref="C67:D67"/>
    <mergeCell ref="C68:D68"/>
    <mergeCell ref="C53:D53"/>
    <mergeCell ref="C54:D54"/>
    <mergeCell ref="C57:D57"/>
    <mergeCell ref="C58:D58"/>
    <mergeCell ref="C55:D55"/>
    <mergeCell ref="C56:D56"/>
    <mergeCell ref="C59:D59"/>
    <mergeCell ref="C60:D60"/>
    <mergeCell ref="C63:D63"/>
    <mergeCell ref="C42:D42"/>
    <mergeCell ref="C45:D45"/>
    <mergeCell ref="C46:D46"/>
    <mergeCell ref="C43:D43"/>
    <mergeCell ref="C44:D44"/>
    <mergeCell ref="C47:D47"/>
    <mergeCell ref="C48:D48"/>
    <mergeCell ref="C51:D51"/>
    <mergeCell ref="C52:D52"/>
    <mergeCell ref="C49:D49"/>
    <mergeCell ref="C50:D50"/>
    <mergeCell ref="C31:D31"/>
    <mergeCell ref="C32:D32"/>
    <mergeCell ref="C35:D35"/>
    <mergeCell ref="C36:D36"/>
    <mergeCell ref="C39:D39"/>
    <mergeCell ref="C40:D40"/>
    <mergeCell ref="C37:D37"/>
    <mergeCell ref="C38:D38"/>
    <mergeCell ref="C41:D41"/>
    <mergeCell ref="AH4:AK4"/>
    <mergeCell ref="AL4:AO4"/>
    <mergeCell ref="U4:U5"/>
    <mergeCell ref="V4:Y4"/>
    <mergeCell ref="C7:D7"/>
    <mergeCell ref="C6:D6"/>
    <mergeCell ref="C19:D19"/>
    <mergeCell ref="C20:D20"/>
    <mergeCell ref="AP4:AS4"/>
    <mergeCell ref="C8:D8"/>
    <mergeCell ref="K4:N4"/>
    <mergeCell ref="O4:R4"/>
    <mergeCell ref="S4:S5"/>
    <mergeCell ref="T4:T5"/>
    <mergeCell ref="Z4:AC4"/>
    <mergeCell ref="AD4:AG4"/>
    <mergeCell ref="C13:D13"/>
    <mergeCell ref="C14:D14"/>
    <mergeCell ref="C15:D15"/>
    <mergeCell ref="C16:D16"/>
    <mergeCell ref="C17:D17"/>
    <mergeCell ref="C18:D18"/>
    <mergeCell ref="A4:A5"/>
    <mergeCell ref="B4:B5"/>
    <mergeCell ref="C4:D5"/>
    <mergeCell ref="E4:E5"/>
    <mergeCell ref="H141:I141"/>
    <mergeCell ref="J141:K141"/>
    <mergeCell ref="F4:F5"/>
    <mergeCell ref="G4:J4"/>
    <mergeCell ref="C11:D11"/>
    <mergeCell ref="C12:D12"/>
    <mergeCell ref="C9:D9"/>
    <mergeCell ref="C10:D10"/>
    <mergeCell ref="C21:D21"/>
    <mergeCell ref="C22:D22"/>
    <mergeCell ref="C23:D23"/>
    <mergeCell ref="C24:D24"/>
    <mergeCell ref="C27:D27"/>
    <mergeCell ref="C28:D28"/>
    <mergeCell ref="C25:D25"/>
    <mergeCell ref="C26:D26"/>
    <mergeCell ref="C29:D29"/>
    <mergeCell ref="C30:D30"/>
    <mergeCell ref="C33:D33"/>
    <mergeCell ref="C34:D34"/>
    <mergeCell ref="G3:M3"/>
    <mergeCell ref="O3:Q3"/>
    <mergeCell ref="H143:I143"/>
    <mergeCell ref="J143:K143"/>
    <mergeCell ref="L143:M143"/>
    <mergeCell ref="N143:O143"/>
    <mergeCell ref="H142:I142"/>
    <mergeCell ref="J142:K142"/>
    <mergeCell ref="H148:I148"/>
    <mergeCell ref="J148:K148"/>
    <mergeCell ref="L148:M148"/>
    <mergeCell ref="N148:O148"/>
    <mergeCell ref="H146:I146"/>
    <mergeCell ref="J146:K146"/>
    <mergeCell ref="L146:M146"/>
    <mergeCell ref="N146:O146"/>
    <mergeCell ref="H147:I147"/>
    <mergeCell ref="J147:K147"/>
    <mergeCell ref="H144:I144"/>
    <mergeCell ref="J144:K144"/>
    <mergeCell ref="L144:M144"/>
    <mergeCell ref="N144:O144"/>
    <mergeCell ref="H145:I145"/>
    <mergeCell ref="J145:K145"/>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73:I173"/>
    <mergeCell ref="H166:I166"/>
    <mergeCell ref="J166:K166"/>
    <mergeCell ref="L166:M166"/>
    <mergeCell ref="J173:K173"/>
    <mergeCell ref="H167:I167"/>
    <mergeCell ref="J167:K167"/>
    <mergeCell ref="L167:M167"/>
    <mergeCell ref="H168:I168"/>
    <mergeCell ref="H169:I169"/>
    <mergeCell ref="H170:I170"/>
    <mergeCell ref="H189:I189"/>
    <mergeCell ref="H190:I190"/>
    <mergeCell ref="H191:I191"/>
    <mergeCell ref="H180:I180"/>
    <mergeCell ref="H181:I181"/>
    <mergeCell ref="H182:I182"/>
    <mergeCell ref="H183:I183"/>
    <mergeCell ref="H184:I184"/>
    <mergeCell ref="H185:I185"/>
    <mergeCell ref="J192:K192"/>
    <mergeCell ref="J183:K183"/>
    <mergeCell ref="J184:K184"/>
    <mergeCell ref="J185:K185"/>
    <mergeCell ref="J186:K186"/>
    <mergeCell ref="J187:K187"/>
    <mergeCell ref="J188:K188"/>
    <mergeCell ref="L168:M168"/>
    <mergeCell ref="L169:M169"/>
    <mergeCell ref="L170:M170"/>
    <mergeCell ref="L171:M171"/>
    <mergeCell ref="L172:M172"/>
    <mergeCell ref="L173:M173"/>
    <mergeCell ref="J177:K177"/>
    <mergeCell ref="J178:K178"/>
    <mergeCell ref="J179:K179"/>
    <mergeCell ref="J180:K180"/>
    <mergeCell ref="J181:K181"/>
    <mergeCell ref="J182:K182"/>
    <mergeCell ref="J168:K168"/>
    <mergeCell ref="J169:K169"/>
    <mergeCell ref="J170:K170"/>
    <mergeCell ref="J171:K171"/>
    <mergeCell ref="J172:K172"/>
    <mergeCell ref="R139:W139"/>
    <mergeCell ref="N183:O183"/>
    <mergeCell ref="N184:O184"/>
    <mergeCell ref="N168:O168"/>
    <mergeCell ref="N169:O169"/>
    <mergeCell ref="N170:O170"/>
    <mergeCell ref="N171:O171"/>
    <mergeCell ref="N177:O177"/>
    <mergeCell ref="N178:O178"/>
    <mergeCell ref="N179:O179"/>
    <mergeCell ref="N180:O180"/>
    <mergeCell ref="N181:O181"/>
    <mergeCell ref="N182:O182"/>
    <mergeCell ref="N172:O172"/>
    <mergeCell ref="N173:O173"/>
    <mergeCell ref="N174:O174"/>
    <mergeCell ref="N175:O175"/>
    <mergeCell ref="N176:O176"/>
    <mergeCell ref="N166:O166"/>
    <mergeCell ref="N167:O167"/>
    <mergeCell ref="N152:O152"/>
    <mergeCell ref="N159:O159"/>
    <mergeCell ref="N185:O185"/>
    <mergeCell ref="N186:O186"/>
    <mergeCell ref="N187:O187"/>
    <mergeCell ref="N188:O188"/>
    <mergeCell ref="C116:D116"/>
    <mergeCell ref="C117:D117"/>
    <mergeCell ref="C118:D118"/>
    <mergeCell ref="L184:M184"/>
    <mergeCell ref="L178:M178"/>
    <mergeCell ref="L179:M179"/>
    <mergeCell ref="J174:K174"/>
    <mergeCell ref="J175:K175"/>
    <mergeCell ref="J176:K176"/>
    <mergeCell ref="H186:I186"/>
    <mergeCell ref="H187:I187"/>
    <mergeCell ref="H188:I188"/>
    <mergeCell ref="H174:I174"/>
    <mergeCell ref="H175:I175"/>
    <mergeCell ref="H176:I176"/>
    <mergeCell ref="H177:I177"/>
    <mergeCell ref="H178:I178"/>
    <mergeCell ref="H179:I179"/>
    <mergeCell ref="H171:I171"/>
    <mergeCell ref="H172:I172"/>
    <mergeCell ref="L182:M182"/>
    <mergeCell ref="L183:M183"/>
    <mergeCell ref="J190:K190"/>
    <mergeCell ref="J191:K191"/>
    <mergeCell ref="AT4:AW4"/>
    <mergeCell ref="AX4:BA4"/>
    <mergeCell ref="H194:I194"/>
    <mergeCell ref="J194:K194"/>
    <mergeCell ref="L194:M194"/>
    <mergeCell ref="N194:O194"/>
    <mergeCell ref="N191:O191"/>
    <mergeCell ref="N192:O192"/>
    <mergeCell ref="L192:M192"/>
    <mergeCell ref="H192:I192"/>
    <mergeCell ref="H193:I193"/>
    <mergeCell ref="J193:K193"/>
    <mergeCell ref="L193:M193"/>
    <mergeCell ref="N193:O193"/>
    <mergeCell ref="N189:O189"/>
    <mergeCell ref="N190:O190"/>
    <mergeCell ref="L189:M189"/>
    <mergeCell ref="L190:M190"/>
    <mergeCell ref="L191:M191"/>
    <mergeCell ref="J189:K189"/>
    <mergeCell ref="H198:I198"/>
    <mergeCell ref="J198:K198"/>
    <mergeCell ref="L198:M198"/>
    <mergeCell ref="N198:O198"/>
    <mergeCell ref="C121:D121"/>
    <mergeCell ref="C122:D122"/>
    <mergeCell ref="H197:I197"/>
    <mergeCell ref="J197:K197"/>
    <mergeCell ref="L197:M197"/>
    <mergeCell ref="N197:O197"/>
    <mergeCell ref="H195:I195"/>
    <mergeCell ref="J195:K195"/>
    <mergeCell ref="L195:M195"/>
    <mergeCell ref="N195:O195"/>
    <mergeCell ref="L186:M186"/>
    <mergeCell ref="L185:M185"/>
    <mergeCell ref="L187:M187"/>
    <mergeCell ref="L188:M188"/>
    <mergeCell ref="L174:M174"/>
    <mergeCell ref="L175:M175"/>
    <mergeCell ref="L176:M176"/>
    <mergeCell ref="L177:M177"/>
    <mergeCell ref="L180:M180"/>
    <mergeCell ref="L181:M18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A198"/>
  <sheetViews>
    <sheetView zoomScale="177" zoomScaleNormal="120" workbookViewId="0">
      <pane xSplit="1" ySplit="5" topLeftCell="B102" activePane="bottomRight" state="frozen"/>
      <selection pane="topRight" activeCell="B1" sqref="B1"/>
      <selection pane="bottomLeft" activeCell="A6" sqref="A6"/>
      <selection pane="bottomRight" activeCell="T6" sqref="T6:U131"/>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64</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629</v>
      </c>
      <c r="D6" s="925"/>
      <c r="E6" s="227">
        <v>0</v>
      </c>
      <c r="G6" s="235"/>
      <c r="I6" s="227">
        <v>16</v>
      </c>
      <c r="J6" s="242">
        <v>16</v>
      </c>
      <c r="K6" s="218">
        <f t="shared" ref="K6:M8" si="0">G6/$J6*100</f>
        <v>0</v>
      </c>
      <c r="L6" s="218">
        <f t="shared" si="0"/>
        <v>0</v>
      </c>
      <c r="M6" s="218">
        <f t="shared" si="0"/>
        <v>100</v>
      </c>
      <c r="N6" s="237">
        <f>K6+L6+M6</f>
        <v>100</v>
      </c>
      <c r="O6" s="217"/>
      <c r="P6" s="218"/>
      <c r="Q6" s="218">
        <v>51.3</v>
      </c>
      <c r="R6" s="219">
        <f>O6+P6+Q6</f>
        <v>51.3</v>
      </c>
      <c r="S6" s="227">
        <v>1</v>
      </c>
      <c r="T6" s="870"/>
      <c r="U6" s="853"/>
      <c r="V6" s="226" t="s">
        <v>454</v>
      </c>
      <c r="W6" s="227" t="s">
        <v>20</v>
      </c>
      <c r="X6" s="227" t="s">
        <v>12</v>
      </c>
      <c r="Y6" s="228">
        <v>51.3</v>
      </c>
      <c r="AD6" s="226"/>
      <c r="AG6" s="228"/>
      <c r="AL6" s="226"/>
      <c r="AO6" s="228"/>
      <c r="AP6" s="226"/>
      <c r="AS6" s="228"/>
      <c r="AW6" s="228"/>
      <c r="BA6" s="229"/>
    </row>
    <row r="7" spans="1:53" s="227" customFormat="1">
      <c r="A7" s="233">
        <v>1959</v>
      </c>
      <c r="B7" s="853"/>
      <c r="C7" s="925" t="s">
        <v>629</v>
      </c>
      <c r="D7" s="925"/>
      <c r="E7" s="227">
        <v>365</v>
      </c>
      <c r="G7" s="235"/>
      <c r="I7" s="227">
        <v>16</v>
      </c>
      <c r="J7" s="242">
        <v>16</v>
      </c>
      <c r="K7" s="218">
        <f t="shared" si="0"/>
        <v>0</v>
      </c>
      <c r="L7" s="218">
        <f t="shared" si="0"/>
        <v>0</v>
      </c>
      <c r="M7" s="218">
        <f t="shared" si="0"/>
        <v>100</v>
      </c>
      <c r="N7" s="237">
        <f>K7+L7+M7</f>
        <v>100</v>
      </c>
      <c r="O7" s="217"/>
      <c r="P7" s="218"/>
      <c r="Q7" s="218">
        <v>51.3</v>
      </c>
      <c r="R7" s="219">
        <f>O7+P7+Q7</f>
        <v>51.3</v>
      </c>
      <c r="S7" s="227">
        <v>1</v>
      </c>
      <c r="T7" s="870"/>
      <c r="U7" s="853"/>
      <c r="V7" s="226" t="s">
        <v>454</v>
      </c>
      <c r="W7" s="227" t="s">
        <v>20</v>
      </c>
      <c r="X7" s="227" t="s">
        <v>12</v>
      </c>
      <c r="Y7" s="228">
        <v>51.3</v>
      </c>
      <c r="AD7" s="226"/>
      <c r="AG7" s="228"/>
      <c r="AL7" s="226"/>
      <c r="AO7" s="228"/>
      <c r="AP7" s="226"/>
      <c r="AS7" s="228"/>
      <c r="AW7" s="228"/>
      <c r="BA7" s="229"/>
    </row>
    <row r="8" spans="1:53" s="185" customFormat="1">
      <c r="A8" s="101">
        <v>1960</v>
      </c>
      <c r="B8" s="852"/>
      <c r="C8" s="917" t="s">
        <v>629</v>
      </c>
      <c r="D8" s="917"/>
      <c r="E8" s="185">
        <v>346</v>
      </c>
      <c r="G8" s="119"/>
      <c r="I8" s="185">
        <v>16</v>
      </c>
      <c r="J8" s="126">
        <v>16</v>
      </c>
      <c r="K8" s="92">
        <f t="shared" si="0"/>
        <v>0</v>
      </c>
      <c r="L8" s="92">
        <f t="shared" si="0"/>
        <v>0</v>
      </c>
      <c r="M8" s="92">
        <f t="shared" si="0"/>
        <v>100</v>
      </c>
      <c r="N8" s="121">
        <f>K8+L8+M8</f>
        <v>100</v>
      </c>
      <c r="O8" s="91"/>
      <c r="P8" s="92"/>
      <c r="Q8" s="92">
        <v>51.3</v>
      </c>
      <c r="R8" s="93">
        <f>O8+P8+Q8</f>
        <v>51.3</v>
      </c>
      <c r="S8" s="185">
        <v>1</v>
      </c>
      <c r="T8" s="839"/>
      <c r="U8" s="852"/>
      <c r="V8" s="82" t="s">
        <v>454</v>
      </c>
      <c r="W8" s="185" t="s">
        <v>20</v>
      </c>
      <c r="X8" s="185" t="s">
        <v>12</v>
      </c>
      <c r="Y8" s="83">
        <v>51.3</v>
      </c>
      <c r="AD8" s="82"/>
      <c r="AG8" s="83"/>
      <c r="AL8" s="82"/>
      <c r="AO8" s="83"/>
      <c r="AP8" s="82"/>
      <c r="AS8" s="83"/>
      <c r="AW8" s="83"/>
      <c r="BA8" s="84"/>
    </row>
    <row r="9" spans="1:53" s="292" customFormat="1">
      <c r="A9" s="338">
        <v>1960</v>
      </c>
      <c r="B9" s="836">
        <v>22262</v>
      </c>
      <c r="C9" s="916" t="s">
        <v>630</v>
      </c>
      <c r="D9" s="916"/>
      <c r="E9" s="292">
        <f>366-E8</f>
        <v>20</v>
      </c>
      <c r="F9" s="292">
        <v>1</v>
      </c>
      <c r="G9" s="366">
        <v>16</v>
      </c>
      <c r="J9" s="377">
        <v>16</v>
      </c>
      <c r="K9" s="336">
        <f t="shared" ref="K9:M57" si="1">G9/$J9*100</f>
        <v>100</v>
      </c>
      <c r="L9" s="336">
        <f t="shared" si="1"/>
        <v>0</v>
      </c>
      <c r="M9" s="336">
        <f t="shared" si="1"/>
        <v>0</v>
      </c>
      <c r="N9" s="368">
        <f t="shared" ref="N9:N72" si="2">K9+L9+M9</f>
        <v>100</v>
      </c>
      <c r="O9" s="335">
        <v>57.5</v>
      </c>
      <c r="P9" s="336"/>
      <c r="Q9" s="336"/>
      <c r="R9" s="337">
        <f t="shared" ref="R9:R72" si="3">O9+P9+Q9</f>
        <v>57.5</v>
      </c>
      <c r="S9" s="292">
        <v>1</v>
      </c>
      <c r="T9" s="838">
        <v>22246</v>
      </c>
      <c r="U9" s="836">
        <v>22262</v>
      </c>
      <c r="V9" s="299" t="s">
        <v>455</v>
      </c>
      <c r="W9" s="292" t="s">
        <v>74</v>
      </c>
      <c r="X9" s="292" t="s">
        <v>11</v>
      </c>
      <c r="Y9" s="300">
        <v>57.5</v>
      </c>
      <c r="AD9" s="299"/>
      <c r="AG9" s="300"/>
      <c r="AL9" s="299"/>
      <c r="AO9" s="300"/>
      <c r="AP9" s="299"/>
      <c r="AS9" s="300"/>
      <c r="AW9" s="300"/>
      <c r="BA9" s="301"/>
    </row>
    <row r="10" spans="1:53" s="292" customFormat="1">
      <c r="A10" s="338">
        <v>1961</v>
      </c>
      <c r="B10" s="836"/>
      <c r="C10" s="916" t="s">
        <v>630</v>
      </c>
      <c r="D10" s="916"/>
      <c r="E10" s="292">
        <v>0</v>
      </c>
      <c r="G10" s="366">
        <v>16</v>
      </c>
      <c r="J10" s="377">
        <v>16</v>
      </c>
      <c r="K10" s="336">
        <f t="shared" si="1"/>
        <v>100</v>
      </c>
      <c r="L10" s="336">
        <f t="shared" si="1"/>
        <v>0</v>
      </c>
      <c r="M10" s="336">
        <f t="shared" si="1"/>
        <v>0</v>
      </c>
      <c r="N10" s="368">
        <f t="shared" si="2"/>
        <v>100</v>
      </c>
      <c r="O10" s="335">
        <v>57.5</v>
      </c>
      <c r="P10" s="336"/>
      <c r="Q10" s="336"/>
      <c r="R10" s="337">
        <f t="shared" si="3"/>
        <v>57.5</v>
      </c>
      <c r="S10" s="292">
        <v>1</v>
      </c>
      <c r="T10" s="838"/>
      <c r="U10" s="836"/>
      <c r="V10" s="299" t="s">
        <v>455</v>
      </c>
      <c r="W10" s="292" t="s">
        <v>74</v>
      </c>
      <c r="X10" s="292" t="s">
        <v>11</v>
      </c>
      <c r="Y10" s="300">
        <v>57.5</v>
      </c>
      <c r="AD10" s="299"/>
      <c r="AG10" s="300"/>
      <c r="AL10" s="299"/>
      <c r="AO10" s="300"/>
      <c r="AP10" s="299"/>
      <c r="AS10" s="300"/>
      <c r="AW10" s="300"/>
      <c r="BA10" s="301"/>
    </row>
    <row r="11" spans="1:53" s="292" customFormat="1">
      <c r="A11" s="338">
        <v>1961</v>
      </c>
      <c r="B11" s="836"/>
      <c r="C11" s="916" t="s">
        <v>630</v>
      </c>
      <c r="D11" s="916"/>
      <c r="E11" s="292">
        <v>365</v>
      </c>
      <c r="G11" s="366">
        <v>16</v>
      </c>
      <c r="J11" s="377">
        <v>16</v>
      </c>
      <c r="K11" s="336">
        <f t="shared" si="1"/>
        <v>100</v>
      </c>
      <c r="L11" s="336">
        <f t="shared" si="1"/>
        <v>0</v>
      </c>
      <c r="M11" s="336">
        <f t="shared" si="1"/>
        <v>0</v>
      </c>
      <c r="N11" s="368">
        <f t="shared" si="2"/>
        <v>100</v>
      </c>
      <c r="O11" s="335">
        <v>57.5</v>
      </c>
      <c r="P11" s="336"/>
      <c r="Q11" s="336"/>
      <c r="R11" s="337">
        <f t="shared" si="3"/>
        <v>57.5</v>
      </c>
      <c r="S11" s="292">
        <v>1</v>
      </c>
      <c r="T11" s="838"/>
      <c r="U11" s="836"/>
      <c r="V11" s="299" t="s">
        <v>455</v>
      </c>
      <c r="W11" s="292" t="s">
        <v>74</v>
      </c>
      <c r="X11" s="292" t="s">
        <v>11</v>
      </c>
      <c r="Y11" s="300">
        <v>57.5</v>
      </c>
      <c r="AD11" s="299"/>
      <c r="AG11" s="300"/>
      <c r="AL11" s="299"/>
      <c r="AO11" s="300"/>
      <c r="AP11" s="299"/>
      <c r="AS11" s="300"/>
      <c r="AW11" s="300"/>
      <c r="BA11" s="301"/>
    </row>
    <row r="12" spans="1:53" s="292" customFormat="1">
      <c r="A12" s="338">
        <v>1962</v>
      </c>
      <c r="B12" s="836"/>
      <c r="C12" s="916" t="s">
        <v>630</v>
      </c>
      <c r="D12" s="916"/>
      <c r="E12" s="292">
        <v>0</v>
      </c>
      <c r="G12" s="366">
        <v>16</v>
      </c>
      <c r="J12" s="377">
        <v>16</v>
      </c>
      <c r="K12" s="336">
        <f t="shared" si="1"/>
        <v>100</v>
      </c>
      <c r="L12" s="336">
        <f t="shared" si="1"/>
        <v>0</v>
      </c>
      <c r="M12" s="336">
        <f t="shared" si="1"/>
        <v>0</v>
      </c>
      <c r="N12" s="368">
        <f t="shared" si="2"/>
        <v>100</v>
      </c>
      <c r="O12" s="335">
        <v>57.5</v>
      </c>
      <c r="P12" s="336"/>
      <c r="Q12" s="336"/>
      <c r="R12" s="337">
        <f t="shared" si="3"/>
        <v>57.5</v>
      </c>
      <c r="S12" s="292">
        <v>1</v>
      </c>
      <c r="T12" s="838"/>
      <c r="U12" s="836"/>
      <c r="V12" s="299" t="s">
        <v>455</v>
      </c>
      <c r="W12" s="292" t="s">
        <v>74</v>
      </c>
      <c r="X12" s="292" t="s">
        <v>11</v>
      </c>
      <c r="Y12" s="300">
        <v>57.5</v>
      </c>
      <c r="AD12" s="299"/>
      <c r="AG12" s="300"/>
      <c r="AL12" s="299"/>
      <c r="AO12" s="300"/>
      <c r="AP12" s="299"/>
      <c r="AS12" s="300"/>
      <c r="AW12" s="300"/>
      <c r="BA12" s="301"/>
    </row>
    <row r="13" spans="1:53" s="292" customFormat="1">
      <c r="A13" s="338">
        <v>1962</v>
      </c>
      <c r="B13" s="836"/>
      <c r="C13" s="916" t="s">
        <v>630</v>
      </c>
      <c r="D13" s="916"/>
      <c r="E13" s="292">
        <v>365</v>
      </c>
      <c r="G13" s="366">
        <v>16</v>
      </c>
      <c r="J13" s="377">
        <v>16</v>
      </c>
      <c r="K13" s="336">
        <f t="shared" si="1"/>
        <v>100</v>
      </c>
      <c r="L13" s="336">
        <f t="shared" si="1"/>
        <v>0</v>
      </c>
      <c r="M13" s="336">
        <f t="shared" si="1"/>
        <v>0</v>
      </c>
      <c r="N13" s="368">
        <f t="shared" si="2"/>
        <v>100</v>
      </c>
      <c r="O13" s="335">
        <v>57.5</v>
      </c>
      <c r="P13" s="336"/>
      <c r="Q13" s="336"/>
      <c r="R13" s="337">
        <f t="shared" si="3"/>
        <v>57.5</v>
      </c>
      <c r="S13" s="292">
        <v>1</v>
      </c>
      <c r="T13" s="838"/>
      <c r="U13" s="836"/>
      <c r="V13" s="299" t="s">
        <v>455</v>
      </c>
      <c r="W13" s="292" t="s">
        <v>74</v>
      </c>
      <c r="X13" s="292" t="s">
        <v>11</v>
      </c>
      <c r="Y13" s="300">
        <v>57.5</v>
      </c>
      <c r="AD13" s="299"/>
      <c r="AG13" s="300"/>
      <c r="AL13" s="299"/>
      <c r="AO13" s="300"/>
      <c r="AP13" s="299"/>
      <c r="AS13" s="300"/>
      <c r="AW13" s="300"/>
      <c r="BA13" s="301"/>
    </row>
    <row r="14" spans="1:53" s="292" customFormat="1">
      <c r="A14" s="338">
        <v>1962.6</v>
      </c>
      <c r="B14" s="836"/>
      <c r="C14" s="916" t="s">
        <v>630</v>
      </c>
      <c r="D14" s="916"/>
      <c r="E14" s="292">
        <v>353</v>
      </c>
      <c r="G14" s="366">
        <v>16</v>
      </c>
      <c r="J14" s="377">
        <v>16</v>
      </c>
      <c r="K14" s="336">
        <f t="shared" si="1"/>
        <v>100</v>
      </c>
      <c r="L14" s="336">
        <f t="shared" si="1"/>
        <v>0</v>
      </c>
      <c r="M14" s="336">
        <f t="shared" si="1"/>
        <v>0</v>
      </c>
      <c r="N14" s="368">
        <f t="shared" si="2"/>
        <v>100</v>
      </c>
      <c r="O14" s="335">
        <v>57.5</v>
      </c>
      <c r="P14" s="336"/>
      <c r="Q14" s="336"/>
      <c r="R14" s="337">
        <f t="shared" si="3"/>
        <v>57.5</v>
      </c>
      <c r="S14" s="292">
        <v>1</v>
      </c>
      <c r="T14" s="838"/>
      <c r="U14" s="836"/>
      <c r="V14" s="299" t="s">
        <v>455</v>
      </c>
      <c r="W14" s="292" t="s">
        <v>74</v>
      </c>
      <c r="X14" s="292" t="s">
        <v>11</v>
      </c>
      <c r="Y14" s="300">
        <v>57.5</v>
      </c>
      <c r="AD14" s="299"/>
      <c r="AG14" s="300"/>
      <c r="AL14" s="299"/>
      <c r="AO14" s="300"/>
      <c r="AP14" s="299"/>
      <c r="AS14" s="300"/>
      <c r="AW14" s="300"/>
      <c r="BA14" s="301"/>
    </row>
    <row r="15" spans="1:53" s="185" customFormat="1">
      <c r="A15" s="101">
        <v>1963.05714285714</v>
      </c>
      <c r="B15" s="852">
        <v>23365</v>
      </c>
      <c r="C15" s="917" t="s">
        <v>631</v>
      </c>
      <c r="D15" s="917"/>
      <c r="E15" s="185">
        <f>365-E14</f>
        <v>12</v>
      </c>
      <c r="F15" s="185">
        <v>1</v>
      </c>
      <c r="G15" s="119">
        <v>16</v>
      </c>
      <c r="J15" s="126">
        <v>16</v>
      </c>
      <c r="K15" s="92">
        <f t="shared" si="1"/>
        <v>100</v>
      </c>
      <c r="L15" s="92">
        <f t="shared" si="1"/>
        <v>0</v>
      </c>
      <c r="M15" s="92">
        <f t="shared" si="1"/>
        <v>0</v>
      </c>
      <c r="N15" s="121">
        <f t="shared" si="2"/>
        <v>100</v>
      </c>
      <c r="O15" s="91">
        <v>56.3</v>
      </c>
      <c r="P15" s="92"/>
      <c r="Q15" s="92"/>
      <c r="R15" s="93">
        <f t="shared" si="3"/>
        <v>56.3</v>
      </c>
      <c r="S15" s="185">
        <v>1</v>
      </c>
      <c r="T15" s="839">
        <v>23345</v>
      </c>
      <c r="U15" s="852">
        <v>23365</v>
      </c>
      <c r="V15" s="82" t="s">
        <v>455</v>
      </c>
      <c r="W15" s="185" t="s">
        <v>74</v>
      </c>
      <c r="X15" s="185" t="s">
        <v>11</v>
      </c>
      <c r="Y15" s="83">
        <v>56.3</v>
      </c>
      <c r="AD15" s="82"/>
      <c r="AG15" s="83"/>
      <c r="AL15" s="82"/>
      <c r="AO15" s="83"/>
      <c r="AP15" s="82"/>
      <c r="AS15" s="83"/>
      <c r="AW15" s="83"/>
      <c r="BA15" s="84"/>
    </row>
    <row r="16" spans="1:53" s="185" customFormat="1">
      <c r="A16" s="101">
        <v>1963.5142857142901</v>
      </c>
      <c r="B16" s="852"/>
      <c r="C16" s="917" t="s">
        <v>631</v>
      </c>
      <c r="D16" s="917"/>
      <c r="E16" s="185">
        <v>0</v>
      </c>
      <c r="G16" s="119">
        <v>16</v>
      </c>
      <c r="J16" s="126">
        <v>16</v>
      </c>
      <c r="K16" s="92">
        <f t="shared" si="1"/>
        <v>100</v>
      </c>
      <c r="L16" s="92">
        <f t="shared" si="1"/>
        <v>0</v>
      </c>
      <c r="M16" s="92">
        <f t="shared" si="1"/>
        <v>0</v>
      </c>
      <c r="N16" s="121">
        <f t="shared" si="2"/>
        <v>100</v>
      </c>
      <c r="O16" s="91">
        <v>56.3</v>
      </c>
      <c r="P16" s="92"/>
      <c r="Q16" s="92"/>
      <c r="R16" s="93">
        <f t="shared" si="3"/>
        <v>56.3</v>
      </c>
      <c r="S16" s="185">
        <v>1</v>
      </c>
      <c r="T16" s="839"/>
      <c r="U16" s="852"/>
      <c r="V16" s="82" t="s">
        <v>455</v>
      </c>
      <c r="W16" s="185" t="s">
        <v>74</v>
      </c>
      <c r="X16" s="185" t="s">
        <v>11</v>
      </c>
      <c r="Y16" s="83">
        <v>56.3</v>
      </c>
      <c r="AD16" s="82"/>
      <c r="AG16" s="83"/>
      <c r="AL16" s="82"/>
      <c r="AO16" s="83"/>
      <c r="AP16" s="82"/>
      <c r="AS16" s="83"/>
      <c r="AW16" s="83"/>
      <c r="BA16" s="84"/>
    </row>
    <row r="17" spans="1:53" s="185" customFormat="1">
      <c r="A17" s="101">
        <v>1963.9714285714299</v>
      </c>
      <c r="B17" s="852"/>
      <c r="C17" s="917" t="s">
        <v>631</v>
      </c>
      <c r="D17" s="917"/>
      <c r="E17" s="185">
        <v>366</v>
      </c>
      <c r="G17" s="119">
        <v>16</v>
      </c>
      <c r="J17" s="126">
        <v>16</v>
      </c>
      <c r="K17" s="92">
        <f t="shared" si="1"/>
        <v>100</v>
      </c>
      <c r="L17" s="92">
        <f t="shared" si="1"/>
        <v>0</v>
      </c>
      <c r="M17" s="92">
        <f t="shared" si="1"/>
        <v>0</v>
      </c>
      <c r="N17" s="121">
        <f t="shared" si="2"/>
        <v>100</v>
      </c>
      <c r="O17" s="91">
        <v>56.3</v>
      </c>
      <c r="P17" s="92"/>
      <c r="Q17" s="92"/>
      <c r="R17" s="93">
        <f t="shared" si="3"/>
        <v>56.3</v>
      </c>
      <c r="S17" s="185">
        <v>1</v>
      </c>
      <c r="T17" s="839"/>
      <c r="U17" s="852"/>
      <c r="V17" s="82" t="s">
        <v>455</v>
      </c>
      <c r="W17" s="185" t="s">
        <v>74</v>
      </c>
      <c r="X17" s="185" t="s">
        <v>11</v>
      </c>
      <c r="Y17" s="83">
        <v>56.3</v>
      </c>
      <c r="AD17" s="82"/>
      <c r="AG17" s="83"/>
      <c r="AL17" s="82"/>
      <c r="AO17" s="83"/>
      <c r="AP17" s="82"/>
      <c r="AS17" s="83"/>
      <c r="AW17" s="83"/>
      <c r="BA17" s="84"/>
    </row>
    <row r="18" spans="1:53" s="185" customFormat="1">
      <c r="A18" s="101">
        <v>1965</v>
      </c>
      <c r="B18" s="852"/>
      <c r="C18" s="917" t="s">
        <v>631</v>
      </c>
      <c r="D18" s="917"/>
      <c r="E18" s="185">
        <v>0</v>
      </c>
      <c r="G18" s="119">
        <v>16</v>
      </c>
      <c r="J18" s="126">
        <v>16</v>
      </c>
      <c r="K18" s="92">
        <f t="shared" si="1"/>
        <v>100</v>
      </c>
      <c r="L18" s="92">
        <f t="shared" si="1"/>
        <v>0</v>
      </c>
      <c r="M18" s="92">
        <f t="shared" si="1"/>
        <v>0</v>
      </c>
      <c r="N18" s="121">
        <f t="shared" si="2"/>
        <v>100</v>
      </c>
      <c r="O18" s="91">
        <v>56.3</v>
      </c>
      <c r="P18" s="92"/>
      <c r="Q18" s="92"/>
      <c r="R18" s="93">
        <f t="shared" si="3"/>
        <v>56.3</v>
      </c>
      <c r="S18" s="185">
        <v>1</v>
      </c>
      <c r="T18" s="839"/>
      <c r="U18" s="852"/>
      <c r="V18" s="82" t="s">
        <v>455</v>
      </c>
      <c r="W18" s="185" t="s">
        <v>74</v>
      </c>
      <c r="X18" s="185" t="s">
        <v>11</v>
      </c>
      <c r="Y18" s="83">
        <v>56.3</v>
      </c>
      <c r="AD18" s="82"/>
      <c r="AG18" s="83"/>
      <c r="AL18" s="82"/>
      <c r="AO18" s="83"/>
      <c r="AP18" s="82"/>
      <c r="AS18" s="83"/>
      <c r="AW18" s="83"/>
      <c r="BA18" s="84"/>
    </row>
    <row r="19" spans="1:53" s="185" customFormat="1">
      <c r="A19" s="101">
        <v>1964.88571428572</v>
      </c>
      <c r="B19" s="852"/>
      <c r="C19" s="917" t="s">
        <v>631</v>
      </c>
      <c r="D19" s="917"/>
      <c r="E19" s="185">
        <v>365</v>
      </c>
      <c r="G19" s="119">
        <v>16</v>
      </c>
      <c r="J19" s="126">
        <v>16</v>
      </c>
      <c r="K19" s="92">
        <f t="shared" si="1"/>
        <v>100</v>
      </c>
      <c r="L19" s="92">
        <f t="shared" si="1"/>
        <v>0</v>
      </c>
      <c r="M19" s="92">
        <f t="shared" si="1"/>
        <v>0</v>
      </c>
      <c r="N19" s="121">
        <f t="shared" si="2"/>
        <v>100</v>
      </c>
      <c r="O19" s="91">
        <v>56.3</v>
      </c>
      <c r="P19" s="92"/>
      <c r="Q19" s="92"/>
      <c r="R19" s="93">
        <f t="shared" si="3"/>
        <v>56.3</v>
      </c>
      <c r="S19" s="185">
        <v>1</v>
      </c>
      <c r="T19" s="839"/>
      <c r="U19" s="852"/>
      <c r="V19" s="82" t="s">
        <v>455</v>
      </c>
      <c r="W19" s="185" t="s">
        <v>74</v>
      </c>
      <c r="X19" s="185" t="s">
        <v>11</v>
      </c>
      <c r="Y19" s="83">
        <v>56.3</v>
      </c>
      <c r="AD19" s="82"/>
      <c r="AG19" s="83"/>
      <c r="AL19" s="82"/>
      <c r="AO19" s="83"/>
      <c r="AP19" s="82"/>
      <c r="AS19" s="83"/>
      <c r="AW19" s="83"/>
      <c r="BA19" s="84"/>
    </row>
    <row r="20" spans="1:53" s="185" customFormat="1">
      <c r="A20" s="101">
        <v>1966</v>
      </c>
      <c r="B20" s="852"/>
      <c r="C20" s="917" t="s">
        <v>631</v>
      </c>
      <c r="D20" s="917"/>
      <c r="E20" s="185">
        <v>345</v>
      </c>
      <c r="G20" s="119">
        <v>16</v>
      </c>
      <c r="J20" s="126">
        <v>16</v>
      </c>
      <c r="K20" s="92">
        <f t="shared" si="1"/>
        <v>100</v>
      </c>
      <c r="L20" s="92">
        <f t="shared" si="1"/>
        <v>0</v>
      </c>
      <c r="M20" s="92">
        <f t="shared" si="1"/>
        <v>0</v>
      </c>
      <c r="N20" s="121">
        <f t="shared" si="2"/>
        <v>100</v>
      </c>
      <c r="O20" s="91">
        <v>56.3</v>
      </c>
      <c r="P20" s="92"/>
      <c r="Q20" s="92"/>
      <c r="R20" s="93">
        <f t="shared" si="3"/>
        <v>56.3</v>
      </c>
      <c r="S20" s="185">
        <v>1</v>
      </c>
      <c r="T20" s="839"/>
      <c r="U20" s="852"/>
      <c r="V20" s="82" t="s">
        <v>455</v>
      </c>
      <c r="W20" s="185" t="s">
        <v>74</v>
      </c>
      <c r="X20" s="185" t="s">
        <v>11</v>
      </c>
      <c r="Y20" s="83">
        <v>56.3</v>
      </c>
      <c r="AD20" s="82"/>
      <c r="AG20" s="83"/>
      <c r="AL20" s="82"/>
      <c r="AO20" s="83"/>
      <c r="AP20" s="82"/>
      <c r="AS20" s="83"/>
      <c r="AW20" s="83"/>
      <c r="BA20" s="84"/>
    </row>
    <row r="21" spans="1:53" s="292" customFormat="1">
      <c r="A21" s="338">
        <v>1965.8</v>
      </c>
      <c r="B21" s="836">
        <v>24453</v>
      </c>
      <c r="C21" s="916" t="s">
        <v>632</v>
      </c>
      <c r="D21" s="916"/>
      <c r="E21" s="292">
        <f>365-E20</f>
        <v>20</v>
      </c>
      <c r="F21" s="292">
        <v>1</v>
      </c>
      <c r="G21" s="366">
        <v>16</v>
      </c>
      <c r="J21" s="377">
        <v>16</v>
      </c>
      <c r="K21" s="336">
        <f t="shared" si="1"/>
        <v>100</v>
      </c>
      <c r="L21" s="336">
        <f t="shared" si="1"/>
        <v>0</v>
      </c>
      <c r="M21" s="336">
        <f t="shared" si="1"/>
        <v>0</v>
      </c>
      <c r="N21" s="368">
        <f t="shared" si="2"/>
        <v>100</v>
      </c>
      <c r="O21" s="335">
        <v>55</v>
      </c>
      <c r="P21" s="336"/>
      <c r="Q21" s="336"/>
      <c r="R21" s="337">
        <f t="shared" si="3"/>
        <v>55</v>
      </c>
      <c r="S21" s="292">
        <v>1</v>
      </c>
      <c r="T21" s="838">
        <v>24437</v>
      </c>
      <c r="U21" s="836">
        <v>24453</v>
      </c>
      <c r="V21" s="299" t="s">
        <v>455</v>
      </c>
      <c r="W21" s="292" t="s">
        <v>74</v>
      </c>
      <c r="X21" s="292" t="s">
        <v>11</v>
      </c>
      <c r="Y21" s="300">
        <v>55</v>
      </c>
      <c r="AD21" s="299"/>
      <c r="AG21" s="300"/>
      <c r="AL21" s="299"/>
      <c r="AO21" s="300"/>
      <c r="AP21" s="299"/>
      <c r="AS21" s="300"/>
      <c r="AW21" s="300"/>
      <c r="BA21" s="301"/>
    </row>
    <row r="22" spans="1:53" s="292" customFormat="1">
      <c r="A22" s="338">
        <v>1967</v>
      </c>
      <c r="B22" s="836"/>
      <c r="C22" s="916" t="s">
        <v>632</v>
      </c>
      <c r="D22" s="916"/>
      <c r="E22" s="292">
        <v>0</v>
      </c>
      <c r="G22" s="366">
        <v>16</v>
      </c>
      <c r="J22" s="377">
        <v>16</v>
      </c>
      <c r="K22" s="336">
        <f t="shared" si="1"/>
        <v>100</v>
      </c>
      <c r="L22" s="336">
        <f t="shared" si="1"/>
        <v>0</v>
      </c>
      <c r="M22" s="336">
        <f t="shared" si="1"/>
        <v>0</v>
      </c>
      <c r="N22" s="368">
        <f t="shared" si="2"/>
        <v>100</v>
      </c>
      <c r="O22" s="335">
        <v>55</v>
      </c>
      <c r="P22" s="336"/>
      <c r="Q22" s="336"/>
      <c r="R22" s="337">
        <f t="shared" si="3"/>
        <v>55</v>
      </c>
      <c r="S22" s="292">
        <v>1</v>
      </c>
      <c r="T22" s="838"/>
      <c r="U22" s="836"/>
      <c r="V22" s="299" t="s">
        <v>455</v>
      </c>
      <c r="W22" s="292" t="s">
        <v>74</v>
      </c>
      <c r="X22" s="292" t="s">
        <v>11</v>
      </c>
      <c r="Y22" s="300">
        <v>55</v>
      </c>
      <c r="AD22" s="299"/>
      <c r="AG22" s="300"/>
      <c r="AL22" s="299"/>
      <c r="AO22" s="300"/>
      <c r="AP22" s="299"/>
      <c r="AS22" s="300"/>
      <c r="AW22" s="300"/>
      <c r="BA22" s="301"/>
    </row>
    <row r="23" spans="1:53" s="292" customFormat="1">
      <c r="A23" s="338">
        <v>1966.7142857142901</v>
      </c>
      <c r="B23" s="836"/>
      <c r="C23" s="916" t="s">
        <v>632</v>
      </c>
      <c r="D23" s="916"/>
      <c r="E23" s="292">
        <v>365</v>
      </c>
      <c r="G23" s="366">
        <v>16</v>
      </c>
      <c r="J23" s="377">
        <v>16</v>
      </c>
      <c r="K23" s="336">
        <f t="shared" si="1"/>
        <v>100</v>
      </c>
      <c r="L23" s="336">
        <f t="shared" si="1"/>
        <v>0</v>
      </c>
      <c r="M23" s="336">
        <f t="shared" si="1"/>
        <v>0</v>
      </c>
      <c r="N23" s="368">
        <f t="shared" si="2"/>
        <v>100</v>
      </c>
      <c r="O23" s="335">
        <v>55</v>
      </c>
      <c r="P23" s="336"/>
      <c r="Q23" s="336"/>
      <c r="R23" s="337">
        <f t="shared" si="3"/>
        <v>55</v>
      </c>
      <c r="S23" s="292">
        <v>1</v>
      </c>
      <c r="T23" s="838"/>
      <c r="U23" s="836"/>
      <c r="V23" s="299" t="s">
        <v>455</v>
      </c>
      <c r="W23" s="292" t="s">
        <v>74</v>
      </c>
      <c r="X23" s="292" t="s">
        <v>11</v>
      </c>
      <c r="Y23" s="300">
        <v>55</v>
      </c>
      <c r="AD23" s="299"/>
      <c r="AG23" s="300"/>
      <c r="AL23" s="299"/>
      <c r="AO23" s="300"/>
      <c r="AP23" s="299"/>
      <c r="AS23" s="300"/>
      <c r="AW23" s="300"/>
      <c r="BA23" s="301"/>
    </row>
    <row r="24" spans="1:53" s="292" customFormat="1">
      <c r="A24" s="338">
        <v>1968</v>
      </c>
      <c r="B24" s="836"/>
      <c r="C24" s="916" t="s">
        <v>632</v>
      </c>
      <c r="D24" s="916"/>
      <c r="E24" s="292">
        <v>0</v>
      </c>
      <c r="G24" s="366">
        <v>16</v>
      </c>
      <c r="J24" s="377">
        <v>16</v>
      </c>
      <c r="K24" s="336">
        <f t="shared" si="1"/>
        <v>100</v>
      </c>
      <c r="L24" s="336">
        <f t="shared" si="1"/>
        <v>0</v>
      </c>
      <c r="M24" s="336">
        <f t="shared" si="1"/>
        <v>0</v>
      </c>
      <c r="N24" s="368">
        <f t="shared" si="2"/>
        <v>100</v>
      </c>
      <c r="O24" s="335">
        <v>55</v>
      </c>
      <c r="P24" s="336"/>
      <c r="Q24" s="336"/>
      <c r="R24" s="337">
        <f t="shared" si="3"/>
        <v>55</v>
      </c>
      <c r="S24" s="292">
        <v>1</v>
      </c>
      <c r="T24" s="838"/>
      <c r="U24" s="836"/>
      <c r="V24" s="299" t="s">
        <v>455</v>
      </c>
      <c r="W24" s="292" t="s">
        <v>74</v>
      </c>
      <c r="X24" s="292" t="s">
        <v>11</v>
      </c>
      <c r="Y24" s="300">
        <v>55</v>
      </c>
      <c r="AD24" s="299"/>
      <c r="AG24" s="300"/>
      <c r="AL24" s="299"/>
      <c r="AO24" s="300"/>
      <c r="AP24" s="299"/>
      <c r="AS24" s="300"/>
      <c r="AW24" s="300"/>
      <c r="BA24" s="301"/>
    </row>
    <row r="25" spans="1:53" s="292" customFormat="1">
      <c r="A25" s="338">
        <v>1967.62857142857</v>
      </c>
      <c r="B25" s="836"/>
      <c r="C25" s="916" t="s">
        <v>632</v>
      </c>
      <c r="D25" s="916"/>
      <c r="E25" s="292">
        <v>366</v>
      </c>
      <c r="G25" s="366">
        <v>16</v>
      </c>
      <c r="J25" s="377">
        <v>16</v>
      </c>
      <c r="K25" s="336">
        <f t="shared" si="1"/>
        <v>100</v>
      </c>
      <c r="L25" s="336">
        <f t="shared" si="1"/>
        <v>0</v>
      </c>
      <c r="M25" s="336">
        <f t="shared" si="1"/>
        <v>0</v>
      </c>
      <c r="N25" s="368">
        <f t="shared" si="2"/>
        <v>100</v>
      </c>
      <c r="O25" s="335">
        <v>55</v>
      </c>
      <c r="P25" s="336"/>
      <c r="Q25" s="336"/>
      <c r="R25" s="337">
        <f t="shared" si="3"/>
        <v>55</v>
      </c>
      <c r="S25" s="292">
        <v>1</v>
      </c>
      <c r="T25" s="838"/>
      <c r="U25" s="836"/>
      <c r="V25" s="299" t="s">
        <v>455</v>
      </c>
      <c r="W25" s="292" t="s">
        <v>74</v>
      </c>
      <c r="X25" s="292" t="s">
        <v>11</v>
      </c>
      <c r="Y25" s="300">
        <v>55</v>
      </c>
      <c r="AD25" s="299"/>
      <c r="AG25" s="300"/>
      <c r="AL25" s="299"/>
      <c r="AO25" s="300"/>
      <c r="AP25" s="299"/>
      <c r="AS25" s="300"/>
      <c r="AW25" s="300"/>
      <c r="BA25" s="301"/>
    </row>
    <row r="26" spans="1:53" s="292" customFormat="1">
      <c r="A26" s="338">
        <v>1969</v>
      </c>
      <c r="B26" s="836"/>
      <c r="C26" s="916" t="s">
        <v>632</v>
      </c>
      <c r="D26" s="916"/>
      <c r="E26" s="292">
        <v>355</v>
      </c>
      <c r="G26" s="366">
        <v>16</v>
      </c>
      <c r="J26" s="377">
        <v>16</v>
      </c>
      <c r="K26" s="336">
        <f t="shared" si="1"/>
        <v>100</v>
      </c>
      <c r="L26" s="336">
        <f t="shared" si="1"/>
        <v>0</v>
      </c>
      <c r="M26" s="336">
        <f t="shared" si="1"/>
        <v>0</v>
      </c>
      <c r="N26" s="368">
        <f t="shared" si="2"/>
        <v>100</v>
      </c>
      <c r="O26" s="335">
        <v>55</v>
      </c>
      <c r="P26" s="336"/>
      <c r="Q26" s="336"/>
      <c r="R26" s="337">
        <f t="shared" si="3"/>
        <v>55</v>
      </c>
      <c r="S26" s="292">
        <v>1</v>
      </c>
      <c r="T26" s="838"/>
      <c r="U26" s="836"/>
      <c r="V26" s="299" t="s">
        <v>455</v>
      </c>
      <c r="W26" s="292" t="s">
        <v>74</v>
      </c>
      <c r="X26" s="292" t="s">
        <v>11</v>
      </c>
      <c r="Y26" s="300">
        <v>55</v>
      </c>
      <c r="AD26" s="299"/>
      <c r="AG26" s="300"/>
      <c r="AL26" s="299"/>
      <c r="AO26" s="300"/>
      <c r="AP26" s="299"/>
      <c r="AS26" s="300"/>
      <c r="AW26" s="300"/>
      <c r="BA26" s="301"/>
    </row>
    <row r="27" spans="1:53" s="185" customFormat="1">
      <c r="A27" s="101">
        <v>1968.5428571428599</v>
      </c>
      <c r="B27" s="852">
        <v>25559</v>
      </c>
      <c r="C27" s="917" t="s">
        <v>633</v>
      </c>
      <c r="D27" s="917"/>
      <c r="E27" s="185">
        <f>365-E26</f>
        <v>10</v>
      </c>
      <c r="F27" s="185">
        <v>1</v>
      </c>
      <c r="G27" s="119">
        <v>18</v>
      </c>
      <c r="J27" s="126">
        <v>18</v>
      </c>
      <c r="K27" s="92">
        <f t="shared" si="1"/>
        <v>100</v>
      </c>
      <c r="L27" s="92">
        <f t="shared" si="1"/>
        <v>0</v>
      </c>
      <c r="M27" s="92">
        <f t="shared" si="1"/>
        <v>0</v>
      </c>
      <c r="N27" s="121">
        <f t="shared" si="2"/>
        <v>100</v>
      </c>
      <c r="O27" s="91">
        <v>53.6</v>
      </c>
      <c r="P27" s="92"/>
      <c r="Q27" s="92"/>
      <c r="R27" s="93">
        <f t="shared" si="3"/>
        <v>53.6</v>
      </c>
      <c r="S27" s="185">
        <v>1</v>
      </c>
      <c r="T27" s="839">
        <v>25536</v>
      </c>
      <c r="U27" s="852">
        <v>25559</v>
      </c>
      <c r="V27" s="82" t="s">
        <v>455</v>
      </c>
      <c r="W27" s="185" t="s">
        <v>74</v>
      </c>
      <c r="X27" s="185" t="s">
        <v>11</v>
      </c>
      <c r="Y27" s="83">
        <v>53.6</v>
      </c>
      <c r="AD27" s="82"/>
      <c r="AG27" s="83"/>
      <c r="AL27" s="82"/>
      <c r="AO27" s="83"/>
      <c r="AP27" s="82"/>
      <c r="AS27" s="83"/>
      <c r="AW27" s="83"/>
      <c r="BA27" s="84"/>
    </row>
    <row r="28" spans="1:53" s="185" customFormat="1">
      <c r="A28" s="101">
        <v>1970</v>
      </c>
      <c r="B28" s="852"/>
      <c r="C28" s="917" t="s">
        <v>633</v>
      </c>
      <c r="D28" s="917"/>
      <c r="E28" s="185">
        <v>0</v>
      </c>
      <c r="G28" s="119">
        <v>18</v>
      </c>
      <c r="J28" s="126">
        <v>18</v>
      </c>
      <c r="K28" s="92">
        <f t="shared" si="1"/>
        <v>100</v>
      </c>
      <c r="L28" s="92">
        <f t="shared" si="1"/>
        <v>0</v>
      </c>
      <c r="M28" s="92">
        <f t="shared" si="1"/>
        <v>0</v>
      </c>
      <c r="N28" s="121">
        <f t="shared" si="2"/>
        <v>100</v>
      </c>
      <c r="O28" s="91">
        <v>53.6</v>
      </c>
      <c r="P28" s="92"/>
      <c r="Q28" s="92"/>
      <c r="R28" s="93">
        <f t="shared" si="3"/>
        <v>53.6</v>
      </c>
      <c r="S28" s="185">
        <v>1</v>
      </c>
      <c r="T28" s="839"/>
      <c r="U28" s="852"/>
      <c r="V28" s="82" t="s">
        <v>455</v>
      </c>
      <c r="W28" s="185" t="s">
        <v>74</v>
      </c>
      <c r="X28" s="185" t="s">
        <v>11</v>
      </c>
      <c r="Y28" s="83">
        <v>53.6</v>
      </c>
      <c r="AD28" s="82"/>
      <c r="AG28" s="83"/>
      <c r="AL28" s="82"/>
      <c r="AO28" s="83"/>
      <c r="AP28" s="82"/>
      <c r="AS28" s="83"/>
      <c r="AW28" s="83"/>
      <c r="BA28" s="84"/>
    </row>
    <row r="29" spans="1:53" s="185" customFormat="1">
      <c r="A29" s="101">
        <v>1970</v>
      </c>
      <c r="B29" s="852"/>
      <c r="C29" s="917" t="s">
        <v>633</v>
      </c>
      <c r="D29" s="917"/>
      <c r="E29" s="185">
        <v>365</v>
      </c>
      <c r="G29" s="119">
        <v>18</v>
      </c>
      <c r="J29" s="126">
        <v>18</v>
      </c>
      <c r="K29" s="92">
        <f t="shared" si="1"/>
        <v>100</v>
      </c>
      <c r="L29" s="92">
        <f t="shared" si="1"/>
        <v>0</v>
      </c>
      <c r="M29" s="92">
        <f t="shared" si="1"/>
        <v>0</v>
      </c>
      <c r="N29" s="121">
        <f t="shared" si="2"/>
        <v>100</v>
      </c>
      <c r="O29" s="91">
        <v>53.6</v>
      </c>
      <c r="P29" s="92"/>
      <c r="Q29" s="92"/>
      <c r="R29" s="93">
        <f t="shared" si="3"/>
        <v>53.6</v>
      </c>
      <c r="S29" s="185">
        <v>1</v>
      </c>
      <c r="T29" s="839"/>
      <c r="U29" s="852"/>
      <c r="V29" s="82" t="s">
        <v>455</v>
      </c>
      <c r="W29" s="185" t="s">
        <v>74</v>
      </c>
      <c r="X29" s="185" t="s">
        <v>11</v>
      </c>
      <c r="Y29" s="83">
        <v>53.6</v>
      </c>
      <c r="AD29" s="82"/>
      <c r="AG29" s="83"/>
      <c r="AL29" s="82"/>
      <c r="AO29" s="83"/>
      <c r="AP29" s="82"/>
      <c r="AS29" s="83"/>
      <c r="AW29" s="83"/>
      <c r="BA29" s="84"/>
    </row>
    <row r="30" spans="1:53" s="185" customFormat="1">
      <c r="A30" s="101">
        <v>1971</v>
      </c>
      <c r="B30" s="852"/>
      <c r="C30" s="917" t="s">
        <v>633</v>
      </c>
      <c r="D30" s="917"/>
      <c r="E30" s="185">
        <v>0</v>
      </c>
      <c r="G30" s="119">
        <v>18</v>
      </c>
      <c r="J30" s="126">
        <v>18</v>
      </c>
      <c r="K30" s="92">
        <f t="shared" si="1"/>
        <v>100</v>
      </c>
      <c r="L30" s="92">
        <f t="shared" si="1"/>
        <v>0</v>
      </c>
      <c r="M30" s="92">
        <f t="shared" si="1"/>
        <v>0</v>
      </c>
      <c r="N30" s="121">
        <f t="shared" si="2"/>
        <v>100</v>
      </c>
      <c r="O30" s="91">
        <v>53.6</v>
      </c>
      <c r="P30" s="92"/>
      <c r="Q30" s="92"/>
      <c r="R30" s="93">
        <f t="shared" si="3"/>
        <v>53.6</v>
      </c>
      <c r="S30" s="185">
        <v>1</v>
      </c>
      <c r="T30" s="839"/>
      <c r="U30" s="852"/>
      <c r="V30" s="82" t="s">
        <v>455</v>
      </c>
      <c r="W30" s="185" t="s">
        <v>74</v>
      </c>
      <c r="X30" s="185" t="s">
        <v>11</v>
      </c>
      <c r="Y30" s="83">
        <v>53.6</v>
      </c>
      <c r="AD30" s="82"/>
      <c r="AG30" s="83"/>
      <c r="AL30" s="82"/>
      <c r="AO30" s="83"/>
      <c r="AP30" s="82"/>
      <c r="AS30" s="83"/>
      <c r="AW30" s="83"/>
      <c r="BA30" s="84"/>
    </row>
    <row r="31" spans="1:53" s="185" customFormat="1">
      <c r="A31" s="101">
        <v>1971</v>
      </c>
      <c r="B31" s="852"/>
      <c r="C31" s="917" t="s">
        <v>633</v>
      </c>
      <c r="D31" s="917"/>
      <c r="E31" s="185">
        <v>365</v>
      </c>
      <c r="G31" s="119">
        <v>18</v>
      </c>
      <c r="J31" s="126">
        <v>18</v>
      </c>
      <c r="K31" s="92">
        <f t="shared" si="1"/>
        <v>100</v>
      </c>
      <c r="L31" s="92">
        <f t="shared" si="1"/>
        <v>0</v>
      </c>
      <c r="M31" s="92">
        <f t="shared" si="1"/>
        <v>0</v>
      </c>
      <c r="N31" s="121">
        <f t="shared" si="2"/>
        <v>100</v>
      </c>
      <c r="O31" s="91">
        <v>53.6</v>
      </c>
      <c r="P31" s="92"/>
      <c r="Q31" s="92"/>
      <c r="R31" s="93">
        <f t="shared" si="3"/>
        <v>53.6</v>
      </c>
      <c r="S31" s="185">
        <v>1</v>
      </c>
      <c r="T31" s="839"/>
      <c r="U31" s="852"/>
      <c r="V31" s="82" t="s">
        <v>455</v>
      </c>
      <c r="W31" s="185" t="s">
        <v>74</v>
      </c>
      <c r="X31" s="185" t="s">
        <v>11</v>
      </c>
      <c r="Y31" s="83">
        <v>53.6</v>
      </c>
      <c r="AD31" s="82"/>
      <c r="AG31" s="83"/>
      <c r="AL31" s="82"/>
      <c r="AO31" s="83"/>
      <c r="AP31" s="82"/>
      <c r="AS31" s="83"/>
      <c r="AW31" s="83"/>
      <c r="BA31" s="84"/>
    </row>
    <row r="32" spans="1:53" s="185" customFormat="1">
      <c r="A32" s="101">
        <v>1972</v>
      </c>
      <c r="B32" s="852"/>
      <c r="C32" s="917" t="s">
        <v>633</v>
      </c>
      <c r="D32" s="917"/>
      <c r="E32" s="185">
        <v>39</v>
      </c>
      <c r="G32" s="119">
        <v>18</v>
      </c>
      <c r="J32" s="126">
        <v>18</v>
      </c>
      <c r="K32" s="92">
        <f t="shared" si="1"/>
        <v>100</v>
      </c>
      <c r="L32" s="92">
        <f t="shared" si="1"/>
        <v>0</v>
      </c>
      <c r="M32" s="92">
        <f t="shared" si="1"/>
        <v>0</v>
      </c>
      <c r="N32" s="121">
        <f t="shared" si="2"/>
        <v>100</v>
      </c>
      <c r="O32" s="91">
        <v>53.6</v>
      </c>
      <c r="P32" s="92"/>
      <c r="Q32" s="92"/>
      <c r="R32" s="93">
        <f t="shared" si="3"/>
        <v>53.6</v>
      </c>
      <c r="S32" s="185">
        <v>1</v>
      </c>
      <c r="T32" s="839"/>
      <c r="U32" s="852"/>
      <c r="V32" s="82" t="s">
        <v>455</v>
      </c>
      <c r="W32" s="185" t="s">
        <v>74</v>
      </c>
      <c r="X32" s="185" t="s">
        <v>11</v>
      </c>
      <c r="Y32" s="83">
        <v>53.6</v>
      </c>
      <c r="AD32" s="82"/>
      <c r="AG32" s="83"/>
      <c r="AL32" s="82"/>
      <c r="AO32" s="83"/>
      <c r="AP32" s="82"/>
      <c r="AS32" s="83"/>
      <c r="AW32" s="83"/>
      <c r="BA32" s="84"/>
    </row>
    <row r="33" spans="1:53" s="292" customFormat="1">
      <c r="A33" s="338">
        <v>1972</v>
      </c>
      <c r="B33" s="836">
        <v>26338</v>
      </c>
      <c r="C33" s="916" t="s">
        <v>634</v>
      </c>
      <c r="D33" s="916"/>
      <c r="E33" s="292">
        <v>303</v>
      </c>
      <c r="F33" s="292">
        <v>2</v>
      </c>
      <c r="G33" s="366">
        <v>18</v>
      </c>
      <c r="J33" s="377">
        <v>18</v>
      </c>
      <c r="K33" s="336">
        <f t="shared" si="1"/>
        <v>100</v>
      </c>
      <c r="L33" s="336">
        <f t="shared" si="1"/>
        <v>0</v>
      </c>
      <c r="M33" s="336">
        <f t="shared" si="1"/>
        <v>0</v>
      </c>
      <c r="N33" s="368">
        <f t="shared" si="2"/>
        <v>100</v>
      </c>
      <c r="O33" s="335">
        <v>53.6</v>
      </c>
      <c r="P33" s="336"/>
      <c r="Q33" s="336"/>
      <c r="R33" s="337">
        <f t="shared" si="3"/>
        <v>53.6</v>
      </c>
      <c r="S33" s="292">
        <v>1</v>
      </c>
      <c r="T33" s="838"/>
      <c r="U33" s="836">
        <v>26338</v>
      </c>
      <c r="V33" s="299" t="s">
        <v>455</v>
      </c>
      <c r="W33" s="292" t="s">
        <v>74</v>
      </c>
      <c r="X33" s="292" t="s">
        <v>11</v>
      </c>
      <c r="Y33" s="300">
        <v>53.6</v>
      </c>
      <c r="AD33" s="299"/>
      <c r="AG33" s="300"/>
      <c r="AL33" s="299"/>
      <c r="AO33" s="300"/>
      <c r="AP33" s="299"/>
      <c r="AS33" s="300"/>
      <c r="AW33" s="300"/>
      <c r="BA33" s="301"/>
    </row>
    <row r="34" spans="1:53" s="185" customFormat="1">
      <c r="A34" s="101">
        <v>1972</v>
      </c>
      <c r="B34" s="852">
        <v>26641</v>
      </c>
      <c r="C34" s="917" t="s">
        <v>635</v>
      </c>
      <c r="D34" s="917"/>
      <c r="E34" s="185">
        <f>366-E33-E32</f>
        <v>24</v>
      </c>
      <c r="F34" s="185">
        <v>1</v>
      </c>
      <c r="G34" s="119"/>
      <c r="I34" s="185">
        <v>20</v>
      </c>
      <c r="J34" s="126">
        <v>20</v>
      </c>
      <c r="K34" s="92">
        <f t="shared" si="1"/>
        <v>0</v>
      </c>
      <c r="L34" s="92">
        <f t="shared" si="1"/>
        <v>0</v>
      </c>
      <c r="M34" s="92">
        <f t="shared" si="1"/>
        <v>100</v>
      </c>
      <c r="N34" s="121">
        <f t="shared" si="2"/>
        <v>100</v>
      </c>
      <c r="O34" s="91"/>
      <c r="P34" s="92"/>
      <c r="Q34" s="92">
        <v>63.2</v>
      </c>
      <c r="R34" s="93">
        <f t="shared" si="3"/>
        <v>63.2</v>
      </c>
      <c r="S34" s="185">
        <v>1</v>
      </c>
      <c r="T34" s="839">
        <v>26628</v>
      </c>
      <c r="U34" s="852">
        <v>26641</v>
      </c>
      <c r="V34" s="82" t="s">
        <v>454</v>
      </c>
      <c r="W34" s="185" t="s">
        <v>20</v>
      </c>
      <c r="X34" s="185" t="s">
        <v>12</v>
      </c>
      <c r="Y34" s="83">
        <v>63.2</v>
      </c>
      <c r="AD34" s="82"/>
      <c r="AG34" s="83"/>
      <c r="AL34" s="82"/>
      <c r="AO34" s="83"/>
      <c r="AP34" s="82"/>
      <c r="AS34" s="83"/>
      <c r="AW34" s="83"/>
      <c r="BA34" s="84"/>
    </row>
    <row r="35" spans="1:53" s="185" customFormat="1">
      <c r="A35" s="101">
        <v>1973</v>
      </c>
      <c r="B35" s="852"/>
      <c r="C35" s="917" t="s">
        <v>635</v>
      </c>
      <c r="D35" s="917"/>
      <c r="E35" s="185">
        <v>0</v>
      </c>
      <c r="G35" s="119"/>
      <c r="I35" s="185">
        <v>20</v>
      </c>
      <c r="J35" s="126">
        <v>20</v>
      </c>
      <c r="K35" s="92">
        <f t="shared" si="1"/>
        <v>0</v>
      </c>
      <c r="L35" s="92">
        <f t="shared" si="1"/>
        <v>0</v>
      </c>
      <c r="M35" s="92">
        <f t="shared" si="1"/>
        <v>100</v>
      </c>
      <c r="N35" s="121">
        <f t="shared" si="2"/>
        <v>100</v>
      </c>
      <c r="O35" s="91"/>
      <c r="P35" s="92"/>
      <c r="Q35" s="92">
        <v>63.2</v>
      </c>
      <c r="R35" s="93">
        <f t="shared" si="3"/>
        <v>63.2</v>
      </c>
      <c r="S35" s="185">
        <v>1</v>
      </c>
      <c r="T35" s="839"/>
      <c r="U35" s="852"/>
      <c r="V35" s="82" t="s">
        <v>454</v>
      </c>
      <c r="W35" s="185" t="s">
        <v>20</v>
      </c>
      <c r="X35" s="185" t="s">
        <v>12</v>
      </c>
      <c r="Y35" s="83">
        <v>63.2</v>
      </c>
      <c r="AD35" s="82"/>
      <c r="AG35" s="83"/>
      <c r="AL35" s="82"/>
      <c r="AO35" s="83"/>
      <c r="AP35" s="82"/>
      <c r="AS35" s="83"/>
      <c r="AW35" s="83"/>
      <c r="BA35" s="84"/>
    </row>
    <row r="36" spans="1:53" s="185" customFormat="1">
      <c r="A36" s="101">
        <v>1973</v>
      </c>
      <c r="B36" s="852"/>
      <c r="C36" s="917" t="s">
        <v>635</v>
      </c>
      <c r="D36" s="917"/>
      <c r="E36" s="185">
        <v>365</v>
      </c>
      <c r="G36" s="119"/>
      <c r="I36" s="185">
        <v>20</v>
      </c>
      <c r="J36" s="126">
        <v>20</v>
      </c>
      <c r="K36" s="92">
        <f t="shared" si="1"/>
        <v>0</v>
      </c>
      <c r="L36" s="92">
        <f t="shared" si="1"/>
        <v>0</v>
      </c>
      <c r="M36" s="92">
        <f t="shared" si="1"/>
        <v>100</v>
      </c>
      <c r="N36" s="121">
        <f t="shared" si="2"/>
        <v>100</v>
      </c>
      <c r="O36" s="91"/>
      <c r="P36" s="92"/>
      <c r="Q36" s="92">
        <v>63.2</v>
      </c>
      <c r="R36" s="93">
        <f t="shared" si="3"/>
        <v>63.2</v>
      </c>
      <c r="S36" s="185">
        <v>1</v>
      </c>
      <c r="T36" s="839"/>
      <c r="U36" s="852"/>
      <c r="V36" s="82" t="s">
        <v>454</v>
      </c>
      <c r="W36" s="185" t="s">
        <v>20</v>
      </c>
      <c r="X36" s="185" t="s">
        <v>12</v>
      </c>
      <c r="Y36" s="83">
        <v>63.2</v>
      </c>
      <c r="AD36" s="82"/>
      <c r="AG36" s="83"/>
      <c r="AL36" s="82"/>
      <c r="AO36" s="83"/>
      <c r="AP36" s="82"/>
      <c r="AS36" s="83"/>
      <c r="AW36" s="83"/>
      <c r="BA36" s="84"/>
    </row>
    <row r="37" spans="1:53" s="185" customFormat="1">
      <c r="A37" s="101">
        <v>1974</v>
      </c>
      <c r="B37" s="852"/>
      <c r="C37" s="917" t="s">
        <v>635</v>
      </c>
      <c r="D37" s="917"/>
      <c r="E37" s="185">
        <v>252</v>
      </c>
      <c r="G37" s="119"/>
      <c r="I37" s="185">
        <v>20</v>
      </c>
      <c r="J37" s="126">
        <v>20</v>
      </c>
      <c r="K37" s="92">
        <f t="shared" si="1"/>
        <v>0</v>
      </c>
      <c r="L37" s="92">
        <f t="shared" si="1"/>
        <v>0</v>
      </c>
      <c r="M37" s="92">
        <f t="shared" si="1"/>
        <v>100</v>
      </c>
      <c r="N37" s="121">
        <f t="shared" si="2"/>
        <v>100</v>
      </c>
      <c r="O37" s="91"/>
      <c r="P37" s="92"/>
      <c r="Q37" s="92">
        <v>63.2</v>
      </c>
      <c r="R37" s="93">
        <f t="shared" si="3"/>
        <v>63.2</v>
      </c>
      <c r="S37" s="185">
        <v>1</v>
      </c>
      <c r="T37" s="839"/>
      <c r="U37" s="852"/>
      <c r="V37" s="82" t="s">
        <v>454</v>
      </c>
      <c r="W37" s="185" t="s">
        <v>20</v>
      </c>
      <c r="X37" s="185" t="s">
        <v>12</v>
      </c>
      <c r="Y37" s="83">
        <v>63.2</v>
      </c>
      <c r="AD37" s="82"/>
      <c r="AG37" s="83"/>
      <c r="AL37" s="82"/>
      <c r="AO37" s="83"/>
      <c r="AP37" s="82"/>
      <c r="AS37" s="83"/>
      <c r="AW37" s="83"/>
      <c r="BA37" s="84"/>
    </row>
    <row r="38" spans="1:53" s="292" customFormat="1">
      <c r="A38" s="338">
        <v>1974</v>
      </c>
      <c r="B38" s="836">
        <v>27282</v>
      </c>
      <c r="C38" s="916" t="s">
        <v>636</v>
      </c>
      <c r="D38" s="916"/>
      <c r="E38" s="292">
        <f>365-E37</f>
        <v>113</v>
      </c>
      <c r="F38" s="292">
        <v>3</v>
      </c>
      <c r="G38" s="366"/>
      <c r="I38" s="292">
        <v>20</v>
      </c>
      <c r="J38" s="377">
        <v>20</v>
      </c>
      <c r="K38" s="336">
        <f t="shared" si="1"/>
        <v>0</v>
      </c>
      <c r="L38" s="336">
        <f t="shared" si="1"/>
        <v>0</v>
      </c>
      <c r="M38" s="336">
        <f t="shared" si="1"/>
        <v>100</v>
      </c>
      <c r="N38" s="368">
        <f t="shared" si="2"/>
        <v>100</v>
      </c>
      <c r="O38" s="335"/>
      <c r="P38" s="336"/>
      <c r="Q38" s="336">
        <v>63.2</v>
      </c>
      <c r="R38" s="337">
        <f t="shared" si="3"/>
        <v>63.2</v>
      </c>
      <c r="S38" s="292">
        <v>1</v>
      </c>
      <c r="T38" s="838"/>
      <c r="U38" s="836">
        <v>27282</v>
      </c>
      <c r="V38" s="299" t="s">
        <v>454</v>
      </c>
      <c r="W38" s="292" t="s">
        <v>20</v>
      </c>
      <c r="X38" s="292" t="s">
        <v>12</v>
      </c>
      <c r="Y38" s="300">
        <v>63.2</v>
      </c>
      <c r="AD38" s="299"/>
      <c r="AG38" s="300"/>
      <c r="AL38" s="299"/>
      <c r="AO38" s="300"/>
      <c r="AP38" s="299"/>
      <c r="AS38" s="300"/>
      <c r="AW38" s="300"/>
      <c r="BA38" s="301"/>
    </row>
    <row r="39" spans="1:53" s="292" customFormat="1">
      <c r="A39" s="338">
        <v>1975</v>
      </c>
      <c r="B39" s="836"/>
      <c r="C39" s="916" t="s">
        <v>636</v>
      </c>
      <c r="D39" s="916"/>
      <c r="E39" s="292">
        <v>345</v>
      </c>
      <c r="G39" s="366"/>
      <c r="I39" s="292">
        <v>20</v>
      </c>
      <c r="J39" s="377">
        <v>20</v>
      </c>
      <c r="K39" s="336">
        <f t="shared" si="1"/>
        <v>0</v>
      </c>
      <c r="L39" s="336">
        <f t="shared" si="1"/>
        <v>0</v>
      </c>
      <c r="M39" s="336">
        <f t="shared" si="1"/>
        <v>100</v>
      </c>
      <c r="N39" s="368">
        <f t="shared" si="2"/>
        <v>100</v>
      </c>
      <c r="O39" s="335"/>
      <c r="P39" s="336"/>
      <c r="Q39" s="336">
        <v>63.2</v>
      </c>
      <c r="R39" s="337">
        <f t="shared" si="3"/>
        <v>63.2</v>
      </c>
      <c r="S39" s="292">
        <v>1</v>
      </c>
      <c r="T39" s="838"/>
      <c r="U39" s="836"/>
      <c r="V39" s="299" t="s">
        <v>454</v>
      </c>
      <c r="W39" s="292" t="s">
        <v>20</v>
      </c>
      <c r="X39" s="292" t="s">
        <v>12</v>
      </c>
      <c r="Y39" s="300">
        <v>63.2</v>
      </c>
      <c r="AD39" s="299"/>
      <c r="AG39" s="300"/>
      <c r="AL39" s="299"/>
      <c r="AO39" s="300"/>
      <c r="AP39" s="299"/>
      <c r="AS39" s="300"/>
      <c r="AW39" s="300"/>
      <c r="BA39" s="301"/>
    </row>
    <row r="40" spans="1:53" s="185" customFormat="1">
      <c r="A40" s="101">
        <v>1975</v>
      </c>
      <c r="B40" s="852">
        <v>27740</v>
      </c>
      <c r="C40" s="917" t="s">
        <v>637</v>
      </c>
      <c r="D40" s="917"/>
      <c r="E40" s="185">
        <f>365-E39</f>
        <v>20</v>
      </c>
      <c r="F40" s="185">
        <v>1</v>
      </c>
      <c r="G40" s="119">
        <v>19</v>
      </c>
      <c r="J40" s="126">
        <v>19</v>
      </c>
      <c r="K40" s="92">
        <f t="shared" si="1"/>
        <v>100</v>
      </c>
      <c r="L40" s="92">
        <f t="shared" si="1"/>
        <v>0</v>
      </c>
      <c r="M40" s="92">
        <f t="shared" si="1"/>
        <v>0</v>
      </c>
      <c r="N40" s="121">
        <f t="shared" si="2"/>
        <v>100</v>
      </c>
      <c r="O40" s="91">
        <v>63.2</v>
      </c>
      <c r="P40" s="92"/>
      <c r="Q40" s="92"/>
      <c r="R40" s="93">
        <f t="shared" si="3"/>
        <v>63.2</v>
      </c>
      <c r="S40" s="185">
        <v>1</v>
      </c>
      <c r="T40" s="839">
        <v>27727</v>
      </c>
      <c r="U40" s="852">
        <v>27740</v>
      </c>
      <c r="V40" s="82" t="s">
        <v>455</v>
      </c>
      <c r="W40" s="185" t="s">
        <v>74</v>
      </c>
      <c r="X40" s="185" t="s">
        <v>11</v>
      </c>
      <c r="Y40" s="83">
        <v>63.2</v>
      </c>
      <c r="AD40" s="82"/>
      <c r="AG40" s="83"/>
      <c r="AL40" s="82"/>
      <c r="AO40" s="83"/>
      <c r="AP40" s="82"/>
      <c r="AS40" s="83"/>
      <c r="AW40" s="83"/>
      <c r="BA40" s="84"/>
    </row>
    <row r="41" spans="1:53" s="185" customFormat="1">
      <c r="A41" s="101">
        <v>1976</v>
      </c>
      <c r="B41" s="852"/>
      <c r="C41" s="917" t="s">
        <v>637</v>
      </c>
      <c r="D41" s="917"/>
      <c r="E41" s="185">
        <v>0</v>
      </c>
      <c r="G41" s="119">
        <v>19</v>
      </c>
      <c r="J41" s="126">
        <v>19</v>
      </c>
      <c r="K41" s="92">
        <f t="shared" si="1"/>
        <v>100</v>
      </c>
      <c r="L41" s="92">
        <f t="shared" si="1"/>
        <v>0</v>
      </c>
      <c r="M41" s="92">
        <f t="shared" si="1"/>
        <v>0</v>
      </c>
      <c r="N41" s="121">
        <f t="shared" si="2"/>
        <v>100</v>
      </c>
      <c r="O41" s="91">
        <v>63.2</v>
      </c>
      <c r="P41" s="92"/>
      <c r="Q41" s="92"/>
      <c r="R41" s="93">
        <f t="shared" si="3"/>
        <v>63.2</v>
      </c>
      <c r="S41" s="185">
        <v>1</v>
      </c>
      <c r="T41" s="839"/>
      <c r="U41" s="852"/>
      <c r="V41" s="82" t="s">
        <v>455</v>
      </c>
      <c r="W41" s="185" t="s">
        <v>74</v>
      </c>
      <c r="X41" s="185" t="s">
        <v>11</v>
      </c>
      <c r="Y41" s="83">
        <v>63.2</v>
      </c>
      <c r="AD41" s="82"/>
      <c r="AG41" s="83"/>
      <c r="AL41" s="82"/>
      <c r="AO41" s="83"/>
      <c r="AP41" s="82"/>
      <c r="AS41" s="83"/>
      <c r="AW41" s="83"/>
      <c r="BA41" s="84"/>
    </row>
    <row r="42" spans="1:53" s="185" customFormat="1">
      <c r="A42" s="101">
        <v>1976</v>
      </c>
      <c r="B42" s="852"/>
      <c r="C42" s="917" t="s">
        <v>637</v>
      </c>
      <c r="D42" s="917"/>
      <c r="E42" s="185">
        <v>366</v>
      </c>
      <c r="G42" s="119">
        <v>19</v>
      </c>
      <c r="J42" s="126">
        <v>19</v>
      </c>
      <c r="K42" s="92">
        <f t="shared" si="1"/>
        <v>100</v>
      </c>
      <c r="L42" s="92">
        <f t="shared" si="1"/>
        <v>0</v>
      </c>
      <c r="M42" s="92">
        <f t="shared" si="1"/>
        <v>0</v>
      </c>
      <c r="N42" s="121">
        <f t="shared" si="2"/>
        <v>100</v>
      </c>
      <c r="O42" s="91">
        <v>63.2</v>
      </c>
      <c r="P42" s="92"/>
      <c r="Q42" s="92"/>
      <c r="R42" s="93">
        <f t="shared" si="3"/>
        <v>63.2</v>
      </c>
      <c r="S42" s="185">
        <v>1</v>
      </c>
      <c r="T42" s="839"/>
      <c r="U42" s="852"/>
      <c r="V42" s="82" t="s">
        <v>455</v>
      </c>
      <c r="W42" s="185" t="s">
        <v>74</v>
      </c>
      <c r="X42" s="185" t="s">
        <v>11</v>
      </c>
      <c r="Y42" s="83">
        <v>63.2</v>
      </c>
      <c r="AD42" s="82"/>
      <c r="AG42" s="83"/>
      <c r="AL42" s="82"/>
      <c r="AO42" s="83"/>
      <c r="AP42" s="82"/>
      <c r="AS42" s="83"/>
      <c r="AW42" s="83"/>
      <c r="BA42" s="84"/>
    </row>
    <row r="43" spans="1:53" s="185" customFormat="1">
      <c r="A43" s="101">
        <v>1977</v>
      </c>
      <c r="B43" s="852"/>
      <c r="C43" s="917" t="s">
        <v>637</v>
      </c>
      <c r="D43" s="917"/>
      <c r="E43" s="185">
        <v>0</v>
      </c>
      <c r="G43" s="119">
        <v>19</v>
      </c>
      <c r="J43" s="126">
        <v>19</v>
      </c>
      <c r="K43" s="92">
        <f t="shared" si="1"/>
        <v>100</v>
      </c>
      <c r="L43" s="92">
        <f t="shared" si="1"/>
        <v>0</v>
      </c>
      <c r="M43" s="92">
        <f t="shared" si="1"/>
        <v>0</v>
      </c>
      <c r="N43" s="121">
        <f t="shared" si="2"/>
        <v>100</v>
      </c>
      <c r="O43" s="91">
        <v>63.2</v>
      </c>
      <c r="P43" s="92"/>
      <c r="Q43" s="92"/>
      <c r="R43" s="93">
        <f t="shared" si="3"/>
        <v>63.2</v>
      </c>
      <c r="S43" s="185">
        <v>1</v>
      </c>
      <c r="T43" s="839"/>
      <c r="U43" s="852"/>
      <c r="V43" s="82" t="s">
        <v>455</v>
      </c>
      <c r="W43" s="185" t="s">
        <v>74</v>
      </c>
      <c r="X43" s="185" t="s">
        <v>11</v>
      </c>
      <c r="Y43" s="83">
        <v>63.2</v>
      </c>
      <c r="AD43" s="82"/>
      <c r="AG43" s="83"/>
      <c r="AL43" s="82"/>
      <c r="AO43" s="83"/>
      <c r="AP43" s="82"/>
      <c r="AS43" s="83"/>
      <c r="AW43" s="83"/>
      <c r="BA43" s="84"/>
    </row>
    <row r="44" spans="1:53" s="185" customFormat="1">
      <c r="A44" s="101">
        <v>1977</v>
      </c>
      <c r="B44" s="852"/>
      <c r="C44" s="917" t="s">
        <v>637</v>
      </c>
      <c r="D44" s="917"/>
      <c r="E44" s="185">
        <v>365</v>
      </c>
      <c r="G44" s="119">
        <v>19</v>
      </c>
      <c r="J44" s="126">
        <v>19</v>
      </c>
      <c r="K44" s="92">
        <f t="shared" si="1"/>
        <v>100</v>
      </c>
      <c r="L44" s="92">
        <f t="shared" si="1"/>
        <v>0</v>
      </c>
      <c r="M44" s="92">
        <f t="shared" si="1"/>
        <v>0</v>
      </c>
      <c r="N44" s="121">
        <f t="shared" si="2"/>
        <v>100</v>
      </c>
      <c r="O44" s="91">
        <v>63.2</v>
      </c>
      <c r="P44" s="92"/>
      <c r="Q44" s="92"/>
      <c r="R44" s="93">
        <f t="shared" si="3"/>
        <v>63.2</v>
      </c>
      <c r="S44" s="185">
        <v>1</v>
      </c>
      <c r="T44" s="839"/>
      <c r="U44" s="852"/>
      <c r="V44" s="82" t="s">
        <v>455</v>
      </c>
      <c r="W44" s="185" t="s">
        <v>74</v>
      </c>
      <c r="X44" s="185" t="s">
        <v>11</v>
      </c>
      <c r="Y44" s="83">
        <v>63.2</v>
      </c>
      <c r="AD44" s="82"/>
      <c r="AG44" s="83"/>
      <c r="AL44" s="82"/>
      <c r="AO44" s="83"/>
      <c r="AP44" s="82"/>
      <c r="AS44" s="83"/>
      <c r="AW44" s="83"/>
      <c r="BA44" s="84"/>
    </row>
    <row r="45" spans="1:53" s="185" customFormat="1">
      <c r="A45" s="101">
        <v>1978</v>
      </c>
      <c r="B45" s="852"/>
      <c r="C45" s="917" t="s">
        <v>637</v>
      </c>
      <c r="D45" s="917"/>
      <c r="E45" s="185">
        <v>346</v>
      </c>
      <c r="G45" s="119">
        <v>19</v>
      </c>
      <c r="J45" s="126">
        <v>19</v>
      </c>
      <c r="K45" s="92">
        <f t="shared" si="1"/>
        <v>100</v>
      </c>
      <c r="L45" s="92">
        <f t="shared" si="1"/>
        <v>0</v>
      </c>
      <c r="M45" s="92">
        <f t="shared" si="1"/>
        <v>0</v>
      </c>
      <c r="N45" s="121">
        <f t="shared" si="2"/>
        <v>100</v>
      </c>
      <c r="O45" s="91">
        <v>63.2</v>
      </c>
      <c r="P45" s="92"/>
      <c r="Q45" s="92"/>
      <c r="R45" s="93">
        <f t="shared" si="3"/>
        <v>63.2</v>
      </c>
      <c r="S45" s="185">
        <v>1</v>
      </c>
      <c r="T45" s="839"/>
      <c r="U45" s="852"/>
      <c r="V45" s="82" t="s">
        <v>455</v>
      </c>
      <c r="W45" s="185" t="s">
        <v>74</v>
      </c>
      <c r="X45" s="185" t="s">
        <v>11</v>
      </c>
      <c r="Y45" s="83">
        <v>63.2</v>
      </c>
      <c r="AD45" s="82"/>
      <c r="AG45" s="83"/>
      <c r="AL45" s="82"/>
      <c r="AO45" s="83"/>
      <c r="AP45" s="82"/>
      <c r="AS45" s="83"/>
      <c r="AW45" s="83"/>
      <c r="BA45" s="84"/>
    </row>
    <row r="46" spans="1:53" s="292" customFormat="1">
      <c r="A46" s="338">
        <v>1978</v>
      </c>
      <c r="B46" s="836">
        <v>28837</v>
      </c>
      <c r="C46" s="916" t="s">
        <v>638</v>
      </c>
      <c r="D46" s="916"/>
      <c r="E46" s="292">
        <f>365-E45</f>
        <v>19</v>
      </c>
      <c r="F46" s="292">
        <v>1</v>
      </c>
      <c r="G46" s="366">
        <v>19</v>
      </c>
      <c r="J46" s="377">
        <v>19</v>
      </c>
      <c r="K46" s="336">
        <f t="shared" si="1"/>
        <v>100</v>
      </c>
      <c r="L46" s="336">
        <f t="shared" si="1"/>
        <v>0</v>
      </c>
      <c r="M46" s="336">
        <f t="shared" si="1"/>
        <v>0</v>
      </c>
      <c r="N46" s="368">
        <f t="shared" si="2"/>
        <v>100</v>
      </c>
      <c r="O46" s="335">
        <v>55.4</v>
      </c>
      <c r="P46" s="336"/>
      <c r="Q46" s="336"/>
      <c r="R46" s="337">
        <f t="shared" si="3"/>
        <v>55.4</v>
      </c>
      <c r="S46" s="292">
        <v>1</v>
      </c>
      <c r="T46" s="838">
        <v>28819</v>
      </c>
      <c r="U46" s="836">
        <v>28837</v>
      </c>
      <c r="V46" s="299" t="s">
        <v>455</v>
      </c>
      <c r="W46" s="292" t="s">
        <v>74</v>
      </c>
      <c r="X46" s="292" t="s">
        <v>11</v>
      </c>
      <c r="Y46" s="300">
        <v>55.4</v>
      </c>
      <c r="AD46" s="299"/>
      <c r="AG46" s="300"/>
      <c r="AL46" s="299"/>
      <c r="AO46" s="300"/>
      <c r="AP46" s="299"/>
      <c r="AS46" s="300"/>
      <c r="AW46" s="300"/>
      <c r="BA46" s="301"/>
    </row>
    <row r="47" spans="1:53" s="292" customFormat="1">
      <c r="A47" s="338">
        <v>1979</v>
      </c>
      <c r="B47" s="836"/>
      <c r="C47" s="916" t="s">
        <v>638</v>
      </c>
      <c r="D47" s="916"/>
      <c r="E47" s="292">
        <v>0</v>
      </c>
      <c r="G47" s="366">
        <v>19</v>
      </c>
      <c r="J47" s="377">
        <v>19</v>
      </c>
      <c r="K47" s="336">
        <f t="shared" si="1"/>
        <v>100</v>
      </c>
      <c r="L47" s="336">
        <f t="shared" si="1"/>
        <v>0</v>
      </c>
      <c r="M47" s="336">
        <f t="shared" si="1"/>
        <v>0</v>
      </c>
      <c r="N47" s="368">
        <f t="shared" si="2"/>
        <v>100</v>
      </c>
      <c r="O47" s="335">
        <v>55.4</v>
      </c>
      <c r="P47" s="336"/>
      <c r="Q47" s="336"/>
      <c r="R47" s="337">
        <f t="shared" si="3"/>
        <v>55.4</v>
      </c>
      <c r="S47" s="292">
        <v>1</v>
      </c>
      <c r="T47" s="838"/>
      <c r="U47" s="836"/>
      <c r="V47" s="299" t="s">
        <v>455</v>
      </c>
      <c r="W47" s="292" t="s">
        <v>74</v>
      </c>
      <c r="X47" s="292" t="s">
        <v>11</v>
      </c>
      <c r="Y47" s="300">
        <v>55.4</v>
      </c>
      <c r="AD47" s="299"/>
      <c r="AG47" s="300"/>
      <c r="AL47" s="299"/>
      <c r="AO47" s="300"/>
      <c r="AP47" s="299"/>
      <c r="AS47" s="300"/>
      <c r="AW47" s="300"/>
      <c r="BA47" s="301"/>
    </row>
    <row r="48" spans="1:53" s="292" customFormat="1">
      <c r="A48" s="338">
        <v>1979</v>
      </c>
      <c r="B48" s="836"/>
      <c r="C48" s="916" t="s">
        <v>638</v>
      </c>
      <c r="D48" s="916"/>
      <c r="E48" s="292">
        <v>365</v>
      </c>
      <c r="G48" s="366">
        <v>19</v>
      </c>
      <c r="J48" s="377">
        <v>19</v>
      </c>
      <c r="K48" s="336">
        <f t="shared" si="1"/>
        <v>100</v>
      </c>
      <c r="L48" s="336">
        <f t="shared" si="1"/>
        <v>0</v>
      </c>
      <c r="M48" s="336">
        <f t="shared" si="1"/>
        <v>0</v>
      </c>
      <c r="N48" s="368">
        <f t="shared" si="2"/>
        <v>100</v>
      </c>
      <c r="O48" s="335">
        <v>55.4</v>
      </c>
      <c r="P48" s="336"/>
      <c r="Q48" s="336"/>
      <c r="R48" s="337">
        <f t="shared" si="3"/>
        <v>55.4</v>
      </c>
      <c r="S48" s="292">
        <v>1</v>
      </c>
      <c r="T48" s="838"/>
      <c r="U48" s="836"/>
      <c r="V48" s="299" t="s">
        <v>455</v>
      </c>
      <c r="W48" s="292" t="s">
        <v>74</v>
      </c>
      <c r="X48" s="292" t="s">
        <v>11</v>
      </c>
      <c r="Y48" s="300">
        <v>55.4</v>
      </c>
      <c r="AD48" s="299"/>
      <c r="AG48" s="300"/>
      <c r="AL48" s="299"/>
      <c r="AO48" s="300"/>
      <c r="AP48" s="299"/>
      <c r="AS48" s="300"/>
      <c r="AW48" s="300"/>
      <c r="BA48" s="301"/>
    </row>
    <row r="49" spans="1:53" s="292" customFormat="1">
      <c r="A49" s="338">
        <v>1980</v>
      </c>
      <c r="B49" s="836"/>
      <c r="C49" s="916" t="s">
        <v>638</v>
      </c>
      <c r="D49" s="916"/>
      <c r="E49" s="292">
        <v>0</v>
      </c>
      <c r="G49" s="366">
        <v>19</v>
      </c>
      <c r="J49" s="377">
        <v>19</v>
      </c>
      <c r="K49" s="336">
        <f t="shared" si="1"/>
        <v>100</v>
      </c>
      <c r="L49" s="336">
        <f t="shared" si="1"/>
        <v>0</v>
      </c>
      <c r="M49" s="336">
        <f t="shared" si="1"/>
        <v>0</v>
      </c>
      <c r="N49" s="368">
        <f t="shared" si="2"/>
        <v>100</v>
      </c>
      <c r="O49" s="335">
        <v>55.4</v>
      </c>
      <c r="P49" s="336"/>
      <c r="Q49" s="336"/>
      <c r="R49" s="337">
        <f t="shared" si="3"/>
        <v>55.4</v>
      </c>
      <c r="S49" s="292">
        <v>1</v>
      </c>
      <c r="T49" s="838"/>
      <c r="U49" s="836"/>
      <c r="V49" s="299" t="s">
        <v>455</v>
      </c>
      <c r="W49" s="292" t="s">
        <v>74</v>
      </c>
      <c r="X49" s="292" t="s">
        <v>11</v>
      </c>
      <c r="Y49" s="300">
        <v>55.4</v>
      </c>
      <c r="AD49" s="299"/>
      <c r="AG49" s="300"/>
      <c r="AL49" s="299"/>
      <c r="AO49" s="300"/>
      <c r="AP49" s="299"/>
      <c r="AS49" s="300"/>
      <c r="AW49" s="300"/>
      <c r="BA49" s="301"/>
    </row>
    <row r="50" spans="1:53" s="292" customFormat="1">
      <c r="A50" s="338">
        <v>1980</v>
      </c>
      <c r="B50" s="836"/>
      <c r="C50" s="916" t="s">
        <v>638</v>
      </c>
      <c r="D50" s="916"/>
      <c r="E50" s="292">
        <v>366</v>
      </c>
      <c r="G50" s="366">
        <v>19</v>
      </c>
      <c r="J50" s="377">
        <v>19</v>
      </c>
      <c r="K50" s="336">
        <f t="shared" si="1"/>
        <v>100</v>
      </c>
      <c r="L50" s="336">
        <f t="shared" si="1"/>
        <v>0</v>
      </c>
      <c r="M50" s="336">
        <f t="shared" si="1"/>
        <v>0</v>
      </c>
      <c r="N50" s="368">
        <f t="shared" si="2"/>
        <v>100</v>
      </c>
      <c r="O50" s="335">
        <v>55.4</v>
      </c>
      <c r="P50" s="336"/>
      <c r="Q50" s="336"/>
      <c r="R50" s="337">
        <f t="shared" si="3"/>
        <v>55.4</v>
      </c>
      <c r="S50" s="292">
        <v>1</v>
      </c>
      <c r="T50" s="838"/>
      <c r="U50" s="836"/>
      <c r="V50" s="299" t="s">
        <v>455</v>
      </c>
      <c r="W50" s="292" t="s">
        <v>74</v>
      </c>
      <c r="X50" s="292" t="s">
        <v>11</v>
      </c>
      <c r="Y50" s="300">
        <v>55.4</v>
      </c>
      <c r="AD50" s="299"/>
      <c r="AG50" s="300"/>
      <c r="AL50" s="299"/>
      <c r="AO50" s="300"/>
      <c r="AP50" s="299"/>
      <c r="AS50" s="300"/>
      <c r="AW50" s="300"/>
      <c r="BA50" s="301"/>
    </row>
    <row r="51" spans="1:53" s="292" customFormat="1">
      <c r="A51" s="338">
        <v>1981</v>
      </c>
      <c r="B51" s="836"/>
      <c r="C51" s="916" t="s">
        <v>638</v>
      </c>
      <c r="D51" s="916"/>
      <c r="E51" s="292">
        <v>344</v>
      </c>
      <c r="G51" s="366">
        <v>19</v>
      </c>
      <c r="J51" s="377">
        <v>19</v>
      </c>
      <c r="K51" s="336">
        <f t="shared" si="1"/>
        <v>100</v>
      </c>
      <c r="L51" s="336">
        <f t="shared" si="1"/>
        <v>0</v>
      </c>
      <c r="M51" s="336">
        <f t="shared" si="1"/>
        <v>0</v>
      </c>
      <c r="N51" s="368">
        <f t="shared" si="2"/>
        <v>100</v>
      </c>
      <c r="O51" s="335">
        <v>55.4</v>
      </c>
      <c r="P51" s="336"/>
      <c r="Q51" s="336"/>
      <c r="R51" s="337">
        <f t="shared" si="3"/>
        <v>55.4</v>
      </c>
      <c r="S51" s="292">
        <v>1</v>
      </c>
      <c r="T51" s="838"/>
      <c r="U51" s="836"/>
      <c r="V51" s="299" t="s">
        <v>455</v>
      </c>
      <c r="W51" s="292" t="s">
        <v>74</v>
      </c>
      <c r="X51" s="292" t="s">
        <v>11</v>
      </c>
      <c r="Y51" s="300">
        <v>55.4</v>
      </c>
      <c r="AD51" s="299"/>
      <c r="AG51" s="300"/>
      <c r="AL51" s="299"/>
      <c r="AO51" s="300"/>
      <c r="AP51" s="299"/>
      <c r="AS51" s="300"/>
      <c r="AW51" s="300"/>
      <c r="BA51" s="301"/>
    </row>
    <row r="52" spans="1:53" s="185" customFormat="1">
      <c r="A52" s="101">
        <v>1981</v>
      </c>
      <c r="B52" s="852">
        <v>29931</v>
      </c>
      <c r="C52" s="917" t="s">
        <v>639</v>
      </c>
      <c r="D52" s="917"/>
      <c r="E52" s="185">
        <f>365-E51</f>
        <v>21</v>
      </c>
      <c r="F52" s="185">
        <v>1</v>
      </c>
      <c r="G52" s="119">
        <v>19</v>
      </c>
      <c r="J52" s="126">
        <v>19</v>
      </c>
      <c r="K52" s="92">
        <f t="shared" si="1"/>
        <v>100</v>
      </c>
      <c r="L52" s="92">
        <f t="shared" si="1"/>
        <v>0</v>
      </c>
      <c r="M52" s="92">
        <f t="shared" si="1"/>
        <v>0</v>
      </c>
      <c r="N52" s="121">
        <f t="shared" si="2"/>
        <v>100</v>
      </c>
      <c r="O52" s="91">
        <v>51.1</v>
      </c>
      <c r="P52" s="92"/>
      <c r="Q52" s="92"/>
      <c r="R52" s="93">
        <f t="shared" si="3"/>
        <v>51.1</v>
      </c>
      <c r="S52" s="185">
        <v>1</v>
      </c>
      <c r="T52" s="839">
        <v>29918</v>
      </c>
      <c r="U52" s="852">
        <v>29931</v>
      </c>
      <c r="V52" s="82" t="s">
        <v>455</v>
      </c>
      <c r="W52" s="185" t="s">
        <v>74</v>
      </c>
      <c r="X52" s="185" t="s">
        <v>11</v>
      </c>
      <c r="Y52" s="83">
        <v>51.1</v>
      </c>
      <c r="AD52" s="82"/>
      <c r="AG52" s="83"/>
      <c r="AL52" s="82"/>
      <c r="AO52" s="83"/>
      <c r="AP52" s="82"/>
      <c r="AS52" s="83"/>
      <c r="AW52" s="83"/>
      <c r="BA52" s="84"/>
    </row>
    <row r="53" spans="1:53" s="185" customFormat="1">
      <c r="A53" s="101">
        <v>1982</v>
      </c>
      <c r="B53" s="852"/>
      <c r="C53" s="917" t="s">
        <v>639</v>
      </c>
      <c r="D53" s="917"/>
      <c r="E53" s="185">
        <v>0</v>
      </c>
      <c r="G53" s="119">
        <v>19</v>
      </c>
      <c r="J53" s="126">
        <v>19</v>
      </c>
      <c r="K53" s="92">
        <f t="shared" si="1"/>
        <v>100</v>
      </c>
      <c r="L53" s="92">
        <f t="shared" si="1"/>
        <v>0</v>
      </c>
      <c r="M53" s="92">
        <f t="shared" si="1"/>
        <v>0</v>
      </c>
      <c r="N53" s="121">
        <f t="shared" si="2"/>
        <v>100</v>
      </c>
      <c r="O53" s="91">
        <v>51.1</v>
      </c>
      <c r="P53" s="92"/>
      <c r="Q53" s="92"/>
      <c r="R53" s="93">
        <f t="shared" si="3"/>
        <v>51.1</v>
      </c>
      <c r="S53" s="185">
        <v>1</v>
      </c>
      <c r="T53" s="839"/>
      <c r="U53" s="852"/>
      <c r="V53" s="82" t="s">
        <v>455</v>
      </c>
      <c r="W53" s="185" t="s">
        <v>74</v>
      </c>
      <c r="X53" s="185" t="s">
        <v>11</v>
      </c>
      <c r="Y53" s="83">
        <v>51.1</v>
      </c>
      <c r="AD53" s="82"/>
      <c r="AG53" s="83"/>
      <c r="AL53" s="82"/>
      <c r="AO53" s="83"/>
      <c r="AP53" s="82"/>
      <c r="AS53" s="83"/>
      <c r="AW53" s="83"/>
      <c r="BA53" s="84"/>
    </row>
    <row r="54" spans="1:53" s="185" customFormat="1">
      <c r="A54" s="101">
        <v>1982</v>
      </c>
      <c r="B54" s="852"/>
      <c r="C54" s="917" t="s">
        <v>639</v>
      </c>
      <c r="D54" s="917"/>
      <c r="E54" s="185">
        <v>365</v>
      </c>
      <c r="G54" s="119">
        <v>19</v>
      </c>
      <c r="J54" s="126">
        <v>19</v>
      </c>
      <c r="K54" s="92">
        <f t="shared" si="1"/>
        <v>100</v>
      </c>
      <c r="L54" s="92">
        <f t="shared" si="1"/>
        <v>0</v>
      </c>
      <c r="M54" s="92">
        <f t="shared" si="1"/>
        <v>0</v>
      </c>
      <c r="N54" s="121">
        <f t="shared" si="2"/>
        <v>100</v>
      </c>
      <c r="O54" s="91">
        <v>51.1</v>
      </c>
      <c r="P54" s="92"/>
      <c r="Q54" s="92"/>
      <c r="R54" s="93">
        <f t="shared" si="3"/>
        <v>51.1</v>
      </c>
      <c r="S54" s="185">
        <v>1</v>
      </c>
      <c r="T54" s="839"/>
      <c r="U54" s="852"/>
      <c r="V54" s="82" t="s">
        <v>455</v>
      </c>
      <c r="W54" s="185" t="s">
        <v>74</v>
      </c>
      <c r="X54" s="185" t="s">
        <v>11</v>
      </c>
      <c r="Y54" s="83">
        <v>51.1</v>
      </c>
      <c r="AD54" s="82"/>
      <c r="AG54" s="83"/>
      <c r="AL54" s="82"/>
      <c r="AO54" s="83"/>
      <c r="AP54" s="82"/>
      <c r="AS54" s="83"/>
      <c r="AW54" s="83"/>
      <c r="BA54" s="84"/>
    </row>
    <row r="55" spans="1:53" s="185" customFormat="1">
      <c r="A55" s="101">
        <v>1983</v>
      </c>
      <c r="B55" s="852"/>
      <c r="C55" s="917" t="s">
        <v>639</v>
      </c>
      <c r="D55" s="917"/>
      <c r="E55" s="185">
        <v>0</v>
      </c>
      <c r="G55" s="119">
        <v>19</v>
      </c>
      <c r="J55" s="126">
        <v>19</v>
      </c>
      <c r="K55" s="92">
        <f t="shared" si="1"/>
        <v>100</v>
      </c>
      <c r="L55" s="92">
        <f t="shared" si="1"/>
        <v>0</v>
      </c>
      <c r="M55" s="92">
        <f t="shared" si="1"/>
        <v>0</v>
      </c>
      <c r="N55" s="121">
        <f t="shared" si="2"/>
        <v>100</v>
      </c>
      <c r="O55" s="91">
        <v>51.1</v>
      </c>
      <c r="P55" s="92"/>
      <c r="Q55" s="92"/>
      <c r="R55" s="93">
        <f t="shared" si="3"/>
        <v>51.1</v>
      </c>
      <c r="S55" s="185">
        <v>1</v>
      </c>
      <c r="T55" s="839"/>
      <c r="U55" s="852"/>
      <c r="V55" s="82" t="s">
        <v>455</v>
      </c>
      <c r="W55" s="185" t="s">
        <v>74</v>
      </c>
      <c r="X55" s="185" t="s">
        <v>11</v>
      </c>
      <c r="Y55" s="83">
        <v>51.1</v>
      </c>
      <c r="AD55" s="82"/>
      <c r="AG55" s="83"/>
      <c r="AL55" s="82"/>
      <c r="AO55" s="83"/>
      <c r="AP55" s="82"/>
      <c r="AS55" s="83"/>
      <c r="AW55" s="83"/>
      <c r="BA55" s="84"/>
    </row>
    <row r="56" spans="1:53" s="185" customFormat="1">
      <c r="A56" s="101">
        <v>1983</v>
      </c>
      <c r="B56" s="852"/>
      <c r="C56" s="917" t="s">
        <v>639</v>
      </c>
      <c r="D56" s="917"/>
      <c r="E56" s="185">
        <v>365</v>
      </c>
      <c r="G56" s="119">
        <v>19</v>
      </c>
      <c r="J56" s="126">
        <v>19</v>
      </c>
      <c r="K56" s="92">
        <f t="shared" si="1"/>
        <v>100</v>
      </c>
      <c r="L56" s="92">
        <f t="shared" si="1"/>
        <v>0</v>
      </c>
      <c r="M56" s="92">
        <f t="shared" si="1"/>
        <v>0</v>
      </c>
      <c r="N56" s="121">
        <f t="shared" si="2"/>
        <v>100</v>
      </c>
      <c r="O56" s="91">
        <v>51.1</v>
      </c>
      <c r="P56" s="92"/>
      <c r="Q56" s="92"/>
      <c r="R56" s="93">
        <f t="shared" si="3"/>
        <v>51.1</v>
      </c>
      <c r="S56" s="185">
        <v>1</v>
      </c>
      <c r="T56" s="839"/>
      <c r="U56" s="852"/>
      <c r="V56" s="82" t="s">
        <v>455</v>
      </c>
      <c r="W56" s="185" t="s">
        <v>74</v>
      </c>
      <c r="X56" s="185" t="s">
        <v>11</v>
      </c>
      <c r="Y56" s="83">
        <v>51.1</v>
      </c>
      <c r="AD56" s="82"/>
      <c r="AG56" s="83"/>
      <c r="AL56" s="82"/>
      <c r="AO56" s="83"/>
      <c r="AP56" s="82"/>
      <c r="AS56" s="83"/>
      <c r="AW56" s="83"/>
      <c r="BA56" s="84"/>
    </row>
    <row r="57" spans="1:53" s="185" customFormat="1">
      <c r="A57" s="101">
        <v>1984</v>
      </c>
      <c r="B57" s="852"/>
      <c r="C57" s="917" t="s">
        <v>639</v>
      </c>
      <c r="D57" s="917"/>
      <c r="E57" s="185">
        <v>207</v>
      </c>
      <c r="G57" s="119">
        <v>19</v>
      </c>
      <c r="J57" s="126">
        <v>19</v>
      </c>
      <c r="K57" s="92">
        <f t="shared" si="1"/>
        <v>100</v>
      </c>
      <c r="L57" s="92">
        <f>H57/$J57*100</f>
        <v>0</v>
      </c>
      <c r="M57" s="92">
        <f>I57/$J57*100</f>
        <v>0</v>
      </c>
      <c r="N57" s="121">
        <f t="shared" si="2"/>
        <v>100</v>
      </c>
      <c r="O57" s="91">
        <v>51.1</v>
      </c>
      <c r="P57" s="92"/>
      <c r="Q57" s="92"/>
      <c r="R57" s="93">
        <f t="shared" si="3"/>
        <v>51.1</v>
      </c>
      <c r="S57" s="185">
        <v>1</v>
      </c>
      <c r="T57" s="839"/>
      <c r="U57" s="852"/>
      <c r="V57" s="82" t="s">
        <v>455</v>
      </c>
      <c r="W57" s="185" t="s">
        <v>74</v>
      </c>
      <c r="X57" s="185" t="s">
        <v>11</v>
      </c>
      <c r="Y57" s="83">
        <v>51.1</v>
      </c>
      <c r="AD57" s="82"/>
      <c r="AG57" s="83"/>
      <c r="AL57" s="82"/>
      <c r="AO57" s="83"/>
      <c r="AP57" s="82"/>
      <c r="AS57" s="83"/>
      <c r="AW57" s="83"/>
      <c r="BA57" s="84"/>
    </row>
    <row r="58" spans="1:53" s="292" customFormat="1">
      <c r="A58" s="338">
        <v>1984</v>
      </c>
      <c r="B58" s="836">
        <v>30889</v>
      </c>
      <c r="C58" s="916" t="s">
        <v>640</v>
      </c>
      <c r="D58" s="916"/>
      <c r="E58" s="292">
        <f>366-E57</f>
        <v>159</v>
      </c>
      <c r="F58" s="292">
        <v>1</v>
      </c>
      <c r="G58" s="366"/>
      <c r="I58" s="292">
        <v>20</v>
      </c>
      <c r="J58" s="377">
        <v>20</v>
      </c>
      <c r="K58" s="336">
        <f t="shared" ref="K58:M118" si="4">G58/$J58*100</f>
        <v>0</v>
      </c>
      <c r="L58" s="336">
        <f t="shared" si="4"/>
        <v>0</v>
      </c>
      <c r="M58" s="336">
        <f t="shared" si="4"/>
        <v>100</v>
      </c>
      <c r="N58" s="368">
        <f t="shared" si="2"/>
        <v>100</v>
      </c>
      <c r="O58" s="335"/>
      <c r="P58" s="336"/>
      <c r="Q58" s="336">
        <v>60</v>
      </c>
      <c r="R58" s="337">
        <f t="shared" si="3"/>
        <v>60</v>
      </c>
      <c r="S58" s="292">
        <v>1</v>
      </c>
      <c r="T58" s="838">
        <v>30877</v>
      </c>
      <c r="U58" s="836">
        <v>30889</v>
      </c>
      <c r="V58" s="299" t="s">
        <v>454</v>
      </c>
      <c r="W58" s="292" t="s">
        <v>20</v>
      </c>
      <c r="X58" s="292" t="s">
        <v>12</v>
      </c>
      <c r="Y58" s="300">
        <v>60</v>
      </c>
      <c r="AD58" s="299"/>
      <c r="AG58" s="300"/>
      <c r="AL58" s="299"/>
      <c r="AO58" s="300"/>
      <c r="AP58" s="299"/>
      <c r="AS58" s="300"/>
      <c r="AW58" s="300"/>
      <c r="BA58" s="301"/>
    </row>
    <row r="59" spans="1:53" s="292" customFormat="1">
      <c r="A59" s="338">
        <v>1985</v>
      </c>
      <c r="B59" s="836"/>
      <c r="C59" s="916" t="s">
        <v>640</v>
      </c>
      <c r="D59" s="916"/>
      <c r="E59" s="292">
        <v>0</v>
      </c>
      <c r="G59" s="366"/>
      <c r="I59" s="292">
        <v>20</v>
      </c>
      <c r="J59" s="377">
        <v>20</v>
      </c>
      <c r="K59" s="336">
        <f t="shared" si="4"/>
        <v>0</v>
      </c>
      <c r="L59" s="336">
        <f t="shared" si="4"/>
        <v>0</v>
      </c>
      <c r="M59" s="336">
        <f t="shared" si="4"/>
        <v>100</v>
      </c>
      <c r="N59" s="368">
        <f t="shared" si="2"/>
        <v>100</v>
      </c>
      <c r="O59" s="335"/>
      <c r="P59" s="336"/>
      <c r="Q59" s="336">
        <v>60</v>
      </c>
      <c r="R59" s="337">
        <f t="shared" si="3"/>
        <v>60</v>
      </c>
      <c r="S59" s="292">
        <v>1</v>
      </c>
      <c r="T59" s="838"/>
      <c r="U59" s="836"/>
      <c r="V59" s="299" t="s">
        <v>454</v>
      </c>
      <c r="W59" s="292" t="s">
        <v>20</v>
      </c>
      <c r="X59" s="292" t="s">
        <v>12</v>
      </c>
      <c r="Y59" s="300">
        <v>60</v>
      </c>
      <c r="AD59" s="299"/>
      <c r="AG59" s="300"/>
      <c r="AL59" s="299"/>
      <c r="AO59" s="300"/>
      <c r="AP59" s="299"/>
      <c r="AS59" s="300"/>
      <c r="AW59" s="300"/>
      <c r="BA59" s="301"/>
    </row>
    <row r="60" spans="1:53" s="292" customFormat="1">
      <c r="A60" s="338">
        <v>1985</v>
      </c>
      <c r="B60" s="836"/>
      <c r="C60" s="916" t="s">
        <v>640</v>
      </c>
      <c r="D60" s="916"/>
      <c r="E60" s="292">
        <v>365</v>
      </c>
      <c r="G60" s="366"/>
      <c r="I60" s="292">
        <v>20</v>
      </c>
      <c r="J60" s="377">
        <v>20</v>
      </c>
      <c r="K60" s="336">
        <f t="shared" si="4"/>
        <v>0</v>
      </c>
      <c r="L60" s="336">
        <f t="shared" si="4"/>
        <v>0</v>
      </c>
      <c r="M60" s="336">
        <f t="shared" si="4"/>
        <v>100</v>
      </c>
      <c r="N60" s="368">
        <f t="shared" si="2"/>
        <v>100</v>
      </c>
      <c r="O60" s="335"/>
      <c r="P60" s="336"/>
      <c r="Q60" s="336">
        <v>60</v>
      </c>
      <c r="R60" s="337">
        <f t="shared" si="3"/>
        <v>60</v>
      </c>
      <c r="S60" s="292">
        <v>1</v>
      </c>
      <c r="T60" s="838"/>
      <c r="U60" s="836"/>
      <c r="V60" s="299" t="s">
        <v>454</v>
      </c>
      <c r="W60" s="292" t="s">
        <v>20</v>
      </c>
      <c r="X60" s="292" t="s">
        <v>12</v>
      </c>
      <c r="Y60" s="300">
        <v>60</v>
      </c>
      <c r="AD60" s="299"/>
      <c r="AG60" s="300"/>
      <c r="AL60" s="299"/>
      <c r="AO60" s="300"/>
      <c r="AP60" s="299"/>
      <c r="AS60" s="300"/>
      <c r="AW60" s="300"/>
      <c r="BA60" s="301"/>
    </row>
    <row r="61" spans="1:53" s="292" customFormat="1">
      <c r="A61" s="338">
        <v>1986</v>
      </c>
      <c r="B61" s="836"/>
      <c r="C61" s="916" t="s">
        <v>640</v>
      </c>
      <c r="D61" s="916"/>
      <c r="E61" s="292">
        <v>0</v>
      </c>
      <c r="G61" s="366"/>
      <c r="I61" s="292">
        <v>20</v>
      </c>
      <c r="J61" s="377">
        <v>20</v>
      </c>
      <c r="K61" s="336">
        <f t="shared" si="4"/>
        <v>0</v>
      </c>
      <c r="L61" s="336">
        <f t="shared" si="4"/>
        <v>0</v>
      </c>
      <c r="M61" s="336">
        <f t="shared" si="4"/>
        <v>100</v>
      </c>
      <c r="N61" s="368">
        <f t="shared" si="2"/>
        <v>100</v>
      </c>
      <c r="O61" s="335"/>
      <c r="P61" s="336"/>
      <c r="Q61" s="336">
        <v>60</v>
      </c>
      <c r="R61" s="337">
        <f t="shared" si="3"/>
        <v>60</v>
      </c>
      <c r="S61" s="292">
        <v>1</v>
      </c>
      <c r="T61" s="838"/>
      <c r="U61" s="836"/>
      <c r="V61" s="299" t="s">
        <v>454</v>
      </c>
      <c r="W61" s="292" t="s">
        <v>20</v>
      </c>
      <c r="X61" s="292" t="s">
        <v>12</v>
      </c>
      <c r="Y61" s="300">
        <v>60</v>
      </c>
      <c r="AD61" s="299"/>
      <c r="AG61" s="300"/>
      <c r="AL61" s="299"/>
      <c r="AO61" s="300"/>
      <c r="AP61" s="299"/>
      <c r="AS61" s="300"/>
      <c r="AW61" s="300"/>
      <c r="BA61" s="301"/>
    </row>
    <row r="62" spans="1:53" s="292" customFormat="1">
      <c r="A62" s="338">
        <v>1986</v>
      </c>
      <c r="B62" s="836"/>
      <c r="C62" s="916" t="s">
        <v>640</v>
      </c>
      <c r="D62" s="916"/>
      <c r="E62" s="292">
        <v>365</v>
      </c>
      <c r="G62" s="366"/>
      <c r="I62" s="292">
        <v>20</v>
      </c>
      <c r="J62" s="377">
        <v>20</v>
      </c>
      <c r="K62" s="336">
        <f t="shared" si="4"/>
        <v>0</v>
      </c>
      <c r="L62" s="336">
        <f t="shared" si="4"/>
        <v>0</v>
      </c>
      <c r="M62" s="336">
        <f t="shared" si="4"/>
        <v>100</v>
      </c>
      <c r="N62" s="368">
        <f t="shared" si="2"/>
        <v>100</v>
      </c>
      <c r="O62" s="335"/>
      <c r="P62" s="336"/>
      <c r="Q62" s="336">
        <v>60</v>
      </c>
      <c r="R62" s="337">
        <f t="shared" si="3"/>
        <v>60</v>
      </c>
      <c r="S62" s="292">
        <v>1</v>
      </c>
      <c r="T62" s="838"/>
      <c r="U62" s="836"/>
      <c r="V62" s="299" t="s">
        <v>454</v>
      </c>
      <c r="W62" s="292" t="s">
        <v>20</v>
      </c>
      <c r="X62" s="292" t="s">
        <v>12</v>
      </c>
      <c r="Y62" s="300">
        <v>60</v>
      </c>
      <c r="AD62" s="299"/>
      <c r="AG62" s="300"/>
      <c r="AL62" s="299"/>
      <c r="AO62" s="300"/>
      <c r="AP62" s="299"/>
      <c r="AS62" s="300"/>
      <c r="AW62" s="300"/>
      <c r="BA62" s="301"/>
    </row>
    <row r="63" spans="1:53" s="292" customFormat="1">
      <c r="A63" s="338">
        <v>1987</v>
      </c>
      <c r="B63" s="836"/>
      <c r="C63" s="916" t="s">
        <v>640</v>
      </c>
      <c r="D63" s="916"/>
      <c r="E63" s="292">
        <v>230</v>
      </c>
      <c r="G63" s="366"/>
      <c r="I63" s="292">
        <v>20</v>
      </c>
      <c r="J63" s="377">
        <v>20</v>
      </c>
      <c r="K63" s="336">
        <f t="shared" si="4"/>
        <v>0</v>
      </c>
      <c r="L63" s="336">
        <f t="shared" si="4"/>
        <v>0</v>
      </c>
      <c r="M63" s="336">
        <f t="shared" si="4"/>
        <v>100</v>
      </c>
      <c r="N63" s="368">
        <f t="shared" si="2"/>
        <v>100</v>
      </c>
      <c r="O63" s="335"/>
      <c r="P63" s="336"/>
      <c r="Q63" s="336">
        <v>60</v>
      </c>
      <c r="R63" s="337">
        <f t="shared" si="3"/>
        <v>60</v>
      </c>
      <c r="S63" s="292">
        <v>1</v>
      </c>
      <c r="T63" s="838"/>
      <c r="U63" s="836"/>
      <c r="V63" s="299" t="s">
        <v>454</v>
      </c>
      <c r="W63" s="292" t="s">
        <v>20</v>
      </c>
      <c r="X63" s="292" t="s">
        <v>12</v>
      </c>
      <c r="Y63" s="300">
        <v>60</v>
      </c>
      <c r="AD63" s="299"/>
      <c r="AG63" s="300"/>
      <c r="AL63" s="299"/>
      <c r="AO63" s="300"/>
      <c r="AP63" s="299"/>
      <c r="AS63" s="300"/>
      <c r="AW63" s="300"/>
      <c r="BA63" s="301"/>
    </row>
    <row r="64" spans="1:53" s="185" customFormat="1">
      <c r="A64" s="101">
        <v>1987</v>
      </c>
      <c r="B64" s="852">
        <v>32008</v>
      </c>
      <c r="C64" s="917" t="s">
        <v>641</v>
      </c>
      <c r="D64" s="917"/>
      <c r="E64" s="185">
        <f>365-E63</f>
        <v>135</v>
      </c>
      <c r="F64" s="185">
        <v>1</v>
      </c>
      <c r="G64" s="119"/>
      <c r="I64" s="185">
        <v>19</v>
      </c>
      <c r="J64" s="126">
        <v>19</v>
      </c>
      <c r="K64" s="92">
        <f t="shared" si="4"/>
        <v>0</v>
      </c>
      <c r="L64" s="92">
        <f t="shared" si="4"/>
        <v>0</v>
      </c>
      <c r="M64" s="92">
        <f t="shared" si="4"/>
        <v>100</v>
      </c>
      <c r="N64" s="121">
        <f t="shared" si="2"/>
        <v>100</v>
      </c>
      <c r="O64" s="91"/>
      <c r="P64" s="92"/>
      <c r="Q64" s="92">
        <v>58.8</v>
      </c>
      <c r="R64" s="93">
        <f t="shared" si="3"/>
        <v>58.8</v>
      </c>
      <c r="S64" s="185">
        <v>1</v>
      </c>
      <c r="T64" s="839">
        <v>32004</v>
      </c>
      <c r="U64" s="852">
        <v>32008</v>
      </c>
      <c r="V64" s="82" t="s">
        <v>454</v>
      </c>
      <c r="W64" s="185" t="s">
        <v>20</v>
      </c>
      <c r="X64" s="185" t="s">
        <v>12</v>
      </c>
      <c r="Y64" s="83">
        <v>58.8</v>
      </c>
      <c r="AD64" s="82"/>
      <c r="AG64" s="83"/>
      <c r="AL64" s="82"/>
      <c r="AO64" s="83"/>
      <c r="AP64" s="82"/>
      <c r="AS64" s="83"/>
      <c r="AW64" s="83"/>
      <c r="BA64" s="84"/>
    </row>
    <row r="65" spans="1:53" s="185" customFormat="1">
      <c r="A65" s="101">
        <v>1988</v>
      </c>
      <c r="B65" s="852"/>
      <c r="C65" s="917" t="s">
        <v>641</v>
      </c>
      <c r="D65" s="917"/>
      <c r="E65" s="185">
        <v>0</v>
      </c>
      <c r="G65" s="119"/>
      <c r="I65" s="185">
        <v>19</v>
      </c>
      <c r="J65" s="126">
        <v>19</v>
      </c>
      <c r="K65" s="92">
        <f t="shared" si="4"/>
        <v>0</v>
      </c>
      <c r="L65" s="92">
        <f t="shared" si="4"/>
        <v>0</v>
      </c>
      <c r="M65" s="92">
        <f t="shared" si="4"/>
        <v>100</v>
      </c>
      <c r="N65" s="121">
        <f t="shared" si="2"/>
        <v>100</v>
      </c>
      <c r="O65" s="91"/>
      <c r="P65" s="92"/>
      <c r="Q65" s="92">
        <v>58.8</v>
      </c>
      <c r="R65" s="93">
        <f t="shared" si="3"/>
        <v>58.8</v>
      </c>
      <c r="S65" s="185">
        <v>1</v>
      </c>
      <c r="T65" s="839"/>
      <c r="U65" s="852"/>
      <c r="V65" s="82" t="s">
        <v>454</v>
      </c>
      <c r="W65" s="185" t="s">
        <v>20</v>
      </c>
      <c r="X65" s="185" t="s">
        <v>12</v>
      </c>
      <c r="Y65" s="83">
        <v>58.8</v>
      </c>
      <c r="AD65" s="82"/>
      <c r="AG65" s="83"/>
      <c r="AL65" s="82"/>
      <c r="AO65" s="83"/>
      <c r="AP65" s="82"/>
      <c r="AS65" s="83"/>
      <c r="AW65" s="83"/>
      <c r="BA65" s="84"/>
    </row>
    <row r="66" spans="1:53" s="185" customFormat="1">
      <c r="A66" s="101">
        <v>1988</v>
      </c>
      <c r="B66" s="852"/>
      <c r="C66" s="917" t="s">
        <v>641</v>
      </c>
      <c r="D66" s="917"/>
      <c r="E66" s="185">
        <v>366</v>
      </c>
      <c r="G66" s="119"/>
      <c r="I66" s="185">
        <v>19</v>
      </c>
      <c r="J66" s="126">
        <v>19</v>
      </c>
      <c r="K66" s="92">
        <f t="shared" si="4"/>
        <v>0</v>
      </c>
      <c r="L66" s="92">
        <f t="shared" si="4"/>
        <v>0</v>
      </c>
      <c r="M66" s="92">
        <f t="shared" si="4"/>
        <v>100</v>
      </c>
      <c r="N66" s="121">
        <f t="shared" si="2"/>
        <v>100</v>
      </c>
      <c r="O66" s="91"/>
      <c r="P66" s="92"/>
      <c r="Q66" s="92">
        <v>58.8</v>
      </c>
      <c r="R66" s="93">
        <f t="shared" si="3"/>
        <v>58.8</v>
      </c>
      <c r="S66" s="185">
        <v>1</v>
      </c>
      <c r="T66" s="839"/>
      <c r="U66" s="852"/>
      <c r="V66" s="82" t="s">
        <v>454</v>
      </c>
      <c r="W66" s="185" t="s">
        <v>20</v>
      </c>
      <c r="X66" s="185" t="s">
        <v>12</v>
      </c>
      <c r="Y66" s="83">
        <v>58.8</v>
      </c>
      <c r="AD66" s="82"/>
      <c r="AG66" s="83"/>
      <c r="AL66" s="82"/>
      <c r="AO66" s="83"/>
      <c r="AP66" s="82"/>
      <c r="AS66" s="83"/>
      <c r="AW66" s="83"/>
      <c r="BA66" s="84"/>
    </row>
    <row r="67" spans="1:53" s="185" customFormat="1">
      <c r="A67" s="101">
        <v>1989</v>
      </c>
      <c r="B67" s="852"/>
      <c r="C67" s="917" t="s">
        <v>641</v>
      </c>
      <c r="D67" s="917"/>
      <c r="E67" s="185">
        <v>222</v>
      </c>
      <c r="G67" s="119"/>
      <c r="I67" s="185">
        <v>19</v>
      </c>
      <c r="J67" s="126">
        <v>19</v>
      </c>
      <c r="K67" s="92">
        <f t="shared" si="4"/>
        <v>0</v>
      </c>
      <c r="L67" s="92">
        <f t="shared" si="4"/>
        <v>0</v>
      </c>
      <c r="M67" s="92">
        <f t="shared" si="4"/>
        <v>100</v>
      </c>
      <c r="N67" s="121">
        <f t="shared" si="2"/>
        <v>100</v>
      </c>
      <c r="O67" s="91"/>
      <c r="P67" s="92"/>
      <c r="Q67" s="92">
        <v>58.8</v>
      </c>
      <c r="R67" s="93">
        <f t="shared" si="3"/>
        <v>58.8</v>
      </c>
      <c r="S67" s="185">
        <v>1</v>
      </c>
      <c r="T67" s="839"/>
      <c r="U67" s="852"/>
      <c r="V67" s="82" t="s">
        <v>454</v>
      </c>
      <c r="W67" s="185" t="s">
        <v>20</v>
      </c>
      <c r="X67" s="185" t="s">
        <v>12</v>
      </c>
      <c r="Y67" s="83">
        <v>58.8</v>
      </c>
      <c r="AD67" s="82"/>
      <c r="AG67" s="83"/>
      <c r="AL67" s="82"/>
      <c r="AO67" s="83"/>
      <c r="AP67" s="82"/>
      <c r="AS67" s="83"/>
      <c r="AW67" s="83"/>
      <c r="BA67" s="84"/>
    </row>
    <row r="68" spans="1:53" s="103" customFormat="1">
      <c r="A68" s="180">
        <v>1989</v>
      </c>
      <c r="B68" s="846">
        <v>32731</v>
      </c>
      <c r="C68" s="923" t="s">
        <v>642</v>
      </c>
      <c r="D68" s="923"/>
      <c r="E68" s="103">
        <f>365-E67</f>
        <v>143</v>
      </c>
      <c r="F68" s="103">
        <v>2</v>
      </c>
      <c r="G68" s="386"/>
      <c r="I68" s="103">
        <v>19</v>
      </c>
      <c r="J68" s="377">
        <v>19</v>
      </c>
      <c r="K68" s="336">
        <f t="shared" si="4"/>
        <v>0</v>
      </c>
      <c r="L68" s="336">
        <f t="shared" si="4"/>
        <v>0</v>
      </c>
      <c r="M68" s="336">
        <f t="shared" si="4"/>
        <v>100</v>
      </c>
      <c r="N68" s="368">
        <f t="shared" si="2"/>
        <v>100</v>
      </c>
      <c r="O68" s="352"/>
      <c r="P68" s="353"/>
      <c r="Q68" s="336">
        <v>58.8</v>
      </c>
      <c r="R68" s="337">
        <f t="shared" si="3"/>
        <v>58.8</v>
      </c>
      <c r="S68" s="103">
        <v>1</v>
      </c>
      <c r="T68" s="840"/>
      <c r="U68" s="846">
        <v>32731</v>
      </c>
      <c r="V68" s="299" t="s">
        <v>454</v>
      </c>
      <c r="W68" s="292" t="s">
        <v>20</v>
      </c>
      <c r="X68" s="292" t="s">
        <v>12</v>
      </c>
      <c r="Y68" s="300">
        <v>58.8</v>
      </c>
      <c r="AD68" s="104"/>
      <c r="AG68" s="105"/>
      <c r="AL68" s="104"/>
      <c r="AO68" s="105"/>
      <c r="AP68" s="104"/>
      <c r="AS68" s="105"/>
      <c r="AW68" s="105"/>
      <c r="BA68" s="106"/>
    </row>
    <row r="69" spans="1:53" s="292" customFormat="1">
      <c r="A69" s="292">
        <v>1990</v>
      </c>
      <c r="B69" s="836"/>
      <c r="C69" s="961" t="s">
        <v>642</v>
      </c>
      <c r="D69" s="961"/>
      <c r="E69" s="292">
        <v>305</v>
      </c>
      <c r="G69" s="366">
        <v>0</v>
      </c>
      <c r="H69" s="292">
        <v>0</v>
      </c>
      <c r="I69" s="292">
        <v>19</v>
      </c>
      <c r="J69" s="397">
        <v>19</v>
      </c>
      <c r="K69" s="398">
        <f t="shared" si="4"/>
        <v>0</v>
      </c>
      <c r="L69" s="399">
        <f t="shared" si="4"/>
        <v>0</v>
      </c>
      <c r="M69" s="399">
        <f t="shared" si="4"/>
        <v>100</v>
      </c>
      <c r="N69" s="400">
        <f t="shared" si="2"/>
        <v>100</v>
      </c>
      <c r="O69" s="335"/>
      <c r="P69" s="336"/>
      <c r="Q69" s="399">
        <v>58.8</v>
      </c>
      <c r="R69" s="400">
        <f t="shared" si="3"/>
        <v>58.8</v>
      </c>
      <c r="S69" s="292">
        <v>1</v>
      </c>
      <c r="T69" s="838"/>
      <c r="U69" s="836"/>
      <c r="V69" s="401" t="s">
        <v>454</v>
      </c>
      <c r="W69" s="102" t="s">
        <v>20</v>
      </c>
      <c r="X69" s="102" t="s">
        <v>12</v>
      </c>
      <c r="Y69" s="402">
        <v>58.8</v>
      </c>
      <c r="AD69" s="299"/>
      <c r="AG69" s="300"/>
      <c r="AL69" s="299"/>
      <c r="AO69" s="300"/>
      <c r="AP69" s="299"/>
      <c r="AS69" s="300"/>
      <c r="AW69" s="300"/>
      <c r="BA69" s="301"/>
    </row>
    <row r="70" spans="1:53" s="185" customFormat="1">
      <c r="A70" s="185">
        <v>1990</v>
      </c>
      <c r="B70" s="852">
        <v>33179</v>
      </c>
      <c r="C70" s="917" t="s">
        <v>643</v>
      </c>
      <c r="D70" s="917"/>
      <c r="E70" s="185">
        <f>365-E69</f>
        <v>60</v>
      </c>
      <c r="F70" s="185">
        <v>1</v>
      </c>
      <c r="G70" s="119">
        <v>20</v>
      </c>
      <c r="H70" s="185">
        <v>0</v>
      </c>
      <c r="I70" s="185">
        <v>0</v>
      </c>
      <c r="J70" s="126">
        <v>20</v>
      </c>
      <c r="K70" s="92">
        <f t="shared" si="4"/>
        <v>100</v>
      </c>
      <c r="L70" s="92">
        <f t="shared" si="4"/>
        <v>0</v>
      </c>
      <c r="M70" s="92">
        <f t="shared" si="4"/>
        <v>0</v>
      </c>
      <c r="N70" s="121">
        <f t="shared" si="2"/>
        <v>100</v>
      </c>
      <c r="O70" s="91">
        <v>70.099999999999994</v>
      </c>
      <c r="P70" s="92"/>
      <c r="Q70" s="92"/>
      <c r="R70" s="93">
        <f t="shared" si="3"/>
        <v>70.099999999999994</v>
      </c>
      <c r="S70" s="185">
        <v>1</v>
      </c>
      <c r="T70" s="839">
        <v>33173</v>
      </c>
      <c r="U70" s="852">
        <v>33179</v>
      </c>
      <c r="V70" s="82" t="s">
        <v>455</v>
      </c>
      <c r="W70" s="185" t="s">
        <v>74</v>
      </c>
      <c r="X70" s="185" t="s">
        <v>11</v>
      </c>
      <c r="Y70" s="83">
        <v>70.099999999999994</v>
      </c>
      <c r="AD70" s="82"/>
      <c r="AG70" s="83"/>
      <c r="AL70" s="82"/>
      <c r="AO70" s="83"/>
      <c r="AP70" s="82"/>
      <c r="AS70" s="83"/>
      <c r="AW70" s="83"/>
      <c r="BA70" s="84"/>
    </row>
    <row r="71" spans="1:53" s="185" customFormat="1">
      <c r="A71" s="185">
        <v>1991</v>
      </c>
      <c r="B71" s="852"/>
      <c r="C71" s="917" t="s">
        <v>643</v>
      </c>
      <c r="D71" s="917"/>
      <c r="E71" s="185">
        <v>0</v>
      </c>
      <c r="G71" s="119">
        <v>20</v>
      </c>
      <c r="H71" s="185">
        <v>0</v>
      </c>
      <c r="I71" s="185">
        <v>0</v>
      </c>
      <c r="J71" s="126">
        <v>20</v>
      </c>
      <c r="K71" s="92">
        <f t="shared" si="4"/>
        <v>100</v>
      </c>
      <c r="L71" s="92">
        <f t="shared" si="4"/>
        <v>0</v>
      </c>
      <c r="M71" s="92">
        <f t="shared" si="4"/>
        <v>0</v>
      </c>
      <c r="N71" s="121">
        <f t="shared" si="2"/>
        <v>100</v>
      </c>
      <c r="O71" s="91">
        <v>70.099999999999994</v>
      </c>
      <c r="P71" s="92"/>
      <c r="Q71" s="92"/>
      <c r="R71" s="93">
        <f t="shared" si="3"/>
        <v>70.099999999999994</v>
      </c>
      <c r="S71" s="185">
        <v>1</v>
      </c>
      <c r="T71" s="839"/>
      <c r="U71" s="852"/>
      <c r="V71" s="82" t="s">
        <v>455</v>
      </c>
      <c r="W71" s="185" t="s">
        <v>74</v>
      </c>
      <c r="X71" s="185" t="s">
        <v>11</v>
      </c>
      <c r="Y71" s="83">
        <v>70.099999999999994</v>
      </c>
      <c r="AD71" s="82"/>
      <c r="AG71" s="83"/>
      <c r="AL71" s="82"/>
      <c r="AO71" s="83"/>
      <c r="AP71" s="82"/>
      <c r="AS71" s="83"/>
      <c r="AW71" s="83"/>
      <c r="BA71" s="84"/>
    </row>
    <row r="72" spans="1:53" s="185" customFormat="1">
      <c r="A72" s="185">
        <v>1991</v>
      </c>
      <c r="B72" s="852"/>
      <c r="C72" s="917" t="s">
        <v>643</v>
      </c>
      <c r="D72" s="917"/>
      <c r="E72" s="185">
        <f>365-E71</f>
        <v>365</v>
      </c>
      <c r="G72" s="119">
        <v>20</v>
      </c>
      <c r="H72" s="185">
        <v>0</v>
      </c>
      <c r="I72" s="185">
        <v>0</v>
      </c>
      <c r="J72" s="126">
        <v>20</v>
      </c>
      <c r="K72" s="92">
        <f t="shared" si="4"/>
        <v>100</v>
      </c>
      <c r="L72" s="92">
        <f t="shared" si="4"/>
        <v>0</v>
      </c>
      <c r="M72" s="92">
        <f t="shared" si="4"/>
        <v>0</v>
      </c>
      <c r="N72" s="121">
        <f t="shared" si="2"/>
        <v>100</v>
      </c>
      <c r="O72" s="91">
        <v>70.099999999999994</v>
      </c>
      <c r="P72" s="92"/>
      <c r="Q72" s="92"/>
      <c r="R72" s="93">
        <f t="shared" si="3"/>
        <v>70.099999999999994</v>
      </c>
      <c r="S72" s="185">
        <v>1</v>
      </c>
      <c r="T72" s="839"/>
      <c r="U72" s="852"/>
      <c r="V72" s="82" t="s">
        <v>455</v>
      </c>
      <c r="W72" s="185" t="s">
        <v>74</v>
      </c>
      <c r="X72" s="185" t="s">
        <v>11</v>
      </c>
      <c r="Y72" s="83">
        <v>70.099999999999994</v>
      </c>
      <c r="AD72" s="82"/>
      <c r="AG72" s="83"/>
      <c r="AL72" s="82"/>
      <c r="AO72" s="83"/>
      <c r="AP72" s="82"/>
      <c r="AS72" s="83"/>
      <c r="AW72" s="83"/>
      <c r="BA72" s="84"/>
    </row>
    <row r="73" spans="1:53" s="185" customFormat="1">
      <c r="A73" s="185">
        <v>1992</v>
      </c>
      <c r="B73" s="852"/>
      <c r="C73" s="917" t="s">
        <v>643</v>
      </c>
      <c r="D73" s="917"/>
      <c r="E73" s="185">
        <v>0</v>
      </c>
      <c r="G73" s="119">
        <v>20</v>
      </c>
      <c r="H73" s="185">
        <v>0</v>
      </c>
      <c r="I73" s="185">
        <v>0</v>
      </c>
      <c r="J73" s="126">
        <v>20</v>
      </c>
      <c r="K73" s="92">
        <f t="shared" si="4"/>
        <v>100</v>
      </c>
      <c r="L73" s="92">
        <f t="shared" si="4"/>
        <v>0</v>
      </c>
      <c r="M73" s="92">
        <f t="shared" si="4"/>
        <v>0</v>
      </c>
      <c r="N73" s="121">
        <f t="shared" ref="N73:N118" si="5">K73+L73+M73</f>
        <v>100</v>
      </c>
      <c r="O73" s="91">
        <v>70.099999999999994</v>
      </c>
      <c r="P73" s="92"/>
      <c r="Q73" s="92"/>
      <c r="R73" s="93">
        <f t="shared" ref="R73:R116" si="6">O73+P73+Q73</f>
        <v>70.099999999999994</v>
      </c>
      <c r="S73" s="185">
        <v>1</v>
      </c>
      <c r="T73" s="839"/>
      <c r="U73" s="852"/>
      <c r="V73" s="82" t="s">
        <v>455</v>
      </c>
      <c r="W73" s="185" t="s">
        <v>74</v>
      </c>
      <c r="X73" s="185" t="s">
        <v>11</v>
      </c>
      <c r="Y73" s="83">
        <v>70.099999999999994</v>
      </c>
      <c r="AD73" s="82"/>
      <c r="AG73" s="83"/>
      <c r="AL73" s="82"/>
      <c r="AO73" s="83"/>
      <c r="AP73" s="82"/>
      <c r="AS73" s="83"/>
      <c r="AW73" s="83"/>
      <c r="BA73" s="84"/>
    </row>
    <row r="74" spans="1:53" s="185" customFormat="1">
      <c r="A74" s="185">
        <v>1992</v>
      </c>
      <c r="B74" s="852"/>
      <c r="C74" s="917" t="s">
        <v>643</v>
      </c>
      <c r="D74" s="917"/>
      <c r="E74" s="185">
        <v>366</v>
      </c>
      <c r="G74" s="119">
        <v>20</v>
      </c>
      <c r="H74" s="185">
        <v>0</v>
      </c>
      <c r="I74" s="185">
        <v>0</v>
      </c>
      <c r="J74" s="126">
        <v>20</v>
      </c>
      <c r="K74" s="92">
        <f t="shared" si="4"/>
        <v>100</v>
      </c>
      <c r="L74" s="92">
        <f t="shared" si="4"/>
        <v>0</v>
      </c>
      <c r="M74" s="92">
        <f t="shared" si="4"/>
        <v>0</v>
      </c>
      <c r="N74" s="121">
        <f t="shared" si="5"/>
        <v>100</v>
      </c>
      <c r="O74" s="91">
        <v>70.099999999999994</v>
      </c>
      <c r="P74" s="92"/>
      <c r="Q74" s="92"/>
      <c r="R74" s="93">
        <f t="shared" si="6"/>
        <v>70.099999999999994</v>
      </c>
      <c r="S74" s="185">
        <v>1</v>
      </c>
      <c r="T74" s="839"/>
      <c r="U74" s="852"/>
      <c r="V74" s="82" t="s">
        <v>455</v>
      </c>
      <c r="W74" s="185" t="s">
        <v>74</v>
      </c>
      <c r="X74" s="185" t="s">
        <v>11</v>
      </c>
      <c r="Y74" s="83">
        <v>70.099999999999994</v>
      </c>
      <c r="AD74" s="82"/>
      <c r="AG74" s="83"/>
      <c r="AL74" s="82"/>
      <c r="AO74" s="83"/>
      <c r="AP74" s="82"/>
      <c r="AS74" s="83"/>
      <c r="AW74" s="83"/>
      <c r="BA74" s="84"/>
    </row>
    <row r="75" spans="1:53" s="185" customFormat="1">
      <c r="A75" s="185">
        <v>1993</v>
      </c>
      <c r="B75" s="852"/>
      <c r="C75" s="917" t="s">
        <v>643</v>
      </c>
      <c r="D75" s="917"/>
      <c r="E75" s="185">
        <v>331</v>
      </c>
      <c r="G75" s="119">
        <v>20</v>
      </c>
      <c r="H75" s="185">
        <v>0</v>
      </c>
      <c r="I75" s="185">
        <v>0</v>
      </c>
      <c r="J75" s="126">
        <v>20</v>
      </c>
      <c r="K75" s="92">
        <f t="shared" si="4"/>
        <v>100</v>
      </c>
      <c r="L75" s="92">
        <f t="shared" si="4"/>
        <v>0</v>
      </c>
      <c r="M75" s="92">
        <f t="shared" si="4"/>
        <v>0</v>
      </c>
      <c r="N75" s="121">
        <f t="shared" si="5"/>
        <v>100</v>
      </c>
      <c r="O75" s="91">
        <v>70.099999999999994</v>
      </c>
      <c r="P75" s="92"/>
      <c r="Q75" s="92"/>
      <c r="R75" s="93">
        <f t="shared" si="6"/>
        <v>70.099999999999994</v>
      </c>
      <c r="S75" s="185">
        <v>1</v>
      </c>
      <c r="T75" s="839"/>
      <c r="U75" s="852"/>
      <c r="V75" s="82" t="s">
        <v>455</v>
      </c>
      <c r="W75" s="185" t="s">
        <v>74</v>
      </c>
      <c r="X75" s="185" t="s">
        <v>11</v>
      </c>
      <c r="Y75" s="83">
        <v>70.099999999999994</v>
      </c>
      <c r="AD75" s="82"/>
      <c r="AG75" s="83"/>
      <c r="AL75" s="82"/>
      <c r="AO75" s="83"/>
      <c r="AP75" s="82"/>
      <c r="AS75" s="83"/>
      <c r="AW75" s="83"/>
      <c r="BA75" s="84"/>
    </row>
    <row r="76" spans="1:53" s="292" customFormat="1">
      <c r="A76" s="292">
        <v>1993</v>
      </c>
      <c r="B76" s="836">
        <v>34301</v>
      </c>
      <c r="C76" s="916" t="s">
        <v>644</v>
      </c>
      <c r="D76" s="916"/>
      <c r="E76" s="292">
        <f>365-E75</f>
        <v>34</v>
      </c>
      <c r="F76" s="292">
        <v>1</v>
      </c>
      <c r="G76" s="366">
        <v>20</v>
      </c>
      <c r="H76" s="292">
        <v>0</v>
      </c>
      <c r="I76" s="292">
        <v>0</v>
      </c>
      <c r="J76" s="377">
        <v>20</v>
      </c>
      <c r="K76" s="336">
        <f t="shared" si="4"/>
        <v>100</v>
      </c>
      <c r="L76" s="336">
        <f t="shared" si="4"/>
        <v>0</v>
      </c>
      <c r="M76" s="336">
        <f t="shared" si="4"/>
        <v>0</v>
      </c>
      <c r="N76" s="368">
        <f t="shared" si="5"/>
        <v>100</v>
      </c>
      <c r="O76" s="335">
        <v>50.5</v>
      </c>
      <c r="P76" s="336"/>
      <c r="Q76" s="336"/>
      <c r="R76" s="337">
        <f t="shared" si="6"/>
        <v>50.5</v>
      </c>
      <c r="S76" s="292">
        <v>1</v>
      </c>
      <c r="T76" s="838">
        <v>34279</v>
      </c>
      <c r="U76" s="836">
        <v>34301</v>
      </c>
      <c r="V76" s="299" t="s">
        <v>455</v>
      </c>
      <c r="W76" s="292" t="s">
        <v>74</v>
      </c>
      <c r="X76" s="292" t="s">
        <v>11</v>
      </c>
      <c r="Y76" s="300">
        <v>50.5</v>
      </c>
      <c r="AD76" s="299"/>
      <c r="AG76" s="300"/>
      <c r="AL76" s="299"/>
      <c r="AO76" s="300"/>
      <c r="AP76" s="299"/>
      <c r="AS76" s="300"/>
      <c r="AW76" s="300"/>
      <c r="BA76" s="301"/>
    </row>
    <row r="77" spans="1:53" s="292" customFormat="1">
      <c r="A77" s="292">
        <v>1994</v>
      </c>
      <c r="B77" s="836"/>
      <c r="C77" s="916" t="s">
        <v>644</v>
      </c>
      <c r="D77" s="916"/>
      <c r="E77" s="292">
        <v>0</v>
      </c>
      <c r="G77" s="366">
        <v>20</v>
      </c>
      <c r="H77" s="292">
        <v>0</v>
      </c>
      <c r="I77" s="292">
        <v>0</v>
      </c>
      <c r="J77" s="377">
        <v>20</v>
      </c>
      <c r="K77" s="336">
        <f t="shared" si="4"/>
        <v>100</v>
      </c>
      <c r="L77" s="336">
        <f t="shared" si="4"/>
        <v>0</v>
      </c>
      <c r="M77" s="336">
        <f t="shared" si="4"/>
        <v>0</v>
      </c>
      <c r="N77" s="368">
        <f t="shared" si="5"/>
        <v>100</v>
      </c>
      <c r="O77" s="335">
        <v>50.5</v>
      </c>
      <c r="P77" s="336"/>
      <c r="Q77" s="336"/>
      <c r="R77" s="337">
        <f t="shared" si="6"/>
        <v>50.5</v>
      </c>
      <c r="S77" s="292">
        <v>1</v>
      </c>
      <c r="T77" s="838"/>
      <c r="U77" s="836"/>
      <c r="V77" s="299" t="s">
        <v>455</v>
      </c>
      <c r="W77" s="292" t="s">
        <v>74</v>
      </c>
      <c r="X77" s="292" t="s">
        <v>11</v>
      </c>
      <c r="Y77" s="300">
        <v>50.5</v>
      </c>
      <c r="AD77" s="299"/>
      <c r="AG77" s="300"/>
      <c r="AL77" s="299"/>
      <c r="AO77" s="300"/>
      <c r="AP77" s="299"/>
      <c r="AS77" s="300"/>
      <c r="AW77" s="300"/>
      <c r="BA77" s="301"/>
    </row>
    <row r="78" spans="1:53" s="292" customFormat="1">
      <c r="A78" s="292">
        <v>1994</v>
      </c>
      <c r="B78" s="836"/>
      <c r="C78" s="916" t="s">
        <v>644</v>
      </c>
      <c r="D78" s="916"/>
      <c r="E78" s="292">
        <f>365-E77</f>
        <v>365</v>
      </c>
      <c r="G78" s="366">
        <v>20</v>
      </c>
      <c r="H78" s="292">
        <v>0</v>
      </c>
      <c r="I78" s="292">
        <v>0</v>
      </c>
      <c r="J78" s="377">
        <v>20</v>
      </c>
      <c r="K78" s="336">
        <f t="shared" si="4"/>
        <v>100</v>
      </c>
      <c r="L78" s="336">
        <f t="shared" si="4"/>
        <v>0</v>
      </c>
      <c r="M78" s="336">
        <f t="shared" si="4"/>
        <v>0</v>
      </c>
      <c r="N78" s="368">
        <f t="shared" si="5"/>
        <v>100</v>
      </c>
      <c r="O78" s="335">
        <v>50.5</v>
      </c>
      <c r="P78" s="336"/>
      <c r="Q78" s="336"/>
      <c r="R78" s="337">
        <f t="shared" si="6"/>
        <v>50.5</v>
      </c>
      <c r="S78" s="292">
        <v>1</v>
      </c>
      <c r="T78" s="838"/>
      <c r="U78" s="836"/>
      <c r="V78" s="299" t="s">
        <v>455</v>
      </c>
      <c r="W78" s="292" t="s">
        <v>74</v>
      </c>
      <c r="X78" s="292" t="s">
        <v>11</v>
      </c>
      <c r="Y78" s="300">
        <v>50.5</v>
      </c>
      <c r="AD78" s="299"/>
      <c r="AG78" s="300"/>
      <c r="AL78" s="299"/>
      <c r="AO78" s="300"/>
      <c r="AP78" s="299"/>
      <c r="AS78" s="300"/>
      <c r="AW78" s="300"/>
      <c r="BA78" s="301"/>
    </row>
    <row r="79" spans="1:53" s="292" customFormat="1">
      <c r="A79" s="292">
        <v>1995</v>
      </c>
      <c r="B79" s="836"/>
      <c r="C79" s="916" t="s">
        <v>644</v>
      </c>
      <c r="D79" s="916"/>
      <c r="E79" s="292">
        <v>0</v>
      </c>
      <c r="G79" s="366">
        <v>20</v>
      </c>
      <c r="H79" s="292">
        <v>0</v>
      </c>
      <c r="I79" s="292">
        <v>0</v>
      </c>
      <c r="J79" s="377">
        <v>20</v>
      </c>
      <c r="K79" s="336">
        <f t="shared" si="4"/>
        <v>100</v>
      </c>
      <c r="L79" s="336">
        <f t="shared" si="4"/>
        <v>0</v>
      </c>
      <c r="M79" s="336">
        <f t="shared" si="4"/>
        <v>0</v>
      </c>
      <c r="N79" s="368">
        <f t="shared" si="5"/>
        <v>100</v>
      </c>
      <c r="O79" s="335">
        <v>50.5</v>
      </c>
      <c r="P79" s="336"/>
      <c r="Q79" s="336"/>
      <c r="R79" s="337">
        <f t="shared" si="6"/>
        <v>50.5</v>
      </c>
      <c r="S79" s="292">
        <v>1</v>
      </c>
      <c r="T79" s="838"/>
      <c r="U79" s="836"/>
      <c r="V79" s="299" t="s">
        <v>455</v>
      </c>
      <c r="W79" s="292" t="s">
        <v>74</v>
      </c>
      <c r="X79" s="292" t="s">
        <v>11</v>
      </c>
      <c r="Y79" s="300">
        <v>50.5</v>
      </c>
      <c r="AD79" s="299"/>
      <c r="AG79" s="300"/>
      <c r="AL79" s="299"/>
      <c r="AO79" s="300"/>
      <c r="AP79" s="299"/>
      <c r="AS79" s="300"/>
      <c r="AW79" s="300"/>
      <c r="BA79" s="301"/>
    </row>
    <row r="80" spans="1:53" s="292" customFormat="1">
      <c r="A80" s="292">
        <v>1995</v>
      </c>
      <c r="B80" s="836"/>
      <c r="C80" s="916" t="s">
        <v>644</v>
      </c>
      <c r="D80" s="916"/>
      <c r="E80" s="292">
        <f>365-E79</f>
        <v>365</v>
      </c>
      <c r="G80" s="366">
        <v>20</v>
      </c>
      <c r="H80" s="292">
        <v>0</v>
      </c>
      <c r="I80" s="292">
        <v>0</v>
      </c>
      <c r="J80" s="377">
        <v>20</v>
      </c>
      <c r="K80" s="336">
        <f t="shared" si="4"/>
        <v>100</v>
      </c>
      <c r="L80" s="336">
        <f t="shared" si="4"/>
        <v>0</v>
      </c>
      <c r="M80" s="336">
        <f t="shared" si="4"/>
        <v>0</v>
      </c>
      <c r="N80" s="368">
        <f t="shared" si="5"/>
        <v>100</v>
      </c>
      <c r="O80" s="335">
        <v>50.5</v>
      </c>
      <c r="P80" s="336"/>
      <c r="Q80" s="336"/>
      <c r="R80" s="337">
        <f t="shared" si="6"/>
        <v>50.5</v>
      </c>
      <c r="S80" s="292">
        <v>1</v>
      </c>
      <c r="T80" s="838"/>
      <c r="U80" s="836"/>
      <c r="V80" s="299" t="s">
        <v>455</v>
      </c>
      <c r="W80" s="292" t="s">
        <v>74</v>
      </c>
      <c r="X80" s="292" t="s">
        <v>11</v>
      </c>
      <c r="Y80" s="300">
        <v>50.5</v>
      </c>
      <c r="AD80" s="299"/>
      <c r="AG80" s="300"/>
      <c r="AL80" s="299"/>
      <c r="AO80" s="300"/>
      <c r="AP80" s="299"/>
      <c r="AS80" s="300"/>
      <c r="AW80" s="300"/>
      <c r="BA80" s="301"/>
    </row>
    <row r="81" spans="1:53" s="292" customFormat="1">
      <c r="A81" s="292">
        <v>1996</v>
      </c>
      <c r="B81" s="836"/>
      <c r="C81" s="916" t="s">
        <v>644</v>
      </c>
      <c r="D81" s="916"/>
      <c r="E81" s="292">
        <v>60</v>
      </c>
      <c r="G81" s="366">
        <v>20</v>
      </c>
      <c r="H81" s="292">
        <v>0</v>
      </c>
      <c r="I81" s="292">
        <v>0</v>
      </c>
      <c r="J81" s="377">
        <v>20</v>
      </c>
      <c r="K81" s="336">
        <f t="shared" si="4"/>
        <v>100</v>
      </c>
      <c r="L81" s="336">
        <f t="shared" si="4"/>
        <v>0</v>
      </c>
      <c r="M81" s="336">
        <f t="shared" si="4"/>
        <v>0</v>
      </c>
      <c r="N81" s="368">
        <f t="shared" si="5"/>
        <v>100</v>
      </c>
      <c r="O81" s="335">
        <v>50.5</v>
      </c>
      <c r="P81" s="336"/>
      <c r="Q81" s="336"/>
      <c r="R81" s="337">
        <f t="shared" si="6"/>
        <v>50.5</v>
      </c>
      <c r="S81" s="292">
        <v>1</v>
      </c>
      <c r="T81" s="838"/>
      <c r="U81" s="836"/>
      <c r="V81" s="299" t="s">
        <v>455</v>
      </c>
      <c r="W81" s="292" t="s">
        <v>74</v>
      </c>
      <c r="X81" s="292" t="s">
        <v>11</v>
      </c>
      <c r="Y81" s="300">
        <v>50.5</v>
      </c>
      <c r="AD81" s="299"/>
      <c r="AG81" s="300"/>
      <c r="AL81" s="299"/>
      <c r="AO81" s="300"/>
      <c r="AP81" s="299"/>
      <c r="AS81" s="300"/>
      <c r="AW81" s="300"/>
      <c r="BA81" s="301"/>
    </row>
    <row r="82" spans="1:53" s="185" customFormat="1">
      <c r="A82" s="185">
        <v>1996</v>
      </c>
      <c r="B82" s="852">
        <v>35125</v>
      </c>
      <c r="C82" s="917" t="s">
        <v>645</v>
      </c>
      <c r="D82" s="917"/>
      <c r="E82" s="185">
        <v>290</v>
      </c>
      <c r="F82" s="185">
        <v>7</v>
      </c>
      <c r="G82" s="119">
        <v>20</v>
      </c>
      <c r="H82" s="185">
        <v>0</v>
      </c>
      <c r="I82" s="185">
        <v>0</v>
      </c>
      <c r="J82" s="126">
        <v>20</v>
      </c>
      <c r="K82" s="92">
        <f>G82/$J82*100</f>
        <v>100</v>
      </c>
      <c r="L82" s="92">
        <f>H82/$J82*100</f>
        <v>0</v>
      </c>
      <c r="M82" s="92">
        <f>I82/$J82*100</f>
        <v>0</v>
      </c>
      <c r="N82" s="121">
        <f t="shared" si="5"/>
        <v>100</v>
      </c>
      <c r="O82" s="91">
        <v>50.4</v>
      </c>
      <c r="P82" s="92"/>
      <c r="Q82" s="92"/>
      <c r="R82" s="93">
        <f t="shared" si="6"/>
        <v>50.4</v>
      </c>
      <c r="S82" s="185">
        <v>2</v>
      </c>
      <c r="T82" s="839"/>
      <c r="U82" s="852">
        <v>35125</v>
      </c>
      <c r="V82" s="82" t="s">
        <v>455</v>
      </c>
      <c r="W82" s="185" t="s">
        <v>74</v>
      </c>
      <c r="X82" s="185" t="s">
        <v>11</v>
      </c>
      <c r="Y82" s="83">
        <v>43.4</v>
      </c>
      <c r="Z82" s="185" t="s">
        <v>453</v>
      </c>
      <c r="AA82" s="185" t="s">
        <v>330</v>
      </c>
      <c r="AB82" s="185" t="s">
        <v>11</v>
      </c>
      <c r="AC82" s="185">
        <v>7</v>
      </c>
      <c r="AD82" s="82"/>
      <c r="AG82" s="83"/>
      <c r="AL82" s="82"/>
      <c r="AO82" s="83"/>
      <c r="AP82" s="82"/>
      <c r="AS82" s="83"/>
      <c r="AW82" s="83"/>
      <c r="BA82" s="84"/>
    </row>
    <row r="83" spans="1:53" s="292" customFormat="1">
      <c r="A83" s="292">
        <v>1996</v>
      </c>
      <c r="B83" s="836">
        <v>35415</v>
      </c>
      <c r="C83" s="916" t="s">
        <v>646</v>
      </c>
      <c r="D83" s="916"/>
      <c r="E83" s="292">
        <f>366-E82-E81</f>
        <v>16</v>
      </c>
      <c r="F83" s="292">
        <v>1</v>
      </c>
      <c r="G83" s="366">
        <v>20</v>
      </c>
      <c r="H83" s="292">
        <v>0</v>
      </c>
      <c r="I83" s="292">
        <v>0</v>
      </c>
      <c r="J83" s="377">
        <v>20</v>
      </c>
      <c r="K83" s="336">
        <f t="shared" si="4"/>
        <v>100</v>
      </c>
      <c r="L83" s="336">
        <f t="shared" si="4"/>
        <v>0</v>
      </c>
      <c r="M83" s="336">
        <f t="shared" si="4"/>
        <v>0</v>
      </c>
      <c r="N83" s="368">
        <f t="shared" si="5"/>
        <v>100</v>
      </c>
      <c r="O83" s="335">
        <v>50.9</v>
      </c>
      <c r="P83" s="336"/>
      <c r="Q83" s="336"/>
      <c r="R83" s="337">
        <f t="shared" si="6"/>
        <v>50.9</v>
      </c>
      <c r="S83" s="292">
        <v>2</v>
      </c>
      <c r="T83" s="838">
        <v>35350</v>
      </c>
      <c r="U83" s="836">
        <v>35415</v>
      </c>
      <c r="V83" s="299" t="s">
        <v>455</v>
      </c>
      <c r="W83" s="292" t="s">
        <v>74</v>
      </c>
      <c r="X83" s="292" t="s">
        <v>11</v>
      </c>
      <c r="Y83" s="300">
        <v>36.700000000000003</v>
      </c>
      <c r="Z83" s="292" t="s">
        <v>456</v>
      </c>
      <c r="AA83" s="292" t="s">
        <v>77</v>
      </c>
      <c r="AB83" s="292" t="s">
        <v>11</v>
      </c>
      <c r="AC83" s="292">
        <v>14.2</v>
      </c>
      <c r="AD83" s="299"/>
      <c r="AG83" s="300"/>
      <c r="AL83" s="299"/>
      <c r="AO83" s="300"/>
      <c r="AP83" s="299"/>
      <c r="AS83" s="300"/>
      <c r="AW83" s="300"/>
      <c r="BA83" s="301"/>
    </row>
    <row r="84" spans="1:53" s="292" customFormat="1">
      <c r="A84" s="292">
        <v>1997</v>
      </c>
      <c r="B84" s="836"/>
      <c r="C84" s="916" t="s">
        <v>646</v>
      </c>
      <c r="D84" s="916"/>
      <c r="E84" s="292">
        <v>341</v>
      </c>
      <c r="G84" s="366">
        <v>20</v>
      </c>
      <c r="H84" s="292">
        <v>0</v>
      </c>
      <c r="I84" s="292">
        <v>0</v>
      </c>
      <c r="J84" s="377">
        <v>20</v>
      </c>
      <c r="K84" s="336">
        <f t="shared" si="4"/>
        <v>100</v>
      </c>
      <c r="L84" s="336">
        <f t="shared" si="4"/>
        <v>0</v>
      </c>
      <c r="M84" s="336">
        <f t="shared" si="4"/>
        <v>0</v>
      </c>
      <c r="N84" s="368">
        <f t="shared" si="5"/>
        <v>100</v>
      </c>
      <c r="O84" s="335">
        <v>50.9</v>
      </c>
      <c r="P84" s="336"/>
      <c r="Q84" s="336"/>
      <c r="R84" s="337">
        <f t="shared" si="6"/>
        <v>50.9</v>
      </c>
      <c r="S84" s="292">
        <v>2</v>
      </c>
      <c r="T84" s="838"/>
      <c r="U84" s="836"/>
      <c r="V84" s="299" t="s">
        <v>455</v>
      </c>
      <c r="W84" s="292" t="s">
        <v>74</v>
      </c>
      <c r="X84" s="292" t="s">
        <v>11</v>
      </c>
      <c r="Y84" s="300">
        <v>36.700000000000003</v>
      </c>
      <c r="Z84" s="292" t="s">
        <v>456</v>
      </c>
      <c r="AA84" s="292" t="s">
        <v>77</v>
      </c>
      <c r="AB84" s="292" t="s">
        <v>11</v>
      </c>
      <c r="AC84" s="292">
        <v>14.2</v>
      </c>
      <c r="AD84" s="299"/>
      <c r="AG84" s="300"/>
      <c r="AL84" s="299"/>
      <c r="AO84" s="300"/>
      <c r="AP84" s="299"/>
      <c r="AS84" s="300"/>
      <c r="AW84" s="300"/>
      <c r="BA84" s="301"/>
    </row>
    <row r="85" spans="1:53" s="185" customFormat="1">
      <c r="A85" s="185">
        <v>1997</v>
      </c>
      <c r="B85" s="852">
        <v>35772</v>
      </c>
      <c r="C85" s="917" t="s">
        <v>647</v>
      </c>
      <c r="D85" s="917"/>
      <c r="E85" s="185">
        <f>365-E84</f>
        <v>24</v>
      </c>
      <c r="F85" s="185">
        <v>2</v>
      </c>
      <c r="G85" s="119">
        <v>20</v>
      </c>
      <c r="H85" s="185">
        <v>0</v>
      </c>
      <c r="I85" s="185">
        <v>0</v>
      </c>
      <c r="J85" s="126">
        <v>20</v>
      </c>
      <c r="K85" s="92">
        <f t="shared" si="4"/>
        <v>100</v>
      </c>
      <c r="L85" s="92">
        <f t="shared" si="4"/>
        <v>0</v>
      </c>
      <c r="M85" s="92">
        <f t="shared" si="4"/>
        <v>0</v>
      </c>
      <c r="N85" s="121">
        <f t="shared" si="5"/>
        <v>100</v>
      </c>
      <c r="O85" s="91">
        <v>50.9</v>
      </c>
      <c r="P85" s="92"/>
      <c r="Q85" s="92"/>
      <c r="R85" s="93">
        <f t="shared" si="6"/>
        <v>50.9</v>
      </c>
      <c r="S85" s="185">
        <v>2</v>
      </c>
      <c r="T85" s="839"/>
      <c r="U85" s="852">
        <v>35772</v>
      </c>
      <c r="V85" s="82" t="s">
        <v>455</v>
      </c>
      <c r="W85" s="185" t="s">
        <v>74</v>
      </c>
      <c r="X85" s="185" t="s">
        <v>11</v>
      </c>
      <c r="Y85" s="83">
        <v>36.700000000000003</v>
      </c>
      <c r="Z85" s="185" t="s">
        <v>456</v>
      </c>
      <c r="AA85" s="185" t="s">
        <v>77</v>
      </c>
      <c r="AB85" s="185" t="s">
        <v>11</v>
      </c>
      <c r="AC85" s="185">
        <v>14.2</v>
      </c>
      <c r="AD85" s="82"/>
      <c r="AG85" s="83"/>
      <c r="AL85" s="82"/>
      <c r="AO85" s="83"/>
      <c r="AP85" s="82"/>
      <c r="AS85" s="83"/>
      <c r="AW85" s="83"/>
      <c r="BA85" s="84"/>
    </row>
    <row r="86" spans="1:53" s="185" customFormat="1">
      <c r="A86" s="185">
        <v>1998</v>
      </c>
      <c r="B86" s="852"/>
      <c r="C86" s="917" t="s">
        <v>647</v>
      </c>
      <c r="D86" s="917"/>
      <c r="E86" s="185">
        <v>242</v>
      </c>
      <c r="G86" s="119">
        <v>20</v>
      </c>
      <c r="H86" s="185">
        <v>0</v>
      </c>
      <c r="I86" s="185">
        <v>0</v>
      </c>
      <c r="J86" s="126">
        <v>20</v>
      </c>
      <c r="K86" s="92">
        <f t="shared" si="4"/>
        <v>100</v>
      </c>
      <c r="L86" s="92">
        <f t="shared" si="4"/>
        <v>0</v>
      </c>
      <c r="M86" s="92">
        <f t="shared" si="4"/>
        <v>0</v>
      </c>
      <c r="N86" s="121">
        <f t="shared" si="5"/>
        <v>100</v>
      </c>
      <c r="O86" s="91">
        <v>50.9</v>
      </c>
      <c r="P86" s="92"/>
      <c r="Q86" s="92"/>
      <c r="R86" s="93">
        <f t="shared" si="6"/>
        <v>50.9</v>
      </c>
      <c r="S86" s="185">
        <v>2</v>
      </c>
      <c r="T86" s="839"/>
      <c r="U86" s="852"/>
      <c r="V86" s="82" t="s">
        <v>455</v>
      </c>
      <c r="W86" s="185" t="s">
        <v>74</v>
      </c>
      <c r="X86" s="185" t="s">
        <v>11</v>
      </c>
      <c r="Y86" s="83">
        <v>36.700000000000003</v>
      </c>
      <c r="Z86" s="185" t="s">
        <v>456</v>
      </c>
      <c r="AA86" s="185" t="s">
        <v>77</v>
      </c>
      <c r="AB86" s="185" t="s">
        <v>11</v>
      </c>
      <c r="AC86" s="185">
        <v>14.2</v>
      </c>
      <c r="AD86" s="82"/>
      <c r="AG86" s="83"/>
      <c r="AL86" s="82"/>
      <c r="AO86" s="83"/>
      <c r="AP86" s="82"/>
      <c r="AS86" s="83"/>
      <c r="AW86" s="83"/>
      <c r="BA86" s="84"/>
    </row>
    <row r="87" spans="1:53" s="292" customFormat="1">
      <c r="A87" s="292">
        <v>1998</v>
      </c>
      <c r="B87" s="836">
        <v>36038</v>
      </c>
      <c r="C87" s="916" t="s">
        <v>648</v>
      </c>
      <c r="D87" s="916"/>
      <c r="E87" s="292">
        <f>365-E86</f>
        <v>123</v>
      </c>
      <c r="F87" s="292">
        <v>4</v>
      </c>
      <c r="G87" s="366">
        <v>17</v>
      </c>
      <c r="H87" s="292">
        <v>0</v>
      </c>
      <c r="I87" s="292">
        <v>0</v>
      </c>
      <c r="J87" s="377">
        <v>18</v>
      </c>
      <c r="K87" s="336">
        <f t="shared" si="4"/>
        <v>94.444444444444443</v>
      </c>
      <c r="L87" s="336">
        <f t="shared" si="4"/>
        <v>0</v>
      </c>
      <c r="M87" s="336">
        <f t="shared" si="4"/>
        <v>0</v>
      </c>
      <c r="N87" s="368">
        <f t="shared" si="5"/>
        <v>94.444444444444443</v>
      </c>
      <c r="O87" s="335">
        <v>36.700000000000003</v>
      </c>
      <c r="P87" s="336"/>
      <c r="Q87" s="336"/>
      <c r="R87" s="337">
        <f t="shared" si="6"/>
        <v>36.700000000000003</v>
      </c>
      <c r="S87" s="292">
        <v>4</v>
      </c>
      <c r="T87" s="838"/>
      <c r="U87" s="836">
        <v>36038</v>
      </c>
      <c r="V87" s="299" t="s">
        <v>455</v>
      </c>
      <c r="W87" s="292" t="s">
        <v>74</v>
      </c>
      <c r="X87" s="292" t="s">
        <v>11</v>
      </c>
      <c r="Y87" s="300">
        <v>36.700000000000003</v>
      </c>
      <c r="AD87" s="299"/>
      <c r="AG87" s="300"/>
      <c r="AL87" s="299"/>
      <c r="AO87" s="300"/>
      <c r="AP87" s="299"/>
      <c r="AS87" s="300"/>
      <c r="AW87" s="300"/>
      <c r="BA87" s="301"/>
    </row>
    <row r="88" spans="1:53" s="292" customFormat="1">
      <c r="A88" s="292">
        <v>1999</v>
      </c>
      <c r="B88" s="836"/>
      <c r="C88" s="916" t="s">
        <v>648</v>
      </c>
      <c r="D88" s="916"/>
      <c r="E88" s="292">
        <v>342</v>
      </c>
      <c r="G88" s="366">
        <v>17</v>
      </c>
      <c r="H88" s="292">
        <v>0</v>
      </c>
      <c r="I88" s="292">
        <v>0</v>
      </c>
      <c r="J88" s="377">
        <v>18</v>
      </c>
      <c r="K88" s="336">
        <f t="shared" si="4"/>
        <v>94.444444444444443</v>
      </c>
      <c r="L88" s="336">
        <f t="shared" si="4"/>
        <v>0</v>
      </c>
      <c r="M88" s="336">
        <f t="shared" si="4"/>
        <v>0</v>
      </c>
      <c r="N88" s="368">
        <f t="shared" si="5"/>
        <v>94.444444444444443</v>
      </c>
      <c r="O88" s="335">
        <v>36.700000000000003</v>
      </c>
      <c r="P88" s="336"/>
      <c r="Q88" s="336"/>
      <c r="R88" s="337">
        <f t="shared" si="6"/>
        <v>36.700000000000003</v>
      </c>
      <c r="S88" s="292">
        <v>4</v>
      </c>
      <c r="T88" s="838"/>
      <c r="U88" s="836"/>
      <c r="V88" s="299" t="s">
        <v>455</v>
      </c>
      <c r="W88" s="292" t="s">
        <v>74</v>
      </c>
      <c r="X88" s="292" t="s">
        <v>11</v>
      </c>
      <c r="Y88" s="300">
        <v>36.700000000000003</v>
      </c>
      <c r="AD88" s="299"/>
      <c r="AG88" s="300"/>
      <c r="AL88" s="299"/>
      <c r="AO88" s="300"/>
      <c r="AP88" s="299"/>
      <c r="AS88" s="300"/>
      <c r="AW88" s="300"/>
      <c r="BA88" s="301"/>
    </row>
    <row r="89" spans="1:53" s="185" customFormat="1">
      <c r="A89" s="185">
        <v>1999</v>
      </c>
      <c r="B89" s="852">
        <v>36503</v>
      </c>
      <c r="C89" s="917" t="s">
        <v>649</v>
      </c>
      <c r="D89" s="917"/>
      <c r="E89" s="185">
        <f>365-E88</f>
        <v>23</v>
      </c>
      <c r="F89" s="185">
        <v>1</v>
      </c>
      <c r="G89" s="119">
        <v>0</v>
      </c>
      <c r="H89" s="185">
        <v>0</v>
      </c>
      <c r="I89" s="185">
        <v>20</v>
      </c>
      <c r="J89" s="126">
        <v>20</v>
      </c>
      <c r="K89" s="92">
        <f t="shared" si="4"/>
        <v>0</v>
      </c>
      <c r="L89" s="92">
        <f t="shared" si="4"/>
        <v>0</v>
      </c>
      <c r="M89" s="92">
        <f t="shared" si="4"/>
        <v>100</v>
      </c>
      <c r="N89" s="121">
        <f t="shared" si="5"/>
        <v>100</v>
      </c>
      <c r="O89" s="91"/>
      <c r="P89" s="92"/>
      <c r="Q89" s="92">
        <v>49.1</v>
      </c>
      <c r="R89" s="93">
        <f t="shared" si="6"/>
        <v>49.1</v>
      </c>
      <c r="S89" s="185">
        <v>5</v>
      </c>
      <c r="T89" s="839">
        <v>36491</v>
      </c>
      <c r="U89" s="852">
        <v>36503</v>
      </c>
      <c r="V89" s="82" t="s">
        <v>454</v>
      </c>
      <c r="W89" s="185" t="s">
        <v>20</v>
      </c>
      <c r="X89" s="185" t="s">
        <v>12</v>
      </c>
      <c r="Y89" s="83">
        <v>40.799999999999997</v>
      </c>
      <c r="Z89" s="185" t="s">
        <v>566</v>
      </c>
      <c r="AA89" s="185" t="s">
        <v>97</v>
      </c>
      <c r="AB89" s="185" t="s">
        <v>12</v>
      </c>
      <c r="AC89" s="185">
        <v>8.3000000000000007</v>
      </c>
      <c r="AD89" s="82"/>
      <c r="AG89" s="83"/>
      <c r="AL89" s="82"/>
      <c r="AO89" s="83"/>
      <c r="AP89" s="82"/>
      <c r="AS89" s="83"/>
      <c r="AW89" s="83"/>
      <c r="BA89" s="84"/>
    </row>
    <row r="90" spans="1:53" s="185" customFormat="1">
      <c r="A90" s="185">
        <v>2000</v>
      </c>
      <c r="B90" s="852"/>
      <c r="C90" s="917" t="s">
        <v>649</v>
      </c>
      <c r="D90" s="917"/>
      <c r="E90" s="185">
        <v>0</v>
      </c>
      <c r="G90" s="119">
        <v>0</v>
      </c>
      <c r="H90" s="185">
        <v>0</v>
      </c>
      <c r="I90" s="185">
        <v>20</v>
      </c>
      <c r="J90" s="126">
        <v>20</v>
      </c>
      <c r="K90" s="92">
        <f t="shared" si="4"/>
        <v>0</v>
      </c>
      <c r="L90" s="92">
        <f t="shared" si="4"/>
        <v>0</v>
      </c>
      <c r="M90" s="92">
        <f t="shared" si="4"/>
        <v>100</v>
      </c>
      <c r="N90" s="121">
        <f t="shared" si="5"/>
        <v>100</v>
      </c>
      <c r="O90" s="91"/>
      <c r="P90" s="92"/>
      <c r="Q90" s="92">
        <v>49.1</v>
      </c>
      <c r="R90" s="93">
        <f t="shared" si="6"/>
        <v>49.1</v>
      </c>
      <c r="S90" s="185">
        <v>5</v>
      </c>
      <c r="T90" s="839"/>
      <c r="U90" s="852"/>
      <c r="V90" s="82" t="s">
        <v>454</v>
      </c>
      <c r="W90" s="185" t="s">
        <v>20</v>
      </c>
      <c r="X90" s="185" t="s">
        <v>12</v>
      </c>
      <c r="Y90" s="83">
        <v>40.799999999999997</v>
      </c>
      <c r="Z90" s="185" t="s">
        <v>566</v>
      </c>
      <c r="AA90" s="185" t="s">
        <v>97</v>
      </c>
      <c r="AB90" s="185" t="s">
        <v>12</v>
      </c>
      <c r="AC90" s="185">
        <v>8.3000000000000007</v>
      </c>
      <c r="AD90" s="82"/>
      <c r="AG90" s="83"/>
      <c r="AL90" s="82"/>
      <c r="AO90" s="83"/>
      <c r="AP90" s="82"/>
      <c r="AS90" s="83"/>
      <c r="AW90" s="83"/>
      <c r="BA90" s="84"/>
    </row>
    <row r="91" spans="1:53" s="185" customFormat="1">
      <c r="A91" s="185">
        <v>2000</v>
      </c>
      <c r="B91" s="852"/>
      <c r="C91" s="917" t="s">
        <v>649</v>
      </c>
      <c r="D91" s="917"/>
      <c r="E91" s="185">
        <v>366</v>
      </c>
      <c r="G91" s="119">
        <v>0</v>
      </c>
      <c r="H91" s="185">
        <v>0</v>
      </c>
      <c r="I91" s="185">
        <v>20</v>
      </c>
      <c r="J91" s="126">
        <v>20</v>
      </c>
      <c r="K91" s="92">
        <f t="shared" si="4"/>
        <v>0</v>
      </c>
      <c r="L91" s="92">
        <f t="shared" si="4"/>
        <v>0</v>
      </c>
      <c r="M91" s="92">
        <f t="shared" si="4"/>
        <v>100</v>
      </c>
      <c r="N91" s="121">
        <f t="shared" si="5"/>
        <v>100</v>
      </c>
      <c r="O91" s="91"/>
      <c r="P91" s="92"/>
      <c r="Q91" s="92">
        <v>49.1</v>
      </c>
      <c r="R91" s="93">
        <f t="shared" si="6"/>
        <v>49.1</v>
      </c>
      <c r="S91" s="185">
        <v>5</v>
      </c>
      <c r="T91" s="839"/>
      <c r="U91" s="852"/>
      <c r="V91" s="82" t="s">
        <v>454</v>
      </c>
      <c r="W91" s="185" t="s">
        <v>20</v>
      </c>
      <c r="X91" s="185" t="s">
        <v>12</v>
      </c>
      <c r="Y91" s="83">
        <v>40.799999999999997</v>
      </c>
      <c r="Z91" s="185" t="s">
        <v>566</v>
      </c>
      <c r="AA91" s="185" t="s">
        <v>97</v>
      </c>
      <c r="AB91" s="185" t="s">
        <v>12</v>
      </c>
      <c r="AC91" s="185">
        <v>8.3000000000000007</v>
      </c>
      <c r="AD91" s="82"/>
      <c r="AG91" s="83"/>
      <c r="AL91" s="82"/>
      <c r="AO91" s="83"/>
      <c r="AP91" s="82"/>
      <c r="AS91" s="83"/>
      <c r="AW91" s="83"/>
      <c r="BA91" s="84"/>
    </row>
    <row r="92" spans="1:53" s="185" customFormat="1">
      <c r="A92" s="185">
        <v>2001</v>
      </c>
      <c r="B92" s="852"/>
      <c r="C92" s="917" t="s">
        <v>649</v>
      </c>
      <c r="D92" s="917"/>
      <c r="E92" s="185">
        <v>0</v>
      </c>
      <c r="G92" s="119">
        <v>0</v>
      </c>
      <c r="H92" s="185">
        <v>0</v>
      </c>
      <c r="I92" s="185">
        <v>20</v>
      </c>
      <c r="J92" s="126">
        <v>20</v>
      </c>
      <c r="K92" s="92">
        <f t="shared" si="4"/>
        <v>0</v>
      </c>
      <c r="L92" s="92">
        <f t="shared" si="4"/>
        <v>0</v>
      </c>
      <c r="M92" s="92">
        <f t="shared" si="4"/>
        <v>100</v>
      </c>
      <c r="N92" s="121">
        <f t="shared" si="5"/>
        <v>100</v>
      </c>
      <c r="O92" s="91"/>
      <c r="P92" s="92"/>
      <c r="Q92" s="92">
        <v>49.1</v>
      </c>
      <c r="R92" s="93">
        <f t="shared" si="6"/>
        <v>49.1</v>
      </c>
      <c r="S92" s="185">
        <v>5</v>
      </c>
      <c r="T92" s="839"/>
      <c r="U92" s="852"/>
      <c r="V92" s="82" t="s">
        <v>454</v>
      </c>
      <c r="W92" s="185" t="s">
        <v>20</v>
      </c>
      <c r="X92" s="185" t="s">
        <v>12</v>
      </c>
      <c r="Y92" s="83">
        <v>40.799999999999997</v>
      </c>
      <c r="Z92" s="185" t="s">
        <v>566</v>
      </c>
      <c r="AA92" s="185" t="s">
        <v>97</v>
      </c>
      <c r="AB92" s="185" t="s">
        <v>12</v>
      </c>
      <c r="AC92" s="185">
        <v>8.3000000000000007</v>
      </c>
      <c r="AD92" s="82"/>
      <c r="AG92" s="83"/>
      <c r="AL92" s="82"/>
      <c r="AO92" s="83"/>
      <c r="AP92" s="82"/>
      <c r="AS92" s="83"/>
      <c r="AW92" s="83"/>
      <c r="BA92" s="84"/>
    </row>
    <row r="93" spans="1:53" s="185" customFormat="1">
      <c r="A93" s="185">
        <v>2001</v>
      </c>
      <c r="B93" s="852"/>
      <c r="C93" s="917" t="s">
        <v>649</v>
      </c>
      <c r="D93" s="917"/>
      <c r="E93" s="185">
        <f>365-E92</f>
        <v>365</v>
      </c>
      <c r="G93" s="119">
        <v>0</v>
      </c>
      <c r="H93" s="185">
        <v>0</v>
      </c>
      <c r="I93" s="185">
        <v>20</v>
      </c>
      <c r="J93" s="126">
        <v>20</v>
      </c>
      <c r="K93" s="92">
        <f t="shared" si="4"/>
        <v>0</v>
      </c>
      <c r="L93" s="92">
        <f t="shared" si="4"/>
        <v>0</v>
      </c>
      <c r="M93" s="92">
        <f t="shared" si="4"/>
        <v>100</v>
      </c>
      <c r="N93" s="121">
        <f t="shared" si="5"/>
        <v>100</v>
      </c>
      <c r="O93" s="91"/>
      <c r="P93" s="92"/>
      <c r="Q93" s="92">
        <v>49.1</v>
      </c>
      <c r="R93" s="93">
        <f t="shared" si="6"/>
        <v>49.1</v>
      </c>
      <c r="S93" s="185">
        <v>5</v>
      </c>
      <c r="T93" s="839"/>
      <c r="U93" s="852"/>
      <c r="V93" s="82" t="s">
        <v>454</v>
      </c>
      <c r="W93" s="185" t="s">
        <v>20</v>
      </c>
      <c r="X93" s="185" t="s">
        <v>12</v>
      </c>
      <c r="Y93" s="83">
        <v>40.799999999999997</v>
      </c>
      <c r="Z93" s="185" t="s">
        <v>566</v>
      </c>
      <c r="AA93" s="185" t="s">
        <v>97</v>
      </c>
      <c r="AB93" s="185" t="s">
        <v>12</v>
      </c>
      <c r="AC93" s="185">
        <v>8.3000000000000007</v>
      </c>
      <c r="AD93" s="82"/>
      <c r="AG93" s="83"/>
      <c r="AL93" s="82"/>
      <c r="AO93" s="83"/>
      <c r="AP93" s="82"/>
      <c r="AS93" s="83"/>
      <c r="AW93" s="83"/>
      <c r="BA93" s="84"/>
    </row>
    <row r="94" spans="1:53" s="185" customFormat="1">
      <c r="A94" s="185">
        <v>2002</v>
      </c>
      <c r="B94" s="852"/>
      <c r="C94" s="917" t="s">
        <v>649</v>
      </c>
      <c r="D94" s="917"/>
      <c r="E94" s="185">
        <v>226</v>
      </c>
      <c r="G94" s="119">
        <v>0</v>
      </c>
      <c r="H94" s="185">
        <v>0</v>
      </c>
      <c r="I94" s="185">
        <v>20</v>
      </c>
      <c r="J94" s="126">
        <v>20</v>
      </c>
      <c r="K94" s="92">
        <f t="shared" si="4"/>
        <v>0</v>
      </c>
      <c r="L94" s="92">
        <f t="shared" si="4"/>
        <v>0</v>
      </c>
      <c r="M94" s="92">
        <f t="shared" si="4"/>
        <v>100</v>
      </c>
      <c r="N94" s="121">
        <f t="shared" si="5"/>
        <v>100</v>
      </c>
      <c r="O94" s="91"/>
      <c r="P94" s="92"/>
      <c r="Q94" s="92">
        <v>49.1</v>
      </c>
      <c r="R94" s="93">
        <f t="shared" si="6"/>
        <v>49.1</v>
      </c>
      <c r="S94" s="185">
        <v>5</v>
      </c>
      <c r="T94" s="839"/>
      <c r="U94" s="852"/>
      <c r="V94" s="82" t="s">
        <v>454</v>
      </c>
      <c r="W94" s="185" t="s">
        <v>20</v>
      </c>
      <c r="X94" s="185" t="s">
        <v>12</v>
      </c>
      <c r="Y94" s="83">
        <v>40.799999999999997</v>
      </c>
      <c r="Z94" s="185" t="s">
        <v>566</v>
      </c>
      <c r="AA94" s="185" t="s">
        <v>97</v>
      </c>
      <c r="AB94" s="185" t="s">
        <v>12</v>
      </c>
      <c r="AC94" s="185">
        <v>8.3000000000000007</v>
      </c>
      <c r="AD94" s="82"/>
      <c r="AG94" s="83"/>
      <c r="AL94" s="82"/>
      <c r="AO94" s="83"/>
      <c r="AP94" s="82"/>
      <c r="AS94" s="83"/>
      <c r="AW94" s="83"/>
      <c r="BA94" s="84"/>
    </row>
    <row r="95" spans="1:53" s="292" customFormat="1">
      <c r="A95" s="292">
        <v>2002</v>
      </c>
      <c r="B95" s="836">
        <v>37483</v>
      </c>
      <c r="C95" s="916" t="s">
        <v>650</v>
      </c>
      <c r="D95" s="916"/>
      <c r="E95" s="292">
        <f>365-E94</f>
        <v>139</v>
      </c>
      <c r="F95" s="292">
        <v>1</v>
      </c>
      <c r="G95" s="366">
        <v>0</v>
      </c>
      <c r="H95" s="292">
        <v>0</v>
      </c>
      <c r="I95" s="292">
        <v>20</v>
      </c>
      <c r="J95" s="377">
        <v>20</v>
      </c>
      <c r="K95" s="336">
        <f t="shared" si="4"/>
        <v>0</v>
      </c>
      <c r="L95" s="336">
        <f t="shared" si="4"/>
        <v>0</v>
      </c>
      <c r="M95" s="336">
        <f t="shared" si="4"/>
        <v>100</v>
      </c>
      <c r="N95" s="368">
        <f t="shared" si="5"/>
        <v>100</v>
      </c>
      <c r="O95" s="335"/>
      <c r="P95" s="336"/>
      <c r="Q95" s="336">
        <v>45</v>
      </c>
      <c r="R95" s="337">
        <f t="shared" si="6"/>
        <v>45</v>
      </c>
      <c r="S95" s="292">
        <v>5</v>
      </c>
      <c r="T95" s="838">
        <v>37464</v>
      </c>
      <c r="U95" s="836">
        <v>37483</v>
      </c>
      <c r="V95" s="299" t="s">
        <v>454</v>
      </c>
      <c r="W95" s="292" t="s">
        <v>20</v>
      </c>
      <c r="X95" s="292" t="s">
        <v>12</v>
      </c>
      <c r="Y95" s="300">
        <v>43.3</v>
      </c>
      <c r="Z95" s="292" t="s">
        <v>101</v>
      </c>
      <c r="AA95" s="292" t="s">
        <v>330</v>
      </c>
      <c r="AB95" s="292" t="s">
        <v>12</v>
      </c>
      <c r="AC95" s="292">
        <v>1.7</v>
      </c>
      <c r="AD95" s="299"/>
      <c r="AG95" s="300"/>
      <c r="AL95" s="299"/>
      <c r="AO95" s="300"/>
      <c r="AP95" s="299"/>
      <c r="AS95" s="300"/>
      <c r="AW95" s="300"/>
      <c r="BA95" s="301"/>
    </row>
    <row r="96" spans="1:53" s="292" customFormat="1">
      <c r="A96" s="292">
        <v>2003</v>
      </c>
      <c r="B96" s="836"/>
      <c r="C96" s="916" t="s">
        <v>650</v>
      </c>
      <c r="D96" s="916"/>
      <c r="E96" s="292">
        <v>0</v>
      </c>
      <c r="G96" s="366">
        <v>0</v>
      </c>
      <c r="H96" s="292">
        <v>0</v>
      </c>
      <c r="I96" s="292">
        <v>20</v>
      </c>
      <c r="J96" s="377">
        <v>20</v>
      </c>
      <c r="K96" s="336">
        <f t="shared" si="4"/>
        <v>0</v>
      </c>
      <c r="L96" s="336">
        <f t="shared" si="4"/>
        <v>0</v>
      </c>
      <c r="M96" s="336">
        <f t="shared" si="4"/>
        <v>100</v>
      </c>
      <c r="N96" s="368">
        <f t="shared" si="5"/>
        <v>100</v>
      </c>
      <c r="O96" s="335"/>
      <c r="P96" s="336"/>
      <c r="Q96" s="336">
        <v>45</v>
      </c>
      <c r="R96" s="337">
        <f t="shared" si="6"/>
        <v>45</v>
      </c>
      <c r="S96" s="292">
        <v>5</v>
      </c>
      <c r="T96" s="838"/>
      <c r="U96" s="836"/>
      <c r="V96" s="299" t="s">
        <v>454</v>
      </c>
      <c r="W96" s="292" t="s">
        <v>20</v>
      </c>
      <c r="X96" s="292" t="s">
        <v>12</v>
      </c>
      <c r="Y96" s="300">
        <v>43.3</v>
      </c>
      <c r="Z96" s="292" t="s">
        <v>101</v>
      </c>
      <c r="AA96" s="292" t="s">
        <v>330</v>
      </c>
      <c r="AB96" s="292" t="s">
        <v>12</v>
      </c>
      <c r="AC96" s="292">
        <v>1.7</v>
      </c>
      <c r="AD96" s="299"/>
      <c r="AG96" s="300"/>
      <c r="AL96" s="299"/>
      <c r="AO96" s="300"/>
      <c r="AP96" s="299"/>
      <c r="AS96" s="300"/>
      <c r="AW96" s="300"/>
      <c r="BA96" s="301"/>
    </row>
    <row r="97" spans="1:53" s="292" customFormat="1">
      <c r="A97" s="292">
        <v>2003</v>
      </c>
      <c r="B97" s="836"/>
      <c r="C97" s="916" t="s">
        <v>650</v>
      </c>
      <c r="D97" s="916"/>
      <c r="E97" s="292">
        <f>365-E96</f>
        <v>365</v>
      </c>
      <c r="G97" s="366">
        <v>0</v>
      </c>
      <c r="H97" s="292">
        <v>0</v>
      </c>
      <c r="I97" s="292">
        <v>20</v>
      </c>
      <c r="J97" s="377">
        <v>20</v>
      </c>
      <c r="K97" s="336">
        <f t="shared" si="4"/>
        <v>0</v>
      </c>
      <c r="L97" s="336">
        <f t="shared" si="4"/>
        <v>0</v>
      </c>
      <c r="M97" s="336">
        <f t="shared" si="4"/>
        <v>100</v>
      </c>
      <c r="N97" s="368">
        <f t="shared" si="5"/>
        <v>100</v>
      </c>
      <c r="O97" s="335"/>
      <c r="P97" s="336"/>
      <c r="Q97" s="336">
        <v>45</v>
      </c>
      <c r="R97" s="337">
        <f t="shared" si="6"/>
        <v>45</v>
      </c>
      <c r="S97" s="292">
        <v>5</v>
      </c>
      <c r="T97" s="838"/>
      <c r="U97" s="836"/>
      <c r="V97" s="299" t="s">
        <v>454</v>
      </c>
      <c r="W97" s="292" t="s">
        <v>20</v>
      </c>
      <c r="X97" s="292" t="s">
        <v>12</v>
      </c>
      <c r="Y97" s="300">
        <v>43.3</v>
      </c>
      <c r="Z97" s="292" t="s">
        <v>101</v>
      </c>
      <c r="AA97" s="292" t="s">
        <v>330</v>
      </c>
      <c r="AB97" s="292" t="s">
        <v>12</v>
      </c>
      <c r="AC97" s="292">
        <v>1.7</v>
      </c>
      <c r="AD97" s="299"/>
      <c r="AG97" s="300"/>
      <c r="AL97" s="299"/>
      <c r="AO97" s="300"/>
      <c r="AP97" s="299"/>
      <c r="AS97" s="300"/>
      <c r="AW97" s="300"/>
      <c r="BA97" s="301"/>
    </row>
    <row r="98" spans="1:53" s="292" customFormat="1">
      <c r="A98" s="292">
        <v>2004</v>
      </c>
      <c r="B98" s="836"/>
      <c r="C98" s="916" t="s">
        <v>650</v>
      </c>
      <c r="D98" s="916"/>
      <c r="E98" s="292">
        <v>355</v>
      </c>
      <c r="G98" s="366">
        <v>0</v>
      </c>
      <c r="H98" s="292">
        <v>0</v>
      </c>
      <c r="I98" s="292">
        <v>20</v>
      </c>
      <c r="J98" s="377">
        <v>20</v>
      </c>
      <c r="K98" s="336">
        <f t="shared" si="4"/>
        <v>0</v>
      </c>
      <c r="L98" s="336">
        <f t="shared" si="4"/>
        <v>0</v>
      </c>
      <c r="M98" s="336">
        <f t="shared" si="4"/>
        <v>100</v>
      </c>
      <c r="N98" s="368">
        <f t="shared" si="5"/>
        <v>100</v>
      </c>
      <c r="O98" s="335"/>
      <c r="P98" s="336"/>
      <c r="Q98" s="336">
        <v>45</v>
      </c>
      <c r="R98" s="337">
        <f t="shared" si="6"/>
        <v>45</v>
      </c>
      <c r="S98" s="292">
        <v>5</v>
      </c>
      <c r="T98" s="838"/>
      <c r="U98" s="836"/>
      <c r="V98" s="299" t="s">
        <v>454</v>
      </c>
      <c r="W98" s="292" t="s">
        <v>20</v>
      </c>
      <c r="X98" s="292" t="s">
        <v>12</v>
      </c>
      <c r="Y98" s="300">
        <v>43.3</v>
      </c>
      <c r="Z98" s="292" t="s">
        <v>101</v>
      </c>
      <c r="AA98" s="292" t="s">
        <v>330</v>
      </c>
      <c r="AB98" s="292" t="s">
        <v>12</v>
      </c>
      <c r="AC98" s="292">
        <v>1.7</v>
      </c>
      <c r="AD98" s="299"/>
      <c r="AG98" s="300"/>
      <c r="AL98" s="299"/>
      <c r="AO98" s="300"/>
      <c r="AP98" s="299"/>
      <c r="AS98" s="300"/>
      <c r="AW98" s="300"/>
      <c r="BA98" s="301"/>
    </row>
    <row r="99" spans="1:53" s="292" customFormat="1">
      <c r="A99" s="292">
        <v>2004</v>
      </c>
      <c r="B99" s="865">
        <v>38342</v>
      </c>
      <c r="C99" s="916" t="s">
        <v>650</v>
      </c>
      <c r="D99" s="916"/>
      <c r="E99" s="292">
        <f>366-E98</f>
        <v>11</v>
      </c>
      <c r="F99" s="381">
        <v>0</v>
      </c>
      <c r="G99" s="366">
        <v>0</v>
      </c>
      <c r="H99" s="292">
        <v>0</v>
      </c>
      <c r="I99" s="292">
        <v>19</v>
      </c>
      <c r="J99" s="377">
        <v>19</v>
      </c>
      <c r="K99" s="336">
        <f t="shared" si="4"/>
        <v>0</v>
      </c>
      <c r="L99" s="336">
        <f t="shared" si="4"/>
        <v>0</v>
      </c>
      <c r="M99" s="336">
        <f t="shared" si="4"/>
        <v>100</v>
      </c>
      <c r="N99" s="368">
        <f t="shared" si="5"/>
        <v>100</v>
      </c>
      <c r="O99" s="335"/>
      <c r="P99" s="336"/>
      <c r="Q99" s="336">
        <v>45</v>
      </c>
      <c r="R99" s="337">
        <f t="shared" si="6"/>
        <v>45</v>
      </c>
      <c r="S99" s="292">
        <v>5</v>
      </c>
      <c r="T99" s="838"/>
      <c r="U99" s="836"/>
      <c r="V99" s="299" t="s">
        <v>454</v>
      </c>
      <c r="W99" s="292" t="s">
        <v>20</v>
      </c>
      <c r="X99" s="292" t="s">
        <v>12</v>
      </c>
      <c r="Y99" s="300">
        <v>43.3</v>
      </c>
      <c r="Z99" s="292" t="s">
        <v>101</v>
      </c>
      <c r="AA99" s="292" t="s">
        <v>330</v>
      </c>
      <c r="AB99" s="292" t="s">
        <v>12</v>
      </c>
      <c r="AC99" s="292">
        <v>1.7</v>
      </c>
      <c r="AD99" s="299"/>
      <c r="AG99" s="300"/>
      <c r="AL99" s="299"/>
      <c r="AO99" s="300"/>
      <c r="AP99" s="299"/>
      <c r="AS99" s="300"/>
      <c r="AW99" s="300"/>
      <c r="BA99" s="301"/>
    </row>
    <row r="100" spans="1:53" s="292" customFormat="1">
      <c r="A100" s="292">
        <v>2005</v>
      </c>
      <c r="B100" s="836"/>
      <c r="C100" s="916" t="s">
        <v>650</v>
      </c>
      <c r="D100" s="916"/>
      <c r="E100" s="292">
        <v>58</v>
      </c>
      <c r="G100" s="366">
        <v>0</v>
      </c>
      <c r="H100" s="292">
        <v>0</v>
      </c>
      <c r="I100" s="292">
        <v>19</v>
      </c>
      <c r="J100" s="377">
        <v>19</v>
      </c>
      <c r="K100" s="336">
        <f t="shared" si="4"/>
        <v>0</v>
      </c>
      <c r="L100" s="336">
        <f t="shared" si="4"/>
        <v>0</v>
      </c>
      <c r="M100" s="336">
        <f t="shared" si="4"/>
        <v>100</v>
      </c>
      <c r="N100" s="368">
        <f t="shared" si="5"/>
        <v>100</v>
      </c>
      <c r="O100" s="335"/>
      <c r="P100" s="336"/>
      <c r="Q100" s="336">
        <v>45</v>
      </c>
      <c r="R100" s="337">
        <f t="shared" si="6"/>
        <v>45</v>
      </c>
      <c r="S100" s="292">
        <v>5</v>
      </c>
      <c r="T100" s="838"/>
      <c r="U100" s="836"/>
      <c r="V100" s="299" t="s">
        <v>454</v>
      </c>
      <c r="W100" s="292" t="s">
        <v>20</v>
      </c>
      <c r="X100" s="292" t="s">
        <v>12</v>
      </c>
      <c r="Y100" s="300">
        <v>43.3</v>
      </c>
      <c r="Z100" s="292" t="s">
        <v>101</v>
      </c>
      <c r="AA100" s="292" t="s">
        <v>330</v>
      </c>
      <c r="AB100" s="292" t="s">
        <v>12</v>
      </c>
      <c r="AC100" s="292">
        <v>1.7</v>
      </c>
      <c r="AD100" s="299"/>
      <c r="AG100" s="300"/>
      <c r="AL100" s="299"/>
      <c r="AO100" s="300"/>
      <c r="AP100" s="299"/>
      <c r="AS100" s="300"/>
      <c r="AW100" s="300"/>
      <c r="BA100" s="301"/>
    </row>
    <row r="101" spans="1:53" s="292" customFormat="1">
      <c r="A101" s="292">
        <v>2005</v>
      </c>
      <c r="B101" s="865">
        <v>38411</v>
      </c>
      <c r="C101" s="916" t="s">
        <v>650</v>
      </c>
      <c r="D101" s="916"/>
      <c r="E101" s="292">
        <v>233</v>
      </c>
      <c r="F101" s="381">
        <v>0</v>
      </c>
      <c r="G101" s="366">
        <v>0</v>
      </c>
      <c r="H101" s="292">
        <v>0</v>
      </c>
      <c r="I101" s="292">
        <v>18</v>
      </c>
      <c r="J101" s="377">
        <v>18</v>
      </c>
      <c r="K101" s="336">
        <f t="shared" si="4"/>
        <v>0</v>
      </c>
      <c r="L101" s="336">
        <f t="shared" si="4"/>
        <v>0</v>
      </c>
      <c r="M101" s="336">
        <f t="shared" si="4"/>
        <v>100</v>
      </c>
      <c r="N101" s="368">
        <f t="shared" si="5"/>
        <v>100</v>
      </c>
      <c r="O101" s="335"/>
      <c r="P101" s="336"/>
      <c r="Q101" s="336">
        <v>42.1</v>
      </c>
      <c r="R101" s="337">
        <f t="shared" si="6"/>
        <v>42.1</v>
      </c>
      <c r="S101" s="292">
        <v>5</v>
      </c>
      <c r="T101" s="838"/>
      <c r="U101" s="836"/>
      <c r="V101" s="299" t="s">
        <v>454</v>
      </c>
      <c r="W101" s="292" t="s">
        <v>20</v>
      </c>
      <c r="X101" s="292" t="s">
        <v>12</v>
      </c>
      <c r="Y101" s="300">
        <v>43.3</v>
      </c>
      <c r="Z101" s="292" t="s">
        <v>101</v>
      </c>
      <c r="AA101" s="292" t="s">
        <v>330</v>
      </c>
      <c r="AB101" s="292" t="s">
        <v>12</v>
      </c>
      <c r="AC101" s="292">
        <v>1.7</v>
      </c>
      <c r="AD101" s="299"/>
      <c r="AG101" s="300"/>
      <c r="AL101" s="299"/>
      <c r="AO101" s="300"/>
      <c r="AP101" s="299"/>
      <c r="AS101" s="300"/>
      <c r="AW101" s="300"/>
      <c r="BA101" s="301"/>
    </row>
    <row r="102" spans="1:53" s="185" customFormat="1">
      <c r="A102" s="185">
        <v>2005</v>
      </c>
      <c r="B102" s="852">
        <v>38644</v>
      </c>
      <c r="C102" s="917" t="s">
        <v>651</v>
      </c>
      <c r="D102" s="917"/>
      <c r="E102" s="185">
        <f>365-E101-E100</f>
        <v>74</v>
      </c>
      <c r="F102" s="185">
        <v>1</v>
      </c>
      <c r="G102" s="119">
        <v>0</v>
      </c>
      <c r="H102" s="185">
        <v>0</v>
      </c>
      <c r="I102" s="185">
        <v>21</v>
      </c>
      <c r="J102" s="126">
        <v>21</v>
      </c>
      <c r="K102" s="92">
        <f t="shared" si="4"/>
        <v>0</v>
      </c>
      <c r="L102" s="92">
        <f t="shared" si="4"/>
        <v>0</v>
      </c>
      <c r="M102" s="92">
        <f t="shared" si="4"/>
        <v>100</v>
      </c>
      <c r="N102" s="121">
        <f t="shared" si="5"/>
        <v>100</v>
      </c>
      <c r="O102" s="91"/>
      <c r="P102" s="92"/>
      <c r="Q102" s="92">
        <v>42.1</v>
      </c>
      <c r="R102" s="93">
        <f t="shared" si="6"/>
        <v>42.1</v>
      </c>
      <c r="S102" s="185">
        <v>5</v>
      </c>
      <c r="T102" s="839">
        <v>38612</v>
      </c>
      <c r="U102" s="852">
        <v>38644</v>
      </c>
      <c r="V102" s="82" t="s">
        <v>454</v>
      </c>
      <c r="W102" s="185" t="s">
        <v>20</v>
      </c>
      <c r="X102" s="185" t="s">
        <v>12</v>
      </c>
      <c r="Y102" s="83">
        <v>41.3</v>
      </c>
      <c r="Z102" s="185" t="s">
        <v>101</v>
      </c>
      <c r="AA102" s="185" t="s">
        <v>330</v>
      </c>
      <c r="AB102" s="185" t="s">
        <v>12</v>
      </c>
      <c r="AC102" s="185">
        <v>0.8</v>
      </c>
      <c r="AD102" s="82"/>
      <c r="AG102" s="83"/>
      <c r="AL102" s="82"/>
      <c r="AO102" s="83"/>
      <c r="AP102" s="82"/>
      <c r="AS102" s="83"/>
      <c r="AW102" s="83"/>
      <c r="BA102" s="84"/>
    </row>
    <row r="103" spans="1:53" s="185" customFormat="1">
      <c r="A103" s="185">
        <v>2006</v>
      </c>
      <c r="B103" s="852"/>
      <c r="C103" s="917" t="s">
        <v>651</v>
      </c>
      <c r="D103" s="917"/>
      <c r="E103" s="185">
        <v>0</v>
      </c>
      <c r="G103" s="119">
        <v>0</v>
      </c>
      <c r="H103" s="185">
        <v>0</v>
      </c>
      <c r="I103" s="185">
        <v>21</v>
      </c>
      <c r="J103" s="126">
        <v>21</v>
      </c>
      <c r="K103" s="92">
        <f t="shared" si="4"/>
        <v>0</v>
      </c>
      <c r="L103" s="92">
        <f t="shared" si="4"/>
        <v>0</v>
      </c>
      <c r="M103" s="92">
        <f t="shared" si="4"/>
        <v>100</v>
      </c>
      <c r="N103" s="121">
        <f t="shared" si="5"/>
        <v>100</v>
      </c>
      <c r="O103" s="91"/>
      <c r="P103" s="92"/>
      <c r="Q103" s="92">
        <v>42.1</v>
      </c>
      <c r="R103" s="93">
        <f t="shared" si="6"/>
        <v>42.1</v>
      </c>
      <c r="S103" s="185">
        <v>5</v>
      </c>
      <c r="T103" s="839"/>
      <c r="U103" s="852"/>
      <c r="V103" s="82" t="s">
        <v>454</v>
      </c>
      <c r="W103" s="185" t="s">
        <v>20</v>
      </c>
      <c r="X103" s="185" t="s">
        <v>12</v>
      </c>
      <c r="Y103" s="83">
        <v>41.3</v>
      </c>
      <c r="Z103" s="185" t="s">
        <v>101</v>
      </c>
      <c r="AA103" s="185" t="s">
        <v>330</v>
      </c>
      <c r="AB103" s="185" t="s">
        <v>12</v>
      </c>
      <c r="AC103" s="185">
        <v>0.8</v>
      </c>
      <c r="AD103" s="82"/>
      <c r="AG103" s="83"/>
      <c r="AL103" s="82"/>
      <c r="AO103" s="83"/>
      <c r="AP103" s="82"/>
      <c r="AS103" s="83"/>
      <c r="AW103" s="83"/>
      <c r="BA103" s="84"/>
    </row>
    <row r="104" spans="1:53" s="185" customFormat="1">
      <c r="A104" s="185">
        <v>2006</v>
      </c>
      <c r="B104" s="852"/>
      <c r="C104" s="917" t="s">
        <v>651</v>
      </c>
      <c r="D104" s="917"/>
      <c r="E104" s="185">
        <v>365</v>
      </c>
      <c r="G104" s="119">
        <v>0</v>
      </c>
      <c r="H104" s="185">
        <v>0</v>
      </c>
      <c r="I104" s="185">
        <v>21</v>
      </c>
      <c r="J104" s="126">
        <v>21</v>
      </c>
      <c r="K104" s="92">
        <f t="shared" si="4"/>
        <v>0</v>
      </c>
      <c r="L104" s="92">
        <f t="shared" si="4"/>
        <v>0</v>
      </c>
      <c r="M104" s="92">
        <f t="shared" si="4"/>
        <v>100</v>
      </c>
      <c r="N104" s="121">
        <f t="shared" si="5"/>
        <v>100</v>
      </c>
      <c r="O104" s="91"/>
      <c r="P104" s="92"/>
      <c r="Q104" s="92">
        <v>42.1</v>
      </c>
      <c r="R104" s="93">
        <f t="shared" si="6"/>
        <v>42.1</v>
      </c>
      <c r="S104" s="185">
        <v>5</v>
      </c>
      <c r="T104" s="839"/>
      <c r="U104" s="852"/>
      <c r="V104" s="82" t="s">
        <v>454</v>
      </c>
      <c r="W104" s="185" t="s">
        <v>20</v>
      </c>
      <c r="X104" s="185" t="s">
        <v>12</v>
      </c>
      <c r="Y104" s="83">
        <v>41.3</v>
      </c>
      <c r="Z104" s="185" t="s">
        <v>101</v>
      </c>
      <c r="AA104" s="185" t="s">
        <v>330</v>
      </c>
      <c r="AB104" s="185" t="s">
        <v>12</v>
      </c>
      <c r="AC104" s="185">
        <v>0.8</v>
      </c>
      <c r="AD104" s="82"/>
      <c r="AG104" s="83"/>
      <c r="AL104" s="82"/>
      <c r="AO104" s="83"/>
      <c r="AP104" s="82"/>
      <c r="AS104" s="83"/>
      <c r="AW104" s="83"/>
      <c r="BA104" s="84"/>
    </row>
    <row r="105" spans="1:53" s="185" customFormat="1">
      <c r="A105" s="185">
        <v>2007</v>
      </c>
      <c r="B105" s="852"/>
      <c r="C105" s="917" t="s">
        <v>651</v>
      </c>
      <c r="D105" s="917"/>
      <c r="E105" s="185">
        <v>0</v>
      </c>
      <c r="G105" s="119">
        <v>0</v>
      </c>
      <c r="H105" s="185">
        <v>0</v>
      </c>
      <c r="I105" s="185">
        <v>21</v>
      </c>
      <c r="J105" s="126">
        <v>21</v>
      </c>
      <c r="K105" s="92">
        <f t="shared" si="4"/>
        <v>0</v>
      </c>
      <c r="L105" s="92">
        <f t="shared" si="4"/>
        <v>0</v>
      </c>
      <c r="M105" s="92">
        <f t="shared" si="4"/>
        <v>100</v>
      </c>
      <c r="N105" s="121">
        <f t="shared" si="5"/>
        <v>100</v>
      </c>
      <c r="O105" s="91"/>
      <c r="P105" s="92"/>
      <c r="Q105" s="92">
        <v>42.1</v>
      </c>
      <c r="R105" s="93">
        <f t="shared" si="6"/>
        <v>42.1</v>
      </c>
      <c r="S105" s="185">
        <v>5</v>
      </c>
      <c r="T105" s="839"/>
      <c r="U105" s="852"/>
      <c r="V105" s="82" t="s">
        <v>454</v>
      </c>
      <c r="W105" s="185" t="s">
        <v>20</v>
      </c>
      <c r="X105" s="185" t="s">
        <v>12</v>
      </c>
      <c r="Y105" s="83">
        <v>41.3</v>
      </c>
      <c r="Z105" s="185" t="s">
        <v>101</v>
      </c>
      <c r="AA105" s="185" t="s">
        <v>330</v>
      </c>
      <c r="AB105" s="185" t="s">
        <v>12</v>
      </c>
      <c r="AC105" s="185">
        <v>0.8</v>
      </c>
      <c r="AD105" s="82"/>
      <c r="AG105" s="83"/>
      <c r="AL105" s="82"/>
      <c r="AO105" s="83"/>
      <c r="AP105" s="82"/>
      <c r="AS105" s="83"/>
      <c r="AW105" s="83"/>
      <c r="BA105" s="84"/>
    </row>
    <row r="106" spans="1:53" s="185" customFormat="1">
      <c r="A106" s="185">
        <v>2007</v>
      </c>
      <c r="B106" s="852"/>
      <c r="C106" s="917" t="s">
        <v>651</v>
      </c>
      <c r="D106" s="917"/>
      <c r="E106" s="185">
        <v>365</v>
      </c>
      <c r="G106" s="119">
        <v>0</v>
      </c>
      <c r="H106" s="185">
        <v>0</v>
      </c>
      <c r="I106" s="185">
        <v>21</v>
      </c>
      <c r="J106" s="126">
        <v>21</v>
      </c>
      <c r="K106" s="92">
        <f t="shared" si="4"/>
        <v>0</v>
      </c>
      <c r="L106" s="92">
        <f t="shared" si="4"/>
        <v>0</v>
      </c>
      <c r="M106" s="92">
        <f t="shared" si="4"/>
        <v>100</v>
      </c>
      <c r="N106" s="121">
        <f t="shared" si="5"/>
        <v>100</v>
      </c>
      <c r="O106" s="91"/>
      <c r="P106" s="92"/>
      <c r="Q106" s="92">
        <v>42.1</v>
      </c>
      <c r="R106" s="93">
        <f t="shared" si="6"/>
        <v>42.1</v>
      </c>
      <c r="S106" s="185">
        <v>5</v>
      </c>
      <c r="T106" s="839"/>
      <c r="U106" s="852"/>
      <c r="V106" s="82" t="s">
        <v>454</v>
      </c>
      <c r="W106" s="185" t="s">
        <v>20</v>
      </c>
      <c r="X106" s="185" t="s">
        <v>12</v>
      </c>
      <c r="Y106" s="83">
        <v>41.3</v>
      </c>
      <c r="Z106" s="185" t="s">
        <v>101</v>
      </c>
      <c r="AA106" s="185" t="s">
        <v>330</v>
      </c>
      <c r="AB106" s="185" t="s">
        <v>12</v>
      </c>
      <c r="AC106" s="185">
        <v>0.8</v>
      </c>
      <c r="AD106" s="82"/>
      <c r="AG106" s="83"/>
      <c r="AL106" s="82"/>
      <c r="AO106" s="83"/>
      <c r="AP106" s="82"/>
      <c r="AS106" s="83"/>
      <c r="AW106" s="83"/>
      <c r="BA106" s="84"/>
    </row>
    <row r="107" spans="1:53" s="185" customFormat="1">
      <c r="A107" s="185">
        <v>2008</v>
      </c>
      <c r="B107" s="852"/>
      <c r="C107" s="917" t="s">
        <v>651</v>
      </c>
      <c r="D107" s="917"/>
      <c r="E107" s="185">
        <v>323</v>
      </c>
      <c r="G107" s="119">
        <v>0</v>
      </c>
      <c r="H107" s="185">
        <v>0</v>
      </c>
      <c r="I107" s="185">
        <v>21</v>
      </c>
      <c r="J107" s="126">
        <v>21</v>
      </c>
      <c r="K107" s="92">
        <f t="shared" si="4"/>
        <v>0</v>
      </c>
      <c r="L107" s="92">
        <f t="shared" si="4"/>
        <v>0</v>
      </c>
      <c r="M107" s="92">
        <f t="shared" si="4"/>
        <v>100</v>
      </c>
      <c r="N107" s="121">
        <f t="shared" si="5"/>
        <v>100</v>
      </c>
      <c r="O107" s="91"/>
      <c r="P107" s="92"/>
      <c r="Q107" s="92">
        <v>42.1</v>
      </c>
      <c r="R107" s="93">
        <f t="shared" si="6"/>
        <v>42.1</v>
      </c>
      <c r="S107" s="185">
        <v>5</v>
      </c>
      <c r="T107" s="839"/>
      <c r="U107" s="852"/>
      <c r="V107" s="82" t="s">
        <v>454</v>
      </c>
      <c r="W107" s="185" t="s">
        <v>20</v>
      </c>
      <c r="X107" s="185" t="s">
        <v>12</v>
      </c>
      <c r="Y107" s="83">
        <v>41.3</v>
      </c>
      <c r="Z107" s="185" t="s">
        <v>101</v>
      </c>
      <c r="AA107" s="185" t="s">
        <v>330</v>
      </c>
      <c r="AB107" s="185" t="s">
        <v>12</v>
      </c>
      <c r="AC107" s="185">
        <v>0.8</v>
      </c>
      <c r="AD107" s="82"/>
      <c r="AG107" s="83"/>
      <c r="AL107" s="82"/>
      <c r="AO107" s="83"/>
      <c r="AP107" s="82"/>
      <c r="AS107" s="83"/>
      <c r="AW107" s="83"/>
      <c r="BA107" s="84"/>
    </row>
    <row r="108" spans="1:53" s="292" customFormat="1">
      <c r="A108" s="292">
        <v>2008</v>
      </c>
      <c r="B108" s="836">
        <v>39771</v>
      </c>
      <c r="C108" s="916" t="s">
        <v>652</v>
      </c>
      <c r="D108" s="916"/>
      <c r="E108" s="292">
        <f>366-E107</f>
        <v>43</v>
      </c>
      <c r="F108" s="292">
        <v>1</v>
      </c>
      <c r="G108" s="366">
        <v>20</v>
      </c>
      <c r="H108" s="292">
        <v>0</v>
      </c>
      <c r="I108" s="292">
        <v>0</v>
      </c>
      <c r="J108" s="377">
        <v>20</v>
      </c>
      <c r="K108" s="336">
        <f t="shared" si="4"/>
        <v>100</v>
      </c>
      <c r="L108" s="336">
        <f t="shared" si="4"/>
        <v>0</v>
      </c>
      <c r="M108" s="336">
        <f t="shared" si="4"/>
        <v>0</v>
      </c>
      <c r="N108" s="368">
        <f t="shared" si="5"/>
        <v>100</v>
      </c>
      <c r="O108" s="335">
        <v>47.5</v>
      </c>
      <c r="P108" s="336"/>
      <c r="Q108" s="336"/>
      <c r="R108" s="337">
        <f t="shared" si="6"/>
        <v>47.5</v>
      </c>
      <c r="S108" s="292">
        <v>4</v>
      </c>
      <c r="T108" s="838">
        <v>39760</v>
      </c>
      <c r="U108" s="836">
        <v>39771</v>
      </c>
      <c r="V108" s="299" t="s">
        <v>455</v>
      </c>
      <c r="W108" s="292" t="s">
        <v>74</v>
      </c>
      <c r="X108" s="292" t="s">
        <v>11</v>
      </c>
      <c r="Y108" s="300">
        <v>47.5</v>
      </c>
      <c r="AD108" s="299"/>
      <c r="AG108" s="300"/>
      <c r="AL108" s="299"/>
      <c r="AO108" s="300"/>
      <c r="AP108" s="299"/>
      <c r="AS108" s="300"/>
      <c r="AW108" s="300"/>
      <c r="BA108" s="301"/>
    </row>
    <row r="109" spans="1:53" s="292" customFormat="1">
      <c r="A109" s="292">
        <v>2009</v>
      </c>
      <c r="B109" s="836"/>
      <c r="C109" s="916" t="s">
        <v>652</v>
      </c>
      <c r="D109" s="916"/>
      <c r="E109" s="292">
        <v>0</v>
      </c>
      <c r="G109" s="366">
        <v>20</v>
      </c>
      <c r="H109" s="292">
        <v>0</v>
      </c>
      <c r="I109" s="292">
        <v>0</v>
      </c>
      <c r="J109" s="377">
        <v>20</v>
      </c>
      <c r="K109" s="336">
        <f t="shared" si="4"/>
        <v>100</v>
      </c>
      <c r="L109" s="336">
        <f t="shared" si="4"/>
        <v>0</v>
      </c>
      <c r="M109" s="336">
        <f t="shared" si="4"/>
        <v>0</v>
      </c>
      <c r="N109" s="368">
        <f t="shared" si="5"/>
        <v>100</v>
      </c>
      <c r="O109" s="335">
        <v>47.5</v>
      </c>
      <c r="P109" s="336"/>
      <c r="Q109" s="336"/>
      <c r="R109" s="337">
        <f t="shared" si="6"/>
        <v>47.5</v>
      </c>
      <c r="S109" s="292">
        <v>4</v>
      </c>
      <c r="T109" s="838"/>
      <c r="U109" s="836"/>
      <c r="V109" s="299" t="s">
        <v>455</v>
      </c>
      <c r="W109" s="292" t="s">
        <v>74</v>
      </c>
      <c r="X109" s="292" t="s">
        <v>11</v>
      </c>
      <c r="Y109" s="300">
        <v>47.5</v>
      </c>
      <c r="AD109" s="299"/>
      <c r="AG109" s="300"/>
      <c r="AL109" s="299"/>
      <c r="AO109" s="300"/>
      <c r="AP109" s="299"/>
      <c r="AS109" s="300"/>
      <c r="AW109" s="300"/>
      <c r="BA109" s="301"/>
    </row>
    <row r="110" spans="1:53" s="292" customFormat="1">
      <c r="A110" s="292">
        <v>2009</v>
      </c>
      <c r="B110" s="836"/>
      <c r="C110" s="916" t="s">
        <v>652</v>
      </c>
      <c r="D110" s="916"/>
      <c r="E110" s="292">
        <v>365</v>
      </c>
      <c r="G110" s="366">
        <v>20</v>
      </c>
      <c r="H110" s="292">
        <v>0</v>
      </c>
      <c r="I110" s="292">
        <v>0</v>
      </c>
      <c r="J110" s="377">
        <v>20</v>
      </c>
      <c r="K110" s="336">
        <f t="shared" si="4"/>
        <v>100</v>
      </c>
      <c r="L110" s="336">
        <f t="shared" si="4"/>
        <v>0</v>
      </c>
      <c r="M110" s="336">
        <f t="shared" si="4"/>
        <v>0</v>
      </c>
      <c r="N110" s="368">
        <f t="shared" si="5"/>
        <v>100</v>
      </c>
      <c r="O110" s="335">
        <v>47.5</v>
      </c>
      <c r="P110" s="336"/>
      <c r="Q110" s="336"/>
      <c r="R110" s="337">
        <f t="shared" si="6"/>
        <v>47.5</v>
      </c>
      <c r="S110" s="292">
        <v>4</v>
      </c>
      <c r="T110" s="838"/>
      <c r="U110" s="836"/>
      <c r="V110" s="299" t="s">
        <v>455</v>
      </c>
      <c r="W110" s="292" t="s">
        <v>74</v>
      </c>
      <c r="X110" s="292" t="s">
        <v>11</v>
      </c>
      <c r="Y110" s="300">
        <v>47.5</v>
      </c>
      <c r="AD110" s="299"/>
      <c r="AG110" s="300"/>
      <c r="AL110" s="299"/>
      <c r="AO110" s="300"/>
      <c r="AP110" s="299"/>
      <c r="AS110" s="300"/>
      <c r="AW110" s="300"/>
      <c r="BA110" s="301"/>
    </row>
    <row r="111" spans="1:53" s="292" customFormat="1">
      <c r="A111" s="292">
        <v>2010</v>
      </c>
      <c r="B111" s="836"/>
      <c r="C111" s="916" t="s">
        <v>652</v>
      </c>
      <c r="D111" s="916"/>
      <c r="E111" s="292">
        <v>0</v>
      </c>
      <c r="G111" s="366">
        <v>20</v>
      </c>
      <c r="H111" s="292">
        <v>0</v>
      </c>
      <c r="I111" s="292">
        <v>0</v>
      </c>
      <c r="J111" s="377">
        <v>20</v>
      </c>
      <c r="K111" s="336">
        <f t="shared" si="4"/>
        <v>100</v>
      </c>
      <c r="L111" s="336">
        <f t="shared" si="4"/>
        <v>0</v>
      </c>
      <c r="M111" s="336">
        <f t="shared" si="4"/>
        <v>0</v>
      </c>
      <c r="N111" s="368">
        <f t="shared" si="5"/>
        <v>100</v>
      </c>
      <c r="O111" s="335">
        <v>47.5</v>
      </c>
      <c r="P111" s="336"/>
      <c r="Q111" s="336"/>
      <c r="R111" s="337">
        <f t="shared" si="6"/>
        <v>47.5</v>
      </c>
      <c r="S111" s="292">
        <v>4</v>
      </c>
      <c r="T111" s="838"/>
      <c r="U111" s="836"/>
      <c r="V111" s="299" t="s">
        <v>455</v>
      </c>
      <c r="W111" s="292" t="s">
        <v>74</v>
      </c>
      <c r="X111" s="292" t="s">
        <v>11</v>
      </c>
      <c r="Y111" s="300">
        <v>47.5</v>
      </c>
      <c r="AD111" s="299"/>
      <c r="AG111" s="300"/>
      <c r="AL111" s="299"/>
      <c r="AO111" s="300"/>
      <c r="AP111" s="299"/>
      <c r="AS111" s="300"/>
      <c r="AW111" s="300"/>
      <c r="BA111" s="301"/>
    </row>
    <row r="112" spans="1:53" s="292" customFormat="1">
      <c r="A112" s="292">
        <v>2010</v>
      </c>
      <c r="B112" s="836"/>
      <c r="C112" s="916" t="s">
        <v>652</v>
      </c>
      <c r="D112" s="916"/>
      <c r="E112" s="292">
        <v>365</v>
      </c>
      <c r="G112" s="366">
        <v>20</v>
      </c>
      <c r="H112" s="292">
        <v>0</v>
      </c>
      <c r="I112" s="292">
        <v>0</v>
      </c>
      <c r="J112" s="377">
        <v>20</v>
      </c>
      <c r="K112" s="336">
        <f t="shared" si="4"/>
        <v>100</v>
      </c>
      <c r="L112" s="336">
        <f t="shared" si="4"/>
        <v>0</v>
      </c>
      <c r="M112" s="336">
        <f t="shared" si="4"/>
        <v>0</v>
      </c>
      <c r="N112" s="368">
        <f t="shared" si="5"/>
        <v>100</v>
      </c>
      <c r="O112" s="335">
        <v>47.5</v>
      </c>
      <c r="P112" s="336"/>
      <c r="Q112" s="336"/>
      <c r="R112" s="337">
        <f t="shared" si="6"/>
        <v>47.5</v>
      </c>
      <c r="S112" s="292">
        <v>4</v>
      </c>
      <c r="T112" s="838"/>
      <c r="U112" s="836"/>
      <c r="V112" s="299" t="s">
        <v>455</v>
      </c>
      <c r="W112" s="292" t="s">
        <v>74</v>
      </c>
      <c r="X112" s="292" t="s">
        <v>11</v>
      </c>
      <c r="Y112" s="300">
        <v>47.5</v>
      </c>
      <c r="AD112" s="299"/>
      <c r="AG112" s="300"/>
      <c r="AL112" s="299"/>
      <c r="AO112" s="300"/>
      <c r="AP112" s="299"/>
      <c r="AS112" s="300"/>
      <c r="AW112" s="300"/>
      <c r="BA112" s="301"/>
    </row>
    <row r="113" spans="1:53" s="292" customFormat="1">
      <c r="A113" s="292">
        <v>2011</v>
      </c>
      <c r="B113" s="836"/>
      <c r="C113" s="916" t="s">
        <v>652</v>
      </c>
      <c r="D113" s="916"/>
      <c r="E113" s="292">
        <v>347</v>
      </c>
      <c r="G113" s="366">
        <v>20</v>
      </c>
      <c r="H113" s="292">
        <v>0</v>
      </c>
      <c r="I113" s="292">
        <v>0</v>
      </c>
      <c r="J113" s="377">
        <v>20</v>
      </c>
      <c r="K113" s="336">
        <f t="shared" si="4"/>
        <v>100</v>
      </c>
      <c r="L113" s="336">
        <f t="shared" si="4"/>
        <v>0</v>
      </c>
      <c r="M113" s="336">
        <f t="shared" si="4"/>
        <v>0</v>
      </c>
      <c r="N113" s="368">
        <f t="shared" si="5"/>
        <v>100</v>
      </c>
      <c r="O113" s="335">
        <v>47.5</v>
      </c>
      <c r="P113" s="336"/>
      <c r="Q113" s="336"/>
      <c r="R113" s="337">
        <f t="shared" si="6"/>
        <v>47.5</v>
      </c>
      <c r="S113" s="292">
        <v>4</v>
      </c>
      <c r="T113" s="838"/>
      <c r="U113" s="836"/>
      <c r="V113" s="299" t="s">
        <v>455</v>
      </c>
      <c r="W113" s="292" t="s">
        <v>74</v>
      </c>
      <c r="X113" s="292" t="s">
        <v>11</v>
      </c>
      <c r="Y113" s="300">
        <v>47.5</v>
      </c>
      <c r="AD113" s="299"/>
      <c r="AG113" s="300"/>
      <c r="AL113" s="299"/>
      <c r="AO113" s="300"/>
      <c r="AP113" s="299"/>
      <c r="AS113" s="300"/>
      <c r="AW113" s="300"/>
      <c r="BA113" s="301"/>
    </row>
    <row r="114" spans="1:53" s="185" customFormat="1">
      <c r="A114" s="185">
        <v>2011</v>
      </c>
      <c r="B114" s="852">
        <v>40891</v>
      </c>
      <c r="C114" s="917" t="s">
        <v>653</v>
      </c>
      <c r="D114" s="917"/>
      <c r="E114" s="185">
        <v>18</v>
      </c>
      <c r="F114" s="185">
        <v>1</v>
      </c>
      <c r="G114" s="119">
        <v>20</v>
      </c>
      <c r="H114" s="185">
        <v>0</v>
      </c>
      <c r="I114" s="185">
        <v>0</v>
      </c>
      <c r="J114" s="126">
        <v>20</v>
      </c>
      <c r="K114" s="92">
        <f t="shared" si="4"/>
        <v>100</v>
      </c>
      <c r="L114" s="92">
        <f t="shared" si="4"/>
        <v>0</v>
      </c>
      <c r="M114" s="92">
        <f t="shared" si="4"/>
        <v>0</v>
      </c>
      <c r="N114" s="121">
        <f t="shared" si="5"/>
        <v>100</v>
      </c>
      <c r="O114" s="91">
        <v>48.76</v>
      </c>
      <c r="P114" s="92"/>
      <c r="Q114" s="92"/>
      <c r="R114" s="93">
        <f t="shared" si="6"/>
        <v>48.76</v>
      </c>
      <c r="S114" s="185">
        <v>4</v>
      </c>
      <c r="T114" s="839">
        <v>40873</v>
      </c>
      <c r="U114" s="852">
        <v>40891</v>
      </c>
      <c r="V114" s="82" t="s">
        <v>455</v>
      </c>
      <c r="W114" s="185" t="s">
        <v>74</v>
      </c>
      <c r="X114" s="185" t="s">
        <v>11</v>
      </c>
      <c r="Y114" s="83">
        <v>48.8</v>
      </c>
      <c r="AD114" s="82"/>
      <c r="AG114" s="83"/>
      <c r="AL114" s="82"/>
      <c r="AO114" s="83"/>
      <c r="AP114" s="82"/>
      <c r="AS114" s="83"/>
      <c r="AW114" s="83"/>
      <c r="BA114" s="84"/>
    </row>
    <row r="115" spans="1:53" s="185" customFormat="1">
      <c r="A115" s="185">
        <v>2012</v>
      </c>
      <c r="B115" s="852"/>
      <c r="C115" s="917" t="s">
        <v>653</v>
      </c>
      <c r="D115" s="917"/>
      <c r="E115" s="185">
        <v>0</v>
      </c>
      <c r="G115" s="119">
        <v>20</v>
      </c>
      <c r="H115" s="185">
        <v>0</v>
      </c>
      <c r="I115" s="185">
        <v>0</v>
      </c>
      <c r="J115" s="126">
        <v>20</v>
      </c>
      <c r="K115" s="92">
        <f t="shared" si="4"/>
        <v>100</v>
      </c>
      <c r="L115" s="92">
        <f t="shared" si="4"/>
        <v>0</v>
      </c>
      <c r="M115" s="92">
        <f t="shared" si="4"/>
        <v>0</v>
      </c>
      <c r="N115" s="121">
        <f t="shared" si="5"/>
        <v>100</v>
      </c>
      <c r="O115" s="91">
        <v>48.76</v>
      </c>
      <c r="P115" s="92"/>
      <c r="Q115" s="92"/>
      <c r="R115" s="93">
        <f t="shared" si="6"/>
        <v>48.76</v>
      </c>
      <c r="S115" s="185">
        <v>4</v>
      </c>
      <c r="T115" s="839"/>
      <c r="U115" s="852"/>
      <c r="V115" s="82" t="s">
        <v>455</v>
      </c>
      <c r="W115" s="185" t="s">
        <v>74</v>
      </c>
      <c r="X115" s="185" t="s">
        <v>11</v>
      </c>
      <c r="Y115" s="83">
        <v>48.8</v>
      </c>
      <c r="AD115" s="82"/>
      <c r="AG115" s="83"/>
      <c r="AL115" s="82"/>
      <c r="AO115" s="83"/>
      <c r="AP115" s="82"/>
      <c r="AS115" s="83"/>
      <c r="AW115" s="83"/>
      <c r="BA115" s="84"/>
    </row>
    <row r="116" spans="1:53" s="185" customFormat="1">
      <c r="A116" s="185">
        <v>2012</v>
      </c>
      <c r="B116" s="852"/>
      <c r="C116" s="917" t="s">
        <v>653</v>
      </c>
      <c r="D116" s="917"/>
      <c r="E116" s="185">
        <v>366</v>
      </c>
      <c r="G116" s="119">
        <v>20</v>
      </c>
      <c r="H116" s="185">
        <v>0</v>
      </c>
      <c r="I116" s="185">
        <v>0</v>
      </c>
      <c r="J116" s="126">
        <v>20</v>
      </c>
      <c r="K116" s="92">
        <f t="shared" si="4"/>
        <v>100</v>
      </c>
      <c r="L116" s="92">
        <f t="shared" si="4"/>
        <v>0</v>
      </c>
      <c r="M116" s="92">
        <f t="shared" si="4"/>
        <v>0</v>
      </c>
      <c r="N116" s="121">
        <f t="shared" si="5"/>
        <v>100</v>
      </c>
      <c r="O116" s="91">
        <v>48.76</v>
      </c>
      <c r="P116" s="92"/>
      <c r="Q116" s="92"/>
      <c r="R116" s="93">
        <f t="shared" si="6"/>
        <v>48.76</v>
      </c>
      <c r="S116" s="185">
        <v>4</v>
      </c>
      <c r="T116" s="839"/>
      <c r="U116" s="852"/>
      <c r="V116" s="82" t="s">
        <v>455</v>
      </c>
      <c r="W116" s="185" t="s">
        <v>74</v>
      </c>
      <c r="X116" s="185" t="s">
        <v>11</v>
      </c>
      <c r="Y116" s="83">
        <v>48.8</v>
      </c>
      <c r="AD116" s="82"/>
      <c r="AG116" s="83"/>
      <c r="AL116" s="82"/>
      <c r="AO116" s="83"/>
      <c r="AP116" s="82"/>
      <c r="AS116" s="83"/>
      <c r="AW116" s="83"/>
      <c r="BA116" s="84"/>
    </row>
    <row r="117" spans="1:53" s="271" customFormat="1">
      <c r="A117" s="271">
        <v>2013</v>
      </c>
      <c r="B117" s="852"/>
      <c r="C117" s="917" t="s">
        <v>653</v>
      </c>
      <c r="D117" s="917"/>
      <c r="E117" s="271">
        <v>0</v>
      </c>
      <c r="G117" s="119">
        <v>20</v>
      </c>
      <c r="H117" s="271">
        <v>0</v>
      </c>
      <c r="I117" s="271">
        <v>0</v>
      </c>
      <c r="J117" s="126">
        <v>20</v>
      </c>
      <c r="K117" s="92">
        <f t="shared" si="4"/>
        <v>100</v>
      </c>
      <c r="L117" s="92">
        <f t="shared" si="4"/>
        <v>0</v>
      </c>
      <c r="M117" s="92">
        <f t="shared" si="4"/>
        <v>0</v>
      </c>
      <c r="N117" s="121">
        <f t="shared" si="5"/>
        <v>100</v>
      </c>
      <c r="O117" s="91">
        <v>48.76</v>
      </c>
      <c r="P117" s="92"/>
      <c r="Q117" s="92"/>
      <c r="R117" s="93">
        <f>O117+P117+Q117</f>
        <v>48.76</v>
      </c>
      <c r="S117" s="271">
        <v>4</v>
      </c>
      <c r="T117" s="839"/>
      <c r="U117" s="852"/>
      <c r="V117" s="82" t="s">
        <v>455</v>
      </c>
      <c r="W117" s="271" t="s">
        <v>74</v>
      </c>
      <c r="X117" s="271" t="s">
        <v>11</v>
      </c>
      <c r="Y117" s="83">
        <v>48.8</v>
      </c>
      <c r="AD117" s="82"/>
      <c r="AG117" s="83"/>
      <c r="AL117" s="82"/>
      <c r="AO117" s="83"/>
      <c r="AP117" s="82"/>
      <c r="AS117" s="83"/>
      <c r="AW117" s="83"/>
      <c r="BA117" s="84"/>
    </row>
    <row r="118" spans="1:53" s="271" customFormat="1">
      <c r="A118" s="271">
        <v>2013</v>
      </c>
      <c r="B118" s="852"/>
      <c r="C118" s="917" t="s">
        <v>653</v>
      </c>
      <c r="D118" s="917"/>
      <c r="E118" s="271">
        <v>365</v>
      </c>
      <c r="G118" s="119">
        <v>20</v>
      </c>
      <c r="H118" s="271">
        <v>0</v>
      </c>
      <c r="I118" s="271">
        <v>0</v>
      </c>
      <c r="J118" s="126">
        <v>20</v>
      </c>
      <c r="K118" s="92">
        <f t="shared" si="4"/>
        <v>100</v>
      </c>
      <c r="L118" s="92">
        <f t="shared" si="4"/>
        <v>0</v>
      </c>
      <c r="M118" s="92">
        <f t="shared" si="4"/>
        <v>0</v>
      </c>
      <c r="N118" s="121">
        <f t="shared" si="5"/>
        <v>100</v>
      </c>
      <c r="O118" s="91">
        <v>48.76</v>
      </c>
      <c r="P118" s="92"/>
      <c r="Q118" s="92"/>
      <c r="R118" s="93">
        <f>O118+P118+Q118</f>
        <v>48.76</v>
      </c>
      <c r="S118" s="271">
        <v>4</v>
      </c>
      <c r="T118" s="839"/>
      <c r="U118" s="852"/>
      <c r="V118" s="82" t="s">
        <v>455</v>
      </c>
      <c r="W118" s="271" t="s">
        <v>74</v>
      </c>
      <c r="X118" s="271" t="s">
        <v>11</v>
      </c>
      <c r="Y118" s="83">
        <v>48.8</v>
      </c>
      <c r="AD118" s="82"/>
      <c r="AG118" s="83"/>
      <c r="AL118" s="82"/>
      <c r="AO118" s="83"/>
      <c r="AP118" s="82"/>
      <c r="AS118" s="83"/>
      <c r="AW118" s="83"/>
      <c r="BA118" s="84"/>
    </row>
    <row r="119" spans="1:53" s="544" customFormat="1">
      <c r="A119" s="544">
        <v>2014</v>
      </c>
      <c r="B119" s="852"/>
      <c r="C119" s="917" t="s">
        <v>653</v>
      </c>
      <c r="D119" s="917"/>
      <c r="E119" s="544">
        <v>241</v>
      </c>
      <c r="G119" s="498">
        <v>20</v>
      </c>
      <c r="H119" s="544">
        <v>0</v>
      </c>
      <c r="I119" s="544">
        <v>0</v>
      </c>
      <c r="J119" s="500">
        <v>20</v>
      </c>
      <c r="K119" s="496">
        <f t="shared" ref="K119:M121" si="7">G119/$J119*100</f>
        <v>100</v>
      </c>
      <c r="L119" s="496">
        <f t="shared" si="7"/>
        <v>0</v>
      </c>
      <c r="M119" s="496">
        <f t="shared" si="7"/>
        <v>0</v>
      </c>
      <c r="N119" s="499">
        <f>K119+L119+M119</f>
        <v>100</v>
      </c>
      <c r="O119" s="495">
        <v>48.76</v>
      </c>
      <c r="P119" s="496"/>
      <c r="Q119" s="496"/>
      <c r="R119" s="497">
        <f>O119+P119+Q119</f>
        <v>48.76</v>
      </c>
      <c r="S119" s="544">
        <v>4</v>
      </c>
      <c r="T119" s="839"/>
      <c r="U119" s="852"/>
      <c r="V119" s="492" t="s">
        <v>455</v>
      </c>
      <c r="W119" s="544" t="s">
        <v>74</v>
      </c>
      <c r="X119" s="544" t="s">
        <v>11</v>
      </c>
      <c r="Y119" s="493">
        <v>48.8</v>
      </c>
      <c r="AD119" s="492"/>
      <c r="AG119" s="493"/>
      <c r="AL119" s="492"/>
      <c r="AO119" s="493"/>
      <c r="AP119" s="492"/>
      <c r="AS119" s="493"/>
      <c r="AW119" s="493"/>
      <c r="BA119" s="494"/>
    </row>
    <row r="120" spans="1:53" s="544" customFormat="1">
      <c r="A120" s="544">
        <v>2014</v>
      </c>
      <c r="B120" s="860">
        <v>41881</v>
      </c>
      <c r="C120" s="917" t="s">
        <v>653</v>
      </c>
      <c r="D120" s="917"/>
      <c r="E120" s="544">
        <v>39</v>
      </c>
      <c r="F120" s="502">
        <v>0</v>
      </c>
      <c r="G120" s="498">
        <v>19</v>
      </c>
      <c r="H120" s="544">
        <v>0</v>
      </c>
      <c r="I120" s="544">
        <v>0</v>
      </c>
      <c r="J120" s="500">
        <v>19</v>
      </c>
      <c r="K120" s="496">
        <f t="shared" si="7"/>
        <v>100</v>
      </c>
      <c r="L120" s="496">
        <f t="shared" si="7"/>
        <v>0</v>
      </c>
      <c r="M120" s="496">
        <f t="shared" si="7"/>
        <v>0</v>
      </c>
      <c r="N120" s="499">
        <f>K120+L120+M120</f>
        <v>100</v>
      </c>
      <c r="O120" s="495">
        <v>48.76</v>
      </c>
      <c r="P120" s="496"/>
      <c r="Q120" s="496"/>
      <c r="R120" s="497">
        <f>O120+P120+Q120</f>
        <v>48.76</v>
      </c>
      <c r="S120" s="544">
        <v>4</v>
      </c>
      <c r="T120" s="839"/>
      <c r="U120" s="852"/>
      <c r="V120" s="492" t="s">
        <v>455</v>
      </c>
      <c r="W120" s="544" t="s">
        <v>74</v>
      </c>
      <c r="X120" s="544" t="s">
        <v>11</v>
      </c>
      <c r="Y120" s="493">
        <v>48.8</v>
      </c>
      <c r="AD120" s="492"/>
      <c r="AG120" s="493"/>
      <c r="AL120" s="492"/>
      <c r="AO120" s="493"/>
      <c r="AP120" s="492"/>
      <c r="AS120" s="493"/>
      <c r="AW120" s="493"/>
      <c r="BA120" s="494"/>
    </row>
    <row r="121" spans="1:53" s="545" customFormat="1">
      <c r="A121" s="545">
        <v>2014</v>
      </c>
      <c r="B121" s="836">
        <v>41920</v>
      </c>
      <c r="C121" s="916" t="s">
        <v>1304</v>
      </c>
      <c r="D121" s="916"/>
      <c r="E121" s="545">
        <v>85</v>
      </c>
      <c r="F121" s="545">
        <v>1</v>
      </c>
      <c r="G121" s="539">
        <v>20</v>
      </c>
      <c r="H121" s="545">
        <v>0</v>
      </c>
      <c r="I121" s="545">
        <v>0</v>
      </c>
      <c r="J121" s="541">
        <v>20</v>
      </c>
      <c r="K121" s="537">
        <f t="shared" si="7"/>
        <v>100</v>
      </c>
      <c r="L121" s="537">
        <f t="shared" si="7"/>
        <v>0</v>
      </c>
      <c r="M121" s="537">
        <f t="shared" si="7"/>
        <v>0</v>
      </c>
      <c r="N121" s="540">
        <f>K121+L121+M121</f>
        <v>100</v>
      </c>
      <c r="O121" s="536">
        <v>49.6</v>
      </c>
      <c r="P121" s="537"/>
      <c r="Q121" s="537"/>
      <c r="R121" s="538">
        <f>O121+P121+Q121</f>
        <v>49.6</v>
      </c>
      <c r="S121" s="545">
        <v>4</v>
      </c>
      <c r="T121" s="838">
        <v>41902</v>
      </c>
      <c r="U121" s="836">
        <v>41920</v>
      </c>
      <c r="V121" s="532" t="s">
        <v>455</v>
      </c>
      <c r="W121" s="545" t="s">
        <v>74</v>
      </c>
      <c r="X121" s="545" t="s">
        <v>11</v>
      </c>
      <c r="Y121" s="533">
        <v>49.6</v>
      </c>
      <c r="AD121" s="532"/>
      <c r="AG121" s="533"/>
      <c r="AL121" s="532"/>
      <c r="AO121" s="533"/>
      <c r="AP121" s="532"/>
      <c r="AS121" s="533"/>
      <c r="AW121" s="533"/>
      <c r="BA121" s="534"/>
    </row>
    <row r="122" spans="1:53" s="616" customFormat="1">
      <c r="A122" s="616">
        <v>2015</v>
      </c>
      <c r="B122" s="836"/>
      <c r="C122" s="916" t="s">
        <v>1304</v>
      </c>
      <c r="D122" s="916"/>
      <c r="E122" s="616">
        <v>0</v>
      </c>
      <c r="G122" s="539">
        <v>20</v>
      </c>
      <c r="H122" s="616">
        <v>0</v>
      </c>
      <c r="I122" s="616">
        <v>0</v>
      </c>
      <c r="J122" s="541">
        <v>20</v>
      </c>
      <c r="K122" s="537">
        <f t="shared" ref="K122:K123" si="8">G122/$J122*100</f>
        <v>100</v>
      </c>
      <c r="L122" s="537">
        <f t="shared" ref="L122:L123" si="9">H122/$J122*100</f>
        <v>0</v>
      </c>
      <c r="M122" s="537">
        <f t="shared" ref="M122:M123" si="10">I122/$J122*100</f>
        <v>0</v>
      </c>
      <c r="N122" s="540">
        <f t="shared" ref="N122:N123" si="11">K122+L122+M122</f>
        <v>100</v>
      </c>
      <c r="O122" s="536">
        <v>49.6</v>
      </c>
      <c r="P122" s="537"/>
      <c r="Q122" s="537"/>
      <c r="R122" s="538">
        <f t="shared" ref="R122:R123" si="12">O122+P122+Q122</f>
        <v>49.6</v>
      </c>
      <c r="S122" s="616">
        <v>4</v>
      </c>
      <c r="T122" s="838"/>
      <c r="U122" s="836"/>
      <c r="V122" s="532" t="s">
        <v>455</v>
      </c>
      <c r="W122" s="616" t="s">
        <v>74</v>
      </c>
      <c r="X122" s="616" t="s">
        <v>11</v>
      </c>
      <c r="Y122" s="533">
        <v>49.6</v>
      </c>
      <c r="AD122" s="532"/>
      <c r="AG122" s="533"/>
      <c r="AL122" s="532"/>
      <c r="AO122" s="533"/>
      <c r="AP122" s="532"/>
      <c r="AS122" s="533"/>
      <c r="AW122" s="533"/>
      <c r="BA122" s="534"/>
    </row>
    <row r="123" spans="1:53" s="616" customFormat="1">
      <c r="A123" s="616">
        <v>2015</v>
      </c>
      <c r="B123" s="836"/>
      <c r="C123" s="916" t="s">
        <v>1304</v>
      </c>
      <c r="D123" s="916"/>
      <c r="E123" s="616">
        <v>365</v>
      </c>
      <c r="G123" s="539">
        <v>20</v>
      </c>
      <c r="H123" s="616">
        <v>0</v>
      </c>
      <c r="I123" s="616">
        <v>0</v>
      </c>
      <c r="J123" s="541">
        <v>20</v>
      </c>
      <c r="K123" s="537">
        <f t="shared" si="8"/>
        <v>100</v>
      </c>
      <c r="L123" s="537">
        <f t="shared" si="9"/>
        <v>0</v>
      </c>
      <c r="M123" s="537">
        <f t="shared" si="10"/>
        <v>0</v>
      </c>
      <c r="N123" s="540">
        <f t="shared" si="11"/>
        <v>100</v>
      </c>
      <c r="O123" s="536">
        <v>49.6</v>
      </c>
      <c r="P123" s="537"/>
      <c r="Q123" s="537"/>
      <c r="R123" s="538">
        <f t="shared" si="12"/>
        <v>49.6</v>
      </c>
      <c r="S123" s="616">
        <v>4</v>
      </c>
      <c r="T123" s="838"/>
      <c r="U123" s="836"/>
      <c r="V123" s="532" t="s">
        <v>455</v>
      </c>
      <c r="W123" s="616" t="s">
        <v>74</v>
      </c>
      <c r="X123" s="616" t="s">
        <v>11</v>
      </c>
      <c r="Y123" s="533">
        <v>49.6</v>
      </c>
      <c r="AD123" s="532"/>
      <c r="AG123" s="533"/>
      <c r="AL123" s="532"/>
      <c r="AO123" s="533"/>
      <c r="AP123" s="532"/>
      <c r="AS123" s="533"/>
      <c r="AW123" s="533"/>
      <c r="BA123" s="534"/>
    </row>
    <row r="124" spans="1:53" s="687" customFormat="1">
      <c r="A124" s="687">
        <v>2016</v>
      </c>
      <c r="B124" s="836"/>
      <c r="C124" s="916" t="s">
        <v>1304</v>
      </c>
      <c r="D124" s="916"/>
      <c r="E124" s="687">
        <v>352</v>
      </c>
      <c r="G124" s="539">
        <v>20</v>
      </c>
      <c r="H124" s="687">
        <v>0</v>
      </c>
      <c r="I124" s="687">
        <v>0</v>
      </c>
      <c r="J124" s="541">
        <v>20</v>
      </c>
      <c r="K124" s="537">
        <f t="shared" ref="K124:K125" si="13">G124/$J124*100</f>
        <v>100</v>
      </c>
      <c r="L124" s="537">
        <f t="shared" ref="L124:L125" si="14">H124/$J124*100</f>
        <v>0</v>
      </c>
      <c r="M124" s="537">
        <f t="shared" ref="M124:M125" si="15">I124/$J124*100</f>
        <v>0</v>
      </c>
      <c r="N124" s="540">
        <f t="shared" ref="N124:N125" si="16">K124+L124+M124</f>
        <v>100</v>
      </c>
      <c r="O124" s="536">
        <v>49.6</v>
      </c>
      <c r="P124" s="537"/>
      <c r="Q124" s="537"/>
      <c r="R124" s="538">
        <f t="shared" ref="R124:R125" si="17">O124+P124+Q124</f>
        <v>49.6</v>
      </c>
      <c r="S124" s="687">
        <v>4</v>
      </c>
      <c r="T124" s="838"/>
      <c r="U124" s="836"/>
      <c r="V124" s="532" t="s">
        <v>455</v>
      </c>
      <c r="W124" s="687" t="s">
        <v>74</v>
      </c>
      <c r="X124" s="687" t="s">
        <v>11</v>
      </c>
      <c r="Y124" s="533">
        <v>49.6</v>
      </c>
      <c r="AD124" s="532"/>
      <c r="AG124" s="533"/>
      <c r="AL124" s="532"/>
      <c r="AO124" s="533"/>
      <c r="AP124" s="532"/>
      <c r="AS124" s="533"/>
      <c r="AW124" s="533"/>
      <c r="BA124" s="534"/>
    </row>
    <row r="125" spans="1:53" s="686" customFormat="1">
      <c r="A125" s="686">
        <v>2016</v>
      </c>
      <c r="B125" s="852">
        <v>42722</v>
      </c>
      <c r="C125" s="917" t="s">
        <v>1353</v>
      </c>
      <c r="D125" s="917"/>
      <c r="E125" s="686">
        <v>14</v>
      </c>
      <c r="F125" s="686">
        <v>2</v>
      </c>
      <c r="G125" s="498">
        <v>20</v>
      </c>
      <c r="H125" s="686">
        <v>0</v>
      </c>
      <c r="I125" s="686">
        <v>0</v>
      </c>
      <c r="J125" s="500">
        <v>20</v>
      </c>
      <c r="K125" s="496">
        <f t="shared" si="13"/>
        <v>100</v>
      </c>
      <c r="L125" s="496">
        <f t="shared" si="14"/>
        <v>0</v>
      </c>
      <c r="M125" s="496">
        <f t="shared" si="15"/>
        <v>0</v>
      </c>
      <c r="N125" s="499">
        <f t="shared" si="16"/>
        <v>100</v>
      </c>
      <c r="O125" s="495">
        <v>48.8</v>
      </c>
      <c r="P125" s="496"/>
      <c r="Q125" s="496"/>
      <c r="R125" s="497">
        <f t="shared" si="17"/>
        <v>48.8</v>
      </c>
      <c r="S125" s="686">
        <v>4</v>
      </c>
      <c r="T125" s="839"/>
      <c r="U125" s="852">
        <v>42722</v>
      </c>
      <c r="V125" s="492" t="s">
        <v>455</v>
      </c>
      <c r="W125" s="686" t="s">
        <v>74</v>
      </c>
      <c r="X125" s="686" t="s">
        <v>11</v>
      </c>
      <c r="Y125" s="493">
        <v>48.8</v>
      </c>
      <c r="AD125" s="492"/>
      <c r="AG125" s="493"/>
      <c r="AL125" s="492"/>
      <c r="AO125" s="493"/>
      <c r="AP125" s="492"/>
      <c r="AS125" s="493"/>
      <c r="AW125" s="493"/>
      <c r="BA125" s="494"/>
    </row>
    <row r="126" spans="1:53" s="727" customFormat="1">
      <c r="A126" s="727">
        <v>2017</v>
      </c>
      <c r="B126" s="852"/>
      <c r="C126" s="917" t="s">
        <v>1353</v>
      </c>
      <c r="D126" s="917"/>
      <c r="E126" s="727">
        <v>298</v>
      </c>
      <c r="G126" s="498">
        <v>20</v>
      </c>
      <c r="H126" s="727">
        <v>0</v>
      </c>
      <c r="I126" s="727">
        <v>0</v>
      </c>
      <c r="J126" s="500">
        <v>20</v>
      </c>
      <c r="K126" s="496">
        <f t="shared" ref="K126:K127" si="18">G126/$J126*100</f>
        <v>100</v>
      </c>
      <c r="L126" s="496">
        <f t="shared" ref="L126:L127" si="19">H126/$J126*100</f>
        <v>0</v>
      </c>
      <c r="M126" s="496">
        <f t="shared" ref="M126:M127" si="20">I126/$J126*100</f>
        <v>0</v>
      </c>
      <c r="N126" s="499">
        <f t="shared" ref="N126:N127" si="21">K126+L126+M126</f>
        <v>100</v>
      </c>
      <c r="O126" s="495">
        <v>48.8</v>
      </c>
      <c r="P126" s="496"/>
      <c r="Q126" s="496"/>
      <c r="R126" s="497">
        <f t="shared" ref="R126:R127" si="22">O126+P126+Q126</f>
        <v>48.8</v>
      </c>
      <c r="S126" s="727">
        <v>4</v>
      </c>
      <c r="T126" s="839"/>
      <c r="U126" s="852"/>
      <c r="V126" s="492" t="s">
        <v>455</v>
      </c>
      <c r="W126" s="727" t="s">
        <v>74</v>
      </c>
      <c r="X126" s="727" t="s">
        <v>11</v>
      </c>
      <c r="Y126" s="493">
        <v>48.8</v>
      </c>
      <c r="AD126" s="492"/>
      <c r="AG126" s="493"/>
      <c r="AL126" s="492"/>
      <c r="AO126" s="493"/>
      <c r="AP126" s="492"/>
      <c r="AS126" s="493"/>
      <c r="AW126" s="493"/>
      <c r="BA126" s="494"/>
    </row>
    <row r="127" spans="1:53" s="726" customFormat="1">
      <c r="A127" s="726">
        <v>2017</v>
      </c>
      <c r="B127" s="836">
        <v>43034</v>
      </c>
      <c r="C127" s="916" t="s">
        <v>1384</v>
      </c>
      <c r="D127" s="916"/>
      <c r="E127" s="726">
        <v>67</v>
      </c>
      <c r="F127" s="726">
        <v>1</v>
      </c>
      <c r="G127" s="539">
        <v>4</v>
      </c>
      <c r="H127" s="726">
        <v>0</v>
      </c>
      <c r="I127" s="726">
        <v>16</v>
      </c>
      <c r="J127" s="541">
        <v>20</v>
      </c>
      <c r="K127" s="537">
        <f t="shared" si="18"/>
        <v>20</v>
      </c>
      <c r="L127" s="537">
        <f t="shared" si="19"/>
        <v>0</v>
      </c>
      <c r="M127" s="537">
        <f t="shared" si="20"/>
        <v>80</v>
      </c>
      <c r="N127" s="540">
        <f t="shared" si="21"/>
        <v>100</v>
      </c>
      <c r="O127" s="536">
        <v>7.5</v>
      </c>
      <c r="P127" s="537"/>
      <c r="Q127" s="537">
        <v>38.299999999999997</v>
      </c>
      <c r="R127" s="538">
        <f t="shared" si="22"/>
        <v>45.8</v>
      </c>
      <c r="S127" s="726">
        <v>5</v>
      </c>
      <c r="T127" s="838">
        <v>43001</v>
      </c>
      <c r="U127" s="836">
        <v>43034</v>
      </c>
      <c r="V127" s="532" t="s">
        <v>454</v>
      </c>
      <c r="W127" s="726" t="s">
        <v>20</v>
      </c>
      <c r="X127" s="726" t="s">
        <v>12</v>
      </c>
      <c r="Y127" s="533">
        <v>38.299999999999997</v>
      </c>
      <c r="Z127" s="726" t="s">
        <v>456</v>
      </c>
      <c r="AA127" s="726" t="s">
        <v>77</v>
      </c>
      <c r="AB127" s="726" t="s">
        <v>11</v>
      </c>
      <c r="AC127" s="726">
        <v>7.5</v>
      </c>
      <c r="AD127" s="532"/>
      <c r="AG127" s="533"/>
      <c r="AL127" s="532"/>
      <c r="AO127" s="533"/>
      <c r="AP127" s="532"/>
      <c r="AS127" s="533"/>
      <c r="AW127" s="533"/>
      <c r="BA127" s="534"/>
    </row>
    <row r="128" spans="1:53" s="770" customFormat="1">
      <c r="A128" s="770">
        <v>2018</v>
      </c>
      <c r="B128" s="836"/>
      <c r="C128" s="916" t="s">
        <v>1384</v>
      </c>
      <c r="D128" s="916"/>
      <c r="E128" s="770">
        <v>235</v>
      </c>
      <c r="G128" s="539">
        <v>4</v>
      </c>
      <c r="H128" s="770">
        <v>0</v>
      </c>
      <c r="I128" s="770">
        <v>16</v>
      </c>
      <c r="J128" s="541">
        <v>20</v>
      </c>
      <c r="K128" s="537">
        <f t="shared" ref="K128:K129" si="23">G128/$J128*100</f>
        <v>20</v>
      </c>
      <c r="L128" s="537">
        <f t="shared" ref="L128:L129" si="24">H128/$J128*100</f>
        <v>0</v>
      </c>
      <c r="M128" s="537">
        <f t="shared" ref="M128:M129" si="25">I128/$J128*100</f>
        <v>80</v>
      </c>
      <c r="N128" s="540">
        <f t="shared" ref="N128:N129" si="26">K128+L128+M128</f>
        <v>100</v>
      </c>
      <c r="O128" s="536">
        <v>7.5</v>
      </c>
      <c r="P128" s="537"/>
      <c r="Q128" s="537">
        <v>38.299999999999997</v>
      </c>
      <c r="R128" s="538">
        <f t="shared" ref="R128:R129" si="27">O128+P128+Q128</f>
        <v>45.8</v>
      </c>
      <c r="S128" s="770">
        <v>5</v>
      </c>
      <c r="T128" s="838"/>
      <c r="U128" s="836"/>
      <c r="V128" s="532" t="s">
        <v>454</v>
      </c>
      <c r="W128" s="770" t="s">
        <v>20</v>
      </c>
      <c r="X128" s="770" t="s">
        <v>12</v>
      </c>
      <c r="Y128" s="533">
        <v>38.299999999999997</v>
      </c>
      <c r="Z128" s="770" t="s">
        <v>456</v>
      </c>
      <c r="AA128" s="770" t="s">
        <v>77</v>
      </c>
      <c r="AB128" s="770" t="s">
        <v>11</v>
      </c>
      <c r="AC128" s="770">
        <v>7.5</v>
      </c>
      <c r="AD128" s="532"/>
      <c r="AG128" s="533"/>
      <c r="AL128" s="532"/>
      <c r="AO128" s="533"/>
      <c r="AP128" s="532"/>
      <c r="AS128" s="533"/>
      <c r="AW128" s="533"/>
      <c r="BA128" s="534"/>
    </row>
    <row r="129" spans="1:53" s="770" customFormat="1">
      <c r="A129" s="770">
        <v>2018</v>
      </c>
      <c r="B129" s="865">
        <v>43336</v>
      </c>
      <c r="C129" s="916" t="s">
        <v>1384</v>
      </c>
      <c r="D129" s="916"/>
      <c r="E129" s="770">
        <v>130</v>
      </c>
      <c r="F129" s="428">
        <v>0</v>
      </c>
      <c r="G129" s="539">
        <v>4</v>
      </c>
      <c r="H129" s="770">
        <v>0</v>
      </c>
      <c r="I129" s="770">
        <v>15</v>
      </c>
      <c r="J129" s="541">
        <v>19</v>
      </c>
      <c r="K129" s="537">
        <f t="shared" si="23"/>
        <v>21.052631578947366</v>
      </c>
      <c r="L129" s="537">
        <f t="shared" si="24"/>
        <v>0</v>
      </c>
      <c r="M129" s="537">
        <f t="shared" si="25"/>
        <v>78.94736842105263</v>
      </c>
      <c r="N129" s="540">
        <f t="shared" si="26"/>
        <v>100</v>
      </c>
      <c r="O129" s="536">
        <v>7.5</v>
      </c>
      <c r="P129" s="537"/>
      <c r="Q129" s="537">
        <v>38.299999999999997</v>
      </c>
      <c r="R129" s="538">
        <f t="shared" si="27"/>
        <v>45.8</v>
      </c>
      <c r="S129" s="770">
        <v>5</v>
      </c>
      <c r="T129" s="838"/>
      <c r="U129" s="836"/>
      <c r="V129" s="532" t="s">
        <v>454</v>
      </c>
      <c r="W129" s="770" t="s">
        <v>20</v>
      </c>
      <c r="X129" s="770" t="s">
        <v>12</v>
      </c>
      <c r="Y129" s="533">
        <v>38.299999999999997</v>
      </c>
      <c r="Z129" s="770" t="s">
        <v>456</v>
      </c>
      <c r="AA129" s="770" t="s">
        <v>77</v>
      </c>
      <c r="AB129" s="770" t="s">
        <v>11</v>
      </c>
      <c r="AC129" s="770">
        <v>7.5</v>
      </c>
      <c r="AD129" s="532"/>
      <c r="AG129" s="533"/>
      <c r="AL129" s="532"/>
      <c r="AO129" s="533"/>
      <c r="AP129" s="532"/>
      <c r="AS129" s="533"/>
      <c r="AW129" s="533"/>
      <c r="BA129" s="534"/>
    </row>
    <row r="130" spans="1:53" s="803" customFormat="1">
      <c r="A130" s="803">
        <v>2019</v>
      </c>
      <c r="B130" s="865"/>
      <c r="C130" s="916" t="s">
        <v>1384</v>
      </c>
      <c r="D130" s="916"/>
      <c r="E130" s="803">
        <v>177</v>
      </c>
      <c r="F130" s="428"/>
      <c r="G130" s="539">
        <v>4</v>
      </c>
      <c r="H130" s="803">
        <v>0</v>
      </c>
      <c r="I130" s="803">
        <v>15</v>
      </c>
      <c r="J130" s="541">
        <v>19</v>
      </c>
      <c r="K130" s="537">
        <f t="shared" ref="K130:K131" si="28">G130/$J130*100</f>
        <v>21.052631578947366</v>
      </c>
      <c r="L130" s="537">
        <f t="shared" ref="L130:L131" si="29">H130/$J130*100</f>
        <v>0</v>
      </c>
      <c r="M130" s="537">
        <f t="shared" ref="M130:M131" si="30">I130/$J130*100</f>
        <v>78.94736842105263</v>
      </c>
      <c r="N130" s="540">
        <f t="shared" ref="N130:N131" si="31">K130+L130+M130</f>
        <v>100</v>
      </c>
      <c r="O130" s="536">
        <v>7.5</v>
      </c>
      <c r="P130" s="537"/>
      <c r="Q130" s="537">
        <v>38.299999999999997</v>
      </c>
      <c r="R130" s="538">
        <f t="shared" ref="R130:R131" si="32">O130+P130+Q130</f>
        <v>45.8</v>
      </c>
      <c r="S130" s="803">
        <v>5</v>
      </c>
      <c r="T130" s="838"/>
      <c r="U130" s="836"/>
      <c r="V130" s="532" t="s">
        <v>454</v>
      </c>
      <c r="W130" s="803" t="s">
        <v>20</v>
      </c>
      <c r="X130" s="803" t="s">
        <v>12</v>
      </c>
      <c r="Y130" s="533">
        <v>38.299999999999997</v>
      </c>
      <c r="Z130" s="803" t="s">
        <v>456</v>
      </c>
      <c r="AA130" s="803" t="s">
        <v>77</v>
      </c>
      <c r="AB130" s="803" t="s">
        <v>11</v>
      </c>
      <c r="AC130" s="803">
        <v>7.5</v>
      </c>
      <c r="AD130" s="532"/>
      <c r="AG130" s="533"/>
      <c r="AL130" s="532"/>
      <c r="AO130" s="533"/>
      <c r="AP130" s="532"/>
      <c r="AS130" s="533"/>
      <c r="AW130" s="533"/>
      <c r="BA130" s="534"/>
    </row>
    <row r="131" spans="1:53" s="803" customFormat="1">
      <c r="A131" s="803">
        <v>2019</v>
      </c>
      <c r="B131" s="865">
        <v>43643</v>
      </c>
      <c r="C131" s="916" t="s">
        <v>1384</v>
      </c>
      <c r="D131" s="916"/>
      <c r="E131" s="803">
        <v>188</v>
      </c>
      <c r="F131" s="428">
        <v>0</v>
      </c>
      <c r="G131" s="539">
        <v>4</v>
      </c>
      <c r="H131" s="803">
        <v>0</v>
      </c>
      <c r="I131" s="803">
        <v>16</v>
      </c>
      <c r="J131" s="541">
        <v>20</v>
      </c>
      <c r="K131" s="537">
        <f t="shared" si="28"/>
        <v>20</v>
      </c>
      <c r="L131" s="537">
        <f t="shared" si="29"/>
        <v>0</v>
      </c>
      <c r="M131" s="537">
        <f t="shared" si="30"/>
        <v>80</v>
      </c>
      <c r="N131" s="540">
        <f t="shared" si="31"/>
        <v>100</v>
      </c>
      <c r="O131" s="536">
        <v>7.5</v>
      </c>
      <c r="P131" s="537"/>
      <c r="Q131" s="537">
        <v>38.299999999999997</v>
      </c>
      <c r="R131" s="538">
        <f t="shared" si="32"/>
        <v>45.8</v>
      </c>
      <c r="S131" s="803">
        <v>5</v>
      </c>
      <c r="T131" s="838"/>
      <c r="U131" s="836"/>
      <c r="V131" s="532" t="s">
        <v>454</v>
      </c>
      <c r="W131" s="803" t="s">
        <v>20</v>
      </c>
      <c r="X131" s="803" t="s">
        <v>12</v>
      </c>
      <c r="Y131" s="533">
        <v>38.299999999999997</v>
      </c>
      <c r="Z131" s="803" t="s">
        <v>456</v>
      </c>
      <c r="AA131" s="803" t="s">
        <v>77</v>
      </c>
      <c r="AB131" s="803" t="s">
        <v>11</v>
      </c>
      <c r="AC131" s="803">
        <v>7.5</v>
      </c>
      <c r="AD131" s="532"/>
      <c r="AG131" s="533"/>
      <c r="AL131" s="532"/>
      <c r="AO131" s="533"/>
      <c r="AP131" s="532"/>
      <c r="AS131" s="533"/>
      <c r="AW131" s="533"/>
      <c r="BA131" s="534"/>
    </row>
    <row r="133" spans="1:53" s="2" customFormat="1" ht="18" customHeight="1">
      <c r="B133" s="22" t="s">
        <v>1269</v>
      </c>
      <c r="H133" s="6"/>
    </row>
    <row r="134" spans="1:53" s="2" customFormat="1" ht="9" customHeight="1">
      <c r="H134" s="6"/>
    </row>
    <row r="135" spans="1:53" s="317" customFormat="1" ht="9" customHeight="1">
      <c r="A135" s="315"/>
      <c r="B135" s="316" t="s">
        <v>1220</v>
      </c>
      <c r="C135" s="316"/>
      <c r="D135" s="316"/>
      <c r="E135" s="316"/>
      <c r="F135" s="316"/>
      <c r="G135" s="316" t="s">
        <v>1221</v>
      </c>
      <c r="H135" s="316"/>
      <c r="I135" s="316"/>
      <c r="J135" s="316"/>
      <c r="K135" s="316"/>
      <c r="L135" s="316"/>
      <c r="M135" s="316"/>
      <c r="N135" s="316"/>
      <c r="R135" s="895" t="s">
        <v>1222</v>
      </c>
      <c r="S135" s="895"/>
      <c r="T135" s="895"/>
      <c r="U135" s="895"/>
      <c r="V135" s="895"/>
      <c r="W135" s="895"/>
      <c r="X135" s="318"/>
      <c r="Y135" s="318"/>
      <c r="AA135" s="318"/>
      <c r="AB135" s="318"/>
      <c r="AC135" s="318"/>
      <c r="AD135" s="318"/>
    </row>
    <row r="136" spans="1:53" s="322" customFormat="1" ht="9" customHeight="1">
      <c r="A136" s="319"/>
      <c r="B136" s="320" t="s">
        <v>1224</v>
      </c>
      <c r="C136" s="321"/>
      <c r="D136" s="321"/>
      <c r="E136" s="321"/>
      <c r="F136" s="321"/>
      <c r="G136" s="320" t="s">
        <v>1223</v>
      </c>
      <c r="H136" s="321"/>
      <c r="I136" s="321"/>
      <c r="J136" s="321"/>
      <c r="K136" s="321"/>
      <c r="L136" s="321"/>
      <c r="M136" s="321"/>
      <c r="N136" s="321"/>
      <c r="R136" s="323" t="s">
        <v>1225</v>
      </c>
      <c r="S136" s="324"/>
      <c r="T136" s="325"/>
      <c r="U136" s="325"/>
      <c r="V136" s="325"/>
      <c r="W136" s="323" t="s">
        <v>1226</v>
      </c>
      <c r="X136" s="325"/>
      <c r="Y136" s="325"/>
      <c r="AA136" s="325"/>
      <c r="AB136" s="325"/>
      <c r="AC136" s="325"/>
      <c r="AD136" s="325"/>
    </row>
    <row r="137" spans="1:53" s="307" customFormat="1" ht="12" customHeight="1">
      <c r="A137" s="326" t="s">
        <v>3</v>
      </c>
      <c r="B137" s="327" t="s">
        <v>8</v>
      </c>
      <c r="C137" s="327" t="s">
        <v>9</v>
      </c>
      <c r="D137" s="327" t="s">
        <v>10</v>
      </c>
      <c r="E137" s="328" t="s">
        <v>1200</v>
      </c>
      <c r="F137" s="327"/>
      <c r="G137" s="307" t="s">
        <v>3</v>
      </c>
      <c r="H137" s="896" t="s">
        <v>0</v>
      </c>
      <c r="I137" s="896"/>
      <c r="J137" s="896" t="s">
        <v>1</v>
      </c>
      <c r="K137" s="896"/>
      <c r="L137" s="896" t="s">
        <v>2</v>
      </c>
      <c r="M137" s="896"/>
      <c r="N137" s="897" t="s">
        <v>1200</v>
      </c>
      <c r="O137" s="897"/>
      <c r="P137" s="329"/>
      <c r="Q137" s="329"/>
      <c r="R137" s="330" t="s">
        <v>3</v>
      </c>
      <c r="S137" s="331" t="s">
        <v>136</v>
      </c>
      <c r="T137" s="329" t="s">
        <v>134</v>
      </c>
      <c r="U137" s="327" t="s">
        <v>135</v>
      </c>
      <c r="V137" s="329"/>
      <c r="W137" s="332" t="s">
        <v>26</v>
      </c>
    </row>
    <row r="138" spans="1:53" s="243" customFormat="1">
      <c r="A138" s="243">
        <v>1959</v>
      </c>
      <c r="B138" s="230">
        <f>(K6*($E6/365)) + (K7*($E7/365))</f>
        <v>0</v>
      </c>
      <c r="C138" s="230">
        <f>(L6*($E6/365)) + (L7*($E7/365))</f>
        <v>0</v>
      </c>
      <c r="D138" s="230">
        <f>(M6*($E6/365)) + (M7*($E7/365))</f>
        <v>100</v>
      </c>
      <c r="E138" s="231">
        <f>B138+C138+D138</f>
        <v>100</v>
      </c>
      <c r="G138" s="243">
        <v>1959</v>
      </c>
      <c r="H138" s="927">
        <f>(O6/$R6*100*($E6/365))+(O7/$R7*100*($E7/365))</f>
        <v>0</v>
      </c>
      <c r="I138" s="927"/>
      <c r="J138" s="927">
        <f>(P6/$R6*100*($E6/365))+(P7/$R7*100*($E7/365))</f>
        <v>0</v>
      </c>
      <c r="K138" s="927"/>
      <c r="L138" s="927">
        <f>(Q6/$R6*100*($E6/365))+(Q7/$R7*100*($E7/365))</f>
        <v>100</v>
      </c>
      <c r="M138" s="927"/>
      <c r="N138" s="926">
        <f>H138+J138+L138</f>
        <v>100</v>
      </c>
      <c r="O138" s="926"/>
      <c r="R138" s="243">
        <v>1959</v>
      </c>
      <c r="S138" s="230">
        <f>(O6*($E6/365)) + (O7*($E7/365))</f>
        <v>0</v>
      </c>
      <c r="T138" s="230">
        <f>(P6*($E6/365)) + (P7*($E7/365))</f>
        <v>0</v>
      </c>
      <c r="U138" s="230">
        <f>(Q6*($E6/365)) + (Q7*($E7/365))</f>
        <v>51.3</v>
      </c>
      <c r="V138" s="244"/>
      <c r="W138" s="244">
        <f>S138+T138+U138</f>
        <v>51.3</v>
      </c>
    </row>
    <row r="139" spans="1:53">
      <c r="A139" s="1">
        <v>1960</v>
      </c>
      <c r="B139" s="8">
        <f>(K8*($E8/366))+(K9*($E9/366))</f>
        <v>5.4644808743169397</v>
      </c>
      <c r="C139" s="8">
        <f>(L8*($E8/366))+(L9*($E9/366))</f>
        <v>0</v>
      </c>
      <c r="D139" s="8">
        <f>(M8*($E8/366))+(M9*($E9/366))</f>
        <v>94.535519125683066</v>
      </c>
      <c r="E139" s="48">
        <f>B139+C139+D139</f>
        <v>100</v>
      </c>
      <c r="G139" s="1">
        <v>1960</v>
      </c>
      <c r="H139" s="918">
        <f>(O8/$R8*100*($E8/366))+(O9/$R9*100*($E9/366))</f>
        <v>5.4644808743169397</v>
      </c>
      <c r="I139" s="918"/>
      <c r="J139" s="918">
        <f>(P8/$R8*100*($E8/366))+(P9/$R9*100*($E9/366))</f>
        <v>0</v>
      </c>
      <c r="K139" s="918"/>
      <c r="L139" s="918">
        <f>(Q8/$R8*100*($E8/366))+(Q9/$R9*100*($E9/366))</f>
        <v>94.535519125683066</v>
      </c>
      <c r="M139" s="918"/>
      <c r="N139" s="919">
        <f>H139+J139+L139</f>
        <v>100</v>
      </c>
      <c r="O139" s="919"/>
      <c r="R139" s="1">
        <v>1960</v>
      </c>
      <c r="S139" s="8">
        <f>(O8*($E8/366))+(O9*($E9/366))</f>
        <v>3.1420765027322402</v>
      </c>
      <c r="T139" s="8">
        <f>(P8*($E8/366))+(P9*($E9/366))</f>
        <v>0</v>
      </c>
      <c r="U139" s="8">
        <f>(Q8*($E8/366))+(Q9*($E9/366))</f>
        <v>48.496721311475412</v>
      </c>
      <c r="V139" s="7"/>
      <c r="W139" s="7">
        <f>S139+T139+U139</f>
        <v>51.638797814207649</v>
      </c>
    </row>
    <row r="140" spans="1:53">
      <c r="A140" s="1">
        <v>1961</v>
      </c>
      <c r="B140" s="8">
        <f>(K10*($E10/365))+(K11*($E11/365))</f>
        <v>100</v>
      </c>
      <c r="C140" s="8">
        <f>(L10*($E10/365))+(L11*($E11/365))</f>
        <v>0</v>
      </c>
      <c r="D140" s="8">
        <f>(M10*($E10/365))+(M11*($E11/365))</f>
        <v>0</v>
      </c>
      <c r="E140" s="48">
        <f t="shared" ref="E140:E192" si="33">B140+C140+D140</f>
        <v>100</v>
      </c>
      <c r="G140" s="1">
        <v>1961</v>
      </c>
      <c r="H140" s="918">
        <f>(O10/$R10*100*($E10/365))+(O11/$R11*100*($E11/365))</f>
        <v>100</v>
      </c>
      <c r="I140" s="918"/>
      <c r="J140" s="918">
        <f>(P10/$R10*100*($E10/365))+(P11/$R11*100*($E11/365))</f>
        <v>0</v>
      </c>
      <c r="K140" s="918"/>
      <c r="L140" s="918">
        <f>(Q10/$R10*100*($E10/365))+(Q11/$R11*100*($E11/365))</f>
        <v>0</v>
      </c>
      <c r="M140" s="918"/>
      <c r="N140" s="887">
        <f t="shared" ref="N140:N190" si="34">H140+J140+L140</f>
        <v>100</v>
      </c>
      <c r="O140" s="887"/>
      <c r="R140" s="1">
        <v>1961</v>
      </c>
      <c r="S140" s="8">
        <f>(O10*($E10/365))+(O11*($E11/365))</f>
        <v>57.5</v>
      </c>
      <c r="T140" s="8">
        <f>(P10*($E10/365))+(P11*($E11/365))</f>
        <v>0</v>
      </c>
      <c r="U140" s="8">
        <f>(Q10*($E10/365))+(Q11*($E11/365))</f>
        <v>0</v>
      </c>
      <c r="V140" s="7"/>
      <c r="W140" s="7">
        <f t="shared" ref="W140:W192" si="35">S140+T140+U140</f>
        <v>57.5</v>
      </c>
    </row>
    <row r="141" spans="1:53">
      <c r="A141" s="1">
        <v>1962</v>
      </c>
      <c r="B141" s="8">
        <f>(K12*($E12/365))+(K13*($E13/365))</f>
        <v>100</v>
      </c>
      <c r="C141" s="8">
        <f>(L12*($E12/365))+(L13*($E13/365))</f>
        <v>0</v>
      </c>
      <c r="D141" s="8">
        <f>(M12*($E12/365))+(M13*($E13/365))</f>
        <v>0</v>
      </c>
      <c r="E141" s="48">
        <f t="shared" si="33"/>
        <v>100</v>
      </c>
      <c r="G141" s="1">
        <v>1962</v>
      </c>
      <c r="H141" s="918">
        <f>(O12/$R12*100*($E12/365))+(O13/$R13*100*($E13/365))</f>
        <v>100</v>
      </c>
      <c r="I141" s="918"/>
      <c r="J141" s="918">
        <f>(P12/$R12*100*($E12/365))+(P13/$R13*100*($E13/365))</f>
        <v>0</v>
      </c>
      <c r="K141" s="918"/>
      <c r="L141" s="918">
        <f>(Q12/$R12*100*($E12/365))+(Q13/$R13*100*($E13/365))</f>
        <v>0</v>
      </c>
      <c r="M141" s="918"/>
      <c r="N141" s="887">
        <f t="shared" si="34"/>
        <v>100</v>
      </c>
      <c r="O141" s="887"/>
      <c r="R141" s="1">
        <v>1962</v>
      </c>
      <c r="S141" s="8">
        <f>(O12*($E12/365))+(O13*($E13/365))</f>
        <v>57.5</v>
      </c>
      <c r="T141" s="8">
        <f>(P12*($E12/365))+(P13*($E13/365))</f>
        <v>0</v>
      </c>
      <c r="U141" s="8">
        <f>(Q12*($E12/365))+(Q13*($E13/365))</f>
        <v>0</v>
      </c>
      <c r="V141" s="7"/>
      <c r="W141" s="7">
        <f t="shared" si="35"/>
        <v>57.5</v>
      </c>
    </row>
    <row r="142" spans="1:53">
      <c r="A142" s="1">
        <v>1963</v>
      </c>
      <c r="B142" s="8">
        <f>(K14*($E14/365))+(K15*($E15/365))</f>
        <v>100.00000000000001</v>
      </c>
      <c r="C142" s="8">
        <f>(L14*($E14/365))+(L15*($E15/365))</f>
        <v>0</v>
      </c>
      <c r="D142" s="8">
        <f>(M14*($E14/365))+(M15*($E15/365))</f>
        <v>0</v>
      </c>
      <c r="E142" s="48">
        <f t="shared" si="33"/>
        <v>100.00000000000001</v>
      </c>
      <c r="G142" s="1">
        <v>1963</v>
      </c>
      <c r="H142" s="918">
        <f>(O14/$R14*100*($E14/365))+(O15/$R15*100*($E15/365))</f>
        <v>100.00000000000001</v>
      </c>
      <c r="I142" s="918"/>
      <c r="J142" s="918">
        <f>(P14/$R14*100*($E14/365))+(P15/$R15*100*($E15/365))</f>
        <v>0</v>
      </c>
      <c r="K142" s="918"/>
      <c r="L142" s="918">
        <f>(Q14/$R14*100*($E14/365))+(Q15/$R15*100*($E15/365))</f>
        <v>0</v>
      </c>
      <c r="M142" s="918"/>
      <c r="N142" s="887">
        <f t="shared" si="34"/>
        <v>100.00000000000001</v>
      </c>
      <c r="O142" s="887"/>
      <c r="R142" s="1">
        <v>1963</v>
      </c>
      <c r="S142" s="8">
        <f>(O14*($E14/365))+(O15*($E15/365))</f>
        <v>57.460547945205484</v>
      </c>
      <c r="T142" s="8">
        <f>(P14*($E14/365))+(P15*($E15/365))</f>
        <v>0</v>
      </c>
      <c r="U142" s="8">
        <f>(Q14*($E14/365))+(Q15*($E15/365))</f>
        <v>0</v>
      </c>
      <c r="V142" s="7"/>
      <c r="W142" s="7">
        <f t="shared" si="35"/>
        <v>57.460547945205484</v>
      </c>
    </row>
    <row r="143" spans="1:53">
      <c r="A143" s="1">
        <v>1964</v>
      </c>
      <c r="B143" s="8">
        <f>(K16*($E16/366))+(K17*($E17/366))</f>
        <v>100</v>
      </c>
      <c r="C143" s="8">
        <f>(L16*($E16/366))+(L17*($E17/366))</f>
        <v>0</v>
      </c>
      <c r="D143" s="8">
        <f>(M16*($E16/366))+(M17*($E17/366))</f>
        <v>0</v>
      </c>
      <c r="E143" s="48">
        <f t="shared" si="33"/>
        <v>100</v>
      </c>
      <c r="G143" s="1">
        <v>1964</v>
      </c>
      <c r="H143" s="918">
        <f>(O16/$R16*100*($E16/366))+(O17/$R17*100*($E17/366))</f>
        <v>100</v>
      </c>
      <c r="I143" s="918"/>
      <c r="J143" s="918">
        <f>(P16/$R16*100*($E16/366))+(P17/$R17*100*($E17/366))</f>
        <v>0</v>
      </c>
      <c r="K143" s="918"/>
      <c r="L143" s="918">
        <f>(Q16/$R16*100*($E16/366))+(Q17/$R17*100*($E17/366))</f>
        <v>0</v>
      </c>
      <c r="M143" s="918"/>
      <c r="N143" s="887">
        <f t="shared" si="34"/>
        <v>100</v>
      </c>
      <c r="O143" s="887"/>
      <c r="R143" s="1">
        <v>1964</v>
      </c>
      <c r="S143" s="8">
        <f>(O16*($E16/366))+(O17*($E17/366))</f>
        <v>56.3</v>
      </c>
      <c r="T143" s="8">
        <f>(P16*($E16/366))+(P17*($E17/366))</f>
        <v>0</v>
      </c>
      <c r="U143" s="8">
        <f>(Q16*($E16/366))+(Q17*($E17/366))</f>
        <v>0</v>
      </c>
      <c r="V143" s="7"/>
      <c r="W143" s="7">
        <f t="shared" si="35"/>
        <v>56.3</v>
      </c>
    </row>
    <row r="144" spans="1:53">
      <c r="A144" s="1">
        <v>1965</v>
      </c>
      <c r="B144" s="8">
        <f>(K18*($E18/365))+(K19*($E19/365))</f>
        <v>100</v>
      </c>
      <c r="C144" s="8">
        <f>(L18*($E18/365))+(L19*($E19/365))</f>
        <v>0</v>
      </c>
      <c r="D144" s="8">
        <f>(M18*($E18/365))+(M19*($E19/365))</f>
        <v>0</v>
      </c>
      <c r="E144" s="48">
        <f t="shared" si="33"/>
        <v>100</v>
      </c>
      <c r="G144" s="1">
        <v>1965</v>
      </c>
      <c r="H144" s="918">
        <f>(O18/$R18*100*($E18/365))+(O19/$R19*100*($E19/365))</f>
        <v>100</v>
      </c>
      <c r="I144" s="918"/>
      <c r="J144" s="918">
        <f>(P18/$R18*100*($E18/365))+(P19/$R19*100*($E19/365))</f>
        <v>0</v>
      </c>
      <c r="K144" s="918"/>
      <c r="L144" s="918">
        <f>(Q18/$R18*100*($E18/365))+(Q19/$R19*100*($E19/365))</f>
        <v>0</v>
      </c>
      <c r="M144" s="918"/>
      <c r="N144" s="887">
        <f t="shared" si="34"/>
        <v>100</v>
      </c>
      <c r="O144" s="887"/>
      <c r="R144" s="1">
        <v>1965</v>
      </c>
      <c r="S144" s="8">
        <f>(O18*($E18/365))+(O19*($E19/365))</f>
        <v>56.3</v>
      </c>
      <c r="T144" s="8">
        <f>(P18*($E18/365))+(P19*($E19/365))</f>
        <v>0</v>
      </c>
      <c r="U144" s="8">
        <f>(Q18*($E18/365))+(Q19*($E19/365))</f>
        <v>0</v>
      </c>
      <c r="V144" s="7"/>
      <c r="W144" s="7">
        <f t="shared" si="35"/>
        <v>56.3</v>
      </c>
    </row>
    <row r="145" spans="1:23">
      <c r="A145" s="1">
        <v>1966</v>
      </c>
      <c r="B145" s="8">
        <f>(K20*($E20/365))+(K21*($E21/365))</f>
        <v>100</v>
      </c>
      <c r="C145" s="8">
        <f>(L20*($E20/365))+(L21*($E21/365))</f>
        <v>0</v>
      </c>
      <c r="D145" s="8">
        <f>(M20*($E20/365))+(M21*($E21/365))</f>
        <v>0</v>
      </c>
      <c r="E145" s="48">
        <f t="shared" si="33"/>
        <v>100</v>
      </c>
      <c r="G145" s="1">
        <v>1966</v>
      </c>
      <c r="H145" s="918">
        <f>(O20/$R20*100*($E20/365))+(O21/$R21*100*($E21/365))</f>
        <v>100</v>
      </c>
      <c r="I145" s="918"/>
      <c r="J145" s="918">
        <f>(P20/$R20*100*($E20/365))+(P21/$R21*100*($E21/365))</f>
        <v>0</v>
      </c>
      <c r="K145" s="918"/>
      <c r="L145" s="918">
        <f>(Q20/$R20*100*($E20/365))+(Q21/$R21*100*($E21/365))</f>
        <v>0</v>
      </c>
      <c r="M145" s="918"/>
      <c r="N145" s="887">
        <f t="shared" si="34"/>
        <v>100</v>
      </c>
      <c r="O145" s="887"/>
      <c r="R145" s="1">
        <v>1966</v>
      </c>
      <c r="S145" s="8">
        <f>(O20*($E20/365))+(O21*($E21/365))</f>
        <v>56.228767123287668</v>
      </c>
      <c r="T145" s="8">
        <f>(P20*($E20/365))+(P21*($E21/365))</f>
        <v>0</v>
      </c>
      <c r="U145" s="8">
        <f>(Q20*($E20/365))+(Q21*($E21/365))</f>
        <v>0</v>
      </c>
      <c r="V145" s="7"/>
      <c r="W145" s="7">
        <f t="shared" si="35"/>
        <v>56.228767123287668</v>
      </c>
    </row>
    <row r="146" spans="1:23">
      <c r="A146" s="1">
        <v>1967</v>
      </c>
      <c r="B146" s="8">
        <f>(K22*($E22/365))+(K23*($E23/365))</f>
        <v>100</v>
      </c>
      <c r="C146" s="8">
        <f>(L22*($E22/365))+(L23*($E23/365))</f>
        <v>0</v>
      </c>
      <c r="D146" s="8">
        <f>(M22*($E22/365))+(M23*($E23/365))</f>
        <v>0</v>
      </c>
      <c r="E146" s="48">
        <f t="shared" si="33"/>
        <v>100</v>
      </c>
      <c r="G146" s="1">
        <v>1967</v>
      </c>
      <c r="H146" s="918">
        <f>(O22/$R22*100*($E22/365))+(O23/$R23*100*($E23/365))</f>
        <v>100</v>
      </c>
      <c r="I146" s="918"/>
      <c r="J146" s="918">
        <f>(P22/$R22*100*($E22/365))+(P23/$R23*100*($E23/365))</f>
        <v>0</v>
      </c>
      <c r="K146" s="918"/>
      <c r="L146" s="918">
        <f>(Q22/$R22*100*($E22/365))+(Q23/$R23*100*($E23/365))</f>
        <v>0</v>
      </c>
      <c r="M146" s="918"/>
      <c r="N146" s="887">
        <f t="shared" si="34"/>
        <v>100</v>
      </c>
      <c r="O146" s="887"/>
      <c r="R146" s="1">
        <v>1967</v>
      </c>
      <c r="S146" s="8">
        <f>(O22*($E22/365))+(O23*($E23/365))</f>
        <v>55</v>
      </c>
      <c r="T146" s="8">
        <f>(P22*($E22/365))+(P23*($E23/365))</f>
        <v>0</v>
      </c>
      <c r="U146" s="8">
        <f>(Q22*($E22/365))+(Q23*($E23/365))</f>
        <v>0</v>
      </c>
      <c r="V146" s="7"/>
      <c r="W146" s="7">
        <f t="shared" si="35"/>
        <v>55</v>
      </c>
    </row>
    <row r="147" spans="1:23">
      <c r="A147" s="1">
        <v>1968</v>
      </c>
      <c r="B147" s="8">
        <f>(K24*($E24/366))+(K25*($E25/366))</f>
        <v>100</v>
      </c>
      <c r="C147" s="8">
        <f>(L24*($E24/366))+(L25*($E25/366))</f>
        <v>0</v>
      </c>
      <c r="D147" s="8">
        <f>(M24*($E24/366))+(M25*($E25/366))</f>
        <v>0</v>
      </c>
      <c r="E147" s="48">
        <f t="shared" si="33"/>
        <v>100</v>
      </c>
      <c r="G147" s="1">
        <v>1968</v>
      </c>
      <c r="H147" s="918">
        <f>(O24/$R24*100*($E24/366))+(O25/$R25*100*($E25/366))</f>
        <v>100</v>
      </c>
      <c r="I147" s="918"/>
      <c r="J147" s="918">
        <f>(P24/$R24*100*($E24/366))+(P25/$R25*100*($E25/366))</f>
        <v>0</v>
      </c>
      <c r="K147" s="918"/>
      <c r="L147" s="918">
        <f>(Q24/$R24*100*($E24/366))+(Q25/$R25*100*($E25/366))</f>
        <v>0</v>
      </c>
      <c r="M147" s="918"/>
      <c r="N147" s="887">
        <f t="shared" si="34"/>
        <v>100</v>
      </c>
      <c r="O147" s="887"/>
      <c r="R147" s="1">
        <v>1968</v>
      </c>
      <c r="S147" s="8">
        <f>(O24*($E24/366))+(O25*($E25/366))</f>
        <v>55</v>
      </c>
      <c r="T147" s="8">
        <f>(P24*($E24/366))+(P25*($E25/366))</f>
        <v>0</v>
      </c>
      <c r="U147" s="8">
        <f>(Q24*($E24/366))+(Q25*($E25/366))</f>
        <v>0</v>
      </c>
      <c r="V147" s="7"/>
      <c r="W147" s="7">
        <f t="shared" si="35"/>
        <v>55</v>
      </c>
    </row>
    <row r="148" spans="1:23">
      <c r="A148" s="1">
        <v>1969</v>
      </c>
      <c r="B148" s="8">
        <f>(K26*($E26/365))+(K27*($E27/365))</f>
        <v>100</v>
      </c>
      <c r="C148" s="8">
        <f>(L26*($E26/365))+(L27*($E27/365))</f>
        <v>0</v>
      </c>
      <c r="D148" s="8">
        <f>(M26*($E26/365))+(M27*($E27/365))</f>
        <v>0</v>
      </c>
      <c r="E148" s="48">
        <f t="shared" si="33"/>
        <v>100</v>
      </c>
      <c r="G148" s="1">
        <v>1969</v>
      </c>
      <c r="H148" s="918">
        <f>(O26/$R26*100*($E26/365))+(O27/$R27*100*($E27/365))</f>
        <v>100</v>
      </c>
      <c r="I148" s="918"/>
      <c r="J148" s="918">
        <f>(P26/$R26*100*($E26/365))+(P27/$R27*100*($E27/365))</f>
        <v>0</v>
      </c>
      <c r="K148" s="918"/>
      <c r="L148" s="918">
        <f>(Q26/$R26*100*($E26/365))+(Q27/$R27*100*($E27/365))</f>
        <v>0</v>
      </c>
      <c r="M148" s="918"/>
      <c r="N148" s="887">
        <f t="shared" si="34"/>
        <v>100</v>
      </c>
      <c r="O148" s="887"/>
      <c r="R148" s="1">
        <v>1969</v>
      </c>
      <c r="S148" s="8">
        <f>(O26*($E26/365))+(O27*($E27/365))</f>
        <v>54.961643835616435</v>
      </c>
      <c r="T148" s="8">
        <f>(P26*($E26/365))+(P27*($E27/365))</f>
        <v>0</v>
      </c>
      <c r="U148" s="8">
        <f>(Q26*($E26/365))+(Q27*($E27/365))</f>
        <v>0</v>
      </c>
      <c r="V148" s="7"/>
      <c r="W148" s="7">
        <f t="shared" si="35"/>
        <v>54.961643835616435</v>
      </c>
    </row>
    <row r="149" spans="1:23">
      <c r="A149" s="1">
        <v>1970</v>
      </c>
      <c r="B149" s="8">
        <f>(K28*($E28/365))+(K29*($E29/365))</f>
        <v>100</v>
      </c>
      <c r="C149" s="8">
        <f>(L28*($E28/365))+(L29*($E29/365))</f>
        <v>0</v>
      </c>
      <c r="D149" s="8">
        <f>(M28*($E28/365))+(M29*($E29/365))</f>
        <v>0</v>
      </c>
      <c r="E149" s="48">
        <f t="shared" si="33"/>
        <v>100</v>
      </c>
      <c r="G149" s="1">
        <v>1970</v>
      </c>
      <c r="H149" s="918">
        <f>(O28/$R28*100*($E28/365))+(O29/$R29*100*($E29/365))</f>
        <v>100</v>
      </c>
      <c r="I149" s="918"/>
      <c r="J149" s="918">
        <f>(P28/$R28*100*($E28/365))+(P29/$R29*100*($E29/365))</f>
        <v>0</v>
      </c>
      <c r="K149" s="918"/>
      <c r="L149" s="918">
        <f>(Q28/$R28*100*($E28/365))+(Q29/$R29*100*($E29/365))</f>
        <v>0</v>
      </c>
      <c r="M149" s="918"/>
      <c r="N149" s="887">
        <f t="shared" si="34"/>
        <v>100</v>
      </c>
      <c r="O149" s="887"/>
      <c r="R149" s="1">
        <v>1970</v>
      </c>
      <c r="S149" s="8">
        <f>(O28*($E28/365))+(O29*($E29/365))</f>
        <v>53.6</v>
      </c>
      <c r="T149" s="8">
        <f>(P28*($E28/365))+(P29*($E29/365))</f>
        <v>0</v>
      </c>
      <c r="U149" s="8">
        <f>(Q28*($E28/365))+(Q29*($E29/365))</f>
        <v>0</v>
      </c>
      <c r="V149" s="7"/>
      <c r="W149" s="7">
        <f t="shared" si="35"/>
        <v>53.6</v>
      </c>
    </row>
    <row r="150" spans="1:23">
      <c r="A150" s="1">
        <v>1971</v>
      </c>
      <c r="B150" s="8">
        <f>(K30*($E30/365))+(K31*($E31/365))</f>
        <v>100</v>
      </c>
      <c r="C150" s="8">
        <f>(L30*($E30/365))+(L31*($E31/365))</f>
        <v>0</v>
      </c>
      <c r="D150" s="8">
        <f>(M30*($E30/365))+(M31*($E31/365))</f>
        <v>0</v>
      </c>
      <c r="E150" s="48">
        <f t="shared" si="33"/>
        <v>100</v>
      </c>
      <c r="G150" s="1">
        <v>1971</v>
      </c>
      <c r="H150" s="918">
        <f>(O30/$R30*100*($E30/365))+(O31/$R31*100*($E31/365))</f>
        <v>100</v>
      </c>
      <c r="I150" s="918"/>
      <c r="J150" s="918">
        <f>(P30/$R30*100*($E30/365))+(P31/$R31*100*($E31/365))</f>
        <v>0</v>
      </c>
      <c r="K150" s="918"/>
      <c r="L150" s="918">
        <f>(Q30/$R30*100*($E30/365))+(Q31/$R31*100*($E31/365))</f>
        <v>0</v>
      </c>
      <c r="M150" s="918"/>
      <c r="N150" s="887">
        <f t="shared" si="34"/>
        <v>100</v>
      </c>
      <c r="O150" s="887"/>
      <c r="R150" s="1">
        <v>1971</v>
      </c>
      <c r="S150" s="8">
        <f>(O30*($E30/365))+(O31*($E31/365))</f>
        <v>53.6</v>
      </c>
      <c r="T150" s="8">
        <f>(P30*($E30/365))+(P31*($E31/365))</f>
        <v>0</v>
      </c>
      <c r="U150" s="8">
        <f>(Q30*($E30/365))+(Q31*($E31/365))</f>
        <v>0</v>
      </c>
      <c r="V150" s="7"/>
      <c r="W150" s="7">
        <f t="shared" si="35"/>
        <v>53.6</v>
      </c>
    </row>
    <row r="151" spans="1:23">
      <c r="A151" s="1">
        <v>1972</v>
      </c>
      <c r="B151" s="8">
        <f>(K32*($E32/366))+(K33*($E33/366))+(K34*($E34/366))</f>
        <v>93.442622950819668</v>
      </c>
      <c r="C151" s="8">
        <f>(L32*($E32/366))+(L33*($E33/366))+(L34*($E34/366))</f>
        <v>0</v>
      </c>
      <c r="D151" s="8">
        <f>(M32*($E32/366))+(M33*($E33/366))+(M34*($E34/366))</f>
        <v>6.557377049180328</v>
      </c>
      <c r="E151" s="48">
        <f t="shared" si="33"/>
        <v>100</v>
      </c>
      <c r="G151" s="1">
        <v>1972</v>
      </c>
      <c r="H151" s="918">
        <f>(O32/$R32*100*($E32/366))+(O33/$R33*100*($E33/366))+(O34/$R34*100*($E34/366))</f>
        <v>93.442622950819668</v>
      </c>
      <c r="I151" s="918"/>
      <c r="J151" s="918">
        <f>(P32/$R32*100*($E32/366))+(P33/$R33*100*($E33/366))+(P34/$R34*100*($E34/366))</f>
        <v>0</v>
      </c>
      <c r="K151" s="918"/>
      <c r="L151" s="918">
        <f>(Q32/$R32*100*($E32/366))+(Q33/$R33*100*($E33/366))+(Q34/$R34*100*($E34/366))</f>
        <v>6.557377049180328</v>
      </c>
      <c r="M151" s="918"/>
      <c r="N151" s="887">
        <f t="shared" si="34"/>
        <v>100</v>
      </c>
      <c r="O151" s="887"/>
      <c r="R151" s="1">
        <v>1972</v>
      </c>
      <c r="S151" s="8">
        <f>(O32*($E32/366))+(O33*($E33/366))+(O34*($E34/366))</f>
        <v>50.085245901639354</v>
      </c>
      <c r="T151" s="8">
        <f>(P32*($E32/366))+(P33*($E33/366))+(P34*($E34/366))</f>
        <v>0</v>
      </c>
      <c r="U151" s="8">
        <f>(Q32*($E32/366))+(Q33*($E33/366))+(Q34*($E34/366))</f>
        <v>4.1442622950819672</v>
      </c>
      <c r="V151" s="7"/>
      <c r="W151" s="7">
        <f t="shared" si="35"/>
        <v>54.229508196721319</v>
      </c>
    </row>
    <row r="152" spans="1:23">
      <c r="A152" s="1">
        <v>1973</v>
      </c>
      <c r="B152" s="8">
        <f>(K35*($E35/365))+(K36*($E36/365))</f>
        <v>0</v>
      </c>
      <c r="C152" s="8">
        <f>(L35*($E35/365))+(L36*($E36/365))</f>
        <v>0</v>
      </c>
      <c r="D152" s="8">
        <f>(M35*($E35/365))+(M36*($E36/365))</f>
        <v>100</v>
      </c>
      <c r="E152" s="48">
        <f t="shared" si="33"/>
        <v>100</v>
      </c>
      <c r="G152" s="1">
        <v>1973</v>
      </c>
      <c r="H152" s="918">
        <f>(O35/$R35*100*($E35/365))+(O36/$R36*100*($E36/365))</f>
        <v>0</v>
      </c>
      <c r="I152" s="918"/>
      <c r="J152" s="918">
        <f>(P35/$R35*100*($E35/365))+(P36/$R36*100*($E36/365))</f>
        <v>0</v>
      </c>
      <c r="K152" s="918"/>
      <c r="L152" s="918">
        <f>(Q35/$R35*100*($E35/365))+(Q36/$R36*100*($E36/365))</f>
        <v>100</v>
      </c>
      <c r="M152" s="918"/>
      <c r="N152" s="887">
        <f t="shared" si="34"/>
        <v>100</v>
      </c>
      <c r="O152" s="887"/>
      <c r="R152" s="1">
        <v>1973</v>
      </c>
      <c r="S152" s="8">
        <f>(O35*($E35/365))+(O36*($E36/365))</f>
        <v>0</v>
      </c>
      <c r="T152" s="8">
        <f>(P35*($E35/365))+(P36*($E36/365))</f>
        <v>0</v>
      </c>
      <c r="U152" s="8">
        <f>(Q35*($E35/365))+(Q36*($E36/365))</f>
        <v>63.2</v>
      </c>
      <c r="V152" s="7"/>
      <c r="W152" s="7">
        <f t="shared" si="35"/>
        <v>63.2</v>
      </c>
    </row>
    <row r="153" spans="1:23">
      <c r="A153" s="1">
        <v>1974</v>
      </c>
      <c r="B153" s="8">
        <f>(K37*($E37/365))+(K38*($E38/365))</f>
        <v>0</v>
      </c>
      <c r="C153" s="8">
        <f>(L37*($E37/365))+(L38*($E38/365))</f>
        <v>0</v>
      </c>
      <c r="D153" s="8">
        <f>(M37*($E37/365))+(M38*($E38/365))</f>
        <v>100</v>
      </c>
      <c r="E153" s="48">
        <f t="shared" si="33"/>
        <v>100</v>
      </c>
      <c r="G153" s="1">
        <v>1974</v>
      </c>
      <c r="H153" s="918">
        <f>(O37/$R37*100*($E37/365))+(O38/$R38*100*($E38/365))</f>
        <v>0</v>
      </c>
      <c r="I153" s="918"/>
      <c r="J153" s="918">
        <f>(P37/$R37*100*($E37/365))+(P38/$R38*100*($E38/365))</f>
        <v>0</v>
      </c>
      <c r="K153" s="918"/>
      <c r="L153" s="918">
        <f>(Q37/$R37*100*($E37/365))+(Q38/$R38*100*($E38/365))</f>
        <v>100</v>
      </c>
      <c r="M153" s="918"/>
      <c r="N153" s="887">
        <f t="shared" si="34"/>
        <v>100</v>
      </c>
      <c r="O153" s="887"/>
      <c r="R153" s="1">
        <v>1974</v>
      </c>
      <c r="S153" s="8">
        <f>(O37*($E37/365))+(O38*($E38/365))</f>
        <v>0</v>
      </c>
      <c r="T153" s="8">
        <f>(P37*($E37/365))+(P38*($E38/365))</f>
        <v>0</v>
      </c>
      <c r="U153" s="8">
        <f>(Q37*($E37/365))+(Q38*($E38/365))</f>
        <v>63.2</v>
      </c>
      <c r="V153" s="7"/>
      <c r="W153" s="7">
        <f t="shared" si="35"/>
        <v>63.2</v>
      </c>
    </row>
    <row r="154" spans="1:23">
      <c r="A154" s="1">
        <v>1975</v>
      </c>
      <c r="B154" s="8">
        <f>(K39*($E39/365))+(K40*($E40/365))</f>
        <v>5.4794520547945202</v>
      </c>
      <c r="C154" s="8">
        <f>(L39*($E39/365))+(L40*($E40/365))</f>
        <v>0</v>
      </c>
      <c r="D154" s="8">
        <f>(M39*($E39/365))+(M40*($E40/365))</f>
        <v>94.520547945205479</v>
      </c>
      <c r="E154" s="48">
        <f t="shared" si="33"/>
        <v>100</v>
      </c>
      <c r="G154" s="1">
        <v>1975</v>
      </c>
      <c r="H154" s="918">
        <f>(O39/$R39*100*($E39/365))+(O40/$R40*100*($E40/365))</f>
        <v>5.4794520547945202</v>
      </c>
      <c r="I154" s="918"/>
      <c r="J154" s="918">
        <f>(P39/$R39*100*($E39/365))+(P40/$R40*100*($E40/365))</f>
        <v>0</v>
      </c>
      <c r="K154" s="918"/>
      <c r="L154" s="918">
        <f>(Q39/$R39*100*($E39/365))+(Q40/$R40*100*($E40/365))</f>
        <v>94.520547945205479</v>
      </c>
      <c r="M154" s="918"/>
      <c r="N154" s="887">
        <f t="shared" si="34"/>
        <v>100</v>
      </c>
      <c r="O154" s="887"/>
      <c r="R154" s="1">
        <v>1975</v>
      </c>
      <c r="S154" s="8">
        <f>(O39*($E39/365))+(O40*($E40/365))</f>
        <v>3.463013698630137</v>
      </c>
      <c r="T154" s="8">
        <f>(P39*($E39/365))+(P40*($E40/365))</f>
        <v>0</v>
      </c>
      <c r="U154" s="8">
        <f>(Q39*($E39/365))+(Q40*($E40/365))</f>
        <v>59.736986301369868</v>
      </c>
      <c r="V154" s="7"/>
      <c r="W154" s="7">
        <f t="shared" si="35"/>
        <v>63.2</v>
      </c>
    </row>
    <row r="155" spans="1:23">
      <c r="A155" s="1">
        <v>1976</v>
      </c>
      <c r="B155" s="8">
        <f>(K41*($E41/366))+(K42*($E42/366))</f>
        <v>100</v>
      </c>
      <c r="C155" s="8">
        <f>(L41*($E41/366))+(L42*($E42/366))</f>
        <v>0</v>
      </c>
      <c r="D155" s="8">
        <f>(M41*($E41/366))+(M42*($E42/366))</f>
        <v>0</v>
      </c>
      <c r="E155" s="48">
        <f t="shared" si="33"/>
        <v>100</v>
      </c>
      <c r="G155" s="1">
        <v>1976</v>
      </c>
      <c r="H155" s="918">
        <f>(O41/$R41*100*($E41/366))+(O42/$R42*100*($E42/366))</f>
        <v>100</v>
      </c>
      <c r="I155" s="918"/>
      <c r="J155" s="918">
        <f>(P41/$R41*100*($E41/366))+(P42/$R42*100*($E42/366))</f>
        <v>0</v>
      </c>
      <c r="K155" s="918"/>
      <c r="L155" s="918">
        <f>(Q41/$R41*100*($E41/366))+(Q42/$R42*100*($E42/366))</f>
        <v>0</v>
      </c>
      <c r="M155" s="918"/>
      <c r="N155" s="887">
        <f t="shared" si="34"/>
        <v>100</v>
      </c>
      <c r="O155" s="887"/>
      <c r="R155" s="1">
        <v>1976</v>
      </c>
      <c r="S155" s="8">
        <f>(O41*($E41/366))+(O42*($E42/366))</f>
        <v>63.2</v>
      </c>
      <c r="T155" s="8">
        <f>(P41*($E41/366))+(P42*($E42/366))</f>
        <v>0</v>
      </c>
      <c r="U155" s="8">
        <f>(Q41*($E41/366))+(Q42*($E42/366))</f>
        <v>0</v>
      </c>
      <c r="V155" s="7"/>
      <c r="W155" s="7">
        <f t="shared" si="35"/>
        <v>63.2</v>
      </c>
    </row>
    <row r="156" spans="1:23">
      <c r="A156" s="1">
        <v>1977</v>
      </c>
      <c r="B156" s="8">
        <f>(K43*($E43/365))+(K44*($E44/365))</f>
        <v>100</v>
      </c>
      <c r="C156" s="8">
        <f>(L43*($E43/365))+(L44*($E44/365))</f>
        <v>0</v>
      </c>
      <c r="D156" s="8">
        <f>(M43*($E43/365))+(M44*($E44/365))</f>
        <v>0</v>
      </c>
      <c r="E156" s="48">
        <f t="shared" si="33"/>
        <v>100</v>
      </c>
      <c r="G156" s="1">
        <v>1977</v>
      </c>
      <c r="H156" s="918">
        <f>(O43/$R43*100*($E43/365))+(O44/$R44*100*($E44/365))</f>
        <v>100</v>
      </c>
      <c r="I156" s="918"/>
      <c r="J156" s="918">
        <f>(P43/$R43*100*($E43/365))+(P44/$R44*100*($E44/365))</f>
        <v>0</v>
      </c>
      <c r="K156" s="918"/>
      <c r="L156" s="918">
        <f>(Q43/$R43*100*($E43/365))+(Q44/$R44*100*($E44/365))</f>
        <v>0</v>
      </c>
      <c r="M156" s="918"/>
      <c r="N156" s="887">
        <f t="shared" si="34"/>
        <v>100</v>
      </c>
      <c r="O156" s="887"/>
      <c r="R156" s="1">
        <v>1977</v>
      </c>
      <c r="S156" s="8">
        <f>(O43*($E43/365))+(O44*($E44/365))</f>
        <v>63.2</v>
      </c>
      <c r="T156" s="8">
        <f>(P43*($E43/365))+(P44*($E44/365))</f>
        <v>0</v>
      </c>
      <c r="U156" s="8">
        <f>(Q43*($E43/365))+(Q44*($E44/365))</f>
        <v>0</v>
      </c>
      <c r="V156" s="7"/>
      <c r="W156" s="7">
        <f t="shared" si="35"/>
        <v>63.2</v>
      </c>
    </row>
    <row r="157" spans="1:23">
      <c r="A157" s="1">
        <v>1978</v>
      </c>
      <c r="B157" s="8">
        <f>(K45*($E45/365))+(K46*($E46/365))</f>
        <v>100</v>
      </c>
      <c r="C157" s="8">
        <f>(L45*($E45/365))+(L46*($E46/365))</f>
        <v>0</v>
      </c>
      <c r="D157" s="8">
        <f>(M45*($E45/365))+(M46*($E46/365))</f>
        <v>0</v>
      </c>
      <c r="E157" s="48">
        <f t="shared" si="33"/>
        <v>100</v>
      </c>
      <c r="G157" s="1">
        <v>1978</v>
      </c>
      <c r="H157" s="918">
        <f>(O45/$R45*100*($E45/365))+(O46/$R46*100*($E46/365))</f>
        <v>100</v>
      </c>
      <c r="I157" s="918"/>
      <c r="J157" s="918">
        <f>(P45/$R45*100*($E45/365))+(P46/$R46*100*($E46/365))</f>
        <v>0</v>
      </c>
      <c r="K157" s="918"/>
      <c r="L157" s="918">
        <f>(Q45/$R45*100*($E45/365))+(Q46/$R46*100*($E46/365))</f>
        <v>0</v>
      </c>
      <c r="M157" s="918"/>
      <c r="N157" s="887">
        <f t="shared" si="34"/>
        <v>100</v>
      </c>
      <c r="O157" s="887"/>
      <c r="R157" s="1">
        <v>1978</v>
      </c>
      <c r="S157" s="8">
        <f>(O45*($E45/365))+(O46*($E46/365))</f>
        <v>62.793972602739728</v>
      </c>
      <c r="T157" s="8">
        <f>(P45*($E45/365))+(P46*($E46/365))</f>
        <v>0</v>
      </c>
      <c r="U157" s="8">
        <f>(Q45*($E45/365))+(Q46*($E46/365))</f>
        <v>0</v>
      </c>
      <c r="V157" s="7"/>
      <c r="W157" s="7">
        <f t="shared" si="35"/>
        <v>62.793972602739728</v>
      </c>
    </row>
    <row r="158" spans="1:23">
      <c r="A158" s="1">
        <v>1979</v>
      </c>
      <c r="B158" s="8">
        <f>(K47*($E47/365))+(K48*($E48/365))</f>
        <v>100</v>
      </c>
      <c r="C158" s="8">
        <f>(L47*($E47/365))+(L48*($E48/365))</f>
        <v>0</v>
      </c>
      <c r="D158" s="8">
        <f>(M47*($E47/365))+(M48*($E48/365))</f>
        <v>0</v>
      </c>
      <c r="E158" s="48">
        <f t="shared" si="33"/>
        <v>100</v>
      </c>
      <c r="G158" s="1">
        <v>1979</v>
      </c>
      <c r="H158" s="918">
        <f>(O47/$R47*100*($E47/365))+(O48/$R48*100*($E48/365))</f>
        <v>100</v>
      </c>
      <c r="I158" s="918"/>
      <c r="J158" s="918">
        <f>(P47/$R47*100*($E47/365))+(P48/$R48*100*($E48/365))</f>
        <v>0</v>
      </c>
      <c r="K158" s="918"/>
      <c r="L158" s="918">
        <f>(Q47/$R47*100*($E47/365))+(Q48/$R48*100*($E48/365))</f>
        <v>0</v>
      </c>
      <c r="M158" s="918"/>
      <c r="N158" s="887">
        <f t="shared" si="34"/>
        <v>100</v>
      </c>
      <c r="O158" s="887"/>
      <c r="R158" s="1">
        <v>1979</v>
      </c>
      <c r="S158" s="8">
        <f>(O47*($E47/365))+(O48*($E48/365))</f>
        <v>55.4</v>
      </c>
      <c r="T158" s="8">
        <f>(P47*($E47/365))+(P48*($E48/365))</f>
        <v>0</v>
      </c>
      <c r="U158" s="8">
        <f>(Q47*($E47/365))+(Q48*($E48/365))</f>
        <v>0</v>
      </c>
      <c r="V158" s="7"/>
      <c r="W158" s="7">
        <f t="shared" si="35"/>
        <v>55.4</v>
      </c>
    </row>
    <row r="159" spans="1:23">
      <c r="A159" s="1">
        <v>1980</v>
      </c>
      <c r="B159" s="8">
        <f>(K49*($E49/366))+(K50*($E50/366))</f>
        <v>100</v>
      </c>
      <c r="C159" s="8">
        <f>(L49*($E49/366))+(L50*($E50/366))</f>
        <v>0</v>
      </c>
      <c r="D159" s="8">
        <f>(M49*($E49/366))+(M50*($E50/366))</f>
        <v>0</v>
      </c>
      <c r="E159" s="48">
        <f t="shared" si="33"/>
        <v>100</v>
      </c>
      <c r="G159" s="1">
        <v>1980</v>
      </c>
      <c r="H159" s="918">
        <f>(O49/$R49*100*($E49/366))+(O50/$R50*100*($E50/366))</f>
        <v>100</v>
      </c>
      <c r="I159" s="918"/>
      <c r="J159" s="918">
        <f>(P49/$R49*100*($E49/366))+(P50/$R50*100*($E50/366))</f>
        <v>0</v>
      </c>
      <c r="K159" s="918"/>
      <c r="L159" s="918">
        <f>(Q49/$R49*100*($E49/366))+(Q50/$R50*100*($E50/366))</f>
        <v>0</v>
      </c>
      <c r="M159" s="918"/>
      <c r="N159" s="887">
        <f t="shared" si="34"/>
        <v>100</v>
      </c>
      <c r="O159" s="887"/>
      <c r="R159" s="1">
        <v>1980</v>
      </c>
      <c r="S159" s="8">
        <f>(O49*($E49/366))+(O50*($E50/366))</f>
        <v>55.4</v>
      </c>
      <c r="T159" s="8">
        <f>(P49*($E49/366))+(P50*($E50/366))</f>
        <v>0</v>
      </c>
      <c r="U159" s="8">
        <f>(Q49*($E49/366))+(Q50*($E50/366))</f>
        <v>0</v>
      </c>
      <c r="V159" s="7"/>
      <c r="W159" s="7">
        <f t="shared" si="35"/>
        <v>55.4</v>
      </c>
    </row>
    <row r="160" spans="1:23">
      <c r="A160" s="1">
        <v>1981</v>
      </c>
      <c r="B160" s="8">
        <f>(K51*($E51/365))+(K52*($E52/365))</f>
        <v>100</v>
      </c>
      <c r="C160" s="8">
        <f>(L51*($E51/365))+(L52*($E52/365))</f>
        <v>0</v>
      </c>
      <c r="D160" s="8">
        <f>(M51*($E51/365))+(M52*($E52/365))</f>
        <v>0</v>
      </c>
      <c r="E160" s="48">
        <f t="shared" si="33"/>
        <v>100</v>
      </c>
      <c r="G160" s="1">
        <v>1981</v>
      </c>
      <c r="H160" s="918">
        <f>(O51/$R51*100*($E51/365))+(O52/$R52*100*($E52/365))</f>
        <v>100</v>
      </c>
      <c r="I160" s="918"/>
      <c r="J160" s="918">
        <f>(P51/$R51*100*($E51/365))+(P52/$R52*100*($E52/365))</f>
        <v>0</v>
      </c>
      <c r="K160" s="918"/>
      <c r="L160" s="918">
        <f>(Q51/$R51*100*($E51/365))+(Q52/$R52*100*($E52/365))</f>
        <v>0</v>
      </c>
      <c r="M160" s="918"/>
      <c r="N160" s="887">
        <f t="shared" si="34"/>
        <v>100</v>
      </c>
      <c r="O160" s="887"/>
      <c r="R160" s="1">
        <v>1981</v>
      </c>
      <c r="S160" s="8">
        <f>(O51*($E51/365))+(O52*($E52/365))</f>
        <v>55.152602739726028</v>
      </c>
      <c r="T160" s="8">
        <f>(P51*($E51/365))+(P52*($E52/365))</f>
        <v>0</v>
      </c>
      <c r="U160" s="8">
        <f>(Q51*($E51/365))+(Q52*($E52/365))</f>
        <v>0</v>
      </c>
      <c r="V160" s="7"/>
      <c r="W160" s="7">
        <f t="shared" si="35"/>
        <v>55.152602739726028</v>
      </c>
    </row>
    <row r="161" spans="1:23">
      <c r="A161" s="1">
        <v>1982</v>
      </c>
      <c r="B161" s="8">
        <f>(K53*($E53/365))+(K54*($E54/365))</f>
        <v>100</v>
      </c>
      <c r="C161" s="8">
        <f>(L53*($E53/365))+(L54*($E54/365))</f>
        <v>0</v>
      </c>
      <c r="D161" s="8">
        <f>(M53*($E53/365))+(M54*($E54/365))</f>
        <v>0</v>
      </c>
      <c r="E161" s="48">
        <f t="shared" si="33"/>
        <v>100</v>
      </c>
      <c r="G161" s="1">
        <v>1982</v>
      </c>
      <c r="H161" s="918">
        <f>(O53/$R53*100*($E53/365))+(O54/$R54*100*($E54/365))</f>
        <v>100</v>
      </c>
      <c r="I161" s="918"/>
      <c r="J161" s="918">
        <f>(P53/$R53*100*($E53/365))+(P54/$R54*100*($E54/365))</f>
        <v>0</v>
      </c>
      <c r="K161" s="918"/>
      <c r="L161" s="918">
        <f>(Q53/$R53*100*($E53/365))+(Q54/$R54*100*($E54/365))</f>
        <v>0</v>
      </c>
      <c r="M161" s="918"/>
      <c r="N161" s="887">
        <f t="shared" si="34"/>
        <v>100</v>
      </c>
      <c r="O161" s="887"/>
      <c r="R161" s="1">
        <v>1982</v>
      </c>
      <c r="S161" s="8">
        <f>(O53*($E53/365))+(O54*($E54/365))</f>
        <v>51.1</v>
      </c>
      <c r="T161" s="8">
        <f>(P53*($E53/365))+(P54*($E54/365))</f>
        <v>0</v>
      </c>
      <c r="U161" s="8">
        <f>(Q53*($E53/365))+(Q54*($E54/365))</f>
        <v>0</v>
      </c>
      <c r="V161" s="7"/>
      <c r="W161" s="7">
        <f t="shared" si="35"/>
        <v>51.1</v>
      </c>
    </row>
    <row r="162" spans="1:23">
      <c r="A162" s="1">
        <v>1983</v>
      </c>
      <c r="B162" s="8">
        <f>(K55*($E55/365))+(K56*($E56/365))</f>
        <v>100</v>
      </c>
      <c r="C162" s="8">
        <f>(L55*($E55/365))+(L56*($E56/365))</f>
        <v>0</v>
      </c>
      <c r="D162" s="8">
        <f>(M55*($E55/365))+(M56*($E56/365))</f>
        <v>0</v>
      </c>
      <c r="E162" s="48">
        <f t="shared" si="33"/>
        <v>100</v>
      </c>
      <c r="G162" s="1">
        <v>1983</v>
      </c>
      <c r="H162" s="918">
        <f>(O55/$R55*100*($E55/365))+(O56/$R56*100*($E56/365))</f>
        <v>100</v>
      </c>
      <c r="I162" s="918"/>
      <c r="J162" s="918">
        <f>(P55/$R55*100*($E55/365))+(P56/$R56*100*($E56/365))</f>
        <v>0</v>
      </c>
      <c r="K162" s="918"/>
      <c r="L162" s="918">
        <f>(Q55/$R55*100*($E55/365))+(Q56/$R56*100*($E56/365))</f>
        <v>0</v>
      </c>
      <c r="M162" s="918"/>
      <c r="N162" s="887">
        <f t="shared" si="34"/>
        <v>100</v>
      </c>
      <c r="O162" s="887"/>
      <c r="R162" s="1">
        <v>1983</v>
      </c>
      <c r="S162" s="8">
        <f>(O55*($E55/365))+(O56*($E56/365))</f>
        <v>51.1</v>
      </c>
      <c r="T162" s="8">
        <f>(P55*($E55/365))+(P56*($E56/365))</f>
        <v>0</v>
      </c>
      <c r="U162" s="8">
        <f>(Q55*($E55/365))+(Q56*($E56/365))</f>
        <v>0</v>
      </c>
      <c r="V162" s="7"/>
      <c r="W162" s="7">
        <f t="shared" si="35"/>
        <v>51.1</v>
      </c>
    </row>
    <row r="163" spans="1:23">
      <c r="A163" s="1">
        <v>1984</v>
      </c>
      <c r="B163" s="8">
        <f>(K57*($E57/366))+(K58*($E58/366))</f>
        <v>56.557377049180324</v>
      </c>
      <c r="C163" s="8">
        <f>(L57*($E57/366))+(L58*($E58/366))</f>
        <v>0</v>
      </c>
      <c r="D163" s="8">
        <f>(M57*($E57/366))+(M58*($E58/366))</f>
        <v>43.442622950819668</v>
      </c>
      <c r="E163" s="48">
        <f t="shared" si="33"/>
        <v>100</v>
      </c>
      <c r="G163" s="1">
        <v>1984</v>
      </c>
      <c r="H163" s="918">
        <f>(O57/$R57*100*($E57/366))+(O58/$R58*100*($E58/366))</f>
        <v>56.557377049180324</v>
      </c>
      <c r="I163" s="918"/>
      <c r="J163" s="918">
        <f>(P57/$R57*100*($E57/366))+(P58/$R58*100*($E58/366))</f>
        <v>0</v>
      </c>
      <c r="K163" s="918"/>
      <c r="L163" s="918">
        <f>(Q57/$R57*100*($E57/366))+(Q58/$R58*100*($E58/366))</f>
        <v>43.442622950819668</v>
      </c>
      <c r="M163" s="918"/>
      <c r="N163" s="887">
        <f t="shared" si="34"/>
        <v>100</v>
      </c>
      <c r="O163" s="887"/>
      <c r="R163" s="1">
        <v>1984</v>
      </c>
      <c r="S163" s="8">
        <f>(O57*($E57/366))+(O58*($E58/366))</f>
        <v>28.900819672131146</v>
      </c>
      <c r="T163" s="8">
        <f>(P57*($E57/366))+(P58*($E58/366))</f>
        <v>0</v>
      </c>
      <c r="U163" s="8">
        <f>(Q57*($E57/366))+(Q58*($E58/366))</f>
        <v>26.065573770491802</v>
      </c>
      <c r="V163" s="7"/>
      <c r="W163" s="7">
        <f t="shared" si="35"/>
        <v>54.966393442622945</v>
      </c>
    </row>
    <row r="164" spans="1:23">
      <c r="A164" s="1">
        <v>1985</v>
      </c>
      <c r="B164" s="8">
        <f>(K59*($E59/365))+(K60*($E60/365))</f>
        <v>0</v>
      </c>
      <c r="C164" s="8">
        <f>(L59*($E59/365))+(L60*($E60/365))</f>
        <v>0</v>
      </c>
      <c r="D164" s="8">
        <f>(M59*($E59/365))+(M60*($E60/365))</f>
        <v>100</v>
      </c>
      <c r="E164" s="48">
        <f t="shared" si="33"/>
        <v>100</v>
      </c>
      <c r="G164" s="1">
        <v>1985</v>
      </c>
      <c r="H164" s="918">
        <f>(O59/$R59*100*($E59/365))+(O60/$R60*100*($E60/365))</f>
        <v>0</v>
      </c>
      <c r="I164" s="918"/>
      <c r="J164" s="918">
        <f>(P59/$R59*100*($E59/365))+(P60/$R60*100*($E60/365))</f>
        <v>0</v>
      </c>
      <c r="K164" s="918"/>
      <c r="L164" s="918">
        <f>(Q59/$R59*100*($E59/365))+(Q60/$R60*100*($E60/365))</f>
        <v>100</v>
      </c>
      <c r="M164" s="918"/>
      <c r="N164" s="887">
        <f t="shared" si="34"/>
        <v>100</v>
      </c>
      <c r="O164" s="887"/>
      <c r="R164" s="1">
        <v>1985</v>
      </c>
      <c r="S164" s="8">
        <f>(O59*($E59/365))+(O60*($E60/365))</f>
        <v>0</v>
      </c>
      <c r="T164" s="8">
        <f>(P59*($E59/365))+(P60*($E60/365))</f>
        <v>0</v>
      </c>
      <c r="U164" s="8">
        <f>(Q59*($E59/365))+(Q60*($E60/365))</f>
        <v>60</v>
      </c>
      <c r="V164" s="7"/>
      <c r="W164" s="7">
        <f t="shared" si="35"/>
        <v>60</v>
      </c>
    </row>
    <row r="165" spans="1:23">
      <c r="A165" s="1">
        <v>1986</v>
      </c>
      <c r="B165" s="8">
        <f>(K61*($E61/365))+(K62*($E62/365))</f>
        <v>0</v>
      </c>
      <c r="C165" s="8">
        <f>(L61*($E61/365))+(L62*($E62/365))</f>
        <v>0</v>
      </c>
      <c r="D165" s="8">
        <f>(M61*($E61/365))+(M62*($E62/365))</f>
        <v>100</v>
      </c>
      <c r="E165" s="48">
        <f t="shared" si="33"/>
        <v>100</v>
      </c>
      <c r="G165" s="1">
        <v>1986</v>
      </c>
      <c r="H165" s="918">
        <f>(O61/$R61*100*($E61/365))+(O62/$R62*100*($E62/365))</f>
        <v>0</v>
      </c>
      <c r="I165" s="918"/>
      <c r="J165" s="918">
        <f>(P61/$R61*100*($E61/365))+(P62/$R62*100*($E62/365))</f>
        <v>0</v>
      </c>
      <c r="K165" s="918"/>
      <c r="L165" s="918">
        <f>(Q61/$R61*100*($E61/365))+(Q62/$R62*100*($E62/365))</f>
        <v>100</v>
      </c>
      <c r="M165" s="918"/>
      <c r="N165" s="887">
        <f t="shared" si="34"/>
        <v>100</v>
      </c>
      <c r="O165" s="887"/>
      <c r="R165" s="1">
        <v>1986</v>
      </c>
      <c r="S165" s="8">
        <f>(O61*($E61/365))+(O62*($E62/365))</f>
        <v>0</v>
      </c>
      <c r="T165" s="8">
        <f>(P61*($E61/365))+(P62*($E62/365))</f>
        <v>0</v>
      </c>
      <c r="U165" s="8">
        <f>(Q61*($E61/365))+(Q62*($E62/365))</f>
        <v>60</v>
      </c>
      <c r="V165" s="7"/>
      <c r="W165" s="7">
        <f t="shared" si="35"/>
        <v>60</v>
      </c>
    </row>
    <row r="166" spans="1:23">
      <c r="A166" s="1">
        <v>1987</v>
      </c>
      <c r="B166" s="8">
        <f>(K63*($E63/365))+(K64*($E64/365))</f>
        <v>0</v>
      </c>
      <c r="C166" s="8">
        <f>(L63*($E63/365))+(L64*($E64/365))</f>
        <v>0</v>
      </c>
      <c r="D166" s="8">
        <f>(M63*($E63/365))+(M64*($E64/365))</f>
        <v>100</v>
      </c>
      <c r="E166" s="48">
        <f t="shared" si="33"/>
        <v>100</v>
      </c>
      <c r="G166" s="1">
        <v>1987</v>
      </c>
      <c r="H166" s="918">
        <f>(O63/$R63*100*($E63/365))+(O64/$R64*100*($E64/365))</f>
        <v>0</v>
      </c>
      <c r="I166" s="918"/>
      <c r="J166" s="918">
        <f>(P63/$R63*100*($E63/365))+(P64/$R64*100*($E64/365))</f>
        <v>0</v>
      </c>
      <c r="K166" s="918"/>
      <c r="L166" s="918">
        <f>(Q63/$R63*100*($E63/365))+(Q64/$R64*100*($E64/365))</f>
        <v>100</v>
      </c>
      <c r="M166" s="918"/>
      <c r="N166" s="887">
        <f t="shared" si="34"/>
        <v>100</v>
      </c>
      <c r="O166" s="887"/>
      <c r="R166" s="1">
        <v>1987</v>
      </c>
      <c r="S166" s="8">
        <f>(O63*($E63/365))+(O64*($E64/365))</f>
        <v>0</v>
      </c>
      <c r="T166" s="8">
        <f>(P63*($E63/365))+(P64*($E64/365))</f>
        <v>0</v>
      </c>
      <c r="U166" s="8">
        <f>(Q63*($E63/365))+(Q64*($E64/365))</f>
        <v>59.556164383561637</v>
      </c>
      <c r="V166" s="7"/>
      <c r="W166" s="7">
        <f t="shared" si="35"/>
        <v>59.556164383561637</v>
      </c>
    </row>
    <row r="167" spans="1:23">
      <c r="A167" s="1">
        <v>1988</v>
      </c>
      <c r="B167" s="8">
        <f>(K65*($E65/366))+(K66*($E66/366))</f>
        <v>0</v>
      </c>
      <c r="C167" s="8">
        <f>(L65*($E65/366))+(L66*($E66/366))</f>
        <v>0</v>
      </c>
      <c r="D167" s="8">
        <f>(M65*($E65/366))+(M66*($E66/366))</f>
        <v>100</v>
      </c>
      <c r="E167" s="48">
        <f t="shared" si="33"/>
        <v>100</v>
      </c>
      <c r="G167" s="1">
        <v>1988</v>
      </c>
      <c r="H167" s="918">
        <f>(O65/$R65*100*($E65/366))+(O66/$R66*100*($E66/366))</f>
        <v>0</v>
      </c>
      <c r="I167" s="918"/>
      <c r="J167" s="918">
        <f>(P65/$R65*100*($E65/366))+(P66/$R66*100*($E66/366))</f>
        <v>0</v>
      </c>
      <c r="K167" s="918"/>
      <c r="L167" s="918">
        <f>(Q65/$R65*100*($E65/366))+(Q66/$R66*100*($E66/366))</f>
        <v>100</v>
      </c>
      <c r="M167" s="918"/>
      <c r="N167" s="887">
        <f t="shared" si="34"/>
        <v>100</v>
      </c>
      <c r="O167" s="887"/>
      <c r="R167" s="1">
        <v>1988</v>
      </c>
      <c r="S167" s="8">
        <f>(O65*($E65/366))+(O66*($E66/366))</f>
        <v>0</v>
      </c>
      <c r="T167" s="8">
        <f>(P65*($E65/366))+(P66*($E66/366))</f>
        <v>0</v>
      </c>
      <c r="U167" s="8">
        <f>(Q65*($E65/366))+(Q66*($E66/366))</f>
        <v>58.8</v>
      </c>
      <c r="V167" s="7"/>
      <c r="W167" s="7">
        <f t="shared" si="35"/>
        <v>58.8</v>
      </c>
    </row>
    <row r="168" spans="1:23">
      <c r="A168" s="1">
        <v>1989</v>
      </c>
      <c r="B168" s="8">
        <f>(K67*($E67/365))+(K68*($E68/365))</f>
        <v>0</v>
      </c>
      <c r="C168" s="8">
        <f>(L67*($E67/365))+(L68*($E68/365))</f>
        <v>0</v>
      </c>
      <c r="D168" s="8">
        <f>(M67*($E67/365))+(M68*($E68/365))</f>
        <v>100</v>
      </c>
      <c r="E168" s="48">
        <f t="shared" si="33"/>
        <v>100</v>
      </c>
      <c r="G168" s="1">
        <v>1989</v>
      </c>
      <c r="H168" s="918">
        <f>(O67/$R67*100*($E67/365))+(O68/$R68*100*($E68/365))</f>
        <v>0</v>
      </c>
      <c r="I168" s="918"/>
      <c r="J168" s="918">
        <f>(P67/$R67*100*($E67/365))+(P68/$R68*100*($E68/365))</f>
        <v>0</v>
      </c>
      <c r="K168" s="918"/>
      <c r="L168" s="918">
        <f>(Q67/$R67*100*($E67/365))+(Q68/$R68*100*($E68/365))</f>
        <v>100</v>
      </c>
      <c r="M168" s="918"/>
      <c r="N168" s="887">
        <f t="shared" si="34"/>
        <v>100</v>
      </c>
      <c r="O168" s="887"/>
      <c r="R168" s="1">
        <v>1989</v>
      </c>
      <c r="S168" s="8">
        <f>(O67*($E67/365))+(O68*($E68/365))</f>
        <v>0</v>
      </c>
      <c r="T168" s="8">
        <f>(P67*($E67/365))+(P68*($E68/365))</f>
        <v>0</v>
      </c>
      <c r="U168" s="8">
        <f>(Q67*($E67/365))+(Q68*($E68/365))</f>
        <v>58.800000000000004</v>
      </c>
      <c r="V168" s="7"/>
      <c r="W168" s="7">
        <f t="shared" si="35"/>
        <v>58.800000000000004</v>
      </c>
    </row>
    <row r="169" spans="1:23">
      <c r="A169" s="1">
        <v>1990</v>
      </c>
      <c r="B169" s="8">
        <f>(K69*($E69/365))+(K70*($E70/365))</f>
        <v>16.43835616438356</v>
      </c>
      <c r="C169" s="8">
        <f>(L69*($E69/365))+(L70*($E70/365))</f>
        <v>0</v>
      </c>
      <c r="D169" s="8">
        <f>(M69*($E69/365))+(M70*($E70/365))</f>
        <v>83.561643835616437</v>
      </c>
      <c r="E169" s="48">
        <f t="shared" si="33"/>
        <v>100</v>
      </c>
      <c r="G169" s="1">
        <v>1990</v>
      </c>
      <c r="H169" s="918">
        <f>(O69/$R69*100*($E69/365))+(O70/$R70*100*($E70/365))</f>
        <v>16.43835616438356</v>
      </c>
      <c r="I169" s="918"/>
      <c r="J169" s="918">
        <f>(P69/$R69*100*($E69/365))+(P70/$R70*100*($E70/365))</f>
        <v>0</v>
      </c>
      <c r="K169" s="918"/>
      <c r="L169" s="918">
        <f>(Q69/$R69*100*($E69/365))+(Q70/$R70*100*($E70/365))</f>
        <v>83.561643835616437</v>
      </c>
      <c r="M169" s="918"/>
      <c r="N169" s="887">
        <f t="shared" si="34"/>
        <v>100</v>
      </c>
      <c r="O169" s="887"/>
      <c r="R169" s="1">
        <v>1990</v>
      </c>
      <c r="S169" s="8">
        <f>(O69*($E69/365))+(O70*($E70/365))</f>
        <v>11.523287671232875</v>
      </c>
      <c r="T169" s="8">
        <f>(P69*($E69/365))+(P70*($E70/365))</f>
        <v>0</v>
      </c>
      <c r="U169" s="8">
        <f>(Q69*($E69/365))+(Q70*($E70/365))</f>
        <v>49.134246575342466</v>
      </c>
      <c r="V169" s="7"/>
      <c r="W169" s="7">
        <f t="shared" si="35"/>
        <v>60.657534246575338</v>
      </c>
    </row>
    <row r="170" spans="1:23">
      <c r="A170" s="1">
        <v>1991</v>
      </c>
      <c r="B170" s="8">
        <f>(K71*($E71/365))+(K72*($E72/365))</f>
        <v>100</v>
      </c>
      <c r="C170" s="8">
        <f>(L71*($E71/365))+(L72*($E72/365))</f>
        <v>0</v>
      </c>
      <c r="D170" s="8">
        <f>(M71*($E71/365))+(M72*($E72/365))</f>
        <v>0</v>
      </c>
      <c r="E170" s="48">
        <f t="shared" si="33"/>
        <v>100</v>
      </c>
      <c r="G170" s="1">
        <v>1991</v>
      </c>
      <c r="H170" s="918">
        <f>(O71/$R71*100*($E71/365))+(O72/$R72*100*($E72/365))</f>
        <v>100</v>
      </c>
      <c r="I170" s="918"/>
      <c r="J170" s="918">
        <f>(P71/$R71*100*($E71/365))+(P72/$R72*100*($E72/365))</f>
        <v>0</v>
      </c>
      <c r="K170" s="918"/>
      <c r="L170" s="918">
        <f>(Q71/$R71*100*($E71/365))+(Q72/$R72*100*($E72/365))</f>
        <v>0</v>
      </c>
      <c r="M170" s="918"/>
      <c r="N170" s="887">
        <f t="shared" si="34"/>
        <v>100</v>
      </c>
      <c r="O170" s="887"/>
      <c r="R170" s="1">
        <v>1991</v>
      </c>
      <c r="S170" s="8">
        <f>(O71*($E71/365))+(O72*($E72/365))</f>
        <v>70.099999999999994</v>
      </c>
      <c r="T170" s="8">
        <f>(P71*($E71/365))+(P72*($E72/365))</f>
        <v>0</v>
      </c>
      <c r="U170" s="8">
        <f>(Q71*($E71/365))+(Q72*($E72/365))</f>
        <v>0</v>
      </c>
      <c r="V170" s="7"/>
      <c r="W170" s="7">
        <f t="shared" si="35"/>
        <v>70.099999999999994</v>
      </c>
    </row>
    <row r="171" spans="1:23">
      <c r="A171" s="1">
        <v>1992</v>
      </c>
      <c r="B171" s="8">
        <f>(K73*($E73/366))+(K74*($E74/366))</f>
        <v>100</v>
      </c>
      <c r="C171" s="8">
        <f>(L73*($E73/366))+(L74*($E74/366))</f>
        <v>0</v>
      </c>
      <c r="D171" s="8">
        <f>(M73*($E73/366))+(M74*($E74/366))</f>
        <v>0</v>
      </c>
      <c r="E171" s="48">
        <f t="shared" si="33"/>
        <v>100</v>
      </c>
      <c r="G171" s="1">
        <v>1992</v>
      </c>
      <c r="H171" s="918">
        <f>(O73/$R73*100*($E73/366))+(O74/$R74*100*($E74/366))</f>
        <v>100</v>
      </c>
      <c r="I171" s="918"/>
      <c r="J171" s="918">
        <f>(P73/$R73*100*($E73/366))+(P74/$R74*100*($E74/366))</f>
        <v>0</v>
      </c>
      <c r="K171" s="918"/>
      <c r="L171" s="918">
        <f>(Q73/$R73*100*($E73/366))+(Q74/$R74*100*($E74/366))</f>
        <v>0</v>
      </c>
      <c r="M171" s="918"/>
      <c r="N171" s="887">
        <f t="shared" si="34"/>
        <v>100</v>
      </c>
      <c r="O171" s="887"/>
      <c r="R171" s="1">
        <v>1992</v>
      </c>
      <c r="S171" s="8">
        <f>(O73*($E73/366))+(O74*($E74/366))</f>
        <v>70.099999999999994</v>
      </c>
      <c r="T171" s="8">
        <f>(P73*($E73/366))+(P74*($E74/366))</f>
        <v>0</v>
      </c>
      <c r="U171" s="8">
        <f>(Q73*($E73/366))+(Q74*($E74/366))</f>
        <v>0</v>
      </c>
      <c r="V171" s="7"/>
      <c r="W171" s="7">
        <f t="shared" si="35"/>
        <v>70.099999999999994</v>
      </c>
    </row>
    <row r="172" spans="1:23">
      <c r="A172" s="1">
        <v>1993</v>
      </c>
      <c r="B172" s="8">
        <f>(K75*($E75/365))+(K76*($E76/365))</f>
        <v>100.00000000000001</v>
      </c>
      <c r="C172" s="8">
        <f>(L75*($E75/365))+(L76*($E76/365))</f>
        <v>0</v>
      </c>
      <c r="D172" s="8">
        <f>(M75*($E75/365))+(M76*($E76/365))</f>
        <v>0</v>
      </c>
      <c r="E172" s="48">
        <f t="shared" si="33"/>
        <v>100.00000000000001</v>
      </c>
      <c r="G172" s="1">
        <v>1993</v>
      </c>
      <c r="H172" s="918">
        <f>(O75/$R75*100*($E75/365))+(O76/$R76*100*($E76/365))</f>
        <v>100.00000000000001</v>
      </c>
      <c r="I172" s="918"/>
      <c r="J172" s="918">
        <f>(P75/$R75*100*($E75/365))+(P76/$R76*100*($E76/365))</f>
        <v>0</v>
      </c>
      <c r="K172" s="918"/>
      <c r="L172" s="918">
        <f>(Q75/$R75*100*($E75/365))+(Q76/$R76*100*($E76/365))</f>
        <v>0</v>
      </c>
      <c r="M172" s="918"/>
      <c r="N172" s="887">
        <f t="shared" si="34"/>
        <v>100.00000000000001</v>
      </c>
      <c r="O172" s="887"/>
      <c r="R172" s="1">
        <v>1993</v>
      </c>
      <c r="S172" s="8">
        <f>(O75*($E75/365))+(O76*($E76/365))</f>
        <v>68.27424657534246</v>
      </c>
      <c r="T172" s="8">
        <f>(P75*($E75/365))+(P76*($E76/365))</f>
        <v>0</v>
      </c>
      <c r="U172" s="8">
        <f>(Q75*($E75/365))+(Q76*($E76/365))</f>
        <v>0</v>
      </c>
      <c r="V172" s="7"/>
      <c r="W172" s="7">
        <f t="shared" si="35"/>
        <v>68.27424657534246</v>
      </c>
    </row>
    <row r="173" spans="1:23">
      <c r="A173" s="1">
        <v>1994</v>
      </c>
      <c r="B173" s="8">
        <f>(K77*($E77/365))+(K78*($E78/365))</f>
        <v>100</v>
      </c>
      <c r="C173" s="8">
        <f>(L77*($E77/365))+(L78*($E78/365))</f>
        <v>0</v>
      </c>
      <c r="D173" s="8">
        <f>(M77*($E77/365))+(M78*($E78/365))</f>
        <v>0</v>
      </c>
      <c r="E173" s="48">
        <f t="shared" si="33"/>
        <v>100</v>
      </c>
      <c r="G173" s="1">
        <v>1994</v>
      </c>
      <c r="H173" s="918">
        <f>(O77/$R77*100*($E77/365))+(O78/$R78*100*($E78/365))</f>
        <v>100</v>
      </c>
      <c r="I173" s="918"/>
      <c r="J173" s="918">
        <f>(P77/$R77*100*($E77/365))+(P78/$R78*100*($E78/365))</f>
        <v>0</v>
      </c>
      <c r="K173" s="918"/>
      <c r="L173" s="918">
        <f>(Q77/$R77*100*($E77/365))+(Q78/$R78*100*($E78/365))</f>
        <v>0</v>
      </c>
      <c r="M173" s="918"/>
      <c r="N173" s="887">
        <f t="shared" si="34"/>
        <v>100</v>
      </c>
      <c r="O173" s="887"/>
      <c r="R173" s="1">
        <v>1994</v>
      </c>
      <c r="S173" s="8">
        <f>(O77*($E77/365))+(O78*($E78/365))</f>
        <v>50.5</v>
      </c>
      <c r="T173" s="8">
        <f>(P77*($E77/365))+(P78*($E78/365))</f>
        <v>0</v>
      </c>
      <c r="U173" s="8">
        <f>(Q77*($E77/365))+(Q78*($E78/365))</f>
        <v>0</v>
      </c>
      <c r="V173" s="7"/>
      <c r="W173" s="7">
        <f t="shared" si="35"/>
        <v>50.5</v>
      </c>
    </row>
    <row r="174" spans="1:23">
      <c r="A174" s="1">
        <v>1995</v>
      </c>
      <c r="B174" s="8">
        <f>(K79*($E79/365))+(K80*($E80/365))</f>
        <v>100</v>
      </c>
      <c r="C174" s="8">
        <f>(L79*($E79/365))+(L80*($E80/365))</f>
        <v>0</v>
      </c>
      <c r="D174" s="8">
        <f>(M79*($E79/365))+(M80*($E80/365))</f>
        <v>0</v>
      </c>
      <c r="E174" s="48">
        <f t="shared" si="33"/>
        <v>100</v>
      </c>
      <c r="G174" s="1">
        <v>1995</v>
      </c>
      <c r="H174" s="918">
        <f>(O79/$R79*100*($E79/365))+(O80/$R80*100*($E80/365))</f>
        <v>100</v>
      </c>
      <c r="I174" s="918"/>
      <c r="J174" s="918">
        <f>(P79/$R79*100*($E79/365))+(P80/$R80*100*($E80/365))</f>
        <v>0</v>
      </c>
      <c r="K174" s="918"/>
      <c r="L174" s="918">
        <f>(Q79/$R79*100*($E79/365))+(Q80/$R80*100*($E80/365))</f>
        <v>0</v>
      </c>
      <c r="M174" s="918"/>
      <c r="N174" s="887">
        <f t="shared" si="34"/>
        <v>100</v>
      </c>
      <c r="O174" s="887"/>
      <c r="R174" s="1">
        <v>1995</v>
      </c>
      <c r="S174" s="8">
        <f>(O79*($E79/365))+(O80*($E80/365))</f>
        <v>50.5</v>
      </c>
      <c r="T174" s="8">
        <f>(P79*($E79/365))+(P80*($E80/365))</f>
        <v>0</v>
      </c>
      <c r="U174" s="8">
        <f>(Q79*($E79/365))+(Q80*($E80/365))</f>
        <v>0</v>
      </c>
      <c r="V174" s="7"/>
      <c r="W174" s="7">
        <f t="shared" si="35"/>
        <v>50.5</v>
      </c>
    </row>
    <row r="175" spans="1:23">
      <c r="A175" s="1">
        <v>1996</v>
      </c>
      <c r="B175" s="8">
        <f>(K81*($E81/366))+(K83*($E83/366))+(K82*(E82/366))</f>
        <v>100</v>
      </c>
      <c r="C175" s="8">
        <f>(L81*($E81/366))+(L83*($E83/366))+(L82*(F82/366))</f>
        <v>0</v>
      </c>
      <c r="D175" s="8">
        <f>(M81*($E81/366))+(M83*($E83/366))+(M82*(G82/366))</f>
        <v>0</v>
      </c>
      <c r="E175" s="48">
        <f t="shared" si="33"/>
        <v>100</v>
      </c>
      <c r="G175" s="1">
        <v>1996</v>
      </c>
      <c r="H175" s="918">
        <f>(O81/$R81*100*($E81/366))+(O83/$R83*100*($E83/366))+(O82/$R82*100*(E82/366))</f>
        <v>100</v>
      </c>
      <c r="I175" s="918"/>
      <c r="J175" s="918">
        <f>(P81/$R81*100*($E81/366))+(P83/$R83*100*($E83/366))</f>
        <v>0</v>
      </c>
      <c r="K175" s="918"/>
      <c r="L175" s="918">
        <f>(Q81/$R81*100*($E81/366))+(Q83/$R83*100*($E83/366))</f>
        <v>0</v>
      </c>
      <c r="M175" s="918"/>
      <c r="N175" s="887">
        <f t="shared" si="34"/>
        <v>100</v>
      </c>
      <c r="O175" s="887"/>
      <c r="R175" s="1">
        <v>1996</v>
      </c>
      <c r="S175" s="8">
        <f>(O81*($E81/366))+(O83*($E83/366))+(O82*(E82/366))</f>
        <v>50.43825136612022</v>
      </c>
      <c r="T175" s="8">
        <f>(P81*($E81/366))+(P83*($E83/366))</f>
        <v>0</v>
      </c>
      <c r="U175" s="8">
        <f>(Q81*($E81/366))+(Q83*($E83/366))</f>
        <v>0</v>
      </c>
      <c r="V175" s="7"/>
      <c r="W175" s="7">
        <f t="shared" si="35"/>
        <v>50.43825136612022</v>
      </c>
    </row>
    <row r="176" spans="1:23">
      <c r="A176" s="1">
        <v>1997</v>
      </c>
      <c r="B176" s="8">
        <f>(K84*($E84/365))+(K85*($E85/365))</f>
        <v>100</v>
      </c>
      <c r="C176" s="8">
        <f>(L84*($E84/365))+(L85*($E85/365))</f>
        <v>0</v>
      </c>
      <c r="D176" s="8">
        <f>(M84*($E84/365))+(M85*($E85/365))</f>
        <v>0</v>
      </c>
      <c r="E176" s="48">
        <f t="shared" si="33"/>
        <v>100</v>
      </c>
      <c r="G176" s="1">
        <v>1997</v>
      </c>
      <c r="H176" s="918">
        <f>(O84/$R84*100*($E84/365))+(O85/$R85*100*($E85/365))</f>
        <v>100</v>
      </c>
      <c r="I176" s="918"/>
      <c r="J176" s="918">
        <f>(P84/$R84*100*($E84/365))+(P85/$R85*100*($E85/365))</f>
        <v>0</v>
      </c>
      <c r="K176" s="918"/>
      <c r="L176" s="918">
        <f>(Q84/$R84*100*($E84/365))+(Q85/$R85*100*($E85/365))</f>
        <v>0</v>
      </c>
      <c r="M176" s="918"/>
      <c r="N176" s="887">
        <f t="shared" si="34"/>
        <v>100</v>
      </c>
      <c r="O176" s="887"/>
      <c r="R176" s="1">
        <v>1997</v>
      </c>
      <c r="S176" s="8">
        <f>(O84*($E84/365))+(O85*($E85/365))</f>
        <v>50.900000000000006</v>
      </c>
      <c r="T176" s="8">
        <f>(P84*($E84/365))+(P85*($E85/365))</f>
        <v>0</v>
      </c>
      <c r="U176" s="8">
        <f>(Q84*($E84/365))+(Q85*($E85/365))</f>
        <v>0</v>
      </c>
      <c r="V176" s="7"/>
      <c r="W176" s="7">
        <f t="shared" si="35"/>
        <v>50.900000000000006</v>
      </c>
    </row>
    <row r="177" spans="1:23">
      <c r="A177" s="1">
        <v>1998</v>
      </c>
      <c r="B177" s="8">
        <f>(K86*($E86/365))+(K87*($E87/365))</f>
        <v>98.12785388127854</v>
      </c>
      <c r="C177" s="8">
        <f>(L86*($E86/365))+(L87*($E87/365))</f>
        <v>0</v>
      </c>
      <c r="D177" s="8">
        <f>(M86*($E86/365))+(M87*($E87/365))</f>
        <v>0</v>
      </c>
      <c r="E177" s="48">
        <f t="shared" si="33"/>
        <v>98.12785388127854</v>
      </c>
      <c r="G177" s="1">
        <v>1998</v>
      </c>
      <c r="H177" s="918">
        <f>(O86/$R86*100*($E86/365))+(O87/$R87*100*($E87/365))</f>
        <v>100</v>
      </c>
      <c r="I177" s="918"/>
      <c r="J177" s="918">
        <f>(P86/$R86*100*($E86/365))+(P87/$R87*100*($E87/365))</f>
        <v>0</v>
      </c>
      <c r="K177" s="918"/>
      <c r="L177" s="918">
        <f>(Q86/$R86*100*($E86/365))+(Q87/$R87*100*($E87/365))</f>
        <v>0</v>
      </c>
      <c r="M177" s="918"/>
      <c r="N177" s="887">
        <f t="shared" si="34"/>
        <v>100</v>
      </c>
      <c r="O177" s="887"/>
      <c r="R177" s="1">
        <v>1998</v>
      </c>
      <c r="S177" s="8">
        <f>(O86*($E86/365))+(O87*($E87/365))</f>
        <v>46.114794520547953</v>
      </c>
      <c r="T177" s="8">
        <f>(P86*($E86/365))+(P87*($E87/365))</f>
        <v>0</v>
      </c>
      <c r="U177" s="8">
        <f>(Q86*($E86/365))+(Q87*($E87/365))</f>
        <v>0</v>
      </c>
      <c r="V177" s="7"/>
      <c r="W177" s="7">
        <f t="shared" si="35"/>
        <v>46.114794520547953</v>
      </c>
    </row>
    <row r="178" spans="1:23">
      <c r="A178" s="1">
        <v>1999</v>
      </c>
      <c r="B178" s="8">
        <f>(K88*($E88/365))+(K89*($E89/365))</f>
        <v>88.493150684931507</v>
      </c>
      <c r="C178" s="8">
        <f>(L88*($E88/365))+(L89*($E89/365))</f>
        <v>0</v>
      </c>
      <c r="D178" s="8">
        <f>(M88*($E88/365))+(M89*($E89/365))</f>
        <v>6.3013698630136989</v>
      </c>
      <c r="E178" s="48">
        <f t="shared" si="33"/>
        <v>94.794520547945211</v>
      </c>
      <c r="G178" s="1">
        <v>1999</v>
      </c>
      <c r="H178" s="918">
        <f>(O88/$R88*100*($E88/365))+(O89/$R89*100*($E89/365))</f>
        <v>93.69863013698631</v>
      </c>
      <c r="I178" s="918"/>
      <c r="J178" s="918">
        <f>(P88/$R88*100*($E88/365))+(P89/$R89*100*($E89/365))</f>
        <v>0</v>
      </c>
      <c r="K178" s="918"/>
      <c r="L178" s="918">
        <f>(Q88/$R88*100*($E88/365))+(Q89/$R89*100*($E89/365))</f>
        <v>6.3013698630136989</v>
      </c>
      <c r="M178" s="918"/>
      <c r="N178" s="887">
        <f t="shared" si="34"/>
        <v>100.00000000000001</v>
      </c>
      <c r="O178" s="887"/>
      <c r="R178" s="1">
        <v>1999</v>
      </c>
      <c r="S178" s="8">
        <f>(O88*($E88/365))+(O89*($E89/365))</f>
        <v>34.387397260273978</v>
      </c>
      <c r="T178" s="8">
        <f>(P88*($E88/365))+(P89*($E89/365))</f>
        <v>0</v>
      </c>
      <c r="U178" s="8">
        <f>(Q88*($E88/365))+(Q89*($E89/365))</f>
        <v>3.0939726027397265</v>
      </c>
      <c r="V178" s="7"/>
      <c r="W178" s="7">
        <f t="shared" si="35"/>
        <v>37.481369863013704</v>
      </c>
    </row>
    <row r="179" spans="1:23">
      <c r="A179" s="1">
        <v>2000</v>
      </c>
      <c r="B179" s="8">
        <f>(K90*($E90/366))+(K91*($E91/366))</f>
        <v>0</v>
      </c>
      <c r="C179" s="8">
        <f>(L90*($E90/366))+(L91*($E91/366))</f>
        <v>0</v>
      </c>
      <c r="D179" s="8">
        <f>(M90*($E90/366))+(M91*($E91/366))</f>
        <v>100</v>
      </c>
      <c r="E179" s="48">
        <f t="shared" si="33"/>
        <v>100</v>
      </c>
      <c r="G179" s="1">
        <v>2000</v>
      </c>
      <c r="H179" s="918">
        <f>(O90/$R90*100*($E90/366))+(O91/$R91*100*($E91/366))</f>
        <v>0</v>
      </c>
      <c r="I179" s="918"/>
      <c r="J179" s="918">
        <f>(P90/$R90*100*($E90/366))+(P91/$R91*100*($E91/366))</f>
        <v>0</v>
      </c>
      <c r="K179" s="918"/>
      <c r="L179" s="918">
        <f>(Q90/$R90*100*($E90/366))+(Q91/$R91*100*($E91/366))</f>
        <v>100</v>
      </c>
      <c r="M179" s="918"/>
      <c r="N179" s="887">
        <f t="shared" si="34"/>
        <v>100</v>
      </c>
      <c r="O179" s="887"/>
      <c r="R179" s="1">
        <v>2000</v>
      </c>
      <c r="S179" s="8">
        <f>(O90*($E90/366))+(O91*($E91/366))</f>
        <v>0</v>
      </c>
      <c r="T179" s="8">
        <f>(P90*($E90/366))+(P91*($E91/366))</f>
        <v>0</v>
      </c>
      <c r="U179" s="8">
        <f>(Q90*($E90/366))+(Q91*($E91/366))</f>
        <v>49.1</v>
      </c>
      <c r="V179" s="7"/>
      <c r="W179" s="7">
        <f t="shared" si="35"/>
        <v>49.1</v>
      </c>
    </row>
    <row r="180" spans="1:23">
      <c r="A180" s="1">
        <v>2001</v>
      </c>
      <c r="B180" s="8">
        <f>(K92*($E92/365))+(K93*($E93/365))</f>
        <v>0</v>
      </c>
      <c r="C180" s="8">
        <f>(L92*($E92/365))+(L93*($E93/365))</f>
        <v>0</v>
      </c>
      <c r="D180" s="8">
        <f>(M92*($E92/365))+(M93*($E93/365))</f>
        <v>100</v>
      </c>
      <c r="E180" s="48">
        <f t="shared" si="33"/>
        <v>100</v>
      </c>
      <c r="G180" s="1">
        <v>2001</v>
      </c>
      <c r="H180" s="918">
        <f>(O92/$R92*100*($E92/365))+(O93/$R93*100*($E93/365))</f>
        <v>0</v>
      </c>
      <c r="I180" s="918"/>
      <c r="J180" s="918">
        <f>(P92/$R92*100*($E92/365))+(P93/$R93*100*($E93/365))</f>
        <v>0</v>
      </c>
      <c r="K180" s="918"/>
      <c r="L180" s="918">
        <f>(Q92/$R92*100*($E92/365))+(Q93/$R93*100*($E93/365))</f>
        <v>100</v>
      </c>
      <c r="M180" s="918"/>
      <c r="N180" s="887">
        <f t="shared" si="34"/>
        <v>100</v>
      </c>
      <c r="O180" s="887"/>
      <c r="R180" s="1">
        <v>2001</v>
      </c>
      <c r="S180" s="8">
        <f>(O92*($E92/365))+(O93*($E93/365))</f>
        <v>0</v>
      </c>
      <c r="T180" s="8">
        <f>(P92*($E92/365))+(P93*($E93/365))</f>
        <v>0</v>
      </c>
      <c r="U180" s="8">
        <f>(Q92*($E92/365))+(Q93*($E93/365))</f>
        <v>49.1</v>
      </c>
      <c r="V180" s="7"/>
      <c r="W180" s="7">
        <f t="shared" si="35"/>
        <v>49.1</v>
      </c>
    </row>
    <row r="181" spans="1:23">
      <c r="A181" s="1">
        <v>2002</v>
      </c>
      <c r="B181" s="8">
        <f>(K94*($E94/365))+(K95*($E95/365))</f>
        <v>0</v>
      </c>
      <c r="C181" s="8">
        <f>(L94*($E94/365))+(L95*($E95/365))</f>
        <v>0</v>
      </c>
      <c r="D181" s="8">
        <f>(M94*($E94/365))+(M95*($E95/365))</f>
        <v>100</v>
      </c>
      <c r="E181" s="48">
        <f t="shared" si="33"/>
        <v>100</v>
      </c>
      <c r="G181" s="1">
        <v>2002</v>
      </c>
      <c r="H181" s="918">
        <f>(O94/$R94*100*($E94/365))+(O95/$R95*100*($E95/365))</f>
        <v>0</v>
      </c>
      <c r="I181" s="918"/>
      <c r="J181" s="918">
        <f>(P94/$R94*100*($E94/365))+(P95/$R95*100*($E95/365))</f>
        <v>0</v>
      </c>
      <c r="K181" s="918"/>
      <c r="L181" s="918">
        <f>(Q94/$R94*100*($E94/365))+(Q95/$R95*100*($E95/365))</f>
        <v>100</v>
      </c>
      <c r="M181" s="918"/>
      <c r="N181" s="887">
        <f t="shared" si="34"/>
        <v>100</v>
      </c>
      <c r="O181" s="887"/>
      <c r="R181" s="1">
        <v>2002</v>
      </c>
      <c r="S181" s="8">
        <f>(O94*($E94/365))+(O95*($E95/365))</f>
        <v>0</v>
      </c>
      <c r="T181" s="8">
        <f>(P94*($E94/365))+(P95*($E95/365))</f>
        <v>0</v>
      </c>
      <c r="U181" s="8">
        <f>(Q94*($E94/365))+(Q95*($E95/365))</f>
        <v>47.538630136986299</v>
      </c>
      <c r="V181" s="7"/>
      <c r="W181" s="7">
        <f t="shared" si="35"/>
        <v>47.538630136986299</v>
      </c>
    </row>
    <row r="182" spans="1:23">
      <c r="A182" s="1">
        <v>2003</v>
      </c>
      <c r="B182" s="8">
        <f>(K96*($E96/365))+(K97*($E97/365))</f>
        <v>0</v>
      </c>
      <c r="C182" s="8">
        <f>(L96*($E96/365))+(L97*($E97/365))</f>
        <v>0</v>
      </c>
      <c r="D182" s="8">
        <f>(M96*($E96/365))+(M97*($E97/365))</f>
        <v>100</v>
      </c>
      <c r="E182" s="48">
        <f t="shared" si="33"/>
        <v>100</v>
      </c>
      <c r="G182" s="1">
        <v>2003</v>
      </c>
      <c r="H182" s="918">
        <f>(O96/$R96*100*($E96/365))+(O97/$R97*100*($E97/365))</f>
        <v>0</v>
      </c>
      <c r="I182" s="918"/>
      <c r="J182" s="918">
        <f>(P96/$R96*100*($E96/365))+(P97/$R97*100*($E97/365))</f>
        <v>0</v>
      </c>
      <c r="K182" s="918"/>
      <c r="L182" s="918">
        <f>(Q96/$R96*100*($E96/365))+(Q97/$R97*100*($E97/365))</f>
        <v>100</v>
      </c>
      <c r="M182" s="918"/>
      <c r="N182" s="887">
        <f t="shared" si="34"/>
        <v>100</v>
      </c>
      <c r="O182" s="887"/>
      <c r="R182" s="1">
        <v>2003</v>
      </c>
      <c r="S182" s="8">
        <f>(O96*($E96/365))+(O97*($E97/365))</f>
        <v>0</v>
      </c>
      <c r="T182" s="8">
        <f>(P96*($E96/365))+(P97*($E97/365))</f>
        <v>0</v>
      </c>
      <c r="U182" s="8">
        <f>(Q96*($E96/365))+(Q97*($E97/365))</f>
        <v>45</v>
      </c>
      <c r="V182" s="7"/>
      <c r="W182" s="7">
        <f t="shared" si="35"/>
        <v>45</v>
      </c>
    </row>
    <row r="183" spans="1:23">
      <c r="A183" s="1">
        <v>2004</v>
      </c>
      <c r="B183" s="8">
        <f>(K98*($E98/366))+(K99*($E99/366))</f>
        <v>0</v>
      </c>
      <c r="C183" s="8">
        <f>(L98*($E98/366))+(L99*($E99/366))</f>
        <v>0</v>
      </c>
      <c r="D183" s="8">
        <f>(M98*($E98/366))+(M99*($E99/366))</f>
        <v>100</v>
      </c>
      <c r="E183" s="48">
        <f t="shared" si="33"/>
        <v>100</v>
      </c>
      <c r="G183" s="1">
        <v>2004</v>
      </c>
      <c r="H183" s="918">
        <f>(O98/$R98*100*($E98/366))+(O99/$R99*100*($E99/366))</f>
        <v>0</v>
      </c>
      <c r="I183" s="918"/>
      <c r="J183" s="918">
        <f>(P98/$R98*100*($E98/366))+(P99/$R99*100*($E99/366))</f>
        <v>0</v>
      </c>
      <c r="K183" s="918"/>
      <c r="L183" s="918">
        <f>(Q98/$R98*100*($E98/366))+(Q99/$R99*100*($E99/366))</f>
        <v>100</v>
      </c>
      <c r="M183" s="918"/>
      <c r="N183" s="887">
        <f t="shared" si="34"/>
        <v>100</v>
      </c>
      <c r="O183" s="887"/>
      <c r="R183" s="1">
        <v>2004</v>
      </c>
      <c r="S183" s="8">
        <f>(O98*($E98/366))+(O99*($E99/366))</f>
        <v>0</v>
      </c>
      <c r="T183" s="8">
        <f>(P98*($E98/366))+(P99*($E99/366))</f>
        <v>0</v>
      </c>
      <c r="U183" s="8">
        <f>(Q98*($E98/366))+(Q99*($E99/366))</f>
        <v>44.999999999999993</v>
      </c>
      <c r="V183" s="7"/>
      <c r="W183" s="7">
        <f t="shared" si="35"/>
        <v>44.999999999999993</v>
      </c>
    </row>
    <row r="184" spans="1:23">
      <c r="A184" s="1">
        <v>2005</v>
      </c>
      <c r="B184" s="8">
        <f>(K100*($E100/365))+(K101*($E101/365))+(K102*($E102/365))</f>
        <v>0</v>
      </c>
      <c r="C184" s="8">
        <f>(L100*($E100/365))+(L101*($E101/365))+(L102*($E102/365))</f>
        <v>0</v>
      </c>
      <c r="D184" s="8">
        <f>(M100*($E100/365))+(M101*($E101/365))+(M102*($E102/365))</f>
        <v>100</v>
      </c>
      <c r="E184" s="48">
        <f t="shared" si="33"/>
        <v>100</v>
      </c>
      <c r="G184" s="1">
        <v>2005</v>
      </c>
      <c r="H184" s="918">
        <f>(O100/$R100*100*($E100/365))+(O101/$R101*100*($E101/365))+(O102/$R102*100*($E102/365))</f>
        <v>0</v>
      </c>
      <c r="I184" s="918"/>
      <c r="J184" s="918">
        <f>(P100/$R100*100*($E100/365))+(P101/$R101*100*($E101/365))+(P102/$R102*100*($E102/365))</f>
        <v>0</v>
      </c>
      <c r="K184" s="918"/>
      <c r="L184" s="918">
        <f>(Q100/$R100*100*($E100/365))+(Q101/$R101*100*($E101/365))+(Q102/$R102*100*($E102/365))</f>
        <v>100</v>
      </c>
      <c r="M184" s="918"/>
      <c r="N184" s="887">
        <f t="shared" si="34"/>
        <v>100</v>
      </c>
      <c r="O184" s="887"/>
      <c r="R184" s="1">
        <v>2005</v>
      </c>
      <c r="S184" s="8">
        <f>(O100*($E100/365))+(O101*($E101/365))+(O102*($E102/365))</f>
        <v>0</v>
      </c>
      <c r="T184" s="8">
        <f>(P100*($E100/365))+(P101*($E101/365))+(P102*($E102/365))</f>
        <v>0</v>
      </c>
      <c r="U184" s="8">
        <f>(Q100*($E100/365))+(Q101*($E101/365))+(Q102*($E102/365))</f>
        <v>42.560821917808219</v>
      </c>
      <c r="V184" s="7"/>
      <c r="W184" s="7">
        <f t="shared" si="35"/>
        <v>42.560821917808219</v>
      </c>
    </row>
    <row r="185" spans="1:23">
      <c r="A185" s="1">
        <v>2006</v>
      </c>
      <c r="B185" s="8">
        <f>(K103*($E103/365))+(K104*($E104/365))</f>
        <v>0</v>
      </c>
      <c r="C185" s="8">
        <f>(L103*($E103/365))+(L104*($E104/365))</f>
        <v>0</v>
      </c>
      <c r="D185" s="8">
        <f>(M103*($E103/365))+(M104*($E104/365))</f>
        <v>100</v>
      </c>
      <c r="E185" s="48">
        <f t="shared" si="33"/>
        <v>100</v>
      </c>
      <c r="G185" s="1">
        <v>2006</v>
      </c>
      <c r="H185" s="918">
        <f>(O103/$R103*100*($E103/365))+(O104/$R104*100*($E104/365))</f>
        <v>0</v>
      </c>
      <c r="I185" s="918"/>
      <c r="J185" s="918">
        <f>(P103/$R103*100*($E103/365))+(P104/$R104*100*($E104/365))</f>
        <v>0</v>
      </c>
      <c r="K185" s="918"/>
      <c r="L185" s="918">
        <f>(Q103/$R103*100*($E103/365))+(Q104/$R104*100*($E104/365))</f>
        <v>100</v>
      </c>
      <c r="M185" s="918"/>
      <c r="N185" s="887">
        <f t="shared" si="34"/>
        <v>100</v>
      </c>
      <c r="O185" s="887"/>
      <c r="R185" s="1">
        <v>2006</v>
      </c>
      <c r="S185" s="8">
        <f>(O103*($E103/365))+(O104*($E104/365))</f>
        <v>0</v>
      </c>
      <c r="T185" s="8">
        <f>(P103*($E103/365))+(P104*($E104/365))</f>
        <v>0</v>
      </c>
      <c r="U185" s="8">
        <f>(Q103*($E103/365))+(Q104*($E104/365))</f>
        <v>42.1</v>
      </c>
      <c r="V185" s="7"/>
      <c r="W185" s="7">
        <f t="shared" si="35"/>
        <v>42.1</v>
      </c>
    </row>
    <row r="186" spans="1:23">
      <c r="A186" s="1">
        <v>2007</v>
      </c>
      <c r="B186" s="8">
        <f>(K105*($E105/365))+(K106*($E106/365))</f>
        <v>0</v>
      </c>
      <c r="C186" s="8">
        <f>(L105*($E105/365))+(L106*($E106/365))</f>
        <v>0</v>
      </c>
      <c r="D186" s="8">
        <f>(M105*($E105/365))+(M106*($E106/365))</f>
        <v>100</v>
      </c>
      <c r="E186" s="48">
        <f t="shared" si="33"/>
        <v>100</v>
      </c>
      <c r="G186" s="1">
        <v>2007</v>
      </c>
      <c r="H186" s="918">
        <f>(O105/$R105*100*($E105/365))+(O106/$R106*100*($E106/365))</f>
        <v>0</v>
      </c>
      <c r="I186" s="918"/>
      <c r="J186" s="918">
        <f>(P105/$R105*100*($E105/365))+(P106/$R106*100*($E106/365))</f>
        <v>0</v>
      </c>
      <c r="K186" s="918"/>
      <c r="L186" s="918">
        <f>(Q105/$R105*100*($E105/365))+(Q106/$R106*100*($E106/365))</f>
        <v>100</v>
      </c>
      <c r="M186" s="918"/>
      <c r="N186" s="887">
        <f t="shared" si="34"/>
        <v>100</v>
      </c>
      <c r="O186" s="887"/>
      <c r="R186" s="1">
        <v>2007</v>
      </c>
      <c r="S186" s="8">
        <f>(O105*($E105/365))+(O106*($E106/365))</f>
        <v>0</v>
      </c>
      <c r="T186" s="8">
        <f>(P105*($E105/365))+(P106*($E106/365))</f>
        <v>0</v>
      </c>
      <c r="U186" s="8">
        <f>(Q105*($E105/365))+(Q106*($E106/365))</f>
        <v>42.1</v>
      </c>
      <c r="V186" s="7"/>
      <c r="W186" s="7">
        <f t="shared" si="35"/>
        <v>42.1</v>
      </c>
    </row>
    <row r="187" spans="1:23">
      <c r="A187" s="1">
        <v>2008</v>
      </c>
      <c r="B187" s="8">
        <f>(K107*($E107/366))+(K108*($E108/366))</f>
        <v>11.748633879781421</v>
      </c>
      <c r="C187" s="8">
        <f>(L107*($E107/366))+(L108*($E108/366))</f>
        <v>0</v>
      </c>
      <c r="D187" s="8">
        <f>(M107*($E107/366))+(M108*($E108/366))</f>
        <v>88.251366120218577</v>
      </c>
      <c r="E187" s="48">
        <f t="shared" si="33"/>
        <v>100</v>
      </c>
      <c r="G187" s="1">
        <v>2008</v>
      </c>
      <c r="H187" s="918">
        <f>(O107/$R107*100*($E107/366))+(O108/$R108*100*($E108/366))</f>
        <v>11.748633879781421</v>
      </c>
      <c r="I187" s="918"/>
      <c r="J187" s="918">
        <f>(P107/$R107*100*($E107/366))+(P108/$R108*100*($E108/366))</f>
        <v>0</v>
      </c>
      <c r="K187" s="918"/>
      <c r="L187" s="918">
        <f>(Q107/$R107*100*($E107/366))+(Q108/$R108*100*($E108/366))</f>
        <v>88.251366120218577</v>
      </c>
      <c r="M187" s="918"/>
      <c r="N187" s="887">
        <f t="shared" si="34"/>
        <v>100</v>
      </c>
      <c r="O187" s="887"/>
      <c r="R187" s="1">
        <v>2008</v>
      </c>
      <c r="S187" s="8">
        <f>(O107*($E107/366))+(O108*($E108/366))</f>
        <v>5.5806010928961749</v>
      </c>
      <c r="T187" s="8">
        <f>(P107*($E107/366))+(P108*($E108/366))</f>
        <v>0</v>
      </c>
      <c r="U187" s="8">
        <f>(Q107*($E107/366))+(Q108*($E108/366))</f>
        <v>37.153825136612021</v>
      </c>
      <c r="V187" s="7"/>
      <c r="W187" s="7">
        <f t="shared" si="35"/>
        <v>42.734426229508195</v>
      </c>
    </row>
    <row r="188" spans="1:23">
      <c r="A188" s="1">
        <v>2009</v>
      </c>
      <c r="B188" s="8">
        <f>(K109*($E109/365))+(K110*($E110/365))</f>
        <v>100</v>
      </c>
      <c r="C188" s="8">
        <f>(L109*($E109/365))+(L110*($E110/365))</f>
        <v>0</v>
      </c>
      <c r="D188" s="8">
        <f>(M109*($E109/365))+(M110*($E110/365))</f>
        <v>0</v>
      </c>
      <c r="E188" s="48">
        <f t="shared" si="33"/>
        <v>100</v>
      </c>
      <c r="G188" s="1">
        <v>2009</v>
      </c>
      <c r="H188" s="918">
        <f>(O109/$R109*100*($E109/365))+(O110/$R110*100*($E110/365))</f>
        <v>100</v>
      </c>
      <c r="I188" s="918"/>
      <c r="J188" s="918">
        <f>(P109/$R109*100*($E109/365))+(P110/$R110*100*($E110/365))</f>
        <v>0</v>
      </c>
      <c r="K188" s="918"/>
      <c r="L188" s="918">
        <f>(Q109/$R109*100*($E109/365))+(Q110/$R110*100*($E110/365))</f>
        <v>0</v>
      </c>
      <c r="M188" s="918"/>
      <c r="N188" s="887">
        <f t="shared" si="34"/>
        <v>100</v>
      </c>
      <c r="O188" s="887"/>
      <c r="R188" s="1">
        <v>2009</v>
      </c>
      <c r="S188" s="8">
        <f>(O109*($E109/365))+(O110*($E110/365))</f>
        <v>47.5</v>
      </c>
      <c r="T188" s="8">
        <f>(P109*($E109/365))+(P110*($E110/365))</f>
        <v>0</v>
      </c>
      <c r="U188" s="8">
        <f>(Q109*($E109/365))+(Q110*($E110/365))</f>
        <v>0</v>
      </c>
      <c r="V188" s="7"/>
      <c r="W188" s="7">
        <f t="shared" si="35"/>
        <v>47.5</v>
      </c>
    </row>
    <row r="189" spans="1:23">
      <c r="A189" s="1">
        <v>2010</v>
      </c>
      <c r="B189" s="8">
        <f>(K111*($E111/365))+(K112*($E112/365))</f>
        <v>100</v>
      </c>
      <c r="C189" s="8">
        <f>(L111*($E111/365))+(L112*($E112/365))</f>
        <v>0</v>
      </c>
      <c r="D189" s="8">
        <f>(M111*($E111/365))+(M112*($E112/365))</f>
        <v>0</v>
      </c>
      <c r="E189" s="48">
        <f t="shared" si="33"/>
        <v>100</v>
      </c>
      <c r="G189" s="1">
        <v>2010</v>
      </c>
      <c r="H189" s="918">
        <f>(O111/$R111*100*($E111/365))+(O112/$R112*100*($E112/365))</f>
        <v>100</v>
      </c>
      <c r="I189" s="918"/>
      <c r="J189" s="918">
        <f>(P111/$R111*100*($E111/365))+(P112/$R112*100*($E112/365))</f>
        <v>0</v>
      </c>
      <c r="K189" s="918"/>
      <c r="L189" s="918">
        <f>(Q111/$R111*100*($E111/365))+(Q112/$R112*100*($E112/365))</f>
        <v>0</v>
      </c>
      <c r="M189" s="918"/>
      <c r="N189" s="887">
        <f t="shared" si="34"/>
        <v>100</v>
      </c>
      <c r="O189" s="887"/>
      <c r="R189" s="1">
        <v>2010</v>
      </c>
      <c r="S189" s="8">
        <f>(O111*($E111/365))+(O112*($E112/365))</f>
        <v>47.5</v>
      </c>
      <c r="T189" s="8">
        <f>(P111*($E111/365))+(P112*($E112/365))</f>
        <v>0</v>
      </c>
      <c r="U189" s="8">
        <f>(Q111*($E111/365))+(Q112*($E112/365))</f>
        <v>0</v>
      </c>
      <c r="V189" s="7"/>
      <c r="W189" s="7">
        <f t="shared" si="35"/>
        <v>47.5</v>
      </c>
    </row>
    <row r="190" spans="1:23">
      <c r="A190" s="1">
        <v>2011</v>
      </c>
      <c r="B190" s="8">
        <f>(K113*($E113/365))+(K114*($E114/365))</f>
        <v>100</v>
      </c>
      <c r="C190" s="8">
        <f>(L113*($E113/365))+(L114*($E114/365))</f>
        <v>0</v>
      </c>
      <c r="D190" s="8">
        <f>(M113*($E113/365))+(M114*($E114/365))</f>
        <v>0</v>
      </c>
      <c r="E190" s="48">
        <f t="shared" si="33"/>
        <v>100</v>
      </c>
      <c r="G190" s="1">
        <v>2011</v>
      </c>
      <c r="H190" s="918">
        <f>(O113/$R113*100*($E113/365))+(O114/$R114*100*($E114/365))</f>
        <v>100</v>
      </c>
      <c r="I190" s="918"/>
      <c r="J190" s="918">
        <f>(P113/$R113*100*($E113/365))+(P114/$R114*100*($E114/365))</f>
        <v>0</v>
      </c>
      <c r="K190" s="918"/>
      <c r="L190" s="918">
        <f>(Q113/$R113*100*($E113/365))+(Q114/$R114*100*($E114/365))</f>
        <v>0</v>
      </c>
      <c r="M190" s="918"/>
      <c r="N190" s="887">
        <f t="shared" si="34"/>
        <v>100</v>
      </c>
      <c r="O190" s="887"/>
      <c r="R190" s="1">
        <v>2011</v>
      </c>
      <c r="S190" s="8">
        <f>(O113*($E113/365))+(O114*($E114/365))</f>
        <v>47.562136986301368</v>
      </c>
      <c r="T190" s="8">
        <f>(P113*($E113/365))+(P114*($E114/365))</f>
        <v>0</v>
      </c>
      <c r="U190" s="8">
        <f>(Q113*($E113/365))+(Q114*($E114/365))</f>
        <v>0</v>
      </c>
      <c r="V190" s="7"/>
      <c r="W190" s="7">
        <f t="shared" si="35"/>
        <v>47.562136986301368</v>
      </c>
    </row>
    <row r="191" spans="1:23">
      <c r="A191" s="1">
        <v>2012</v>
      </c>
      <c r="B191" s="8">
        <f>(K115*($E115/366))+(K116*($E116/366))</f>
        <v>100</v>
      </c>
      <c r="C191" s="8">
        <f>(L115*($E115/366))+(L116*($E116/366))</f>
        <v>0</v>
      </c>
      <c r="D191" s="8">
        <f>(M115*($E115/366))+(M116*($E116/366))</f>
        <v>0</v>
      </c>
      <c r="E191" s="48">
        <f t="shared" si="33"/>
        <v>100</v>
      </c>
      <c r="G191" s="1">
        <v>2012</v>
      </c>
      <c r="H191" s="918">
        <f>(O115/$R115*100*($E115/366))+(O116/$R116*100*($E116/366))</f>
        <v>100</v>
      </c>
      <c r="I191" s="918"/>
      <c r="J191" s="918">
        <f>(P115/$R115*100*($E115/366))+(P116/$R116*100*($E116/366))</f>
        <v>0</v>
      </c>
      <c r="K191" s="918"/>
      <c r="L191" s="918">
        <f>(Q115/$R115*100*($E115/366))+(Q116/$R116*100*($E116/366))</f>
        <v>0</v>
      </c>
      <c r="M191" s="918"/>
      <c r="N191" s="887">
        <f>H191+J191+L191</f>
        <v>100</v>
      </c>
      <c r="O191" s="887"/>
      <c r="R191" s="1">
        <v>2012</v>
      </c>
      <c r="S191" s="8">
        <f>(O115*($E115/366))+(O116*($E116/366))</f>
        <v>48.76</v>
      </c>
      <c r="T191" s="8">
        <f>(P115*($E115/366))+(P116*($E116/366))</f>
        <v>0</v>
      </c>
      <c r="U191" s="8">
        <f>(Q115*($E115/366))+(Q116*($E116/366))</f>
        <v>0</v>
      </c>
      <c r="V191" s="7"/>
      <c r="W191" s="7">
        <f t="shared" si="35"/>
        <v>48.76</v>
      </c>
    </row>
    <row r="192" spans="1:23">
      <c r="A192" s="1">
        <v>2013</v>
      </c>
      <c r="B192" s="8">
        <f>(K117*($E117/365))+(K118*($E118/365))</f>
        <v>100</v>
      </c>
      <c r="C192" s="8">
        <f>(L117*($E117/365))+(L118*($E118/365))</f>
        <v>0</v>
      </c>
      <c r="D192" s="8">
        <f>(M117*($E117/365))+(M118*($E118/365))</f>
        <v>0</v>
      </c>
      <c r="E192" s="270">
        <f t="shared" si="33"/>
        <v>100</v>
      </c>
      <c r="G192" s="1">
        <v>2013</v>
      </c>
      <c r="H192" s="918">
        <f>(O117/$R117*100*($E117/365))+(O118/$R118*100*($E118/365))</f>
        <v>100</v>
      </c>
      <c r="I192" s="918"/>
      <c r="J192" s="918">
        <f>(P117/$R117*100*($E117/365))+(P118/$R118*100*($E118/365))</f>
        <v>0</v>
      </c>
      <c r="K192" s="918"/>
      <c r="L192" s="918">
        <f>(Q117/$R117*100*($E117/365))+(Q118/$R118*100*($E118/365))</f>
        <v>0</v>
      </c>
      <c r="M192" s="918"/>
      <c r="N192" s="887">
        <f>H192+J192+L192</f>
        <v>100</v>
      </c>
      <c r="O192" s="887"/>
      <c r="R192" s="1">
        <v>2013</v>
      </c>
      <c r="S192" s="8">
        <f>(O117*($E117/365))+(O118*($E118/365))</f>
        <v>48.76</v>
      </c>
      <c r="T192" s="8">
        <f>(P117*($E117/365))+(P118*($E118/365))</f>
        <v>0</v>
      </c>
      <c r="U192" s="8">
        <f>(Q117*($E117/365))+(Q118*($E118/365))</f>
        <v>0</v>
      </c>
      <c r="W192" s="7">
        <f t="shared" si="35"/>
        <v>48.76</v>
      </c>
    </row>
    <row r="193" spans="1:23">
      <c r="A193" s="1">
        <v>2014</v>
      </c>
      <c r="B193" s="8">
        <f>(K119*($E119/365))+(K120*($E120/365))+(K121*($E121/365))</f>
        <v>100</v>
      </c>
      <c r="C193" s="8">
        <f>(L119*($E119/365))+(L120*($E120/365))+(L121*($E121/365))</f>
        <v>0</v>
      </c>
      <c r="D193" s="8">
        <f>(M119*($E119/365))+(M120*($E120/365))+(M121*($E121/365))</f>
        <v>0</v>
      </c>
      <c r="E193" s="543">
        <f>B193+C193+D193</f>
        <v>100</v>
      </c>
      <c r="G193" s="1">
        <v>2014</v>
      </c>
      <c r="H193" s="918">
        <f>(O119/$R119*100*($E119/365))+(O120/$R120*100*($E120/365))+(O121/$R121*100*($E121/365))</f>
        <v>100</v>
      </c>
      <c r="I193" s="918"/>
      <c r="J193" s="918">
        <f>(P119/$R119*100*($E119/365))+(P120/$R120*100*($E120/365))+(P121/$R121*100*($E121/365))</f>
        <v>0</v>
      </c>
      <c r="K193" s="918"/>
      <c r="L193" s="918">
        <f>(Q119/$R119*100*($E119/365))+(Q120/$R120*100*($E120/365))+(Q121/$R121*100*($E121/365))</f>
        <v>0</v>
      </c>
      <c r="M193" s="918"/>
      <c r="N193" s="887">
        <f>H193+J193+L193</f>
        <v>100</v>
      </c>
      <c r="O193" s="887"/>
      <c r="R193" s="1">
        <v>2014</v>
      </c>
      <c r="S193" s="8">
        <f>(O119*($E119/365))+(O120*($E120/365))+(O121*($E121/365))</f>
        <v>48.955616438356159</v>
      </c>
      <c r="T193" s="8">
        <f>(P119*($E119/365))+(P120*($E120/365))+(P121*($E121/365))</f>
        <v>0</v>
      </c>
      <c r="U193" s="8">
        <f>(Q119*($E119/365))+(Q120*($E120/365))+(Q121*($E121/365))</f>
        <v>0</v>
      </c>
      <c r="W193" s="7">
        <f>S193+T193+U193</f>
        <v>48.955616438356159</v>
      </c>
    </row>
    <row r="194" spans="1:23" s="618" customFormat="1">
      <c r="A194" s="618">
        <v>2015</v>
      </c>
      <c r="B194" s="613">
        <f>(K122*($E122/365))+(K123*($E123/365))</f>
        <v>100</v>
      </c>
      <c r="C194" s="613">
        <f>(L122*($E122/365))+(L123*($E123/365))</f>
        <v>0</v>
      </c>
      <c r="D194" s="613">
        <f>(M122*($E122/365))+(M123*($E123/365))</f>
        <v>0</v>
      </c>
      <c r="E194" s="614">
        <f>B194+C194+D194</f>
        <v>100</v>
      </c>
      <c r="G194" s="618">
        <v>2015</v>
      </c>
      <c r="H194" s="918">
        <f>(O122/$R122*100*($E122/365))+(O123/$R123*100*($E123/365))</f>
        <v>100</v>
      </c>
      <c r="I194" s="918"/>
      <c r="J194" s="918">
        <f>(P122/$R122*100*($E122/365))+(P123/$R123*100*($E123/365))</f>
        <v>0</v>
      </c>
      <c r="K194" s="918"/>
      <c r="L194" s="918">
        <f>(Q122/$R122*100*($E122/365))+(Q123/$R123*100*($E123/365))</f>
        <v>0</v>
      </c>
      <c r="M194" s="918"/>
      <c r="N194" s="887">
        <f>H194+J194+L194</f>
        <v>100</v>
      </c>
      <c r="O194" s="887"/>
      <c r="R194" s="618">
        <v>2015</v>
      </c>
      <c r="S194" s="613">
        <f>(O122*($E122/365))+(O123*($E123/365))</f>
        <v>49.6</v>
      </c>
      <c r="T194" s="613">
        <f>(P122*($E122/365))+(P123*($E123/365))</f>
        <v>0</v>
      </c>
      <c r="U194" s="613">
        <f>(Q122*($E122/365))+(Q123*($E123/365))</f>
        <v>0</v>
      </c>
      <c r="W194" s="617">
        <f>S194+T194+U194</f>
        <v>49.6</v>
      </c>
    </row>
    <row r="195" spans="1:23">
      <c r="A195" s="690">
        <v>2016</v>
      </c>
      <c r="B195" s="684">
        <f>(K124*($E124/366))+(K125*($E125/366))</f>
        <v>100</v>
      </c>
      <c r="C195" s="684">
        <f>(L124*($E124/366))+(L125*($E125/366))</f>
        <v>0</v>
      </c>
      <c r="D195" s="684">
        <f>(M124*($E124/366))+(M125*($E125/366))</f>
        <v>0</v>
      </c>
      <c r="E195" s="685">
        <f t="shared" ref="E195" si="36">B195+C195+D195</f>
        <v>100</v>
      </c>
      <c r="F195" s="690"/>
      <c r="G195" s="690">
        <v>2016</v>
      </c>
      <c r="H195" s="918">
        <f>(O124/$R124*100*($E124/366))+(O125/$R125*100*($E125/366))</f>
        <v>100</v>
      </c>
      <c r="I195" s="918"/>
      <c r="J195" s="918">
        <f>(P124/$R124*100*($E124/366))+(P125/$R125*100*($E125/366))</f>
        <v>0</v>
      </c>
      <c r="K195" s="918"/>
      <c r="L195" s="918">
        <f>(Q124/$R124*100*($E124/366))+(Q125/$R125*100*($E125/366))</f>
        <v>0</v>
      </c>
      <c r="M195" s="918"/>
      <c r="N195" s="887">
        <f t="shared" ref="N195" si="37">H195+J195+L195</f>
        <v>100</v>
      </c>
      <c r="O195" s="887"/>
      <c r="P195" s="690"/>
      <c r="Q195" s="690"/>
      <c r="R195" s="690">
        <v>2016</v>
      </c>
      <c r="S195" s="684">
        <f>(O124*($E124/366))+(O125*($E125/366))</f>
        <v>49.569398907103825</v>
      </c>
      <c r="T195" s="684">
        <f>(P124*($E124/366))+(P125*($E125/366))</f>
        <v>0</v>
      </c>
      <c r="U195" s="684">
        <f>(Q124*($E124/366))+(Q125*($E125/366))</f>
        <v>0</v>
      </c>
      <c r="V195" s="690"/>
      <c r="W195" s="688">
        <f t="shared" ref="W195" si="38">S195+T195+U195</f>
        <v>49.569398907103825</v>
      </c>
    </row>
    <row r="196" spans="1:23">
      <c r="A196" s="749">
        <v>2017</v>
      </c>
      <c r="B196" s="744">
        <f>(K126*($E126/365))+(K127*($E127/365))</f>
        <v>85.315068493150676</v>
      </c>
      <c r="C196" s="744">
        <f t="shared" ref="C196:D196" si="39">(L126*($E126/365))+(L127*($E127/365))</f>
        <v>0</v>
      </c>
      <c r="D196" s="744">
        <f t="shared" si="39"/>
        <v>14.684931506849315</v>
      </c>
      <c r="E196" s="745">
        <f t="shared" ref="E196" si="40">B196+C196+D196</f>
        <v>99.999999999999986</v>
      </c>
      <c r="F196" s="749"/>
      <c r="G196" s="749">
        <v>2017</v>
      </c>
      <c r="H196" s="918">
        <f>(O126/$R126*100*($E126/365))+(O127/$R127*100*($E127/365))</f>
        <v>84.649757731650411</v>
      </c>
      <c r="I196" s="918"/>
      <c r="J196" s="918">
        <f>(P126/$R126*100*($E126/365))+(P127/$R127*100*($E127/365))</f>
        <v>0</v>
      </c>
      <c r="K196" s="918"/>
      <c r="L196" s="918">
        <f>(Q126/$R126*100*($E126/365))+(Q127/$R127*100*($E127/365))</f>
        <v>15.350242268349584</v>
      </c>
      <c r="M196" s="918"/>
      <c r="N196" s="887">
        <f t="shared" ref="N196" si="41">H196+J196+L196</f>
        <v>100</v>
      </c>
      <c r="O196" s="887"/>
      <c r="P196" s="749"/>
      <c r="Q196" s="749"/>
      <c r="R196" s="749">
        <v>2017</v>
      </c>
      <c r="S196" s="744">
        <f>(O126*($E126/365))+(O127*($E127/365))</f>
        <v>41.218904109589033</v>
      </c>
      <c r="T196" s="744">
        <f t="shared" ref="T196:U196" si="42">(P126*($E126/365))+(P127*($E127/365))</f>
        <v>0</v>
      </c>
      <c r="U196" s="744">
        <f t="shared" si="42"/>
        <v>7.0304109589041088</v>
      </c>
      <c r="V196" s="749"/>
      <c r="W196" s="746">
        <f t="shared" ref="W196" si="43">S196+T196+U196</f>
        <v>48.249315068493139</v>
      </c>
    </row>
    <row r="197" spans="1:23">
      <c r="A197" s="775">
        <v>2018</v>
      </c>
      <c r="B197" s="772">
        <f>(K128*($E128/365))+(K129*($E129/365))</f>
        <v>20.374909877433307</v>
      </c>
      <c r="C197" s="772">
        <f>(L128*($E128/365))+(L129*($E129/365))</f>
        <v>0</v>
      </c>
      <c r="D197" s="772">
        <f>(M128*($E128/365))+(M129*($E129/365))</f>
        <v>79.625090122566689</v>
      </c>
      <c r="E197" s="773">
        <f t="shared" ref="E197" si="44">B197+C197+D197</f>
        <v>100</v>
      </c>
      <c r="F197" s="775"/>
      <c r="G197" s="775">
        <v>2018</v>
      </c>
      <c r="H197" s="918">
        <f>(O128/$R128*100*($E128/365))+(O129/$R129*100*($E129/365))</f>
        <v>16.375545851528386</v>
      </c>
      <c r="I197" s="918"/>
      <c r="J197" s="918">
        <f>(P128/$R128*100*($E128/365))+(P129/$R129*100*($E129/365))</f>
        <v>0</v>
      </c>
      <c r="K197" s="918"/>
      <c r="L197" s="918">
        <f>(Q128/$R128*100*($E128/365))+(Q129/$R129*100*($E129/365))</f>
        <v>83.624454148471614</v>
      </c>
      <c r="M197" s="918"/>
      <c r="N197" s="887">
        <f t="shared" ref="N197" si="45">H197+J197+L197</f>
        <v>100</v>
      </c>
      <c r="O197" s="887"/>
      <c r="P197" s="775"/>
      <c r="Q197" s="775"/>
      <c r="R197" s="775">
        <v>2018</v>
      </c>
      <c r="S197" s="772">
        <f>(O128*($E128/365))+(O129*($E129/365))</f>
        <v>7.5</v>
      </c>
      <c r="T197" s="772">
        <f>(P128*($E128/365))+(P129*($E129/365))</f>
        <v>0</v>
      </c>
      <c r="U197" s="772">
        <f>(Q128*($E128/365))+(Q129*($E129/365))</f>
        <v>38.299999999999997</v>
      </c>
      <c r="V197" s="775"/>
      <c r="W197" s="774">
        <f t="shared" ref="W197" si="46">S197+T197+U197</f>
        <v>45.8</v>
      </c>
    </row>
    <row r="198" spans="1:23">
      <c r="A198" s="808">
        <v>2019</v>
      </c>
      <c r="B198" s="805">
        <f>(K130*($E130/365))+(K131*($E131/365))</f>
        <v>20.510454217736118</v>
      </c>
      <c r="C198" s="805">
        <f>(L130*($E130/365))+(L131*($E131/365))</f>
        <v>0</v>
      </c>
      <c r="D198" s="805">
        <f>(M130*($E130/365))+(M131*($E131/365))</f>
        <v>79.489545782263889</v>
      </c>
      <c r="E198" s="806">
        <f t="shared" ref="E198" si="47">B198+C198+D198</f>
        <v>100</v>
      </c>
      <c r="F198" s="808"/>
      <c r="G198" s="808">
        <v>2019</v>
      </c>
      <c r="H198" s="918">
        <f>(O130/$R130*100*($E130/365))+(O131/$R131*100*($E131/365))</f>
        <v>16.375545851528386</v>
      </c>
      <c r="I198" s="918"/>
      <c r="J198" s="918">
        <f>(P130/$R130*100*($E130/365))+(P131/$R131*100*($E131/365))</f>
        <v>0</v>
      </c>
      <c r="K198" s="918"/>
      <c r="L198" s="918">
        <f>(Q130/$R130*100*($E130/365))+(Q131/$R131*100*($E131/365))</f>
        <v>83.624454148471614</v>
      </c>
      <c r="M198" s="918"/>
      <c r="N198" s="887">
        <f t="shared" ref="N198" si="48">H198+J198+L198</f>
        <v>100</v>
      </c>
      <c r="O198" s="887"/>
      <c r="P198" s="808"/>
      <c r="Q198" s="808"/>
      <c r="R198" s="808">
        <v>2019</v>
      </c>
      <c r="S198" s="805">
        <f>(O130*($E130/365))+(O131*($E131/365))</f>
        <v>7.5</v>
      </c>
      <c r="T198" s="805">
        <f>(P130*($E130/365))+(P131*($E131/365))</f>
        <v>0</v>
      </c>
      <c r="U198" s="805">
        <f>(Q130*($E130/365))+(Q131*($E131/365))</f>
        <v>38.299999999999997</v>
      </c>
      <c r="V198" s="808"/>
      <c r="W198" s="807">
        <f t="shared" ref="W198" si="49">S198+T198+U198</f>
        <v>45.8</v>
      </c>
    </row>
  </sheetData>
  <mergeCells count="396">
    <mergeCell ref="H196:I196"/>
    <mergeCell ref="J196:K196"/>
    <mergeCell ref="L196:M196"/>
    <mergeCell ref="N196:O196"/>
    <mergeCell ref="H140:I140"/>
    <mergeCell ref="J140:K140"/>
    <mergeCell ref="L140:M140"/>
    <mergeCell ref="H141:I141"/>
    <mergeCell ref="J141:K141"/>
    <mergeCell ref="L141:M141"/>
    <mergeCell ref="H146:I146"/>
    <mergeCell ref="J146:K146"/>
    <mergeCell ref="L146:M146"/>
    <mergeCell ref="H195:I195"/>
    <mergeCell ref="J195:K195"/>
    <mergeCell ref="L195:M195"/>
    <mergeCell ref="H142:I142"/>
    <mergeCell ref="J142:K142"/>
    <mergeCell ref="L142:M142"/>
    <mergeCell ref="H143:I143"/>
    <mergeCell ref="J143:K143"/>
    <mergeCell ref="L143:M143"/>
    <mergeCell ref="H147:I147"/>
    <mergeCell ref="J147:K147"/>
    <mergeCell ref="N162:O162"/>
    <mergeCell ref="L147:M147"/>
    <mergeCell ref="H144:I144"/>
    <mergeCell ref="J144:K144"/>
    <mergeCell ref="L144:M144"/>
    <mergeCell ref="H145:I145"/>
    <mergeCell ref="J145:K145"/>
    <mergeCell ref="L145:M145"/>
    <mergeCell ref="H150:I150"/>
    <mergeCell ref="J150:K150"/>
    <mergeCell ref="L150:M150"/>
    <mergeCell ref="H148:I148"/>
    <mergeCell ref="J148:K148"/>
    <mergeCell ref="L148:M148"/>
    <mergeCell ref="H149:I149"/>
    <mergeCell ref="J149:K149"/>
    <mergeCell ref="L149:M149"/>
    <mergeCell ref="N160:O160"/>
    <mergeCell ref="N152:O152"/>
    <mergeCell ref="N153:O153"/>
    <mergeCell ref="N154:O154"/>
    <mergeCell ref="N155:O155"/>
    <mergeCell ref="N156:O156"/>
    <mergeCell ref="N157:O157"/>
    <mergeCell ref="C125:D125"/>
    <mergeCell ref="H151:I151"/>
    <mergeCell ref="J151:K151"/>
    <mergeCell ref="L151:M151"/>
    <mergeCell ref="N195:O195"/>
    <mergeCell ref="N185:O185"/>
    <mergeCell ref="N186:O186"/>
    <mergeCell ref="N187:O187"/>
    <mergeCell ref="N173:O173"/>
    <mergeCell ref="N174:O174"/>
    <mergeCell ref="N175:O175"/>
    <mergeCell ref="N192:O192"/>
    <mergeCell ref="N168:O168"/>
    <mergeCell ref="N169:O169"/>
    <mergeCell ref="N170:O170"/>
    <mergeCell ref="N171:O171"/>
    <mergeCell ref="N172:O172"/>
    <mergeCell ref="N183:O183"/>
    <mergeCell ref="N184:O184"/>
    <mergeCell ref="N164:O164"/>
    <mergeCell ref="N165:O165"/>
    <mergeCell ref="N166:O166"/>
    <mergeCell ref="N167:O167"/>
    <mergeCell ref="N161:O161"/>
    <mergeCell ref="C117:D117"/>
    <mergeCell ref="C118:D118"/>
    <mergeCell ref="H192:I192"/>
    <mergeCell ref="J192:K192"/>
    <mergeCell ref="L192:M192"/>
    <mergeCell ref="L138:M138"/>
    <mergeCell ref="N138:O138"/>
    <mergeCell ref="N188:O188"/>
    <mergeCell ref="N189:O189"/>
    <mergeCell ref="N176:O176"/>
    <mergeCell ref="N177:O177"/>
    <mergeCell ref="N178:O178"/>
    <mergeCell ref="N179:O179"/>
    <mergeCell ref="N180:O180"/>
    <mergeCell ref="N181:O181"/>
    <mergeCell ref="N190:O190"/>
    <mergeCell ref="N191:O191"/>
    <mergeCell ref="N182:O182"/>
    <mergeCell ref="C126:D126"/>
    <mergeCell ref="C127:D127"/>
    <mergeCell ref="C130:D130"/>
    <mergeCell ref="C131:D131"/>
    <mergeCell ref="C124:D124"/>
    <mergeCell ref="N151:O151"/>
    <mergeCell ref="N158:O158"/>
    <mergeCell ref="N159:O159"/>
    <mergeCell ref="C113:D113"/>
    <mergeCell ref="C104:D104"/>
    <mergeCell ref="C105:D105"/>
    <mergeCell ref="C114:D114"/>
    <mergeCell ref="C115:D115"/>
    <mergeCell ref="C106:D106"/>
    <mergeCell ref="C107:D107"/>
    <mergeCell ref="C108:D108"/>
    <mergeCell ref="C109:D109"/>
    <mergeCell ref="C110:D110"/>
    <mergeCell ref="C111:D111"/>
    <mergeCell ref="H154:I154"/>
    <mergeCell ref="J154:K154"/>
    <mergeCell ref="L154:M154"/>
    <mergeCell ref="H155:I155"/>
    <mergeCell ref="J155:K155"/>
    <mergeCell ref="L155:M155"/>
    <mergeCell ref="H152:I152"/>
    <mergeCell ref="J152:K152"/>
    <mergeCell ref="L152:M152"/>
    <mergeCell ref="H153:I153"/>
    <mergeCell ref="J153:K153"/>
    <mergeCell ref="C96:D96"/>
    <mergeCell ref="C97:D97"/>
    <mergeCell ref="C100:D100"/>
    <mergeCell ref="C101:D101"/>
    <mergeCell ref="C98:D98"/>
    <mergeCell ref="C99:D99"/>
    <mergeCell ref="C102:D102"/>
    <mergeCell ref="C103:D103"/>
    <mergeCell ref="C112:D112"/>
    <mergeCell ref="C89:D89"/>
    <mergeCell ref="C86:D86"/>
    <mergeCell ref="C87:D87"/>
    <mergeCell ref="C90:D90"/>
    <mergeCell ref="C91:D91"/>
    <mergeCell ref="C94:D94"/>
    <mergeCell ref="C95:D95"/>
    <mergeCell ref="C92:D92"/>
    <mergeCell ref="C93:D93"/>
    <mergeCell ref="C77:D77"/>
    <mergeCell ref="C78:D78"/>
    <mergeCell ref="C81:D81"/>
    <mergeCell ref="C83:D83"/>
    <mergeCell ref="C79:D79"/>
    <mergeCell ref="C80:D80"/>
    <mergeCell ref="C84:D84"/>
    <mergeCell ref="C85:D85"/>
    <mergeCell ref="C88:D88"/>
    <mergeCell ref="C70:D70"/>
    <mergeCell ref="C67:D67"/>
    <mergeCell ref="C68:D68"/>
    <mergeCell ref="C71:D71"/>
    <mergeCell ref="C72:D72"/>
    <mergeCell ref="C75:D75"/>
    <mergeCell ref="C76:D76"/>
    <mergeCell ref="C73:D73"/>
    <mergeCell ref="C74:D74"/>
    <mergeCell ref="C59:D59"/>
    <mergeCell ref="C60:D60"/>
    <mergeCell ref="C63:D63"/>
    <mergeCell ref="C64:D64"/>
    <mergeCell ref="C61:D61"/>
    <mergeCell ref="C62:D62"/>
    <mergeCell ref="C65:D65"/>
    <mergeCell ref="C66:D66"/>
    <mergeCell ref="C69:D69"/>
    <mergeCell ref="C52:D52"/>
    <mergeCell ref="C49:D49"/>
    <mergeCell ref="C50:D50"/>
    <mergeCell ref="C53:D53"/>
    <mergeCell ref="C54:D54"/>
    <mergeCell ref="C57:D57"/>
    <mergeCell ref="C58:D58"/>
    <mergeCell ref="C55:D55"/>
    <mergeCell ref="C56:D56"/>
    <mergeCell ref="C41:D41"/>
    <mergeCell ref="C42:D42"/>
    <mergeCell ref="C45:D45"/>
    <mergeCell ref="C46:D46"/>
    <mergeCell ref="C43:D43"/>
    <mergeCell ref="C44:D44"/>
    <mergeCell ref="C47:D47"/>
    <mergeCell ref="C48:D48"/>
    <mergeCell ref="C51:D51"/>
    <mergeCell ref="C34:D34"/>
    <mergeCell ref="C31:D31"/>
    <mergeCell ref="C32:D32"/>
    <mergeCell ref="C35:D35"/>
    <mergeCell ref="C36:D36"/>
    <mergeCell ref="C39:D39"/>
    <mergeCell ref="C40:D40"/>
    <mergeCell ref="C37:D37"/>
    <mergeCell ref="C38:D38"/>
    <mergeCell ref="C23:D23"/>
    <mergeCell ref="C24:D24"/>
    <mergeCell ref="C27:D27"/>
    <mergeCell ref="C28:D28"/>
    <mergeCell ref="C25:D25"/>
    <mergeCell ref="C26:D26"/>
    <mergeCell ref="C29:D29"/>
    <mergeCell ref="C30:D30"/>
    <mergeCell ref="C33:D33"/>
    <mergeCell ref="AP4:AS4"/>
    <mergeCell ref="C8:D8"/>
    <mergeCell ref="K4:N4"/>
    <mergeCell ref="O4:R4"/>
    <mergeCell ref="S4:S5"/>
    <mergeCell ref="T4:T5"/>
    <mergeCell ref="Z4:AC4"/>
    <mergeCell ref="AD4:AG4"/>
    <mergeCell ref="C7:D7"/>
    <mergeCell ref="C6:D6"/>
    <mergeCell ref="AH4:AK4"/>
    <mergeCell ref="AL4:AO4"/>
    <mergeCell ref="U4:U5"/>
    <mergeCell ref="V4:Y4"/>
    <mergeCell ref="A4:A5"/>
    <mergeCell ref="B4:B5"/>
    <mergeCell ref="C4:D5"/>
    <mergeCell ref="E4:E5"/>
    <mergeCell ref="H137:I137"/>
    <mergeCell ref="J137:K137"/>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J156:K156"/>
    <mergeCell ref="L156:M156"/>
    <mergeCell ref="H157:I157"/>
    <mergeCell ref="J157:K157"/>
    <mergeCell ref="L157:M157"/>
    <mergeCell ref="G3:M3"/>
    <mergeCell ref="O3:Q3"/>
    <mergeCell ref="H139:I139"/>
    <mergeCell ref="J139:K139"/>
    <mergeCell ref="L139:M139"/>
    <mergeCell ref="N139:O139"/>
    <mergeCell ref="H138:I138"/>
    <mergeCell ref="J138:K138"/>
    <mergeCell ref="H187:I187"/>
    <mergeCell ref="H188:I188"/>
    <mergeCell ref="H189:I189"/>
    <mergeCell ref="H190:I190"/>
    <mergeCell ref="J166:K166"/>
    <mergeCell ref="J167:K167"/>
    <mergeCell ref="J168:K168"/>
    <mergeCell ref="J169:K169"/>
    <mergeCell ref="J170:K170"/>
    <mergeCell ref="H180:I180"/>
    <mergeCell ref="H181:I181"/>
    <mergeCell ref="H182:I182"/>
    <mergeCell ref="H183:I183"/>
    <mergeCell ref="H184:I184"/>
    <mergeCell ref="H185:I185"/>
    <mergeCell ref="H174:I174"/>
    <mergeCell ref="H175:I175"/>
    <mergeCell ref="H176:I176"/>
    <mergeCell ref="H177:I177"/>
    <mergeCell ref="H178:I178"/>
    <mergeCell ref="J189:K189"/>
    <mergeCell ref="J183:K183"/>
    <mergeCell ref="J184:K184"/>
    <mergeCell ref="H179:I179"/>
    <mergeCell ref="J190:K190"/>
    <mergeCell ref="J179:K179"/>
    <mergeCell ref="J180:K180"/>
    <mergeCell ref="J181:K181"/>
    <mergeCell ref="J182:K182"/>
    <mergeCell ref="AT4:AW4"/>
    <mergeCell ref="AX4:BA4"/>
    <mergeCell ref="R135:W135"/>
    <mergeCell ref="L166:M166"/>
    <mergeCell ref="L167:M167"/>
    <mergeCell ref="L168:M168"/>
    <mergeCell ref="J171:K171"/>
    <mergeCell ref="J172:K172"/>
    <mergeCell ref="J173:K173"/>
    <mergeCell ref="L137:M137"/>
    <mergeCell ref="N137:O137"/>
    <mergeCell ref="N140:O140"/>
    <mergeCell ref="N141:O141"/>
    <mergeCell ref="N142:O142"/>
    <mergeCell ref="N143:O143"/>
    <mergeCell ref="N144:O144"/>
    <mergeCell ref="N145:O145"/>
    <mergeCell ref="J165:K165"/>
    <mergeCell ref="J174:K174"/>
    <mergeCell ref="C120:D120"/>
    <mergeCell ref="C121:D121"/>
    <mergeCell ref="J185:K185"/>
    <mergeCell ref="J186:K186"/>
    <mergeCell ref="H186:I186"/>
    <mergeCell ref="H168:I168"/>
    <mergeCell ref="H169:I169"/>
    <mergeCell ref="H170:I170"/>
    <mergeCell ref="H171:I171"/>
    <mergeCell ref="H172:I172"/>
    <mergeCell ref="H173:I173"/>
    <mergeCell ref="H165:I165"/>
    <mergeCell ref="H166:I166"/>
    <mergeCell ref="H167:I167"/>
    <mergeCell ref="J175:K175"/>
    <mergeCell ref="J176:K176"/>
    <mergeCell ref="H163:I163"/>
    <mergeCell ref="J163:K163"/>
    <mergeCell ref="H164:I164"/>
    <mergeCell ref="J164:K164"/>
    <mergeCell ref="H160:I160"/>
    <mergeCell ref="J160:K160"/>
    <mergeCell ref="H161:I161"/>
    <mergeCell ref="J161:K161"/>
    <mergeCell ref="J177:K177"/>
    <mergeCell ref="J178:K178"/>
    <mergeCell ref="C128:D128"/>
    <mergeCell ref="C129:D129"/>
    <mergeCell ref="N146:O146"/>
    <mergeCell ref="N147:O147"/>
    <mergeCell ref="N148:O148"/>
    <mergeCell ref="N149:O149"/>
    <mergeCell ref="N150:O150"/>
    <mergeCell ref="L163:M163"/>
    <mergeCell ref="L160:M160"/>
    <mergeCell ref="L164:M164"/>
    <mergeCell ref="L161:M161"/>
    <mergeCell ref="H162:I162"/>
    <mergeCell ref="J162:K162"/>
    <mergeCell ref="L162:M162"/>
    <mergeCell ref="L153:M153"/>
    <mergeCell ref="H158:I158"/>
    <mergeCell ref="J158:K158"/>
    <mergeCell ref="L158:M158"/>
    <mergeCell ref="H159:I159"/>
    <mergeCell ref="J159:K159"/>
    <mergeCell ref="L159:M159"/>
    <mergeCell ref="H156:I156"/>
    <mergeCell ref="L177:M177"/>
    <mergeCell ref="L178:M178"/>
    <mergeCell ref="L165:M165"/>
    <mergeCell ref="N163:O163"/>
    <mergeCell ref="C119:D119"/>
    <mergeCell ref="H193:I193"/>
    <mergeCell ref="J193:K193"/>
    <mergeCell ref="L193:M193"/>
    <mergeCell ref="L189:M189"/>
    <mergeCell ref="L190:M190"/>
    <mergeCell ref="L180:M180"/>
    <mergeCell ref="L185:M185"/>
    <mergeCell ref="L169:M169"/>
    <mergeCell ref="L170:M170"/>
    <mergeCell ref="L171:M171"/>
    <mergeCell ref="L172:M172"/>
    <mergeCell ref="L181:M181"/>
    <mergeCell ref="L173:M173"/>
    <mergeCell ref="J187:K187"/>
    <mergeCell ref="L179:M179"/>
    <mergeCell ref="L182:M182"/>
    <mergeCell ref="L183:M183"/>
    <mergeCell ref="L184:M184"/>
    <mergeCell ref="J188:K188"/>
    <mergeCell ref="H198:I198"/>
    <mergeCell ref="J198:K198"/>
    <mergeCell ref="L198:M198"/>
    <mergeCell ref="N198:O198"/>
    <mergeCell ref="H197:I197"/>
    <mergeCell ref="J197:K197"/>
    <mergeCell ref="L197:M197"/>
    <mergeCell ref="N197:O197"/>
    <mergeCell ref="C122:D122"/>
    <mergeCell ref="C123:D123"/>
    <mergeCell ref="H194:I194"/>
    <mergeCell ref="J194:K194"/>
    <mergeCell ref="L194:M194"/>
    <mergeCell ref="N194:O194"/>
    <mergeCell ref="N193:O193"/>
    <mergeCell ref="H191:I191"/>
    <mergeCell ref="J191:K191"/>
    <mergeCell ref="L191:M191"/>
    <mergeCell ref="L186:M186"/>
    <mergeCell ref="L187:M187"/>
    <mergeCell ref="L188:M188"/>
    <mergeCell ref="L174:M174"/>
    <mergeCell ref="L175:M175"/>
    <mergeCell ref="L176:M176"/>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A197"/>
  <sheetViews>
    <sheetView zoomScale="200" zoomScaleNormal="120" workbookViewId="0">
      <pane xSplit="1" ySplit="5" topLeftCell="B115" activePane="bottomRight" state="frozen"/>
      <selection pane="topRight" activeCell="B1" sqref="B1"/>
      <selection pane="bottomLeft" activeCell="A6" sqref="A6"/>
      <selection pane="bottomRight" activeCell="T6" sqref="T6:U130"/>
    </sheetView>
  </sheetViews>
  <sheetFormatPr baseColWidth="10" defaultColWidth="10.6640625" defaultRowHeight="10"/>
  <cols>
    <col min="1" max="1" width="5.83203125" style="1" customWidth="1"/>
    <col min="2" max="3" width="7.83203125" style="1" customWidth="1"/>
    <col min="4" max="4" width="8.33203125" style="1" customWidth="1"/>
    <col min="5" max="6" width="7.83203125" style="1" customWidth="1"/>
    <col min="7" max="18" width="4.5" style="1" customWidth="1"/>
    <col min="19" max="21" width="7.83203125" style="1" customWidth="1"/>
    <col min="22" max="33" width="5.6640625" style="1" customWidth="1"/>
    <col min="34" max="34" width="5.6640625" style="37" customWidth="1"/>
    <col min="35" max="45" width="5.6640625" style="1" customWidth="1"/>
    <col min="46" max="53" width="5.5" style="1" customWidth="1"/>
    <col min="54" max="16384" width="10.6640625" style="1"/>
  </cols>
  <sheetData>
    <row r="1" spans="1:53" s="2" customFormat="1" ht="15" customHeight="1">
      <c r="B1" s="22" t="s">
        <v>14</v>
      </c>
      <c r="AH1" s="36"/>
    </row>
    <row r="2" spans="1:53" s="2" customFormat="1" ht="15" customHeight="1">
      <c r="B2" s="22" t="s">
        <v>65</v>
      </c>
      <c r="AH2" s="36"/>
    </row>
    <row r="3" spans="1:53" s="2" customFormat="1">
      <c r="G3" s="924"/>
      <c r="H3" s="924"/>
      <c r="I3" s="924"/>
      <c r="J3" s="924"/>
      <c r="K3" s="924"/>
      <c r="L3" s="924"/>
      <c r="M3" s="924"/>
      <c r="O3" s="924"/>
      <c r="P3" s="924"/>
      <c r="Q3" s="924"/>
      <c r="AH3" s="36"/>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613</v>
      </c>
      <c r="D6" s="925"/>
      <c r="E6" s="227">
        <v>0</v>
      </c>
      <c r="G6" s="235"/>
      <c r="I6" s="227">
        <v>15</v>
      </c>
      <c r="J6" s="242">
        <v>15</v>
      </c>
      <c r="K6" s="218">
        <f t="shared" ref="K6:M8" si="0">G6/$J6*100</f>
        <v>0</v>
      </c>
      <c r="L6" s="218">
        <f t="shared" si="0"/>
        <v>0</v>
      </c>
      <c r="M6" s="218">
        <f t="shared" si="0"/>
        <v>100</v>
      </c>
      <c r="N6" s="237">
        <f>K6+L6+M6</f>
        <v>100</v>
      </c>
      <c r="O6" s="217"/>
      <c r="P6" s="218"/>
      <c r="Q6" s="218">
        <v>52</v>
      </c>
      <c r="R6" s="219">
        <f>O6+P6+Q6</f>
        <v>52</v>
      </c>
      <c r="S6" s="227">
        <v>1</v>
      </c>
      <c r="T6" s="870"/>
      <c r="U6" s="853"/>
      <c r="V6" s="226" t="s">
        <v>483</v>
      </c>
      <c r="W6" s="227" t="s">
        <v>20</v>
      </c>
      <c r="X6" s="227" t="s">
        <v>12</v>
      </c>
      <c r="Y6" s="228">
        <v>52</v>
      </c>
      <c r="AD6" s="226"/>
      <c r="AG6" s="228"/>
      <c r="AH6" s="252"/>
      <c r="AL6" s="226"/>
      <c r="AO6" s="228"/>
      <c r="AP6" s="226"/>
      <c r="AS6" s="228"/>
      <c r="AW6" s="228"/>
      <c r="BA6" s="229"/>
    </row>
    <row r="7" spans="1:53" s="227" customFormat="1">
      <c r="A7" s="233">
        <v>1959</v>
      </c>
      <c r="B7" s="853"/>
      <c r="C7" s="925" t="s">
        <v>613</v>
      </c>
      <c r="D7" s="925"/>
      <c r="E7" s="227">
        <v>365</v>
      </c>
      <c r="G7" s="235"/>
      <c r="I7" s="227">
        <v>15</v>
      </c>
      <c r="J7" s="242">
        <v>15</v>
      </c>
      <c r="K7" s="218">
        <f t="shared" si="0"/>
        <v>0</v>
      </c>
      <c r="L7" s="218">
        <f t="shared" si="0"/>
        <v>0</v>
      </c>
      <c r="M7" s="218">
        <f t="shared" si="0"/>
        <v>100</v>
      </c>
      <c r="N7" s="237">
        <f>K7+L7+M7</f>
        <v>100</v>
      </c>
      <c r="O7" s="217"/>
      <c r="P7" s="218"/>
      <c r="Q7" s="218">
        <v>52</v>
      </c>
      <c r="R7" s="219">
        <f>O7+P7+Q7</f>
        <v>52</v>
      </c>
      <c r="S7" s="227">
        <v>1</v>
      </c>
      <c r="T7" s="870"/>
      <c r="U7" s="853"/>
      <c r="V7" s="226" t="s">
        <v>483</v>
      </c>
      <c r="W7" s="227" t="s">
        <v>20</v>
      </c>
      <c r="X7" s="227" t="s">
        <v>12</v>
      </c>
      <c r="Y7" s="228">
        <v>52</v>
      </c>
      <c r="AD7" s="226"/>
      <c r="AG7" s="228"/>
      <c r="AH7" s="252"/>
      <c r="AL7" s="226"/>
      <c r="AO7" s="228"/>
      <c r="AP7" s="226"/>
      <c r="AS7" s="228"/>
      <c r="AW7" s="228"/>
      <c r="BA7" s="229"/>
    </row>
    <row r="8" spans="1:53" s="185" customFormat="1">
      <c r="A8" s="101">
        <v>1960</v>
      </c>
      <c r="B8" s="852"/>
      <c r="C8" s="917" t="s">
        <v>613</v>
      </c>
      <c r="D8" s="917"/>
      <c r="E8" s="185">
        <v>0</v>
      </c>
      <c r="G8" s="119"/>
      <c r="I8" s="185">
        <v>15</v>
      </c>
      <c r="J8" s="126">
        <v>15</v>
      </c>
      <c r="K8" s="92">
        <f t="shared" si="0"/>
        <v>0</v>
      </c>
      <c r="L8" s="92">
        <f t="shared" si="0"/>
        <v>0</v>
      </c>
      <c r="M8" s="92">
        <f t="shared" si="0"/>
        <v>100</v>
      </c>
      <c r="N8" s="121">
        <f>K8+L8+M8</f>
        <v>100</v>
      </c>
      <c r="O8" s="91"/>
      <c r="P8" s="92"/>
      <c r="Q8" s="92">
        <v>52</v>
      </c>
      <c r="R8" s="93">
        <f>O8+P8+Q8</f>
        <v>52</v>
      </c>
      <c r="S8" s="185">
        <v>1</v>
      </c>
      <c r="T8" s="839"/>
      <c r="U8" s="852"/>
      <c r="V8" s="82" t="s">
        <v>483</v>
      </c>
      <c r="W8" s="185" t="s">
        <v>20</v>
      </c>
      <c r="X8" s="185" t="s">
        <v>12</v>
      </c>
      <c r="Y8" s="83">
        <v>52</v>
      </c>
      <c r="AD8" s="82"/>
      <c r="AG8" s="83"/>
      <c r="AH8" s="150"/>
      <c r="AL8" s="82"/>
      <c r="AO8" s="83"/>
      <c r="AP8" s="82"/>
      <c r="AS8" s="83"/>
      <c r="AW8" s="83"/>
      <c r="BA8" s="84"/>
    </row>
    <row r="9" spans="1:53" s="185" customFormat="1">
      <c r="A9" s="101">
        <v>1960</v>
      </c>
      <c r="B9" s="852"/>
      <c r="C9" s="917" t="s">
        <v>613</v>
      </c>
      <c r="D9" s="917"/>
      <c r="E9" s="185">
        <v>366</v>
      </c>
      <c r="G9" s="119"/>
      <c r="I9" s="185">
        <v>15</v>
      </c>
      <c r="J9" s="126">
        <v>15</v>
      </c>
      <c r="K9" s="92">
        <f t="shared" ref="K9:M24" si="1">G9/$J9*100</f>
        <v>0</v>
      </c>
      <c r="L9" s="92">
        <f t="shared" si="1"/>
        <v>0</v>
      </c>
      <c r="M9" s="92">
        <f t="shared" si="1"/>
        <v>100</v>
      </c>
      <c r="N9" s="121">
        <f t="shared" ref="N9:N62" si="2">K9+L9+M9</f>
        <v>100</v>
      </c>
      <c r="O9" s="91"/>
      <c r="P9" s="92"/>
      <c r="Q9" s="92">
        <v>52</v>
      </c>
      <c r="R9" s="93">
        <f t="shared" ref="R9:R72" si="3">O9+P9+Q9</f>
        <v>52</v>
      </c>
      <c r="S9" s="185">
        <v>1</v>
      </c>
      <c r="T9" s="839"/>
      <c r="U9" s="852"/>
      <c r="V9" s="82" t="s">
        <v>483</v>
      </c>
      <c r="W9" s="185" t="s">
        <v>20</v>
      </c>
      <c r="X9" s="185" t="s">
        <v>12</v>
      </c>
      <c r="Y9" s="83">
        <v>52</v>
      </c>
      <c r="AD9" s="82"/>
      <c r="AG9" s="83"/>
      <c r="AH9" s="150"/>
      <c r="AL9" s="82"/>
      <c r="AO9" s="83"/>
      <c r="AP9" s="82"/>
      <c r="AS9" s="83"/>
      <c r="AW9" s="83"/>
      <c r="BA9" s="84"/>
    </row>
    <row r="10" spans="1:53" s="185" customFormat="1">
      <c r="A10" s="101">
        <v>1961</v>
      </c>
      <c r="B10" s="852"/>
      <c r="C10" s="917" t="s">
        <v>613</v>
      </c>
      <c r="D10" s="917"/>
      <c r="E10" s="185">
        <v>253</v>
      </c>
      <c r="G10" s="119"/>
      <c r="I10" s="185">
        <v>15</v>
      </c>
      <c r="J10" s="126">
        <v>15</v>
      </c>
      <c r="K10" s="92">
        <f t="shared" si="1"/>
        <v>0</v>
      </c>
      <c r="L10" s="92">
        <f t="shared" si="1"/>
        <v>0</v>
      </c>
      <c r="M10" s="92">
        <f t="shared" si="1"/>
        <v>100</v>
      </c>
      <c r="N10" s="121">
        <f t="shared" si="2"/>
        <v>100</v>
      </c>
      <c r="O10" s="91"/>
      <c r="P10" s="92"/>
      <c r="Q10" s="92">
        <v>52</v>
      </c>
      <c r="R10" s="93">
        <f t="shared" si="3"/>
        <v>52</v>
      </c>
      <c r="S10" s="185">
        <v>1</v>
      </c>
      <c r="T10" s="839"/>
      <c r="U10" s="852"/>
      <c r="V10" s="82" t="s">
        <v>483</v>
      </c>
      <c r="W10" s="185" t="s">
        <v>20</v>
      </c>
      <c r="X10" s="185" t="s">
        <v>12</v>
      </c>
      <c r="Y10" s="83">
        <v>52</v>
      </c>
      <c r="AD10" s="82"/>
      <c r="AG10" s="83"/>
      <c r="AH10" s="150"/>
      <c r="AL10" s="82"/>
      <c r="AO10" s="83"/>
      <c r="AP10" s="82"/>
      <c r="AS10" s="83"/>
      <c r="AW10" s="83"/>
      <c r="BA10" s="84"/>
    </row>
    <row r="11" spans="1:53" s="292" customFormat="1">
      <c r="A11" s="338">
        <v>1961</v>
      </c>
      <c r="B11" s="836">
        <v>22535</v>
      </c>
      <c r="C11" s="916" t="s">
        <v>614</v>
      </c>
      <c r="D11" s="916"/>
      <c r="E11" s="292">
        <f>365-E10</f>
        <v>112</v>
      </c>
      <c r="F11" s="292">
        <v>1</v>
      </c>
      <c r="G11" s="366"/>
      <c r="I11" s="292">
        <v>15</v>
      </c>
      <c r="J11" s="377">
        <v>15</v>
      </c>
      <c r="K11" s="336">
        <f t="shared" si="1"/>
        <v>0</v>
      </c>
      <c r="L11" s="336">
        <f t="shared" si="1"/>
        <v>0</v>
      </c>
      <c r="M11" s="336">
        <f t="shared" si="1"/>
        <v>100</v>
      </c>
      <c r="N11" s="368">
        <f t="shared" si="2"/>
        <v>100</v>
      </c>
      <c r="O11" s="335"/>
      <c r="P11" s="336"/>
      <c r="Q11" s="336">
        <v>49.3</v>
      </c>
      <c r="R11" s="337">
        <f t="shared" si="3"/>
        <v>49.3</v>
      </c>
      <c r="S11" s="292">
        <v>4</v>
      </c>
      <c r="T11" s="838">
        <v>22535</v>
      </c>
      <c r="U11" s="836">
        <v>22535</v>
      </c>
      <c r="V11" s="299" t="s">
        <v>483</v>
      </c>
      <c r="W11" s="292" t="s">
        <v>20</v>
      </c>
      <c r="X11" s="292" t="s">
        <v>12</v>
      </c>
      <c r="Y11" s="300">
        <v>49.3</v>
      </c>
      <c r="AD11" s="299"/>
      <c r="AG11" s="300"/>
      <c r="AH11" s="390"/>
      <c r="AL11" s="299"/>
      <c r="AO11" s="300"/>
      <c r="AP11" s="299"/>
      <c r="AS11" s="300"/>
      <c r="AW11" s="300"/>
      <c r="BA11" s="301"/>
    </row>
    <row r="12" spans="1:53" s="292" customFormat="1">
      <c r="A12" s="338">
        <v>1962</v>
      </c>
      <c r="B12" s="836"/>
      <c r="C12" s="916" t="s">
        <v>614</v>
      </c>
      <c r="D12" s="916"/>
      <c r="E12" s="292">
        <v>0</v>
      </c>
      <c r="G12" s="366"/>
      <c r="I12" s="292">
        <v>15</v>
      </c>
      <c r="J12" s="377">
        <v>15</v>
      </c>
      <c r="K12" s="336">
        <f t="shared" si="1"/>
        <v>0</v>
      </c>
      <c r="L12" s="336">
        <f t="shared" si="1"/>
        <v>0</v>
      </c>
      <c r="M12" s="336">
        <f t="shared" si="1"/>
        <v>100</v>
      </c>
      <c r="N12" s="368">
        <f t="shared" si="2"/>
        <v>100</v>
      </c>
      <c r="O12" s="335"/>
      <c r="P12" s="336"/>
      <c r="Q12" s="336">
        <v>49.3</v>
      </c>
      <c r="R12" s="337">
        <f t="shared" si="3"/>
        <v>49.3</v>
      </c>
      <c r="S12" s="292">
        <v>4</v>
      </c>
      <c r="T12" s="838"/>
      <c r="U12" s="836"/>
      <c r="V12" s="299" t="s">
        <v>483</v>
      </c>
      <c r="W12" s="292" t="s">
        <v>20</v>
      </c>
      <c r="X12" s="292" t="s">
        <v>12</v>
      </c>
      <c r="Y12" s="300">
        <v>49.3</v>
      </c>
      <c r="AD12" s="299"/>
      <c r="AG12" s="300"/>
      <c r="AH12" s="390"/>
      <c r="AL12" s="299"/>
      <c r="AO12" s="300"/>
      <c r="AP12" s="299"/>
      <c r="AS12" s="300"/>
      <c r="AW12" s="300"/>
      <c r="BA12" s="301"/>
    </row>
    <row r="13" spans="1:53" s="292" customFormat="1">
      <c r="A13" s="338">
        <v>1962</v>
      </c>
      <c r="B13" s="836"/>
      <c r="C13" s="916" t="s">
        <v>614</v>
      </c>
      <c r="D13" s="916"/>
      <c r="E13" s="292">
        <v>365</v>
      </c>
      <c r="G13" s="366"/>
      <c r="I13" s="292">
        <v>15</v>
      </c>
      <c r="J13" s="377">
        <v>15</v>
      </c>
      <c r="K13" s="336">
        <f t="shared" si="1"/>
        <v>0</v>
      </c>
      <c r="L13" s="336">
        <f t="shared" si="1"/>
        <v>0</v>
      </c>
      <c r="M13" s="336">
        <f t="shared" si="1"/>
        <v>100</v>
      </c>
      <c r="N13" s="368">
        <f t="shared" si="2"/>
        <v>100</v>
      </c>
      <c r="O13" s="335"/>
      <c r="P13" s="336"/>
      <c r="Q13" s="336">
        <v>49.3</v>
      </c>
      <c r="R13" s="337">
        <f t="shared" si="3"/>
        <v>49.3</v>
      </c>
      <c r="S13" s="292">
        <v>4</v>
      </c>
      <c r="T13" s="838"/>
      <c r="U13" s="836"/>
      <c r="V13" s="299" t="s">
        <v>483</v>
      </c>
      <c r="W13" s="292" t="s">
        <v>20</v>
      </c>
      <c r="X13" s="292" t="s">
        <v>12</v>
      </c>
      <c r="Y13" s="300">
        <v>49.3</v>
      </c>
      <c r="AD13" s="299"/>
      <c r="AG13" s="300"/>
      <c r="AH13" s="390"/>
      <c r="AL13" s="299"/>
      <c r="AO13" s="300"/>
      <c r="AP13" s="299"/>
      <c r="AS13" s="300"/>
      <c r="AW13" s="300"/>
      <c r="BA13" s="301"/>
    </row>
    <row r="14" spans="1:53" s="292" customFormat="1">
      <c r="A14" s="338">
        <v>1962.6</v>
      </c>
      <c r="B14" s="836"/>
      <c r="C14" s="916" t="s">
        <v>614</v>
      </c>
      <c r="D14" s="916"/>
      <c r="E14" s="292">
        <v>238</v>
      </c>
      <c r="G14" s="366"/>
      <c r="I14" s="292">
        <v>15</v>
      </c>
      <c r="J14" s="377">
        <v>15</v>
      </c>
      <c r="K14" s="336">
        <f t="shared" si="1"/>
        <v>0</v>
      </c>
      <c r="L14" s="336">
        <f t="shared" si="1"/>
        <v>0</v>
      </c>
      <c r="M14" s="336">
        <f t="shared" si="1"/>
        <v>100</v>
      </c>
      <c r="N14" s="368">
        <f t="shared" si="2"/>
        <v>100</v>
      </c>
      <c r="O14" s="335"/>
      <c r="P14" s="336"/>
      <c r="Q14" s="336">
        <v>49.3</v>
      </c>
      <c r="R14" s="337">
        <f t="shared" si="3"/>
        <v>49.3</v>
      </c>
      <c r="S14" s="292">
        <v>4</v>
      </c>
      <c r="T14" s="838"/>
      <c r="U14" s="836"/>
      <c r="V14" s="299" t="s">
        <v>483</v>
      </c>
      <c r="W14" s="292" t="s">
        <v>20</v>
      </c>
      <c r="X14" s="292" t="s">
        <v>12</v>
      </c>
      <c r="Y14" s="300">
        <v>49.3</v>
      </c>
      <c r="AD14" s="299"/>
      <c r="AG14" s="300"/>
      <c r="AH14" s="390"/>
      <c r="AL14" s="299"/>
      <c r="AO14" s="300"/>
      <c r="AP14" s="299"/>
      <c r="AS14" s="300"/>
      <c r="AW14" s="300"/>
      <c r="BA14" s="301"/>
    </row>
    <row r="15" spans="1:53" s="185" customFormat="1">
      <c r="A15" s="101">
        <v>1963.05714285714</v>
      </c>
      <c r="B15" s="852">
        <v>23250</v>
      </c>
      <c r="C15" s="917" t="s">
        <v>615</v>
      </c>
      <c r="D15" s="917"/>
      <c r="E15" s="185">
        <v>28</v>
      </c>
      <c r="F15" s="185">
        <v>5</v>
      </c>
      <c r="G15" s="119">
        <v>8</v>
      </c>
      <c r="H15" s="185">
        <v>7</v>
      </c>
      <c r="J15" s="126">
        <v>15</v>
      </c>
      <c r="K15" s="92">
        <f t="shared" si="1"/>
        <v>53.333333333333336</v>
      </c>
      <c r="L15" s="92">
        <f t="shared" si="1"/>
        <v>46.666666666666664</v>
      </c>
      <c r="M15" s="92">
        <f t="shared" si="1"/>
        <v>0</v>
      </c>
      <c r="N15" s="121">
        <f t="shared" si="2"/>
        <v>100</v>
      </c>
      <c r="O15" s="91">
        <v>28.6</v>
      </c>
      <c r="P15" s="92">
        <v>20.7</v>
      </c>
      <c r="Q15" s="92"/>
      <c r="R15" s="93">
        <f t="shared" si="3"/>
        <v>49.3</v>
      </c>
      <c r="S15" s="185">
        <v>5</v>
      </c>
      <c r="T15" s="839"/>
      <c r="U15" s="852">
        <v>23250</v>
      </c>
      <c r="V15" s="82" t="s">
        <v>484</v>
      </c>
      <c r="W15" s="185" t="s">
        <v>74</v>
      </c>
      <c r="X15" s="185" t="s">
        <v>11</v>
      </c>
      <c r="Y15" s="83">
        <v>19.3</v>
      </c>
      <c r="Z15" s="82" t="s">
        <v>84</v>
      </c>
      <c r="AA15" s="185" t="s">
        <v>75</v>
      </c>
      <c r="AB15" s="185" t="s">
        <v>18</v>
      </c>
      <c r="AC15" s="185">
        <v>10.7</v>
      </c>
      <c r="AD15" s="82" t="s">
        <v>266</v>
      </c>
      <c r="AE15" s="185" t="s">
        <v>17</v>
      </c>
      <c r="AF15" s="185" t="s">
        <v>18</v>
      </c>
      <c r="AG15" s="83">
        <v>10</v>
      </c>
      <c r="AH15" s="185" t="s">
        <v>407</v>
      </c>
      <c r="AI15" s="185" t="s">
        <v>22</v>
      </c>
      <c r="AJ15" s="185" t="s">
        <v>11</v>
      </c>
      <c r="AK15" s="185">
        <v>9.3000000000000007</v>
      </c>
      <c r="AL15" s="82"/>
      <c r="AO15" s="83"/>
      <c r="AP15" s="82"/>
      <c r="AS15" s="83"/>
      <c r="AW15" s="83"/>
      <c r="BA15" s="84"/>
    </row>
    <row r="16" spans="1:53" s="292" customFormat="1">
      <c r="A16" s="338">
        <v>1963</v>
      </c>
      <c r="B16" s="836">
        <v>23278</v>
      </c>
      <c r="C16" s="916" t="s">
        <v>616</v>
      </c>
      <c r="D16" s="916"/>
      <c r="E16" s="292">
        <f>365-E15-E14</f>
        <v>99</v>
      </c>
      <c r="F16" s="292">
        <v>5</v>
      </c>
      <c r="G16" s="366"/>
      <c r="I16" s="292">
        <v>15</v>
      </c>
      <c r="J16" s="377">
        <v>15</v>
      </c>
      <c r="K16" s="336">
        <f t="shared" si="1"/>
        <v>0</v>
      </c>
      <c r="L16" s="336">
        <f t="shared" si="1"/>
        <v>0</v>
      </c>
      <c r="M16" s="336">
        <f t="shared" si="1"/>
        <v>100</v>
      </c>
      <c r="N16" s="368">
        <f t="shared" si="2"/>
        <v>100</v>
      </c>
      <c r="O16" s="335"/>
      <c r="P16" s="336"/>
      <c r="Q16" s="336">
        <v>49.3</v>
      </c>
      <c r="R16" s="337">
        <f t="shared" si="3"/>
        <v>49.3</v>
      </c>
      <c r="S16" s="292">
        <v>4</v>
      </c>
      <c r="T16" s="838"/>
      <c r="U16" s="836">
        <v>23278</v>
      </c>
      <c r="V16" s="299" t="s">
        <v>483</v>
      </c>
      <c r="W16" s="292" t="s">
        <v>20</v>
      </c>
      <c r="X16" s="292" t="s">
        <v>12</v>
      </c>
      <c r="Y16" s="300">
        <v>49.3</v>
      </c>
      <c r="AD16" s="299"/>
      <c r="AG16" s="300"/>
      <c r="AL16" s="299"/>
      <c r="AO16" s="300"/>
      <c r="AP16" s="299"/>
      <c r="AS16" s="300"/>
      <c r="AW16" s="300"/>
      <c r="BA16" s="301"/>
    </row>
    <row r="17" spans="1:53" s="292" customFormat="1">
      <c r="A17" s="338">
        <v>1963.5142857142901</v>
      </c>
      <c r="B17" s="836"/>
      <c r="C17" s="916" t="s">
        <v>616</v>
      </c>
      <c r="D17" s="916"/>
      <c r="E17" s="292">
        <v>0</v>
      </c>
      <c r="G17" s="366"/>
      <c r="I17" s="292">
        <v>15</v>
      </c>
      <c r="J17" s="377">
        <v>15</v>
      </c>
      <c r="K17" s="336">
        <f t="shared" si="1"/>
        <v>0</v>
      </c>
      <c r="L17" s="336">
        <f t="shared" si="1"/>
        <v>0</v>
      </c>
      <c r="M17" s="336">
        <f t="shared" si="1"/>
        <v>100</v>
      </c>
      <c r="N17" s="368">
        <f t="shared" si="2"/>
        <v>100</v>
      </c>
      <c r="O17" s="335"/>
      <c r="P17" s="336"/>
      <c r="Q17" s="336">
        <v>49.3</v>
      </c>
      <c r="R17" s="337">
        <f t="shared" si="3"/>
        <v>49.3</v>
      </c>
      <c r="S17" s="292">
        <v>4</v>
      </c>
      <c r="T17" s="838"/>
      <c r="U17" s="836"/>
      <c r="V17" s="299" t="s">
        <v>483</v>
      </c>
      <c r="W17" s="292" t="s">
        <v>20</v>
      </c>
      <c r="X17" s="292" t="s">
        <v>12</v>
      </c>
      <c r="Y17" s="300">
        <v>49.3</v>
      </c>
      <c r="AD17" s="299"/>
      <c r="AG17" s="300"/>
      <c r="AL17" s="299"/>
      <c r="AO17" s="300"/>
      <c r="AP17" s="299"/>
      <c r="AS17" s="300"/>
      <c r="AW17" s="300"/>
      <c r="BA17" s="301"/>
    </row>
    <row r="18" spans="1:53" s="292" customFormat="1">
      <c r="A18" s="338">
        <v>1963.9714285714299</v>
      </c>
      <c r="B18" s="836"/>
      <c r="C18" s="916" t="s">
        <v>616</v>
      </c>
      <c r="D18" s="916"/>
      <c r="E18" s="292">
        <v>366</v>
      </c>
      <c r="G18" s="366"/>
      <c r="I18" s="292">
        <v>15</v>
      </c>
      <c r="J18" s="377">
        <v>15</v>
      </c>
      <c r="K18" s="336">
        <f t="shared" si="1"/>
        <v>0</v>
      </c>
      <c r="L18" s="336">
        <f t="shared" si="1"/>
        <v>0</v>
      </c>
      <c r="M18" s="336">
        <f t="shared" si="1"/>
        <v>100</v>
      </c>
      <c r="N18" s="368">
        <f t="shared" si="2"/>
        <v>100</v>
      </c>
      <c r="O18" s="335"/>
      <c r="P18" s="336"/>
      <c r="Q18" s="336">
        <v>49.3</v>
      </c>
      <c r="R18" s="337">
        <f t="shared" si="3"/>
        <v>49.3</v>
      </c>
      <c r="S18" s="292">
        <v>4</v>
      </c>
      <c r="T18" s="838"/>
      <c r="U18" s="836"/>
      <c r="V18" s="299" t="s">
        <v>483</v>
      </c>
      <c r="W18" s="292" t="s">
        <v>20</v>
      </c>
      <c r="X18" s="292" t="s">
        <v>12</v>
      </c>
      <c r="Y18" s="300">
        <v>49.3</v>
      </c>
      <c r="AD18" s="299"/>
      <c r="AG18" s="300"/>
      <c r="AL18" s="299"/>
      <c r="AO18" s="300"/>
      <c r="AP18" s="299"/>
      <c r="AS18" s="300"/>
      <c r="AW18" s="300"/>
      <c r="BA18" s="301"/>
    </row>
    <row r="19" spans="1:53" s="292" customFormat="1">
      <c r="A19" s="338">
        <v>1965</v>
      </c>
      <c r="B19" s="836"/>
      <c r="C19" s="916" t="s">
        <v>616</v>
      </c>
      <c r="D19" s="916"/>
      <c r="E19" s="292">
        <v>283</v>
      </c>
      <c r="G19" s="366"/>
      <c r="I19" s="292">
        <v>15</v>
      </c>
      <c r="J19" s="377">
        <v>15</v>
      </c>
      <c r="K19" s="336">
        <f t="shared" si="1"/>
        <v>0</v>
      </c>
      <c r="L19" s="336">
        <f t="shared" si="1"/>
        <v>0</v>
      </c>
      <c r="M19" s="336">
        <f t="shared" si="1"/>
        <v>100</v>
      </c>
      <c r="N19" s="368">
        <f t="shared" si="2"/>
        <v>100</v>
      </c>
      <c r="O19" s="335"/>
      <c r="P19" s="336"/>
      <c r="Q19" s="336">
        <v>49.3</v>
      </c>
      <c r="R19" s="337">
        <f t="shared" si="3"/>
        <v>49.3</v>
      </c>
      <c r="S19" s="292">
        <v>4</v>
      </c>
      <c r="T19" s="838"/>
      <c r="U19" s="836"/>
      <c r="V19" s="299" t="s">
        <v>483</v>
      </c>
      <c r="W19" s="292" t="s">
        <v>20</v>
      </c>
      <c r="X19" s="292" t="s">
        <v>12</v>
      </c>
      <c r="Y19" s="300">
        <v>49.3</v>
      </c>
      <c r="AD19" s="299"/>
      <c r="AG19" s="300"/>
      <c r="AL19" s="299"/>
      <c r="AO19" s="300"/>
      <c r="AP19" s="299"/>
      <c r="AS19" s="300"/>
      <c r="AW19" s="300"/>
      <c r="BA19" s="301"/>
    </row>
    <row r="20" spans="1:53" s="185" customFormat="1">
      <c r="A20" s="101">
        <v>1964.88571428572</v>
      </c>
      <c r="B20" s="852">
        <v>24026</v>
      </c>
      <c r="C20" s="917" t="s">
        <v>617</v>
      </c>
      <c r="D20" s="917"/>
      <c r="E20" s="185">
        <f>365-E19</f>
        <v>82</v>
      </c>
      <c r="F20" s="185">
        <v>1</v>
      </c>
      <c r="G20" s="119">
        <v>9</v>
      </c>
      <c r="H20" s="185">
        <v>6</v>
      </c>
      <c r="J20" s="126">
        <v>15</v>
      </c>
      <c r="K20" s="92">
        <f t="shared" si="1"/>
        <v>60</v>
      </c>
      <c r="L20" s="92">
        <f t="shared" si="1"/>
        <v>40</v>
      </c>
      <c r="M20" s="92">
        <f t="shared" si="1"/>
        <v>0</v>
      </c>
      <c r="N20" s="121">
        <f t="shared" si="2"/>
        <v>100</v>
      </c>
      <c r="O20" s="91">
        <v>32.700000000000003</v>
      </c>
      <c r="P20" s="92">
        <v>20.7</v>
      </c>
      <c r="Q20" s="92"/>
      <c r="R20" s="93">
        <f t="shared" si="3"/>
        <v>53.400000000000006</v>
      </c>
      <c r="S20" s="185">
        <v>2</v>
      </c>
      <c r="T20" s="839">
        <v>23997</v>
      </c>
      <c r="U20" s="852">
        <v>24026</v>
      </c>
      <c r="V20" s="185" t="s">
        <v>484</v>
      </c>
      <c r="W20" s="185" t="s">
        <v>74</v>
      </c>
      <c r="X20" s="185" t="s">
        <v>11</v>
      </c>
      <c r="Y20" s="185">
        <v>20.7</v>
      </c>
      <c r="Z20" s="82" t="s">
        <v>84</v>
      </c>
      <c r="AA20" s="185" t="s">
        <v>75</v>
      </c>
      <c r="AB20" s="185" t="s">
        <v>18</v>
      </c>
      <c r="AC20" s="185">
        <v>12</v>
      </c>
      <c r="AD20" s="82" t="s">
        <v>266</v>
      </c>
      <c r="AE20" s="185" t="s">
        <v>17</v>
      </c>
      <c r="AF20" s="185" t="s">
        <v>18</v>
      </c>
      <c r="AG20" s="83">
        <v>8.6999999999999993</v>
      </c>
      <c r="AH20" s="185" t="s">
        <v>407</v>
      </c>
      <c r="AI20" s="185" t="s">
        <v>22</v>
      </c>
      <c r="AJ20" s="185" t="s">
        <v>11</v>
      </c>
      <c r="AK20" s="185">
        <v>12</v>
      </c>
      <c r="AL20" s="82"/>
      <c r="AO20" s="83"/>
      <c r="AP20" s="82"/>
      <c r="AS20" s="83"/>
      <c r="AW20" s="83"/>
      <c r="BA20" s="84"/>
    </row>
    <row r="21" spans="1:53" s="185" customFormat="1">
      <c r="A21" s="101">
        <v>1966</v>
      </c>
      <c r="B21" s="852"/>
      <c r="C21" s="917" t="s">
        <v>617</v>
      </c>
      <c r="D21" s="917"/>
      <c r="E21" s="185">
        <v>0</v>
      </c>
      <c r="G21" s="119">
        <v>9</v>
      </c>
      <c r="H21" s="185">
        <v>6</v>
      </c>
      <c r="J21" s="126">
        <v>15</v>
      </c>
      <c r="K21" s="92">
        <f t="shared" si="1"/>
        <v>60</v>
      </c>
      <c r="L21" s="92">
        <f t="shared" si="1"/>
        <v>40</v>
      </c>
      <c r="M21" s="92">
        <f t="shared" si="1"/>
        <v>0</v>
      </c>
      <c r="N21" s="121">
        <f t="shared" si="2"/>
        <v>100</v>
      </c>
      <c r="O21" s="91">
        <v>32.700000000000003</v>
      </c>
      <c r="P21" s="92">
        <v>20.7</v>
      </c>
      <c r="Q21" s="92"/>
      <c r="R21" s="93">
        <f t="shared" si="3"/>
        <v>53.400000000000006</v>
      </c>
      <c r="S21" s="185">
        <v>2</v>
      </c>
      <c r="T21" s="839"/>
      <c r="U21" s="852"/>
      <c r="V21" s="185" t="s">
        <v>484</v>
      </c>
      <c r="W21" s="185" t="s">
        <v>74</v>
      </c>
      <c r="X21" s="185" t="s">
        <v>11</v>
      </c>
      <c r="Y21" s="185">
        <v>20.7</v>
      </c>
      <c r="Z21" s="82" t="s">
        <v>84</v>
      </c>
      <c r="AA21" s="185" t="s">
        <v>75</v>
      </c>
      <c r="AB21" s="185" t="s">
        <v>18</v>
      </c>
      <c r="AC21" s="185">
        <v>12</v>
      </c>
      <c r="AD21" s="82" t="s">
        <v>266</v>
      </c>
      <c r="AE21" s="185" t="s">
        <v>17</v>
      </c>
      <c r="AF21" s="185" t="s">
        <v>18</v>
      </c>
      <c r="AG21" s="83">
        <v>8.6999999999999993</v>
      </c>
      <c r="AH21" s="185" t="s">
        <v>407</v>
      </c>
      <c r="AI21" s="185" t="s">
        <v>22</v>
      </c>
      <c r="AJ21" s="185" t="s">
        <v>11</v>
      </c>
      <c r="AK21" s="185">
        <v>12</v>
      </c>
      <c r="AL21" s="82"/>
      <c r="AO21" s="83"/>
      <c r="AP21" s="82"/>
      <c r="AS21" s="83"/>
      <c r="AW21" s="83"/>
      <c r="BA21" s="84"/>
    </row>
    <row r="22" spans="1:53" s="185" customFormat="1">
      <c r="A22" s="101">
        <v>1965.8</v>
      </c>
      <c r="B22" s="852"/>
      <c r="C22" s="917" t="s">
        <v>617</v>
      </c>
      <c r="D22" s="917"/>
      <c r="E22" s="185">
        <v>365</v>
      </c>
      <c r="G22" s="119">
        <v>9</v>
      </c>
      <c r="H22" s="185">
        <v>6</v>
      </c>
      <c r="J22" s="126">
        <v>15</v>
      </c>
      <c r="K22" s="92">
        <f t="shared" si="1"/>
        <v>60</v>
      </c>
      <c r="L22" s="92">
        <f t="shared" si="1"/>
        <v>40</v>
      </c>
      <c r="M22" s="92">
        <f t="shared" si="1"/>
        <v>0</v>
      </c>
      <c r="N22" s="121">
        <f t="shared" si="2"/>
        <v>100</v>
      </c>
      <c r="O22" s="91">
        <v>32.700000000000003</v>
      </c>
      <c r="P22" s="92">
        <v>20.7</v>
      </c>
      <c r="Q22" s="92"/>
      <c r="R22" s="93">
        <f t="shared" si="3"/>
        <v>53.400000000000006</v>
      </c>
      <c r="S22" s="185">
        <v>2</v>
      </c>
      <c r="T22" s="839"/>
      <c r="U22" s="852"/>
      <c r="V22" s="185" t="s">
        <v>484</v>
      </c>
      <c r="W22" s="185" t="s">
        <v>74</v>
      </c>
      <c r="X22" s="185" t="s">
        <v>11</v>
      </c>
      <c r="Y22" s="185">
        <v>20.7</v>
      </c>
      <c r="Z22" s="82" t="s">
        <v>84</v>
      </c>
      <c r="AA22" s="185" t="s">
        <v>75</v>
      </c>
      <c r="AB22" s="185" t="s">
        <v>18</v>
      </c>
      <c r="AC22" s="185">
        <v>12</v>
      </c>
      <c r="AD22" s="82" t="s">
        <v>266</v>
      </c>
      <c r="AE22" s="185" t="s">
        <v>17</v>
      </c>
      <c r="AF22" s="185" t="s">
        <v>18</v>
      </c>
      <c r="AG22" s="83">
        <v>8.6999999999999993</v>
      </c>
      <c r="AH22" s="185" t="s">
        <v>407</v>
      </c>
      <c r="AI22" s="185" t="s">
        <v>22</v>
      </c>
      <c r="AJ22" s="185" t="s">
        <v>11</v>
      </c>
      <c r="AK22" s="185">
        <v>12</v>
      </c>
      <c r="AL22" s="82"/>
      <c r="AO22" s="83"/>
      <c r="AP22" s="82"/>
      <c r="AS22" s="83"/>
      <c r="AW22" s="83"/>
      <c r="BA22" s="84"/>
    </row>
    <row r="23" spans="1:53" s="185" customFormat="1">
      <c r="A23" s="101">
        <v>1967</v>
      </c>
      <c r="B23" s="852"/>
      <c r="C23" s="917" t="s">
        <v>617</v>
      </c>
      <c r="D23" s="917"/>
      <c r="E23" s="185">
        <v>0</v>
      </c>
      <c r="G23" s="119">
        <v>9</v>
      </c>
      <c r="H23" s="185">
        <v>6</v>
      </c>
      <c r="J23" s="126">
        <v>15</v>
      </c>
      <c r="K23" s="92">
        <f t="shared" si="1"/>
        <v>60</v>
      </c>
      <c r="L23" s="92">
        <f t="shared" si="1"/>
        <v>40</v>
      </c>
      <c r="M23" s="92">
        <f t="shared" si="1"/>
        <v>0</v>
      </c>
      <c r="N23" s="121">
        <f t="shared" si="2"/>
        <v>100</v>
      </c>
      <c r="O23" s="91">
        <v>32.700000000000003</v>
      </c>
      <c r="P23" s="92">
        <v>20.7</v>
      </c>
      <c r="Q23" s="92"/>
      <c r="R23" s="93">
        <f t="shared" si="3"/>
        <v>53.400000000000006</v>
      </c>
      <c r="S23" s="185">
        <v>2</v>
      </c>
      <c r="T23" s="839"/>
      <c r="U23" s="852"/>
      <c r="V23" s="185" t="s">
        <v>484</v>
      </c>
      <c r="W23" s="185" t="s">
        <v>74</v>
      </c>
      <c r="X23" s="185" t="s">
        <v>11</v>
      </c>
      <c r="Y23" s="185">
        <v>20.7</v>
      </c>
      <c r="Z23" s="82" t="s">
        <v>84</v>
      </c>
      <c r="AA23" s="185" t="s">
        <v>75</v>
      </c>
      <c r="AB23" s="185" t="s">
        <v>18</v>
      </c>
      <c r="AC23" s="185">
        <v>12</v>
      </c>
      <c r="AD23" s="82" t="s">
        <v>266</v>
      </c>
      <c r="AE23" s="185" t="s">
        <v>17</v>
      </c>
      <c r="AF23" s="185" t="s">
        <v>18</v>
      </c>
      <c r="AG23" s="83">
        <v>8.6999999999999993</v>
      </c>
      <c r="AH23" s="185" t="s">
        <v>407</v>
      </c>
      <c r="AI23" s="185" t="s">
        <v>22</v>
      </c>
      <c r="AJ23" s="185" t="s">
        <v>11</v>
      </c>
      <c r="AK23" s="185">
        <v>12</v>
      </c>
      <c r="AL23" s="82"/>
      <c r="AO23" s="83"/>
      <c r="AP23" s="82"/>
      <c r="AS23" s="83"/>
      <c r="AW23" s="83"/>
      <c r="BA23" s="84"/>
    </row>
    <row r="24" spans="1:53" s="185" customFormat="1">
      <c r="A24" s="101">
        <v>1966.7142857142901</v>
      </c>
      <c r="B24" s="852"/>
      <c r="C24" s="917" t="s">
        <v>617</v>
      </c>
      <c r="D24" s="917"/>
      <c r="E24" s="185">
        <v>365</v>
      </c>
      <c r="G24" s="119">
        <v>9</v>
      </c>
      <c r="H24" s="185">
        <v>6</v>
      </c>
      <c r="J24" s="126">
        <v>15</v>
      </c>
      <c r="K24" s="92">
        <f t="shared" si="1"/>
        <v>60</v>
      </c>
      <c r="L24" s="92">
        <f t="shared" si="1"/>
        <v>40</v>
      </c>
      <c r="M24" s="92">
        <f t="shared" si="1"/>
        <v>0</v>
      </c>
      <c r="N24" s="121">
        <f t="shared" si="2"/>
        <v>100</v>
      </c>
      <c r="O24" s="91">
        <v>32.700000000000003</v>
      </c>
      <c r="P24" s="92">
        <v>20.7</v>
      </c>
      <c r="Q24" s="92"/>
      <c r="R24" s="93">
        <f t="shared" si="3"/>
        <v>53.400000000000006</v>
      </c>
      <c r="S24" s="185">
        <v>2</v>
      </c>
      <c r="T24" s="839"/>
      <c r="U24" s="852"/>
      <c r="V24" s="185" t="s">
        <v>484</v>
      </c>
      <c r="W24" s="185" t="s">
        <v>74</v>
      </c>
      <c r="X24" s="185" t="s">
        <v>11</v>
      </c>
      <c r="Y24" s="185">
        <v>20.7</v>
      </c>
      <c r="Z24" s="82" t="s">
        <v>84</v>
      </c>
      <c r="AA24" s="185" t="s">
        <v>75</v>
      </c>
      <c r="AB24" s="185" t="s">
        <v>18</v>
      </c>
      <c r="AC24" s="185">
        <v>12</v>
      </c>
      <c r="AD24" s="82" t="s">
        <v>266</v>
      </c>
      <c r="AE24" s="185" t="s">
        <v>17</v>
      </c>
      <c r="AF24" s="185" t="s">
        <v>18</v>
      </c>
      <c r="AG24" s="83">
        <v>8.6999999999999993</v>
      </c>
      <c r="AH24" s="185" t="s">
        <v>407</v>
      </c>
      <c r="AI24" s="185" t="s">
        <v>22</v>
      </c>
      <c r="AJ24" s="185" t="s">
        <v>11</v>
      </c>
      <c r="AK24" s="185">
        <v>12</v>
      </c>
      <c r="AL24" s="82"/>
      <c r="AO24" s="83"/>
      <c r="AP24" s="82"/>
      <c r="AS24" s="83"/>
      <c r="AW24" s="83"/>
      <c r="BA24" s="84"/>
    </row>
    <row r="25" spans="1:53" s="185" customFormat="1">
      <c r="A25" s="101">
        <v>1968</v>
      </c>
      <c r="B25" s="852"/>
      <c r="C25" s="917" t="s">
        <v>617</v>
      </c>
      <c r="D25" s="917"/>
      <c r="E25" s="185">
        <v>0</v>
      </c>
      <c r="G25" s="119">
        <v>9</v>
      </c>
      <c r="H25" s="185">
        <v>6</v>
      </c>
      <c r="J25" s="126">
        <v>15</v>
      </c>
      <c r="K25" s="92">
        <f t="shared" ref="K25:M89" si="4">G25/$J25*100</f>
        <v>60</v>
      </c>
      <c r="L25" s="92">
        <f t="shared" si="4"/>
        <v>40</v>
      </c>
      <c r="M25" s="92">
        <f t="shared" si="4"/>
        <v>0</v>
      </c>
      <c r="N25" s="121">
        <f t="shared" si="2"/>
        <v>100</v>
      </c>
      <c r="O25" s="91">
        <v>32.700000000000003</v>
      </c>
      <c r="P25" s="92">
        <v>20.7</v>
      </c>
      <c r="Q25" s="92"/>
      <c r="R25" s="93">
        <f t="shared" si="3"/>
        <v>53.400000000000006</v>
      </c>
      <c r="S25" s="185">
        <v>2</v>
      </c>
      <c r="T25" s="839"/>
      <c r="U25" s="852"/>
      <c r="V25" s="185" t="s">
        <v>484</v>
      </c>
      <c r="W25" s="185" t="s">
        <v>74</v>
      </c>
      <c r="X25" s="185" t="s">
        <v>11</v>
      </c>
      <c r="Y25" s="185">
        <v>20.7</v>
      </c>
      <c r="Z25" s="82" t="s">
        <v>84</v>
      </c>
      <c r="AA25" s="185" t="s">
        <v>75</v>
      </c>
      <c r="AB25" s="185" t="s">
        <v>18</v>
      </c>
      <c r="AC25" s="185">
        <v>12</v>
      </c>
      <c r="AD25" s="82" t="s">
        <v>266</v>
      </c>
      <c r="AE25" s="185" t="s">
        <v>17</v>
      </c>
      <c r="AF25" s="185" t="s">
        <v>18</v>
      </c>
      <c r="AG25" s="83">
        <v>8.6999999999999993</v>
      </c>
      <c r="AH25" s="185" t="s">
        <v>407</v>
      </c>
      <c r="AI25" s="185" t="s">
        <v>22</v>
      </c>
      <c r="AJ25" s="185" t="s">
        <v>11</v>
      </c>
      <c r="AK25" s="185">
        <v>12</v>
      </c>
      <c r="AL25" s="82"/>
      <c r="AO25" s="83"/>
      <c r="AP25" s="82"/>
      <c r="AS25" s="83"/>
      <c r="AW25" s="83"/>
      <c r="BA25" s="84"/>
    </row>
    <row r="26" spans="1:53" s="185" customFormat="1">
      <c r="A26" s="101">
        <v>1967.62857142857</v>
      </c>
      <c r="B26" s="852"/>
      <c r="C26" s="917" t="s">
        <v>617</v>
      </c>
      <c r="D26" s="917"/>
      <c r="E26" s="185">
        <v>366</v>
      </c>
      <c r="G26" s="119">
        <v>9</v>
      </c>
      <c r="H26" s="185">
        <v>6</v>
      </c>
      <c r="J26" s="126">
        <v>15</v>
      </c>
      <c r="K26" s="92">
        <f t="shared" si="4"/>
        <v>60</v>
      </c>
      <c r="L26" s="92">
        <f t="shared" si="4"/>
        <v>40</v>
      </c>
      <c r="M26" s="92">
        <f t="shared" si="4"/>
        <v>0</v>
      </c>
      <c r="N26" s="121">
        <f t="shared" si="2"/>
        <v>100</v>
      </c>
      <c r="O26" s="91">
        <v>32.700000000000003</v>
      </c>
      <c r="P26" s="92">
        <v>20.7</v>
      </c>
      <c r="Q26" s="92"/>
      <c r="R26" s="93">
        <f t="shared" si="3"/>
        <v>53.400000000000006</v>
      </c>
      <c r="S26" s="185">
        <v>2</v>
      </c>
      <c r="T26" s="839"/>
      <c r="U26" s="852"/>
      <c r="V26" s="185" t="s">
        <v>484</v>
      </c>
      <c r="W26" s="185" t="s">
        <v>74</v>
      </c>
      <c r="X26" s="185" t="s">
        <v>11</v>
      </c>
      <c r="Y26" s="185">
        <v>20.7</v>
      </c>
      <c r="Z26" s="82" t="s">
        <v>84</v>
      </c>
      <c r="AA26" s="185" t="s">
        <v>75</v>
      </c>
      <c r="AB26" s="185" t="s">
        <v>18</v>
      </c>
      <c r="AC26" s="185">
        <v>12</v>
      </c>
      <c r="AD26" s="82" t="s">
        <v>266</v>
      </c>
      <c r="AE26" s="185" t="s">
        <v>17</v>
      </c>
      <c r="AF26" s="185" t="s">
        <v>18</v>
      </c>
      <c r="AG26" s="83">
        <v>8.6999999999999993</v>
      </c>
      <c r="AH26" s="185" t="s">
        <v>407</v>
      </c>
      <c r="AI26" s="185" t="s">
        <v>22</v>
      </c>
      <c r="AJ26" s="185" t="s">
        <v>11</v>
      </c>
      <c r="AK26" s="185">
        <v>12</v>
      </c>
      <c r="AL26" s="82"/>
      <c r="AO26" s="83"/>
      <c r="AP26" s="82"/>
      <c r="AS26" s="83"/>
      <c r="AW26" s="83"/>
      <c r="BA26" s="84"/>
    </row>
    <row r="27" spans="1:53" s="185" customFormat="1">
      <c r="A27" s="101">
        <v>1969</v>
      </c>
      <c r="B27" s="852"/>
      <c r="C27" s="917" t="s">
        <v>617</v>
      </c>
      <c r="D27" s="917"/>
      <c r="E27" s="185">
        <v>249</v>
      </c>
      <c r="G27" s="119">
        <v>9</v>
      </c>
      <c r="H27" s="185">
        <v>6</v>
      </c>
      <c r="J27" s="126">
        <v>15</v>
      </c>
      <c r="K27" s="92">
        <f t="shared" si="4"/>
        <v>60</v>
      </c>
      <c r="L27" s="92">
        <f t="shared" si="4"/>
        <v>40</v>
      </c>
      <c r="M27" s="92">
        <f t="shared" si="4"/>
        <v>0</v>
      </c>
      <c r="N27" s="121">
        <f t="shared" si="2"/>
        <v>100</v>
      </c>
      <c r="O27" s="91">
        <v>32.700000000000003</v>
      </c>
      <c r="P27" s="92">
        <v>20.7</v>
      </c>
      <c r="Q27" s="92"/>
      <c r="R27" s="93">
        <f t="shared" si="3"/>
        <v>53.400000000000006</v>
      </c>
      <c r="S27" s="185">
        <v>2</v>
      </c>
      <c r="T27" s="839"/>
      <c r="U27" s="852"/>
      <c r="V27" s="185" t="s">
        <v>484</v>
      </c>
      <c r="W27" s="185" t="s">
        <v>74</v>
      </c>
      <c r="X27" s="185" t="s">
        <v>11</v>
      </c>
      <c r="Y27" s="185">
        <v>20.7</v>
      </c>
      <c r="Z27" s="82" t="s">
        <v>84</v>
      </c>
      <c r="AA27" s="185" t="s">
        <v>75</v>
      </c>
      <c r="AB27" s="185" t="s">
        <v>18</v>
      </c>
      <c r="AC27" s="185">
        <v>12</v>
      </c>
      <c r="AD27" s="82" t="s">
        <v>266</v>
      </c>
      <c r="AE27" s="185" t="s">
        <v>17</v>
      </c>
      <c r="AF27" s="185" t="s">
        <v>18</v>
      </c>
      <c r="AG27" s="83">
        <v>8.6999999999999993</v>
      </c>
      <c r="AH27" s="185" t="s">
        <v>407</v>
      </c>
      <c r="AI27" s="185" t="s">
        <v>22</v>
      </c>
      <c r="AJ27" s="185" t="s">
        <v>11</v>
      </c>
      <c r="AK27" s="185">
        <v>12</v>
      </c>
      <c r="AL27" s="82"/>
      <c r="AO27" s="83"/>
      <c r="AP27" s="82"/>
      <c r="AS27" s="83"/>
      <c r="AW27" s="83"/>
      <c r="BA27" s="84"/>
    </row>
    <row r="28" spans="1:53" s="292" customFormat="1">
      <c r="A28" s="338">
        <v>1968.5428571428599</v>
      </c>
      <c r="B28" s="836">
        <v>25453</v>
      </c>
      <c r="C28" s="916" t="s">
        <v>618</v>
      </c>
      <c r="D28" s="916"/>
      <c r="E28" s="292">
        <f>365-E27</f>
        <v>116</v>
      </c>
      <c r="F28" s="292">
        <v>1</v>
      </c>
      <c r="G28" s="366">
        <v>9</v>
      </c>
      <c r="H28" s="292">
        <v>6</v>
      </c>
      <c r="J28" s="377">
        <v>15</v>
      </c>
      <c r="K28" s="336">
        <f t="shared" si="4"/>
        <v>60</v>
      </c>
      <c r="L28" s="336">
        <f t="shared" si="4"/>
        <v>40</v>
      </c>
      <c r="M28" s="336">
        <f t="shared" si="4"/>
        <v>0</v>
      </c>
      <c r="N28" s="368">
        <f t="shared" si="2"/>
        <v>100</v>
      </c>
      <c r="O28" s="335">
        <v>28</v>
      </c>
      <c r="P28" s="336">
        <v>22.6</v>
      </c>
      <c r="Q28" s="336"/>
      <c r="R28" s="337">
        <f t="shared" si="3"/>
        <v>50.6</v>
      </c>
      <c r="S28" s="292">
        <v>2</v>
      </c>
      <c r="T28" s="838">
        <v>25453</v>
      </c>
      <c r="U28" s="836">
        <v>25453</v>
      </c>
      <c r="V28" s="292" t="s">
        <v>484</v>
      </c>
      <c r="W28" s="292" t="s">
        <v>74</v>
      </c>
      <c r="X28" s="292" t="s">
        <v>11</v>
      </c>
      <c r="Y28" s="292">
        <v>19.3</v>
      </c>
      <c r="Z28" s="299" t="s">
        <v>84</v>
      </c>
      <c r="AA28" s="292" t="s">
        <v>75</v>
      </c>
      <c r="AB28" s="292" t="s">
        <v>18</v>
      </c>
      <c r="AC28" s="292">
        <v>13.3</v>
      </c>
      <c r="AD28" s="299" t="s">
        <v>266</v>
      </c>
      <c r="AE28" s="292" t="s">
        <v>17</v>
      </c>
      <c r="AF28" s="292" t="s">
        <v>18</v>
      </c>
      <c r="AG28" s="300">
        <v>9.3000000000000007</v>
      </c>
      <c r="AH28" s="292" t="s">
        <v>407</v>
      </c>
      <c r="AI28" s="292" t="s">
        <v>22</v>
      </c>
      <c r="AJ28" s="292" t="s">
        <v>11</v>
      </c>
      <c r="AK28" s="292">
        <v>8.6999999999999993</v>
      </c>
      <c r="AL28" s="299"/>
      <c r="AO28" s="300"/>
      <c r="AP28" s="299"/>
      <c r="AS28" s="300"/>
      <c r="AW28" s="300"/>
      <c r="BA28" s="301"/>
    </row>
    <row r="29" spans="1:53" s="292" customFormat="1">
      <c r="A29" s="338">
        <v>1970</v>
      </c>
      <c r="B29" s="836"/>
      <c r="C29" s="916" t="s">
        <v>618</v>
      </c>
      <c r="D29" s="916"/>
      <c r="E29" s="292">
        <v>0</v>
      </c>
      <c r="G29" s="366">
        <v>9</v>
      </c>
      <c r="H29" s="292">
        <v>6</v>
      </c>
      <c r="J29" s="377">
        <v>15</v>
      </c>
      <c r="K29" s="336">
        <f t="shared" si="4"/>
        <v>60</v>
      </c>
      <c r="L29" s="336">
        <f t="shared" si="4"/>
        <v>40</v>
      </c>
      <c r="M29" s="336">
        <f t="shared" si="4"/>
        <v>0</v>
      </c>
      <c r="N29" s="368">
        <f t="shared" si="2"/>
        <v>100</v>
      </c>
      <c r="O29" s="335">
        <v>28</v>
      </c>
      <c r="P29" s="336">
        <v>22.6</v>
      </c>
      <c r="Q29" s="336"/>
      <c r="R29" s="337">
        <f t="shared" si="3"/>
        <v>50.6</v>
      </c>
      <c r="S29" s="292">
        <v>2</v>
      </c>
      <c r="T29" s="838"/>
      <c r="U29" s="836"/>
      <c r="V29" s="292" t="s">
        <v>484</v>
      </c>
      <c r="W29" s="292" t="s">
        <v>74</v>
      </c>
      <c r="X29" s="292" t="s">
        <v>11</v>
      </c>
      <c r="Y29" s="292">
        <v>19.3</v>
      </c>
      <c r="Z29" s="299" t="s">
        <v>84</v>
      </c>
      <c r="AA29" s="292" t="s">
        <v>75</v>
      </c>
      <c r="AB29" s="292" t="s">
        <v>18</v>
      </c>
      <c r="AC29" s="292">
        <v>13.3</v>
      </c>
      <c r="AD29" s="299" t="s">
        <v>266</v>
      </c>
      <c r="AE29" s="292" t="s">
        <v>17</v>
      </c>
      <c r="AF29" s="292" t="s">
        <v>18</v>
      </c>
      <c r="AG29" s="300">
        <v>9.3000000000000007</v>
      </c>
      <c r="AH29" s="292" t="s">
        <v>407</v>
      </c>
      <c r="AI29" s="292" t="s">
        <v>22</v>
      </c>
      <c r="AJ29" s="292" t="s">
        <v>11</v>
      </c>
      <c r="AK29" s="292">
        <v>8.6999999999999993</v>
      </c>
      <c r="AL29" s="299"/>
      <c r="AO29" s="300"/>
      <c r="AP29" s="299"/>
      <c r="AS29" s="300"/>
      <c r="AW29" s="300"/>
      <c r="BA29" s="301"/>
    </row>
    <row r="30" spans="1:53" s="292" customFormat="1">
      <c r="A30" s="338">
        <v>1970</v>
      </c>
      <c r="B30" s="836"/>
      <c r="C30" s="916" t="s">
        <v>618</v>
      </c>
      <c r="D30" s="916"/>
      <c r="E30" s="292">
        <v>365</v>
      </c>
      <c r="G30" s="366">
        <v>9</v>
      </c>
      <c r="H30" s="292">
        <v>6</v>
      </c>
      <c r="J30" s="377">
        <v>15</v>
      </c>
      <c r="K30" s="336">
        <f t="shared" si="4"/>
        <v>60</v>
      </c>
      <c r="L30" s="336">
        <f t="shared" si="4"/>
        <v>40</v>
      </c>
      <c r="M30" s="336">
        <f t="shared" si="4"/>
        <v>0</v>
      </c>
      <c r="N30" s="368">
        <f t="shared" si="2"/>
        <v>100</v>
      </c>
      <c r="O30" s="335">
        <v>28</v>
      </c>
      <c r="P30" s="336">
        <v>22.6</v>
      </c>
      <c r="Q30" s="336"/>
      <c r="R30" s="337">
        <f t="shared" si="3"/>
        <v>50.6</v>
      </c>
      <c r="S30" s="292">
        <v>2</v>
      </c>
      <c r="T30" s="838"/>
      <c r="U30" s="836"/>
      <c r="V30" s="292" t="s">
        <v>484</v>
      </c>
      <c r="W30" s="292" t="s">
        <v>74</v>
      </c>
      <c r="X30" s="292" t="s">
        <v>11</v>
      </c>
      <c r="Y30" s="292">
        <v>19.3</v>
      </c>
      <c r="Z30" s="299" t="s">
        <v>84</v>
      </c>
      <c r="AA30" s="292" t="s">
        <v>75</v>
      </c>
      <c r="AB30" s="292" t="s">
        <v>18</v>
      </c>
      <c r="AC30" s="292">
        <v>13.3</v>
      </c>
      <c r="AD30" s="299" t="s">
        <v>266</v>
      </c>
      <c r="AE30" s="292" t="s">
        <v>17</v>
      </c>
      <c r="AF30" s="292" t="s">
        <v>18</v>
      </c>
      <c r="AG30" s="300">
        <v>9.3000000000000007</v>
      </c>
      <c r="AH30" s="292" t="s">
        <v>407</v>
      </c>
      <c r="AI30" s="292" t="s">
        <v>22</v>
      </c>
      <c r="AJ30" s="292" t="s">
        <v>11</v>
      </c>
      <c r="AK30" s="292">
        <v>8.6999999999999993</v>
      </c>
      <c r="AL30" s="299"/>
      <c r="AO30" s="300"/>
      <c r="AP30" s="299"/>
      <c r="AS30" s="300"/>
      <c r="AW30" s="300"/>
      <c r="BA30" s="301"/>
    </row>
    <row r="31" spans="1:53" s="292" customFormat="1">
      <c r="A31" s="338">
        <v>1971</v>
      </c>
      <c r="B31" s="836"/>
      <c r="C31" s="916" t="s">
        <v>618</v>
      </c>
      <c r="D31" s="916"/>
      <c r="E31" s="292">
        <v>71</v>
      </c>
      <c r="G31" s="366">
        <v>9</v>
      </c>
      <c r="H31" s="292">
        <v>6</v>
      </c>
      <c r="J31" s="377">
        <v>15</v>
      </c>
      <c r="K31" s="336">
        <f t="shared" si="4"/>
        <v>60</v>
      </c>
      <c r="L31" s="336">
        <f t="shared" si="4"/>
        <v>40</v>
      </c>
      <c r="M31" s="336">
        <f t="shared" si="4"/>
        <v>0</v>
      </c>
      <c r="N31" s="368">
        <f t="shared" si="2"/>
        <v>100</v>
      </c>
      <c r="O31" s="335">
        <v>28</v>
      </c>
      <c r="P31" s="336">
        <v>22.6</v>
      </c>
      <c r="Q31" s="336"/>
      <c r="R31" s="337">
        <f t="shared" si="3"/>
        <v>50.6</v>
      </c>
      <c r="S31" s="292">
        <v>2</v>
      </c>
      <c r="T31" s="838"/>
      <c r="U31" s="836"/>
      <c r="V31" s="292" t="s">
        <v>484</v>
      </c>
      <c r="W31" s="292" t="s">
        <v>74</v>
      </c>
      <c r="X31" s="292" t="s">
        <v>11</v>
      </c>
      <c r="Y31" s="292">
        <v>19.3</v>
      </c>
      <c r="Z31" s="299" t="s">
        <v>84</v>
      </c>
      <c r="AA31" s="292" t="s">
        <v>75</v>
      </c>
      <c r="AB31" s="292" t="s">
        <v>18</v>
      </c>
      <c r="AC31" s="292">
        <v>13.3</v>
      </c>
      <c r="AD31" s="299" t="s">
        <v>266</v>
      </c>
      <c r="AE31" s="292" t="s">
        <v>17</v>
      </c>
      <c r="AF31" s="292" t="s">
        <v>18</v>
      </c>
      <c r="AG31" s="300">
        <v>9.3000000000000007</v>
      </c>
      <c r="AH31" s="292" t="s">
        <v>407</v>
      </c>
      <c r="AI31" s="292" t="s">
        <v>22</v>
      </c>
      <c r="AJ31" s="292" t="s">
        <v>11</v>
      </c>
      <c r="AK31" s="292">
        <v>8.6999999999999993</v>
      </c>
      <c r="AL31" s="299"/>
      <c r="AO31" s="300"/>
      <c r="AP31" s="299"/>
      <c r="AS31" s="300"/>
      <c r="AW31" s="300"/>
      <c r="BA31" s="301"/>
    </row>
    <row r="32" spans="1:53" s="185" customFormat="1">
      <c r="A32" s="101">
        <v>1971</v>
      </c>
      <c r="B32" s="852">
        <v>26005</v>
      </c>
      <c r="C32" s="917" t="s">
        <v>619</v>
      </c>
      <c r="D32" s="917"/>
      <c r="E32" s="185">
        <f>365-E31</f>
        <v>294</v>
      </c>
      <c r="F32" s="185">
        <v>4</v>
      </c>
      <c r="G32" s="119"/>
      <c r="I32" s="185">
        <v>15</v>
      </c>
      <c r="J32" s="126">
        <v>15</v>
      </c>
      <c r="K32" s="92">
        <f t="shared" si="4"/>
        <v>0</v>
      </c>
      <c r="L32" s="92">
        <f t="shared" si="4"/>
        <v>0</v>
      </c>
      <c r="M32" s="92">
        <f t="shared" si="4"/>
        <v>100</v>
      </c>
      <c r="N32" s="121">
        <f t="shared" si="2"/>
        <v>100</v>
      </c>
      <c r="O32" s="91"/>
      <c r="P32" s="92"/>
      <c r="Q32" s="92">
        <v>49.3</v>
      </c>
      <c r="R32" s="93">
        <f t="shared" si="3"/>
        <v>49.3</v>
      </c>
      <c r="S32" s="185">
        <v>4</v>
      </c>
      <c r="T32" s="839"/>
      <c r="U32" s="852">
        <v>26005</v>
      </c>
      <c r="V32" s="82" t="s">
        <v>483</v>
      </c>
      <c r="W32" s="185" t="s">
        <v>20</v>
      </c>
      <c r="X32" s="185" t="s">
        <v>12</v>
      </c>
      <c r="Y32" s="83">
        <v>49.3</v>
      </c>
      <c r="AD32" s="82"/>
      <c r="AG32" s="83"/>
      <c r="AH32" s="150"/>
      <c r="AL32" s="82"/>
      <c r="AO32" s="83"/>
      <c r="AP32" s="82"/>
      <c r="AS32" s="83"/>
      <c r="AW32" s="83"/>
      <c r="BA32" s="84"/>
    </row>
    <row r="33" spans="1:53" s="185" customFormat="1">
      <c r="A33" s="101">
        <v>1972</v>
      </c>
      <c r="B33" s="852"/>
      <c r="C33" s="917" t="s">
        <v>619</v>
      </c>
      <c r="D33" s="917"/>
      <c r="E33" s="185">
        <v>291</v>
      </c>
      <c r="G33" s="119"/>
      <c r="I33" s="185">
        <v>15</v>
      </c>
      <c r="J33" s="126">
        <v>15</v>
      </c>
      <c r="K33" s="92">
        <f t="shared" si="4"/>
        <v>0</v>
      </c>
      <c r="L33" s="92">
        <f t="shared" si="4"/>
        <v>0</v>
      </c>
      <c r="M33" s="92">
        <f t="shared" si="4"/>
        <v>100</v>
      </c>
      <c r="N33" s="121">
        <f t="shared" si="2"/>
        <v>100</v>
      </c>
      <c r="O33" s="91"/>
      <c r="P33" s="92"/>
      <c r="Q33" s="92">
        <v>49.3</v>
      </c>
      <c r="R33" s="93">
        <f t="shared" si="3"/>
        <v>49.3</v>
      </c>
      <c r="S33" s="185">
        <v>4</v>
      </c>
      <c r="T33" s="839"/>
      <c r="U33" s="852"/>
      <c r="V33" s="82" t="s">
        <v>483</v>
      </c>
      <c r="W33" s="185" t="s">
        <v>20</v>
      </c>
      <c r="X33" s="185" t="s">
        <v>12</v>
      </c>
      <c r="Y33" s="83">
        <v>49.3</v>
      </c>
      <c r="AD33" s="82"/>
      <c r="AG33" s="83"/>
      <c r="AH33" s="150"/>
      <c r="AL33" s="82"/>
      <c r="AO33" s="83"/>
      <c r="AP33" s="82"/>
      <c r="AS33" s="83"/>
      <c r="AW33" s="83"/>
      <c r="BA33" s="84"/>
    </row>
    <row r="34" spans="1:53" s="292" customFormat="1">
      <c r="A34" s="338">
        <v>1972</v>
      </c>
      <c r="B34" s="836">
        <v>26590</v>
      </c>
      <c r="C34" s="916" t="s">
        <v>620</v>
      </c>
      <c r="D34" s="916"/>
      <c r="E34" s="292">
        <f>366-E33</f>
        <v>75</v>
      </c>
      <c r="F34" s="292">
        <v>2</v>
      </c>
      <c r="G34" s="366">
        <v>5</v>
      </c>
      <c r="H34" s="292">
        <v>10</v>
      </c>
      <c r="J34" s="377">
        <v>15</v>
      </c>
      <c r="K34" s="336">
        <f t="shared" si="4"/>
        <v>33.333333333333329</v>
      </c>
      <c r="L34" s="336">
        <f t="shared" si="4"/>
        <v>66.666666666666657</v>
      </c>
      <c r="M34" s="336">
        <f t="shared" si="4"/>
        <v>0</v>
      </c>
      <c r="N34" s="368">
        <f t="shared" si="2"/>
        <v>99.999999999999986</v>
      </c>
      <c r="O34" s="335">
        <v>8.6999999999999993</v>
      </c>
      <c r="P34" s="336">
        <v>22.6</v>
      </c>
      <c r="Q34" s="336"/>
      <c r="R34" s="337">
        <f t="shared" si="3"/>
        <v>31.3</v>
      </c>
      <c r="S34" s="292">
        <v>5</v>
      </c>
      <c r="T34" s="838"/>
      <c r="U34" s="836">
        <v>26590</v>
      </c>
      <c r="V34" s="299" t="s">
        <v>84</v>
      </c>
      <c r="W34" s="292" t="s">
        <v>75</v>
      </c>
      <c r="X34" s="292" t="s">
        <v>18</v>
      </c>
      <c r="Y34" s="300">
        <v>13.3</v>
      </c>
      <c r="Z34" s="299" t="s">
        <v>266</v>
      </c>
      <c r="AA34" s="292" t="s">
        <v>17</v>
      </c>
      <c r="AB34" s="292" t="s">
        <v>18</v>
      </c>
      <c r="AC34" s="292">
        <v>9.3000000000000007</v>
      </c>
      <c r="AD34" s="299" t="s">
        <v>407</v>
      </c>
      <c r="AE34" s="292" t="s">
        <v>22</v>
      </c>
      <c r="AF34" s="292" t="s">
        <v>11</v>
      </c>
      <c r="AG34" s="300">
        <v>8.6999999999999993</v>
      </c>
      <c r="AH34" s="390"/>
      <c r="AL34" s="299"/>
      <c r="AO34" s="300"/>
      <c r="AP34" s="299"/>
      <c r="AS34" s="300"/>
      <c r="AW34" s="300"/>
      <c r="BA34" s="301"/>
    </row>
    <row r="35" spans="1:53" s="292" customFormat="1">
      <c r="A35" s="338">
        <v>1973</v>
      </c>
      <c r="B35" s="836"/>
      <c r="C35" s="916" t="s">
        <v>620</v>
      </c>
      <c r="D35" s="916"/>
      <c r="E35" s="292">
        <v>288</v>
      </c>
      <c r="G35" s="366">
        <v>5</v>
      </c>
      <c r="H35" s="292">
        <v>10</v>
      </c>
      <c r="J35" s="377">
        <v>15</v>
      </c>
      <c r="K35" s="336">
        <f t="shared" si="4"/>
        <v>33.333333333333329</v>
      </c>
      <c r="L35" s="336">
        <f t="shared" si="4"/>
        <v>66.666666666666657</v>
      </c>
      <c r="M35" s="336">
        <f t="shared" si="4"/>
        <v>0</v>
      </c>
      <c r="N35" s="368">
        <f t="shared" si="2"/>
        <v>99.999999999999986</v>
      </c>
      <c r="O35" s="335">
        <v>8.6999999999999993</v>
      </c>
      <c r="P35" s="336">
        <v>22.6</v>
      </c>
      <c r="Q35" s="336"/>
      <c r="R35" s="337">
        <f t="shared" si="3"/>
        <v>31.3</v>
      </c>
      <c r="S35" s="292">
        <v>5</v>
      </c>
      <c r="T35" s="838"/>
      <c r="U35" s="836"/>
      <c r="V35" s="299" t="s">
        <v>84</v>
      </c>
      <c r="W35" s="292" t="s">
        <v>75</v>
      </c>
      <c r="X35" s="292" t="s">
        <v>18</v>
      </c>
      <c r="Y35" s="300">
        <v>13.3</v>
      </c>
      <c r="Z35" s="299" t="s">
        <v>266</v>
      </c>
      <c r="AA35" s="292" t="s">
        <v>17</v>
      </c>
      <c r="AB35" s="292" t="s">
        <v>18</v>
      </c>
      <c r="AC35" s="292">
        <v>9.3000000000000007</v>
      </c>
      <c r="AD35" s="299" t="s">
        <v>407</v>
      </c>
      <c r="AE35" s="292" t="s">
        <v>22</v>
      </c>
      <c r="AF35" s="292" t="s">
        <v>11</v>
      </c>
      <c r="AG35" s="300">
        <v>8.6999999999999993</v>
      </c>
      <c r="AH35" s="390"/>
      <c r="AL35" s="299"/>
      <c r="AO35" s="300"/>
      <c r="AP35" s="299"/>
      <c r="AS35" s="300"/>
      <c r="AW35" s="300"/>
      <c r="BA35" s="301"/>
    </row>
    <row r="36" spans="1:53" s="185" customFormat="1">
      <c r="A36" s="101">
        <v>1973</v>
      </c>
      <c r="B36" s="852">
        <v>26953</v>
      </c>
      <c r="C36" s="917" t="s">
        <v>621</v>
      </c>
      <c r="D36" s="917"/>
      <c r="E36" s="185">
        <f>365-E35</f>
        <v>77</v>
      </c>
      <c r="F36" s="185">
        <v>1</v>
      </c>
      <c r="G36" s="119"/>
      <c r="I36" s="185">
        <v>15</v>
      </c>
      <c r="J36" s="126">
        <v>15</v>
      </c>
      <c r="K36" s="92">
        <f t="shared" si="4"/>
        <v>0</v>
      </c>
      <c r="L36" s="92">
        <f t="shared" si="4"/>
        <v>0</v>
      </c>
      <c r="M36" s="92">
        <f t="shared" si="4"/>
        <v>100</v>
      </c>
      <c r="N36" s="121">
        <f t="shared" si="2"/>
        <v>100</v>
      </c>
      <c r="O36" s="91"/>
      <c r="P36" s="92"/>
      <c r="Q36" s="92">
        <v>40</v>
      </c>
      <c r="R36" s="93">
        <f t="shared" si="3"/>
        <v>40</v>
      </c>
      <c r="S36" s="185">
        <v>4</v>
      </c>
      <c r="T36" s="839">
        <v>26916</v>
      </c>
      <c r="U36" s="852">
        <v>26953</v>
      </c>
      <c r="V36" s="82" t="s">
        <v>483</v>
      </c>
      <c r="W36" s="185" t="s">
        <v>20</v>
      </c>
      <c r="X36" s="185" t="s">
        <v>12</v>
      </c>
      <c r="Y36" s="83">
        <v>40</v>
      </c>
      <c r="AD36" s="82"/>
      <c r="AG36" s="83"/>
      <c r="AH36" s="150"/>
      <c r="AL36" s="82"/>
      <c r="AO36" s="83"/>
      <c r="AP36" s="82"/>
      <c r="AS36" s="83"/>
      <c r="AW36" s="83"/>
      <c r="BA36" s="84"/>
    </row>
    <row r="37" spans="1:53" s="185" customFormat="1">
      <c r="A37" s="101">
        <v>1974</v>
      </c>
      <c r="B37" s="852"/>
      <c r="C37" s="917" t="s">
        <v>621</v>
      </c>
      <c r="D37" s="917"/>
      <c r="E37" s="185">
        <v>0</v>
      </c>
      <c r="G37" s="119"/>
      <c r="I37" s="185">
        <v>15</v>
      </c>
      <c r="J37" s="126">
        <v>15</v>
      </c>
      <c r="K37" s="92">
        <f t="shared" si="4"/>
        <v>0</v>
      </c>
      <c r="L37" s="92">
        <f t="shared" si="4"/>
        <v>0</v>
      </c>
      <c r="M37" s="92">
        <f t="shared" si="4"/>
        <v>100</v>
      </c>
      <c r="N37" s="121">
        <f t="shared" si="2"/>
        <v>100</v>
      </c>
      <c r="O37" s="91"/>
      <c r="P37" s="92"/>
      <c r="Q37" s="92">
        <v>40</v>
      </c>
      <c r="R37" s="93">
        <f t="shared" si="3"/>
        <v>40</v>
      </c>
      <c r="S37" s="185">
        <v>4</v>
      </c>
      <c r="T37" s="839"/>
      <c r="U37" s="852"/>
      <c r="V37" s="82" t="s">
        <v>483</v>
      </c>
      <c r="W37" s="185" t="s">
        <v>20</v>
      </c>
      <c r="X37" s="185" t="s">
        <v>12</v>
      </c>
      <c r="Y37" s="83">
        <v>40</v>
      </c>
      <c r="AD37" s="82"/>
      <c r="AG37" s="83"/>
      <c r="AH37" s="150"/>
      <c r="AL37" s="82"/>
      <c r="AO37" s="83"/>
      <c r="AP37" s="82"/>
      <c r="AS37" s="83"/>
      <c r="AW37" s="83"/>
      <c r="BA37" s="84"/>
    </row>
    <row r="38" spans="1:53" s="185" customFormat="1">
      <c r="A38" s="101">
        <v>1974</v>
      </c>
      <c r="B38" s="852"/>
      <c r="C38" s="917" t="s">
        <v>621</v>
      </c>
      <c r="D38" s="917"/>
      <c r="E38" s="185">
        <v>365</v>
      </c>
      <c r="G38" s="119"/>
      <c r="I38" s="185">
        <v>15</v>
      </c>
      <c r="J38" s="126">
        <v>15</v>
      </c>
      <c r="K38" s="92">
        <f t="shared" si="4"/>
        <v>0</v>
      </c>
      <c r="L38" s="92">
        <f t="shared" si="4"/>
        <v>0</v>
      </c>
      <c r="M38" s="92">
        <f t="shared" si="4"/>
        <v>100</v>
      </c>
      <c r="N38" s="121">
        <f t="shared" si="2"/>
        <v>100</v>
      </c>
      <c r="O38" s="91"/>
      <c r="P38" s="92"/>
      <c r="Q38" s="92">
        <v>40</v>
      </c>
      <c r="R38" s="93">
        <f t="shared" si="3"/>
        <v>40</v>
      </c>
      <c r="S38" s="185">
        <v>4</v>
      </c>
      <c r="T38" s="839"/>
      <c r="U38" s="852"/>
      <c r="V38" s="82" t="s">
        <v>483</v>
      </c>
      <c r="W38" s="185" t="s">
        <v>20</v>
      </c>
      <c r="X38" s="185" t="s">
        <v>12</v>
      </c>
      <c r="Y38" s="83">
        <v>40</v>
      </c>
      <c r="AD38" s="82"/>
      <c r="AG38" s="83"/>
      <c r="AH38" s="150"/>
      <c r="AL38" s="82"/>
      <c r="AO38" s="83"/>
      <c r="AP38" s="82"/>
      <c r="AS38" s="83"/>
      <c r="AW38" s="83"/>
      <c r="BA38" s="84"/>
    </row>
    <row r="39" spans="1:53" s="185" customFormat="1">
      <c r="A39" s="101">
        <v>1975</v>
      </c>
      <c r="B39" s="852"/>
      <c r="C39" s="917" t="s">
        <v>621</v>
      </c>
      <c r="D39" s="917"/>
      <c r="E39" s="185">
        <v>0</v>
      </c>
      <c r="G39" s="119"/>
      <c r="I39" s="185">
        <v>15</v>
      </c>
      <c r="J39" s="126">
        <v>15</v>
      </c>
      <c r="K39" s="92">
        <f t="shared" si="4"/>
        <v>0</v>
      </c>
      <c r="L39" s="92">
        <f t="shared" si="4"/>
        <v>0</v>
      </c>
      <c r="M39" s="92">
        <f t="shared" si="4"/>
        <v>100</v>
      </c>
      <c r="N39" s="121">
        <f t="shared" si="2"/>
        <v>100</v>
      </c>
      <c r="O39" s="91"/>
      <c r="P39" s="92"/>
      <c r="Q39" s="92">
        <v>40</v>
      </c>
      <c r="R39" s="93">
        <f t="shared" si="3"/>
        <v>40</v>
      </c>
      <c r="S39" s="185">
        <v>4</v>
      </c>
      <c r="T39" s="839"/>
      <c r="U39" s="852"/>
      <c r="V39" s="82" t="s">
        <v>483</v>
      </c>
      <c r="W39" s="185" t="s">
        <v>20</v>
      </c>
      <c r="X39" s="185" t="s">
        <v>12</v>
      </c>
      <c r="Y39" s="83">
        <v>40</v>
      </c>
      <c r="AD39" s="82"/>
      <c r="AG39" s="83"/>
      <c r="AH39" s="150"/>
      <c r="AL39" s="82"/>
      <c r="AO39" s="83"/>
      <c r="AP39" s="82"/>
      <c r="AS39" s="83"/>
      <c r="AW39" s="83"/>
      <c r="BA39" s="84"/>
    </row>
    <row r="40" spans="1:53" s="185" customFormat="1">
      <c r="A40" s="101">
        <v>1975</v>
      </c>
      <c r="B40" s="852"/>
      <c r="C40" s="917" t="s">
        <v>621</v>
      </c>
      <c r="D40" s="917"/>
      <c r="E40" s="185">
        <v>365</v>
      </c>
      <c r="G40" s="119"/>
      <c r="I40" s="185">
        <v>15</v>
      </c>
      <c r="J40" s="126">
        <v>15</v>
      </c>
      <c r="K40" s="92">
        <f t="shared" si="4"/>
        <v>0</v>
      </c>
      <c r="L40" s="92">
        <f t="shared" si="4"/>
        <v>0</v>
      </c>
      <c r="M40" s="92">
        <f t="shared" si="4"/>
        <v>100</v>
      </c>
      <c r="N40" s="121">
        <f t="shared" si="2"/>
        <v>100</v>
      </c>
      <c r="O40" s="91"/>
      <c r="P40" s="92"/>
      <c r="Q40" s="92">
        <v>40</v>
      </c>
      <c r="R40" s="93">
        <f t="shared" si="3"/>
        <v>40</v>
      </c>
      <c r="S40" s="185">
        <v>4</v>
      </c>
      <c r="T40" s="839"/>
      <c r="U40" s="852"/>
      <c r="V40" s="82" t="s">
        <v>483</v>
      </c>
      <c r="W40" s="185" t="s">
        <v>20</v>
      </c>
      <c r="X40" s="185" t="s">
        <v>12</v>
      </c>
      <c r="Y40" s="83">
        <v>40</v>
      </c>
      <c r="AD40" s="82"/>
      <c r="AG40" s="83"/>
      <c r="AH40" s="150"/>
      <c r="AL40" s="82"/>
      <c r="AO40" s="83"/>
      <c r="AP40" s="82"/>
      <c r="AS40" s="83"/>
      <c r="AW40" s="83"/>
      <c r="BA40" s="84"/>
    </row>
    <row r="41" spans="1:53" s="185" customFormat="1">
      <c r="A41" s="101">
        <v>1976</v>
      </c>
      <c r="B41" s="852"/>
      <c r="C41" s="917" t="s">
        <v>621</v>
      </c>
      <c r="D41" s="917"/>
      <c r="E41" s="185">
        <v>11</v>
      </c>
      <c r="G41" s="119"/>
      <c r="I41" s="185">
        <v>15</v>
      </c>
      <c r="J41" s="126">
        <v>15</v>
      </c>
      <c r="K41" s="92">
        <f t="shared" si="4"/>
        <v>0</v>
      </c>
      <c r="L41" s="92">
        <f t="shared" si="4"/>
        <v>0</v>
      </c>
      <c r="M41" s="92">
        <f t="shared" si="4"/>
        <v>100</v>
      </c>
      <c r="N41" s="121">
        <f t="shared" si="2"/>
        <v>100</v>
      </c>
      <c r="O41" s="91"/>
      <c r="P41" s="92"/>
      <c r="Q41" s="92">
        <v>40</v>
      </c>
      <c r="R41" s="93">
        <f t="shared" si="3"/>
        <v>40</v>
      </c>
      <c r="S41" s="185">
        <v>4</v>
      </c>
      <c r="T41" s="839"/>
      <c r="U41" s="852"/>
      <c r="V41" s="82" t="s">
        <v>483</v>
      </c>
      <c r="W41" s="185" t="s">
        <v>20</v>
      </c>
      <c r="X41" s="185" t="s">
        <v>12</v>
      </c>
      <c r="Y41" s="83">
        <v>40</v>
      </c>
      <c r="AD41" s="82"/>
      <c r="AG41" s="83"/>
      <c r="AH41" s="150"/>
      <c r="AL41" s="82"/>
      <c r="AO41" s="83"/>
      <c r="AP41" s="82"/>
      <c r="AS41" s="83"/>
      <c r="AW41" s="83"/>
      <c r="BA41" s="84"/>
    </row>
    <row r="42" spans="1:53" s="292" customFormat="1">
      <c r="A42" s="338">
        <v>1976</v>
      </c>
      <c r="B42" s="836">
        <v>27771</v>
      </c>
      <c r="C42" s="916" t="s">
        <v>622</v>
      </c>
      <c r="D42" s="916"/>
      <c r="E42" s="292">
        <f>366-E41</f>
        <v>355</v>
      </c>
      <c r="F42" s="292">
        <v>2</v>
      </c>
      <c r="G42" s="366"/>
      <c r="I42" s="292">
        <v>16</v>
      </c>
      <c r="J42" s="377">
        <v>16</v>
      </c>
      <c r="K42" s="336">
        <f t="shared" si="4"/>
        <v>0</v>
      </c>
      <c r="L42" s="336">
        <f t="shared" si="4"/>
        <v>0</v>
      </c>
      <c r="M42" s="336">
        <f t="shared" si="4"/>
        <v>100</v>
      </c>
      <c r="N42" s="368">
        <f t="shared" si="2"/>
        <v>100</v>
      </c>
      <c r="O42" s="335"/>
      <c r="P42" s="336"/>
      <c r="Q42" s="336">
        <v>40</v>
      </c>
      <c r="R42" s="337">
        <f t="shared" si="3"/>
        <v>40</v>
      </c>
      <c r="S42" s="292">
        <v>4</v>
      </c>
      <c r="T42" s="838"/>
      <c r="U42" s="836">
        <v>27771</v>
      </c>
      <c r="V42" s="299" t="s">
        <v>483</v>
      </c>
      <c r="W42" s="292" t="s">
        <v>20</v>
      </c>
      <c r="X42" s="292" t="s">
        <v>12</v>
      </c>
      <c r="Y42" s="300">
        <v>40</v>
      </c>
      <c r="AD42" s="299"/>
      <c r="AG42" s="300"/>
      <c r="AH42" s="390"/>
      <c r="AL42" s="299"/>
      <c r="AO42" s="300"/>
      <c r="AP42" s="299"/>
      <c r="AS42" s="300"/>
      <c r="AW42" s="300"/>
      <c r="BA42" s="301"/>
    </row>
    <row r="43" spans="1:53" s="292" customFormat="1">
      <c r="A43" s="338">
        <v>1977</v>
      </c>
      <c r="B43" s="836"/>
      <c r="C43" s="916" t="s">
        <v>622</v>
      </c>
      <c r="D43" s="916"/>
      <c r="E43" s="292">
        <v>254</v>
      </c>
      <c r="G43" s="366"/>
      <c r="I43" s="292">
        <v>16</v>
      </c>
      <c r="J43" s="377">
        <v>16</v>
      </c>
      <c r="K43" s="336">
        <f t="shared" si="4"/>
        <v>0</v>
      </c>
      <c r="L43" s="336">
        <f t="shared" si="4"/>
        <v>0</v>
      </c>
      <c r="M43" s="336">
        <f t="shared" si="4"/>
        <v>100</v>
      </c>
      <c r="N43" s="368">
        <f t="shared" si="2"/>
        <v>100</v>
      </c>
      <c r="O43" s="335"/>
      <c r="P43" s="336"/>
      <c r="Q43" s="336">
        <v>40</v>
      </c>
      <c r="R43" s="337">
        <f t="shared" si="3"/>
        <v>40</v>
      </c>
      <c r="S43" s="292">
        <v>4</v>
      </c>
      <c r="T43" s="838"/>
      <c r="U43" s="836"/>
      <c r="V43" s="299" t="s">
        <v>483</v>
      </c>
      <c r="W43" s="292" t="s">
        <v>20</v>
      </c>
      <c r="X43" s="292" t="s">
        <v>12</v>
      </c>
      <c r="Y43" s="300">
        <v>40</v>
      </c>
      <c r="AD43" s="299"/>
      <c r="AG43" s="300"/>
      <c r="AH43" s="390"/>
      <c r="AL43" s="299"/>
      <c r="AO43" s="300"/>
      <c r="AP43" s="299"/>
      <c r="AS43" s="300"/>
      <c r="AW43" s="300"/>
      <c r="BA43" s="301"/>
    </row>
    <row r="44" spans="1:53" s="185" customFormat="1">
      <c r="A44" s="101">
        <v>1977</v>
      </c>
      <c r="B44" s="852">
        <v>28380</v>
      </c>
      <c r="C44" s="917" t="s">
        <v>623</v>
      </c>
      <c r="D44" s="917"/>
      <c r="E44" s="185">
        <f>365-E43</f>
        <v>111</v>
      </c>
      <c r="F44" s="185">
        <v>1</v>
      </c>
      <c r="G44" s="119"/>
      <c r="I44" s="185">
        <v>16</v>
      </c>
      <c r="J44" s="126">
        <v>16</v>
      </c>
      <c r="K44" s="92">
        <f t="shared" si="4"/>
        <v>0</v>
      </c>
      <c r="L44" s="92">
        <f t="shared" si="4"/>
        <v>0</v>
      </c>
      <c r="M44" s="92">
        <f t="shared" si="4"/>
        <v>100</v>
      </c>
      <c r="N44" s="121">
        <f t="shared" si="2"/>
        <v>100</v>
      </c>
      <c r="O44" s="91"/>
      <c r="P44" s="92"/>
      <c r="Q44" s="92">
        <v>49</v>
      </c>
      <c r="R44" s="93">
        <f t="shared" si="3"/>
        <v>49</v>
      </c>
      <c r="S44" s="185">
        <v>4</v>
      </c>
      <c r="T44" s="839">
        <v>28379</v>
      </c>
      <c r="U44" s="852">
        <v>28380</v>
      </c>
      <c r="V44" s="82" t="s">
        <v>483</v>
      </c>
      <c r="W44" s="185" t="s">
        <v>20</v>
      </c>
      <c r="X44" s="185" t="s">
        <v>12</v>
      </c>
      <c r="Y44" s="83">
        <v>49</v>
      </c>
      <c r="AD44" s="82"/>
      <c r="AG44" s="83"/>
      <c r="AH44" s="150"/>
      <c r="AL44" s="82"/>
      <c r="AO44" s="83"/>
      <c r="AP44" s="82"/>
      <c r="AS44" s="83"/>
      <c r="AW44" s="83"/>
      <c r="BA44" s="84"/>
    </row>
    <row r="45" spans="1:53" s="185" customFormat="1">
      <c r="A45" s="101">
        <v>1978</v>
      </c>
      <c r="B45" s="852"/>
      <c r="C45" s="917" t="s">
        <v>623</v>
      </c>
      <c r="D45" s="917"/>
      <c r="E45" s="185">
        <v>0</v>
      </c>
      <c r="G45" s="119"/>
      <c r="I45" s="185">
        <v>16</v>
      </c>
      <c r="J45" s="126">
        <v>16</v>
      </c>
      <c r="K45" s="92">
        <f t="shared" si="4"/>
        <v>0</v>
      </c>
      <c r="L45" s="92">
        <f t="shared" si="4"/>
        <v>0</v>
      </c>
      <c r="M45" s="92">
        <f t="shared" si="4"/>
        <v>100</v>
      </c>
      <c r="N45" s="121">
        <f t="shared" si="2"/>
        <v>100</v>
      </c>
      <c r="O45" s="91"/>
      <c r="P45" s="92"/>
      <c r="Q45" s="92">
        <v>49</v>
      </c>
      <c r="R45" s="93">
        <f t="shared" si="3"/>
        <v>49</v>
      </c>
      <c r="S45" s="185">
        <v>4</v>
      </c>
      <c r="T45" s="839"/>
      <c r="U45" s="852"/>
      <c r="V45" s="82" t="s">
        <v>483</v>
      </c>
      <c r="W45" s="185" t="s">
        <v>20</v>
      </c>
      <c r="X45" s="185" t="s">
        <v>12</v>
      </c>
      <c r="Y45" s="83">
        <v>49</v>
      </c>
      <c r="AD45" s="82"/>
      <c r="AG45" s="83"/>
      <c r="AH45" s="150"/>
      <c r="AL45" s="82"/>
      <c r="AO45" s="83"/>
      <c r="AP45" s="82"/>
      <c r="AS45" s="83"/>
      <c r="AW45" s="83"/>
      <c r="BA45" s="84"/>
    </row>
    <row r="46" spans="1:53" s="185" customFormat="1">
      <c r="A46" s="101">
        <v>1978</v>
      </c>
      <c r="B46" s="852"/>
      <c r="C46" s="917" t="s">
        <v>623</v>
      </c>
      <c r="D46" s="917"/>
      <c r="E46" s="185">
        <v>365</v>
      </c>
      <c r="G46" s="119"/>
      <c r="I46" s="185">
        <v>16</v>
      </c>
      <c r="J46" s="126">
        <v>16</v>
      </c>
      <c r="K46" s="92">
        <f t="shared" si="4"/>
        <v>0</v>
      </c>
      <c r="L46" s="92">
        <f t="shared" si="4"/>
        <v>0</v>
      </c>
      <c r="M46" s="92">
        <f t="shared" si="4"/>
        <v>100</v>
      </c>
      <c r="N46" s="121">
        <f t="shared" si="2"/>
        <v>100</v>
      </c>
      <c r="O46" s="91"/>
      <c r="P46" s="92"/>
      <c r="Q46" s="92">
        <v>49</v>
      </c>
      <c r="R46" s="93">
        <f t="shared" si="3"/>
        <v>49</v>
      </c>
      <c r="S46" s="185">
        <v>4</v>
      </c>
      <c r="T46" s="839"/>
      <c r="U46" s="852"/>
      <c r="V46" s="82" t="s">
        <v>483</v>
      </c>
      <c r="W46" s="185" t="s">
        <v>20</v>
      </c>
      <c r="X46" s="185" t="s">
        <v>12</v>
      </c>
      <c r="Y46" s="83">
        <v>49</v>
      </c>
      <c r="AD46" s="82"/>
      <c r="AG46" s="83"/>
      <c r="AH46" s="150"/>
      <c r="AL46" s="82"/>
      <c r="AO46" s="83"/>
      <c r="AP46" s="82"/>
      <c r="AS46" s="83"/>
      <c r="AW46" s="83"/>
      <c r="BA46" s="84"/>
    </row>
    <row r="47" spans="1:53" s="185" customFormat="1">
      <c r="A47" s="101">
        <v>1979</v>
      </c>
      <c r="B47" s="852"/>
      <c r="C47" s="917" t="s">
        <v>623</v>
      </c>
      <c r="D47" s="917"/>
      <c r="E47" s="185">
        <v>0</v>
      </c>
      <c r="G47" s="119"/>
      <c r="I47" s="185">
        <v>16</v>
      </c>
      <c r="J47" s="126">
        <v>16</v>
      </c>
      <c r="K47" s="92">
        <f t="shared" si="4"/>
        <v>0</v>
      </c>
      <c r="L47" s="92">
        <f t="shared" si="4"/>
        <v>0</v>
      </c>
      <c r="M47" s="92">
        <f t="shared" si="4"/>
        <v>100</v>
      </c>
      <c r="N47" s="121">
        <f t="shared" si="2"/>
        <v>100</v>
      </c>
      <c r="O47" s="91"/>
      <c r="P47" s="92"/>
      <c r="Q47" s="92">
        <v>49</v>
      </c>
      <c r="R47" s="93">
        <f t="shared" si="3"/>
        <v>49</v>
      </c>
      <c r="S47" s="185">
        <v>4</v>
      </c>
      <c r="T47" s="839"/>
      <c r="U47" s="852"/>
      <c r="V47" s="82" t="s">
        <v>483</v>
      </c>
      <c r="W47" s="185" t="s">
        <v>20</v>
      </c>
      <c r="X47" s="185" t="s">
        <v>12</v>
      </c>
      <c r="Y47" s="83">
        <v>49</v>
      </c>
      <c r="AD47" s="82"/>
      <c r="AG47" s="83"/>
      <c r="AH47" s="150"/>
      <c r="AL47" s="82"/>
      <c r="AO47" s="83"/>
      <c r="AP47" s="82"/>
      <c r="AS47" s="83"/>
      <c r="AW47" s="83"/>
      <c r="BA47" s="84"/>
    </row>
    <row r="48" spans="1:53" s="185" customFormat="1">
      <c r="A48" s="101">
        <v>1979</v>
      </c>
      <c r="B48" s="852"/>
      <c r="C48" s="917" t="s">
        <v>623</v>
      </c>
      <c r="D48" s="917"/>
      <c r="E48" s="185">
        <v>365</v>
      </c>
      <c r="G48" s="119"/>
      <c r="I48" s="185">
        <v>16</v>
      </c>
      <c r="J48" s="126">
        <v>16</v>
      </c>
      <c r="K48" s="92">
        <f t="shared" si="4"/>
        <v>0</v>
      </c>
      <c r="L48" s="92">
        <f t="shared" si="4"/>
        <v>0</v>
      </c>
      <c r="M48" s="92">
        <f t="shared" si="4"/>
        <v>100</v>
      </c>
      <c r="N48" s="121">
        <f t="shared" si="2"/>
        <v>100</v>
      </c>
      <c r="O48" s="91"/>
      <c r="P48" s="92"/>
      <c r="Q48" s="92">
        <v>49</v>
      </c>
      <c r="R48" s="93">
        <f t="shared" si="3"/>
        <v>49</v>
      </c>
      <c r="S48" s="185">
        <v>4</v>
      </c>
      <c r="T48" s="839"/>
      <c r="U48" s="852"/>
      <c r="V48" s="82" t="s">
        <v>483</v>
      </c>
      <c r="W48" s="185" t="s">
        <v>20</v>
      </c>
      <c r="X48" s="185" t="s">
        <v>12</v>
      </c>
      <c r="Y48" s="83">
        <v>49</v>
      </c>
      <c r="AD48" s="82"/>
      <c r="AG48" s="83"/>
      <c r="AH48" s="150"/>
      <c r="AL48" s="82"/>
      <c r="AO48" s="83"/>
      <c r="AP48" s="82"/>
      <c r="AS48" s="83"/>
      <c r="AW48" s="83"/>
      <c r="BA48" s="84"/>
    </row>
    <row r="49" spans="1:53" s="185" customFormat="1">
      <c r="A49" s="101">
        <v>1980</v>
      </c>
      <c r="B49" s="852"/>
      <c r="C49" s="917" t="s">
        <v>623</v>
      </c>
      <c r="D49" s="917"/>
      <c r="E49" s="185">
        <v>0</v>
      </c>
      <c r="G49" s="119"/>
      <c r="I49" s="185">
        <v>16</v>
      </c>
      <c r="J49" s="126">
        <v>16</v>
      </c>
      <c r="K49" s="92">
        <f t="shared" si="4"/>
        <v>0</v>
      </c>
      <c r="L49" s="92">
        <f t="shared" si="4"/>
        <v>0</v>
      </c>
      <c r="M49" s="92">
        <f t="shared" si="4"/>
        <v>100</v>
      </c>
      <c r="N49" s="121">
        <f t="shared" si="2"/>
        <v>100</v>
      </c>
      <c r="O49" s="91"/>
      <c r="P49" s="92"/>
      <c r="Q49" s="92">
        <v>49</v>
      </c>
      <c r="R49" s="93">
        <f t="shared" si="3"/>
        <v>49</v>
      </c>
      <c r="S49" s="185">
        <v>4</v>
      </c>
      <c r="T49" s="839"/>
      <c r="U49" s="852"/>
      <c r="V49" s="82" t="s">
        <v>483</v>
      </c>
      <c r="W49" s="185" t="s">
        <v>20</v>
      </c>
      <c r="X49" s="185" t="s">
        <v>12</v>
      </c>
      <c r="Y49" s="83">
        <v>49</v>
      </c>
      <c r="AD49" s="82"/>
      <c r="AG49" s="83"/>
      <c r="AH49" s="150"/>
      <c r="AL49" s="82"/>
      <c r="AO49" s="83"/>
      <c r="AP49" s="82"/>
      <c r="AS49" s="83"/>
      <c r="AW49" s="83"/>
      <c r="BA49" s="84"/>
    </row>
    <row r="50" spans="1:53" s="185" customFormat="1">
      <c r="A50" s="101">
        <v>1980</v>
      </c>
      <c r="B50" s="852"/>
      <c r="C50" s="917" t="s">
        <v>623</v>
      </c>
      <c r="D50" s="917"/>
      <c r="E50" s="185">
        <v>366</v>
      </c>
      <c r="G50" s="119"/>
      <c r="I50" s="185">
        <v>16</v>
      </c>
      <c r="J50" s="126">
        <v>16</v>
      </c>
      <c r="K50" s="92">
        <f t="shared" si="4"/>
        <v>0</v>
      </c>
      <c r="L50" s="92">
        <f t="shared" si="4"/>
        <v>0</v>
      </c>
      <c r="M50" s="92">
        <f t="shared" si="4"/>
        <v>100</v>
      </c>
      <c r="N50" s="121">
        <f t="shared" si="2"/>
        <v>100</v>
      </c>
      <c r="O50" s="91"/>
      <c r="P50" s="92"/>
      <c r="Q50" s="92">
        <v>49</v>
      </c>
      <c r="R50" s="93">
        <f t="shared" si="3"/>
        <v>49</v>
      </c>
      <c r="S50" s="185">
        <v>4</v>
      </c>
      <c r="T50" s="839"/>
      <c r="U50" s="852"/>
      <c r="V50" s="82" t="s">
        <v>483</v>
      </c>
      <c r="W50" s="185" t="s">
        <v>20</v>
      </c>
      <c r="X50" s="185" t="s">
        <v>12</v>
      </c>
      <c r="Y50" s="83">
        <v>49</v>
      </c>
      <c r="AD50" s="82"/>
      <c r="AG50" s="83"/>
      <c r="AH50" s="150"/>
      <c r="AL50" s="82"/>
      <c r="AO50" s="83"/>
      <c r="AP50" s="82"/>
      <c r="AS50" s="83"/>
      <c r="AW50" s="83"/>
      <c r="BA50" s="84"/>
    </row>
    <row r="51" spans="1:53" s="185" customFormat="1">
      <c r="A51" s="101">
        <v>1981</v>
      </c>
      <c r="B51" s="852"/>
      <c r="C51" s="917" t="s">
        <v>623</v>
      </c>
      <c r="D51" s="917"/>
      <c r="E51" s="185">
        <v>34</v>
      </c>
      <c r="G51" s="119"/>
      <c r="I51" s="185">
        <v>16</v>
      </c>
      <c r="J51" s="126">
        <v>16</v>
      </c>
      <c r="K51" s="92">
        <f t="shared" si="4"/>
        <v>0</v>
      </c>
      <c r="L51" s="92">
        <f t="shared" si="4"/>
        <v>0</v>
      </c>
      <c r="M51" s="92">
        <f t="shared" si="4"/>
        <v>100</v>
      </c>
      <c r="N51" s="121">
        <f t="shared" si="2"/>
        <v>100</v>
      </c>
      <c r="O51" s="91"/>
      <c r="P51" s="92"/>
      <c r="Q51" s="92">
        <v>49</v>
      </c>
      <c r="R51" s="93">
        <f t="shared" si="3"/>
        <v>49</v>
      </c>
      <c r="S51" s="185">
        <v>4</v>
      </c>
      <c r="T51" s="839"/>
      <c r="U51" s="852"/>
      <c r="V51" s="82" t="s">
        <v>483</v>
      </c>
      <c r="W51" s="185" t="s">
        <v>20</v>
      </c>
      <c r="X51" s="185" t="s">
        <v>12</v>
      </c>
      <c r="Y51" s="83">
        <v>49</v>
      </c>
      <c r="AD51" s="82"/>
      <c r="AG51" s="83"/>
      <c r="AH51" s="150"/>
      <c r="AL51" s="82"/>
      <c r="AO51" s="83"/>
      <c r="AP51" s="82"/>
      <c r="AS51" s="83"/>
      <c r="AW51" s="83"/>
      <c r="BA51" s="84"/>
    </row>
    <row r="52" spans="1:53" s="292" customFormat="1">
      <c r="A52" s="338">
        <v>1981</v>
      </c>
      <c r="B52" s="836">
        <v>29621</v>
      </c>
      <c r="C52" s="916" t="s">
        <v>624</v>
      </c>
      <c r="D52" s="916"/>
      <c r="E52" s="292">
        <v>252</v>
      </c>
      <c r="F52" s="292">
        <v>3</v>
      </c>
      <c r="G52" s="366"/>
      <c r="I52" s="292">
        <v>17</v>
      </c>
      <c r="J52" s="377">
        <v>17</v>
      </c>
      <c r="K52" s="336">
        <f t="shared" si="4"/>
        <v>0</v>
      </c>
      <c r="L52" s="336">
        <f t="shared" si="4"/>
        <v>0</v>
      </c>
      <c r="M52" s="336">
        <f t="shared" si="4"/>
        <v>100</v>
      </c>
      <c r="N52" s="368">
        <f t="shared" si="2"/>
        <v>100</v>
      </c>
      <c r="O52" s="335"/>
      <c r="P52" s="336"/>
      <c r="Q52" s="336">
        <v>49</v>
      </c>
      <c r="R52" s="337">
        <f t="shared" si="3"/>
        <v>49</v>
      </c>
      <c r="S52" s="292">
        <v>4</v>
      </c>
      <c r="T52" s="838"/>
      <c r="U52" s="836">
        <v>29621</v>
      </c>
      <c r="V52" s="299" t="s">
        <v>483</v>
      </c>
      <c r="W52" s="292" t="s">
        <v>20</v>
      </c>
      <c r="X52" s="292" t="s">
        <v>12</v>
      </c>
      <c r="Y52" s="300">
        <v>49</v>
      </c>
      <c r="AD52" s="299"/>
      <c r="AG52" s="300"/>
      <c r="AH52" s="390"/>
      <c r="AL52" s="299"/>
      <c r="AO52" s="300"/>
      <c r="AP52" s="299"/>
      <c r="AS52" s="300"/>
      <c r="AW52" s="300"/>
      <c r="BA52" s="301"/>
    </row>
    <row r="53" spans="1:53" s="185" customFormat="1">
      <c r="A53" s="101">
        <v>1981</v>
      </c>
      <c r="B53" s="852">
        <v>29873</v>
      </c>
      <c r="C53" s="917" t="s">
        <v>625</v>
      </c>
      <c r="D53" s="917"/>
      <c r="E53" s="185">
        <f>365-E52-E51</f>
        <v>79</v>
      </c>
      <c r="F53" s="185">
        <v>1</v>
      </c>
      <c r="G53" s="119">
        <v>17</v>
      </c>
      <c r="J53" s="126">
        <v>17</v>
      </c>
      <c r="K53" s="92">
        <f t="shared" si="4"/>
        <v>100</v>
      </c>
      <c r="L53" s="92">
        <f t="shared" si="4"/>
        <v>0</v>
      </c>
      <c r="M53" s="92">
        <f t="shared" si="4"/>
        <v>0</v>
      </c>
      <c r="N53" s="121">
        <f t="shared" si="2"/>
        <v>100</v>
      </c>
      <c r="O53" s="91">
        <v>34.799999999999997</v>
      </c>
      <c r="P53" s="92"/>
      <c r="Q53" s="92"/>
      <c r="R53" s="93">
        <f t="shared" si="3"/>
        <v>34.799999999999997</v>
      </c>
      <c r="S53" s="185">
        <v>4</v>
      </c>
      <c r="T53" s="839">
        <v>29843</v>
      </c>
      <c r="U53" s="852">
        <v>29873</v>
      </c>
      <c r="V53" s="82" t="s">
        <v>484</v>
      </c>
      <c r="W53" s="185" t="s">
        <v>74</v>
      </c>
      <c r="X53" s="185" t="s">
        <v>11</v>
      </c>
      <c r="Y53" s="83">
        <v>34.799999999999997</v>
      </c>
      <c r="AD53" s="82"/>
      <c r="AG53" s="83"/>
      <c r="AH53" s="150"/>
      <c r="AL53" s="82"/>
      <c r="AO53" s="83"/>
      <c r="AP53" s="82"/>
      <c r="AS53" s="83"/>
      <c r="AW53" s="83"/>
      <c r="BA53" s="84"/>
    </row>
    <row r="54" spans="1:53" s="185" customFormat="1">
      <c r="A54" s="101">
        <v>1982</v>
      </c>
      <c r="B54" s="852"/>
      <c r="C54" s="917" t="s">
        <v>625</v>
      </c>
      <c r="D54" s="917"/>
      <c r="E54" s="185">
        <v>0</v>
      </c>
      <c r="G54" s="119">
        <v>17</v>
      </c>
      <c r="J54" s="126">
        <v>17</v>
      </c>
      <c r="K54" s="92">
        <f t="shared" si="4"/>
        <v>100</v>
      </c>
      <c r="L54" s="92">
        <f t="shared" si="4"/>
        <v>0</v>
      </c>
      <c r="M54" s="92">
        <f t="shared" si="4"/>
        <v>0</v>
      </c>
      <c r="N54" s="121">
        <f t="shared" si="2"/>
        <v>100</v>
      </c>
      <c r="O54" s="91">
        <v>34.799999999999997</v>
      </c>
      <c r="P54" s="92"/>
      <c r="Q54" s="92"/>
      <c r="R54" s="93">
        <f t="shared" si="3"/>
        <v>34.799999999999997</v>
      </c>
      <c r="S54" s="185">
        <v>4</v>
      </c>
      <c r="T54" s="839"/>
      <c r="U54" s="852"/>
      <c r="V54" s="82" t="s">
        <v>484</v>
      </c>
      <c r="W54" s="185" t="s">
        <v>74</v>
      </c>
      <c r="X54" s="185" t="s">
        <v>11</v>
      </c>
      <c r="Y54" s="83">
        <v>34.799999999999997</v>
      </c>
      <c r="AD54" s="82"/>
      <c r="AG54" s="83"/>
      <c r="AH54" s="150"/>
      <c r="AL54" s="82"/>
      <c r="AO54" s="83"/>
      <c r="AP54" s="82"/>
      <c r="AS54" s="83"/>
      <c r="AW54" s="83"/>
      <c r="BA54" s="84"/>
    </row>
    <row r="55" spans="1:53" s="185" customFormat="1">
      <c r="A55" s="101">
        <v>1982</v>
      </c>
      <c r="B55" s="852"/>
      <c r="C55" s="917" t="s">
        <v>625</v>
      </c>
      <c r="D55" s="917"/>
      <c r="E55" s="185">
        <v>365</v>
      </c>
      <c r="G55" s="119">
        <v>17</v>
      </c>
      <c r="J55" s="126">
        <v>17</v>
      </c>
      <c r="K55" s="92">
        <f t="shared" si="4"/>
        <v>100</v>
      </c>
      <c r="L55" s="92">
        <f t="shared" si="4"/>
        <v>0</v>
      </c>
      <c r="M55" s="92">
        <f t="shared" si="4"/>
        <v>0</v>
      </c>
      <c r="N55" s="121">
        <f t="shared" si="2"/>
        <v>100</v>
      </c>
      <c r="O55" s="91">
        <v>34.799999999999997</v>
      </c>
      <c r="P55" s="92"/>
      <c r="Q55" s="92"/>
      <c r="R55" s="93">
        <f t="shared" si="3"/>
        <v>34.799999999999997</v>
      </c>
      <c r="S55" s="185">
        <v>4</v>
      </c>
      <c r="T55" s="839"/>
      <c r="U55" s="852"/>
      <c r="V55" s="82" t="s">
        <v>484</v>
      </c>
      <c r="W55" s="185" t="s">
        <v>74</v>
      </c>
      <c r="X55" s="185" t="s">
        <v>11</v>
      </c>
      <c r="Y55" s="83">
        <v>34.799999999999997</v>
      </c>
      <c r="AD55" s="82"/>
      <c r="AG55" s="83"/>
      <c r="AH55" s="150"/>
      <c r="AL55" s="82"/>
      <c r="AO55" s="83"/>
      <c r="AP55" s="82"/>
      <c r="AS55" s="83"/>
      <c r="AW55" s="83"/>
      <c r="BA55" s="84"/>
    </row>
    <row r="56" spans="1:53" s="185" customFormat="1">
      <c r="A56" s="101">
        <v>1983</v>
      </c>
      <c r="B56" s="852"/>
      <c r="C56" s="917" t="s">
        <v>625</v>
      </c>
      <c r="D56" s="917"/>
      <c r="E56" s="185">
        <v>158</v>
      </c>
      <c r="G56" s="119">
        <v>17</v>
      </c>
      <c r="J56" s="126">
        <v>17</v>
      </c>
      <c r="K56" s="92">
        <f t="shared" si="4"/>
        <v>100</v>
      </c>
      <c r="L56" s="92">
        <f t="shared" si="4"/>
        <v>0</v>
      </c>
      <c r="M56" s="92">
        <f t="shared" si="4"/>
        <v>0</v>
      </c>
      <c r="N56" s="121">
        <f t="shared" si="2"/>
        <v>100</v>
      </c>
      <c r="O56" s="91">
        <v>34.799999999999997</v>
      </c>
      <c r="P56" s="92"/>
      <c r="Q56" s="92"/>
      <c r="R56" s="93">
        <f t="shared" si="3"/>
        <v>34.799999999999997</v>
      </c>
      <c r="S56" s="185">
        <v>4</v>
      </c>
      <c r="T56" s="839"/>
      <c r="U56" s="852"/>
      <c r="V56" s="82" t="s">
        <v>484</v>
      </c>
      <c r="W56" s="185" t="s">
        <v>74</v>
      </c>
      <c r="X56" s="185" t="s">
        <v>11</v>
      </c>
      <c r="Y56" s="83">
        <v>34.799999999999997</v>
      </c>
      <c r="AD56" s="82"/>
      <c r="AG56" s="83"/>
      <c r="AH56" s="150"/>
      <c r="AL56" s="82"/>
      <c r="AO56" s="83"/>
      <c r="AP56" s="82"/>
      <c r="AS56" s="83"/>
      <c r="AW56" s="83"/>
      <c r="BA56" s="84"/>
    </row>
    <row r="57" spans="1:53" s="292" customFormat="1">
      <c r="A57" s="338">
        <v>1983</v>
      </c>
      <c r="B57" s="836">
        <v>30475</v>
      </c>
      <c r="C57" s="916" t="s">
        <v>626</v>
      </c>
      <c r="D57" s="916"/>
      <c r="E57" s="292">
        <f>365-E56</f>
        <v>207</v>
      </c>
      <c r="F57" s="292">
        <v>2</v>
      </c>
      <c r="G57" s="366">
        <v>12</v>
      </c>
      <c r="H57" s="292">
        <v>6</v>
      </c>
      <c r="J57" s="377">
        <v>18</v>
      </c>
      <c r="K57" s="336">
        <f t="shared" si="4"/>
        <v>66.666666666666657</v>
      </c>
      <c r="L57" s="336">
        <f t="shared" si="4"/>
        <v>33.333333333333329</v>
      </c>
      <c r="M57" s="336">
        <f t="shared" si="4"/>
        <v>0</v>
      </c>
      <c r="N57" s="368">
        <f t="shared" si="2"/>
        <v>99.999999999999986</v>
      </c>
      <c r="O57" s="335">
        <v>34.799999999999997</v>
      </c>
      <c r="P57" s="336">
        <v>16.799999999999997</v>
      </c>
      <c r="Q57" s="336"/>
      <c r="R57" s="337">
        <f t="shared" si="3"/>
        <v>51.599999999999994</v>
      </c>
      <c r="S57" s="292">
        <v>2</v>
      </c>
      <c r="T57" s="838"/>
      <c r="U57" s="836">
        <v>30475</v>
      </c>
      <c r="V57" s="299" t="s">
        <v>484</v>
      </c>
      <c r="W57" s="292" t="s">
        <v>74</v>
      </c>
      <c r="X57" s="292" t="s">
        <v>11</v>
      </c>
      <c r="Y57" s="300">
        <v>34.799999999999997</v>
      </c>
      <c r="Z57" s="299" t="s">
        <v>84</v>
      </c>
      <c r="AA57" s="292" t="s">
        <v>75</v>
      </c>
      <c r="AB57" s="292" t="s">
        <v>18</v>
      </c>
      <c r="AC57" s="292">
        <v>7.1</v>
      </c>
      <c r="AD57" s="299" t="s">
        <v>266</v>
      </c>
      <c r="AE57" s="292" t="s">
        <v>17</v>
      </c>
      <c r="AF57" s="292" t="s">
        <v>18</v>
      </c>
      <c r="AG57" s="300">
        <v>9.6999999999999993</v>
      </c>
      <c r="AH57" s="390"/>
      <c r="AL57" s="299"/>
      <c r="AO57" s="300"/>
      <c r="AP57" s="299"/>
      <c r="AS57" s="300"/>
      <c r="AW57" s="300"/>
      <c r="BA57" s="301"/>
    </row>
    <row r="58" spans="1:53" s="292" customFormat="1">
      <c r="A58" s="338">
        <v>1984</v>
      </c>
      <c r="B58" s="836"/>
      <c r="C58" s="916" t="s">
        <v>626</v>
      </c>
      <c r="D58" s="916"/>
      <c r="E58" s="292">
        <v>0</v>
      </c>
      <c r="G58" s="366">
        <v>12</v>
      </c>
      <c r="H58" s="292">
        <v>6</v>
      </c>
      <c r="J58" s="377">
        <v>18</v>
      </c>
      <c r="K58" s="336">
        <f t="shared" si="4"/>
        <v>66.666666666666657</v>
      </c>
      <c r="L58" s="336">
        <f t="shared" si="4"/>
        <v>33.333333333333329</v>
      </c>
      <c r="M58" s="336">
        <f t="shared" si="4"/>
        <v>0</v>
      </c>
      <c r="N58" s="368">
        <f t="shared" si="2"/>
        <v>99.999999999999986</v>
      </c>
      <c r="O58" s="335">
        <v>34.799999999999997</v>
      </c>
      <c r="P58" s="336">
        <v>16.799999999999997</v>
      </c>
      <c r="Q58" s="336"/>
      <c r="R58" s="337">
        <f t="shared" si="3"/>
        <v>51.599999999999994</v>
      </c>
      <c r="S58" s="292">
        <v>2</v>
      </c>
      <c r="T58" s="838"/>
      <c r="U58" s="836"/>
      <c r="V58" s="299" t="s">
        <v>484</v>
      </c>
      <c r="W58" s="292" t="s">
        <v>74</v>
      </c>
      <c r="X58" s="292" t="s">
        <v>11</v>
      </c>
      <c r="Y58" s="300">
        <v>34.799999999999997</v>
      </c>
      <c r="Z58" s="299" t="s">
        <v>84</v>
      </c>
      <c r="AA58" s="292" t="s">
        <v>75</v>
      </c>
      <c r="AB58" s="292" t="s">
        <v>18</v>
      </c>
      <c r="AC58" s="292">
        <v>7.1</v>
      </c>
      <c r="AD58" s="299" t="s">
        <v>266</v>
      </c>
      <c r="AE58" s="292" t="s">
        <v>17</v>
      </c>
      <c r="AF58" s="292" t="s">
        <v>18</v>
      </c>
      <c r="AG58" s="300">
        <v>9.6999999999999993</v>
      </c>
      <c r="AH58" s="390"/>
      <c r="AL58" s="299"/>
      <c r="AO58" s="300"/>
      <c r="AP58" s="299"/>
      <c r="AS58" s="300"/>
      <c r="AW58" s="300"/>
      <c r="BA58" s="301"/>
    </row>
    <row r="59" spans="1:53" s="292" customFormat="1">
      <c r="A59" s="338">
        <v>1984</v>
      </c>
      <c r="B59" s="836"/>
      <c r="C59" s="916" t="s">
        <v>626</v>
      </c>
      <c r="D59" s="916"/>
      <c r="E59" s="292">
        <v>366</v>
      </c>
      <c r="G59" s="366">
        <v>12</v>
      </c>
      <c r="H59" s="292">
        <v>6</v>
      </c>
      <c r="J59" s="377">
        <v>18</v>
      </c>
      <c r="K59" s="336">
        <f t="shared" si="4"/>
        <v>66.666666666666657</v>
      </c>
      <c r="L59" s="336">
        <f t="shared" si="4"/>
        <v>33.333333333333329</v>
      </c>
      <c r="M59" s="336">
        <f t="shared" si="4"/>
        <v>0</v>
      </c>
      <c r="N59" s="368">
        <f t="shared" si="2"/>
        <v>99.999999999999986</v>
      </c>
      <c r="O59" s="335">
        <v>34.799999999999997</v>
      </c>
      <c r="P59" s="336">
        <v>16.799999999999997</v>
      </c>
      <c r="Q59" s="336"/>
      <c r="R59" s="337">
        <f t="shared" si="3"/>
        <v>51.599999999999994</v>
      </c>
      <c r="S59" s="292">
        <v>2</v>
      </c>
      <c r="T59" s="838"/>
      <c r="U59" s="836"/>
      <c r="V59" s="299" t="s">
        <v>484</v>
      </c>
      <c r="W59" s="292" t="s">
        <v>74</v>
      </c>
      <c r="X59" s="292" t="s">
        <v>11</v>
      </c>
      <c r="Y59" s="300">
        <v>34.799999999999997</v>
      </c>
      <c r="Z59" s="299" t="s">
        <v>84</v>
      </c>
      <c r="AA59" s="292" t="s">
        <v>75</v>
      </c>
      <c r="AB59" s="292" t="s">
        <v>18</v>
      </c>
      <c r="AC59" s="292">
        <v>7.1</v>
      </c>
      <c r="AD59" s="299" t="s">
        <v>266</v>
      </c>
      <c r="AE59" s="292" t="s">
        <v>17</v>
      </c>
      <c r="AF59" s="292" t="s">
        <v>18</v>
      </c>
      <c r="AG59" s="300">
        <v>9.6999999999999993</v>
      </c>
      <c r="AH59" s="390"/>
      <c r="AL59" s="299"/>
      <c r="AO59" s="300"/>
      <c r="AP59" s="299"/>
      <c r="AS59" s="300"/>
      <c r="AW59" s="300"/>
      <c r="BA59" s="301"/>
    </row>
    <row r="60" spans="1:53" s="292" customFormat="1" ht="8.25" customHeight="1">
      <c r="A60" s="338">
        <v>1985</v>
      </c>
      <c r="B60" s="836"/>
      <c r="C60" s="916" t="s">
        <v>626</v>
      </c>
      <c r="D60" s="916"/>
      <c r="E60" s="292">
        <v>329</v>
      </c>
      <c r="G60" s="366">
        <v>12</v>
      </c>
      <c r="H60" s="292">
        <v>6</v>
      </c>
      <c r="J60" s="377">
        <v>18</v>
      </c>
      <c r="K60" s="336">
        <f t="shared" si="4"/>
        <v>66.666666666666657</v>
      </c>
      <c r="L60" s="336">
        <f t="shared" si="4"/>
        <v>33.333333333333329</v>
      </c>
      <c r="M60" s="336">
        <f t="shared" si="4"/>
        <v>0</v>
      </c>
      <c r="N60" s="368">
        <f t="shared" si="2"/>
        <v>99.999999999999986</v>
      </c>
      <c r="O60" s="335">
        <v>34.799999999999997</v>
      </c>
      <c r="P60" s="336">
        <v>16.799999999999997</v>
      </c>
      <c r="Q60" s="336"/>
      <c r="R60" s="337">
        <f t="shared" si="3"/>
        <v>51.599999999999994</v>
      </c>
      <c r="S60" s="292">
        <v>2</v>
      </c>
      <c r="T60" s="838"/>
      <c r="U60" s="836"/>
      <c r="V60" s="299" t="s">
        <v>484</v>
      </c>
      <c r="W60" s="292" t="s">
        <v>74</v>
      </c>
      <c r="X60" s="292" t="s">
        <v>11</v>
      </c>
      <c r="Y60" s="300">
        <v>34.799999999999997</v>
      </c>
      <c r="Z60" s="299" t="s">
        <v>84</v>
      </c>
      <c r="AA60" s="292" t="s">
        <v>75</v>
      </c>
      <c r="AB60" s="292" t="s">
        <v>18</v>
      </c>
      <c r="AC60" s="292">
        <v>7.1</v>
      </c>
      <c r="AD60" s="299" t="s">
        <v>266</v>
      </c>
      <c r="AE60" s="292" t="s">
        <v>17</v>
      </c>
      <c r="AF60" s="292" t="s">
        <v>18</v>
      </c>
      <c r="AG60" s="300">
        <v>9.6999999999999993</v>
      </c>
      <c r="AH60" s="390"/>
      <c r="AL60" s="299"/>
      <c r="AO60" s="300"/>
      <c r="AP60" s="299"/>
      <c r="AS60" s="300"/>
      <c r="AW60" s="300"/>
      <c r="BA60" s="301"/>
    </row>
    <row r="61" spans="1:53" s="185" customFormat="1">
      <c r="A61" s="101">
        <v>1985</v>
      </c>
      <c r="B61" s="852">
        <v>31377</v>
      </c>
      <c r="C61" s="917" t="s">
        <v>627</v>
      </c>
      <c r="D61" s="917"/>
      <c r="E61" s="185">
        <f>365-E60</f>
        <v>36</v>
      </c>
      <c r="F61" s="185">
        <v>1</v>
      </c>
      <c r="G61" s="119">
        <v>11</v>
      </c>
      <c r="H61" s="185">
        <v>7</v>
      </c>
      <c r="J61" s="126">
        <v>18</v>
      </c>
      <c r="K61" s="92">
        <f t="shared" si="4"/>
        <v>61.111111111111114</v>
      </c>
      <c r="L61" s="92">
        <f t="shared" si="4"/>
        <v>38.888888888888893</v>
      </c>
      <c r="M61" s="92">
        <f t="shared" si="4"/>
        <v>0</v>
      </c>
      <c r="N61" s="121">
        <f t="shared" si="2"/>
        <v>100</v>
      </c>
      <c r="O61" s="91">
        <v>31.8</v>
      </c>
      <c r="P61" s="92">
        <v>17.799999999999997</v>
      </c>
      <c r="Q61" s="92"/>
      <c r="R61" s="93">
        <f t="shared" si="3"/>
        <v>49.599999999999994</v>
      </c>
      <c r="S61" s="185">
        <v>5</v>
      </c>
      <c r="T61" s="839">
        <v>31298</v>
      </c>
      <c r="U61" s="852">
        <v>31377</v>
      </c>
      <c r="V61" s="82" t="s">
        <v>484</v>
      </c>
      <c r="W61" s="185" t="s">
        <v>74</v>
      </c>
      <c r="X61" s="185" t="s">
        <v>11</v>
      </c>
      <c r="Y61" s="83">
        <v>31.8</v>
      </c>
      <c r="Z61" s="82" t="s">
        <v>84</v>
      </c>
      <c r="AA61" s="185" t="s">
        <v>75</v>
      </c>
      <c r="AB61" s="185" t="s">
        <v>18</v>
      </c>
      <c r="AC61" s="185">
        <v>7.6</v>
      </c>
      <c r="AD61" s="82" t="s">
        <v>266</v>
      </c>
      <c r="AE61" s="185" t="s">
        <v>17</v>
      </c>
      <c r="AF61" s="185" t="s">
        <v>18</v>
      </c>
      <c r="AG61" s="83">
        <v>10.199999999999999</v>
      </c>
      <c r="AH61" s="150"/>
      <c r="AL61" s="82"/>
      <c r="AO61" s="83"/>
      <c r="AP61" s="82"/>
      <c r="AS61" s="83"/>
      <c r="AW61" s="83"/>
      <c r="BA61" s="84"/>
    </row>
    <row r="62" spans="1:53" s="185" customFormat="1">
      <c r="A62" s="101">
        <v>1986</v>
      </c>
      <c r="B62" s="852"/>
      <c r="C62" s="917" t="s">
        <v>627</v>
      </c>
      <c r="D62" s="917"/>
      <c r="E62" s="185">
        <v>128</v>
      </c>
      <c r="G62" s="119">
        <v>11</v>
      </c>
      <c r="H62" s="185">
        <v>7</v>
      </c>
      <c r="J62" s="126">
        <v>18</v>
      </c>
      <c r="K62" s="92">
        <f t="shared" si="4"/>
        <v>61.111111111111114</v>
      </c>
      <c r="L62" s="92">
        <f t="shared" si="4"/>
        <v>38.888888888888893</v>
      </c>
      <c r="M62" s="92">
        <f t="shared" si="4"/>
        <v>0</v>
      </c>
      <c r="N62" s="121">
        <f t="shared" si="2"/>
        <v>100</v>
      </c>
      <c r="O62" s="91">
        <v>31.8</v>
      </c>
      <c r="P62" s="92">
        <v>17.799999999999997</v>
      </c>
      <c r="Q62" s="92"/>
      <c r="R62" s="93">
        <f t="shared" si="3"/>
        <v>49.599999999999994</v>
      </c>
      <c r="S62" s="185">
        <v>5</v>
      </c>
      <c r="T62" s="839"/>
      <c r="U62" s="852"/>
      <c r="V62" s="82" t="s">
        <v>484</v>
      </c>
      <c r="W62" s="185" t="s">
        <v>74</v>
      </c>
      <c r="X62" s="185" t="s">
        <v>11</v>
      </c>
      <c r="Y62" s="83">
        <v>31.8</v>
      </c>
      <c r="Z62" s="82" t="s">
        <v>84</v>
      </c>
      <c r="AA62" s="185" t="s">
        <v>75</v>
      </c>
      <c r="AB62" s="185" t="s">
        <v>18</v>
      </c>
      <c r="AC62" s="185">
        <v>7.6</v>
      </c>
      <c r="AD62" s="82" t="s">
        <v>266</v>
      </c>
      <c r="AE62" s="185" t="s">
        <v>17</v>
      </c>
      <c r="AF62" s="185" t="s">
        <v>18</v>
      </c>
      <c r="AG62" s="83">
        <v>10.199999999999999</v>
      </c>
      <c r="AH62" s="150"/>
      <c r="AL62" s="82"/>
      <c r="AO62" s="83"/>
      <c r="AP62" s="82"/>
      <c r="AS62" s="83"/>
      <c r="AW62" s="83"/>
      <c r="BA62" s="84"/>
    </row>
    <row r="63" spans="1:53" s="292" customFormat="1">
      <c r="A63" s="338">
        <v>1986</v>
      </c>
      <c r="B63" s="836">
        <v>31541</v>
      </c>
      <c r="C63" s="916" t="s">
        <v>628</v>
      </c>
      <c r="D63" s="916"/>
      <c r="E63" s="292">
        <f>365-E62</f>
        <v>237</v>
      </c>
      <c r="F63" s="292">
        <v>1</v>
      </c>
      <c r="G63" s="366"/>
      <c r="I63" s="292">
        <v>18</v>
      </c>
      <c r="J63" s="377">
        <v>18</v>
      </c>
      <c r="K63" s="336">
        <f t="shared" si="4"/>
        <v>0</v>
      </c>
      <c r="L63" s="336">
        <f t="shared" si="4"/>
        <v>0</v>
      </c>
      <c r="M63" s="336">
        <f t="shared" si="4"/>
        <v>100</v>
      </c>
      <c r="N63" s="368">
        <f>K63+L63+M63</f>
        <v>100</v>
      </c>
      <c r="O63" s="335"/>
      <c r="P63" s="336"/>
      <c r="Q63" s="336">
        <v>45.2</v>
      </c>
      <c r="R63" s="337">
        <f t="shared" si="3"/>
        <v>45.2</v>
      </c>
      <c r="S63" s="292">
        <v>4</v>
      </c>
      <c r="T63" s="838"/>
      <c r="U63" s="836">
        <v>31541</v>
      </c>
      <c r="V63" s="299" t="s">
        <v>483</v>
      </c>
      <c r="W63" s="292" t="s">
        <v>20</v>
      </c>
      <c r="X63" s="292" t="s">
        <v>12</v>
      </c>
      <c r="Y63" s="300">
        <v>45.2</v>
      </c>
      <c r="AD63" s="299"/>
      <c r="AG63" s="300"/>
      <c r="AH63" s="390"/>
      <c r="AL63" s="299"/>
      <c r="AO63" s="300"/>
      <c r="AP63" s="299"/>
      <c r="AS63" s="300"/>
      <c r="AW63" s="300"/>
      <c r="BA63" s="301"/>
    </row>
    <row r="64" spans="1:53" s="292" customFormat="1">
      <c r="A64" s="338">
        <v>1987</v>
      </c>
      <c r="B64" s="836"/>
      <c r="C64" s="916" t="s">
        <v>628</v>
      </c>
      <c r="D64" s="916"/>
      <c r="E64" s="292">
        <v>0</v>
      </c>
      <c r="G64" s="366"/>
      <c r="I64" s="292">
        <v>18</v>
      </c>
      <c r="J64" s="377">
        <v>18</v>
      </c>
      <c r="K64" s="336">
        <f t="shared" si="4"/>
        <v>0</v>
      </c>
      <c r="L64" s="336">
        <f t="shared" si="4"/>
        <v>0</v>
      </c>
      <c r="M64" s="336">
        <f t="shared" si="4"/>
        <v>100</v>
      </c>
      <c r="N64" s="368">
        <f t="shared" ref="N64:N115" si="5">K64+L64+M64</f>
        <v>100</v>
      </c>
      <c r="O64" s="335"/>
      <c r="P64" s="336"/>
      <c r="Q64" s="336">
        <v>45.2</v>
      </c>
      <c r="R64" s="337">
        <f t="shared" si="3"/>
        <v>45.2</v>
      </c>
      <c r="S64" s="292">
        <v>4</v>
      </c>
      <c r="T64" s="838"/>
      <c r="U64" s="836"/>
      <c r="V64" s="299" t="s">
        <v>483</v>
      </c>
      <c r="W64" s="292" t="s">
        <v>20</v>
      </c>
      <c r="X64" s="292" t="s">
        <v>12</v>
      </c>
      <c r="Y64" s="300">
        <v>45.2</v>
      </c>
      <c r="AD64" s="299"/>
      <c r="AG64" s="300"/>
      <c r="AH64" s="390"/>
      <c r="AL64" s="299"/>
      <c r="AO64" s="300"/>
      <c r="AP64" s="299"/>
      <c r="AS64" s="300"/>
      <c r="AW64" s="300"/>
      <c r="BA64" s="301"/>
    </row>
    <row r="65" spans="1:53" s="292" customFormat="1">
      <c r="A65" s="338">
        <v>1987</v>
      </c>
      <c r="B65" s="836"/>
      <c r="C65" s="916" t="s">
        <v>628</v>
      </c>
      <c r="D65" s="916"/>
      <c r="E65" s="292">
        <v>365</v>
      </c>
      <c r="G65" s="366"/>
      <c r="I65" s="292">
        <v>18</v>
      </c>
      <c r="J65" s="377">
        <v>18</v>
      </c>
      <c r="K65" s="336">
        <f t="shared" si="4"/>
        <v>0</v>
      </c>
      <c r="L65" s="336">
        <f t="shared" si="4"/>
        <v>0</v>
      </c>
      <c r="M65" s="336">
        <f t="shared" si="4"/>
        <v>100</v>
      </c>
      <c r="N65" s="368">
        <f t="shared" si="5"/>
        <v>100</v>
      </c>
      <c r="O65" s="335"/>
      <c r="P65" s="336"/>
      <c r="Q65" s="336">
        <v>45.2</v>
      </c>
      <c r="R65" s="337">
        <f t="shared" si="3"/>
        <v>45.2</v>
      </c>
      <c r="S65" s="292">
        <v>4</v>
      </c>
      <c r="T65" s="838"/>
      <c r="U65" s="836"/>
      <c r="V65" s="299" t="s">
        <v>483</v>
      </c>
      <c r="W65" s="292" t="s">
        <v>20</v>
      </c>
      <c r="X65" s="292" t="s">
        <v>12</v>
      </c>
      <c r="Y65" s="300">
        <v>45.2</v>
      </c>
      <c r="AD65" s="299"/>
      <c r="AG65" s="300"/>
      <c r="AH65" s="390"/>
      <c r="AL65" s="299"/>
      <c r="AO65" s="300"/>
      <c r="AP65" s="299"/>
      <c r="AS65" s="300"/>
      <c r="AW65" s="300"/>
      <c r="BA65" s="301"/>
    </row>
    <row r="66" spans="1:53" s="292" customFormat="1">
      <c r="A66" s="338">
        <v>1988</v>
      </c>
      <c r="B66" s="836"/>
      <c r="C66" s="916" t="s">
        <v>628</v>
      </c>
      <c r="D66" s="916"/>
      <c r="E66" s="292">
        <v>0</v>
      </c>
      <c r="G66" s="366"/>
      <c r="I66" s="292">
        <v>18</v>
      </c>
      <c r="J66" s="377">
        <v>18</v>
      </c>
      <c r="K66" s="336">
        <f t="shared" si="4"/>
        <v>0</v>
      </c>
      <c r="L66" s="336">
        <f t="shared" si="4"/>
        <v>0</v>
      </c>
      <c r="M66" s="336">
        <f t="shared" si="4"/>
        <v>100</v>
      </c>
      <c r="N66" s="368">
        <f t="shared" si="5"/>
        <v>100</v>
      </c>
      <c r="O66" s="335"/>
      <c r="P66" s="336"/>
      <c r="Q66" s="336">
        <v>45.2</v>
      </c>
      <c r="R66" s="337">
        <f t="shared" si="3"/>
        <v>45.2</v>
      </c>
      <c r="S66" s="292">
        <v>4</v>
      </c>
      <c r="T66" s="838"/>
      <c r="U66" s="836"/>
      <c r="V66" s="299" t="s">
        <v>483</v>
      </c>
      <c r="W66" s="292" t="s">
        <v>20</v>
      </c>
      <c r="X66" s="292" t="s">
        <v>12</v>
      </c>
      <c r="Y66" s="300">
        <v>45.2</v>
      </c>
      <c r="AD66" s="299"/>
      <c r="AG66" s="300"/>
      <c r="AH66" s="390"/>
      <c r="AL66" s="299"/>
      <c r="AO66" s="300"/>
      <c r="AP66" s="299"/>
      <c r="AS66" s="300"/>
      <c r="AW66" s="300"/>
      <c r="BA66" s="301"/>
    </row>
    <row r="67" spans="1:53" s="292" customFormat="1">
      <c r="A67" s="338">
        <v>1988</v>
      </c>
      <c r="B67" s="836"/>
      <c r="C67" s="916" t="s">
        <v>628</v>
      </c>
      <c r="D67" s="916"/>
      <c r="E67" s="292">
        <v>366</v>
      </c>
      <c r="G67" s="366"/>
      <c r="I67" s="292">
        <v>18</v>
      </c>
      <c r="J67" s="377">
        <v>18</v>
      </c>
      <c r="K67" s="336">
        <f t="shared" si="4"/>
        <v>0</v>
      </c>
      <c r="L67" s="336">
        <f t="shared" si="4"/>
        <v>0</v>
      </c>
      <c r="M67" s="336">
        <f t="shared" si="4"/>
        <v>100</v>
      </c>
      <c r="N67" s="368">
        <f t="shared" si="5"/>
        <v>100</v>
      </c>
      <c r="O67" s="335"/>
      <c r="P67" s="336"/>
      <c r="Q67" s="336">
        <v>45.2</v>
      </c>
      <c r="R67" s="337">
        <f t="shared" si="3"/>
        <v>45.2</v>
      </c>
      <c r="S67" s="292">
        <v>4</v>
      </c>
      <c r="T67" s="838"/>
      <c r="U67" s="836"/>
      <c r="V67" s="299" t="s">
        <v>483</v>
      </c>
      <c r="W67" s="292" t="s">
        <v>20</v>
      </c>
      <c r="X67" s="292" t="s">
        <v>12</v>
      </c>
      <c r="Y67" s="300">
        <v>45.2</v>
      </c>
      <c r="AD67" s="299"/>
      <c r="AG67" s="300"/>
      <c r="AH67" s="390"/>
      <c r="AL67" s="299"/>
      <c r="AO67" s="300"/>
      <c r="AP67" s="299"/>
      <c r="AS67" s="300"/>
      <c r="AW67" s="300"/>
      <c r="BA67" s="301"/>
    </row>
    <row r="68" spans="1:53" s="292" customFormat="1">
      <c r="A68" s="338">
        <v>1989</v>
      </c>
      <c r="B68" s="836"/>
      <c r="C68" s="916" t="s">
        <v>628</v>
      </c>
      <c r="D68" s="916"/>
      <c r="E68" s="292">
        <v>288</v>
      </c>
      <c r="G68" s="366"/>
      <c r="I68" s="292">
        <v>18</v>
      </c>
      <c r="J68" s="377">
        <v>18</v>
      </c>
      <c r="K68" s="336">
        <f t="shared" si="4"/>
        <v>0</v>
      </c>
      <c r="L68" s="336">
        <f t="shared" si="4"/>
        <v>0</v>
      </c>
      <c r="M68" s="336">
        <f t="shared" si="4"/>
        <v>100</v>
      </c>
      <c r="N68" s="368">
        <f t="shared" si="5"/>
        <v>100</v>
      </c>
      <c r="O68" s="335"/>
      <c r="P68" s="336"/>
      <c r="Q68" s="336">
        <v>45.2</v>
      </c>
      <c r="R68" s="337">
        <f t="shared" si="3"/>
        <v>45.2</v>
      </c>
      <c r="S68" s="292">
        <v>4</v>
      </c>
      <c r="T68" s="838"/>
      <c r="U68" s="836"/>
      <c r="V68" s="299" t="s">
        <v>483</v>
      </c>
      <c r="W68" s="292" t="s">
        <v>20</v>
      </c>
      <c r="X68" s="292" t="s">
        <v>12</v>
      </c>
      <c r="Y68" s="300">
        <v>45.2</v>
      </c>
      <c r="AD68" s="299"/>
      <c r="AG68" s="300"/>
      <c r="AH68" s="390"/>
      <c r="AL68" s="299"/>
      <c r="AO68" s="300"/>
      <c r="AP68" s="299"/>
      <c r="AS68" s="300"/>
      <c r="AW68" s="300"/>
      <c r="BA68" s="301"/>
    </row>
    <row r="69" spans="1:53" s="188" customFormat="1">
      <c r="A69" s="148">
        <v>1989</v>
      </c>
      <c r="B69" s="859">
        <v>32797</v>
      </c>
      <c r="C69" s="957" t="s">
        <v>817</v>
      </c>
      <c r="D69" s="957"/>
      <c r="E69" s="188">
        <f>365-E68</f>
        <v>77</v>
      </c>
      <c r="F69" s="188">
        <v>1</v>
      </c>
      <c r="G69" s="129">
        <v>8</v>
      </c>
      <c r="H69" s="188">
        <v>10</v>
      </c>
      <c r="J69" s="130">
        <v>18</v>
      </c>
      <c r="K69" s="131">
        <f t="shared" si="4"/>
        <v>44.444444444444443</v>
      </c>
      <c r="L69" s="131">
        <f t="shared" si="4"/>
        <v>55.555555555555557</v>
      </c>
      <c r="M69" s="131">
        <f t="shared" si="4"/>
        <v>0</v>
      </c>
      <c r="N69" s="132">
        <f t="shared" si="5"/>
        <v>100</v>
      </c>
      <c r="O69" s="133">
        <v>22.4</v>
      </c>
      <c r="P69" s="131">
        <v>15.2</v>
      </c>
      <c r="Q69" s="131"/>
      <c r="R69" s="134">
        <f t="shared" si="3"/>
        <v>37.599999999999994</v>
      </c>
      <c r="S69" s="188">
        <v>5</v>
      </c>
      <c r="T69" s="861">
        <v>32761</v>
      </c>
      <c r="U69" s="859">
        <v>32797</v>
      </c>
      <c r="V69" s="136" t="s">
        <v>484</v>
      </c>
      <c r="W69" s="188" t="s">
        <v>74</v>
      </c>
      <c r="X69" s="188" t="s">
        <v>11</v>
      </c>
      <c r="Y69" s="137">
        <v>22.4</v>
      </c>
      <c r="Z69" s="136" t="s">
        <v>84</v>
      </c>
      <c r="AA69" s="188" t="s">
        <v>75</v>
      </c>
      <c r="AB69" s="188" t="s">
        <v>18</v>
      </c>
      <c r="AC69" s="188">
        <v>6.7</v>
      </c>
      <c r="AD69" s="136" t="s">
        <v>266</v>
      </c>
      <c r="AE69" s="188" t="s">
        <v>17</v>
      </c>
      <c r="AF69" s="188" t="s">
        <v>18</v>
      </c>
      <c r="AG69" s="137">
        <v>8.5</v>
      </c>
      <c r="AH69" s="171"/>
      <c r="AL69" s="136"/>
      <c r="AO69" s="137"/>
      <c r="AP69" s="136"/>
      <c r="AS69" s="137"/>
      <c r="AW69" s="137"/>
      <c r="BA69" s="138"/>
    </row>
    <row r="70" spans="1:53" s="185" customFormat="1">
      <c r="A70" s="185">
        <v>1990</v>
      </c>
      <c r="B70" s="852"/>
      <c r="C70" s="917" t="s">
        <v>817</v>
      </c>
      <c r="D70" s="917"/>
      <c r="E70" s="185">
        <v>306</v>
      </c>
      <c r="G70" s="119">
        <v>8</v>
      </c>
      <c r="H70" s="185">
        <v>10</v>
      </c>
      <c r="J70" s="126">
        <v>18</v>
      </c>
      <c r="K70" s="91">
        <f t="shared" si="4"/>
        <v>44.444444444444443</v>
      </c>
      <c r="L70" s="92">
        <f t="shared" si="4"/>
        <v>55.555555555555557</v>
      </c>
      <c r="M70" s="185">
        <f t="shared" si="4"/>
        <v>0</v>
      </c>
      <c r="N70" s="93">
        <f t="shared" si="5"/>
        <v>100</v>
      </c>
      <c r="O70" s="91">
        <v>22.4</v>
      </c>
      <c r="P70" s="92">
        <v>15.2</v>
      </c>
      <c r="Q70" s="92"/>
      <c r="R70" s="93">
        <f t="shared" si="3"/>
        <v>37.599999999999994</v>
      </c>
      <c r="S70" s="185">
        <v>5</v>
      </c>
      <c r="T70" s="839"/>
      <c r="U70" s="852"/>
      <c r="V70" s="82" t="s">
        <v>484</v>
      </c>
      <c r="W70" s="185" t="s">
        <v>74</v>
      </c>
      <c r="X70" s="185" t="s">
        <v>11</v>
      </c>
      <c r="Y70" s="83">
        <v>22.4</v>
      </c>
      <c r="Z70" s="82" t="s">
        <v>84</v>
      </c>
      <c r="AA70" s="185" t="s">
        <v>75</v>
      </c>
      <c r="AB70" s="185" t="s">
        <v>18</v>
      </c>
      <c r="AC70" s="185">
        <v>6.7</v>
      </c>
      <c r="AD70" s="82" t="s">
        <v>266</v>
      </c>
      <c r="AE70" s="185" t="s">
        <v>17</v>
      </c>
      <c r="AF70" s="185" t="s">
        <v>18</v>
      </c>
      <c r="AG70" s="83">
        <v>8.5</v>
      </c>
      <c r="AH70" s="150"/>
      <c r="AL70" s="82"/>
      <c r="AO70" s="83"/>
      <c r="AP70" s="82"/>
      <c r="AS70" s="83"/>
      <c r="AW70" s="83"/>
      <c r="BA70" s="84"/>
    </row>
    <row r="71" spans="1:53" s="292" customFormat="1">
      <c r="A71" s="292">
        <v>1990</v>
      </c>
      <c r="B71" s="836">
        <v>33180</v>
      </c>
      <c r="C71" s="916" t="s">
        <v>818</v>
      </c>
      <c r="D71" s="916"/>
      <c r="E71" s="292">
        <f>365-E70</f>
        <v>59</v>
      </c>
      <c r="F71" s="292">
        <v>5</v>
      </c>
      <c r="G71" s="366"/>
      <c r="I71" s="292">
        <v>19</v>
      </c>
      <c r="J71" s="377">
        <v>19</v>
      </c>
      <c r="K71" s="336">
        <f t="shared" si="4"/>
        <v>0</v>
      </c>
      <c r="L71" s="336">
        <f t="shared" si="4"/>
        <v>0</v>
      </c>
      <c r="M71" s="336">
        <f t="shared" si="4"/>
        <v>100</v>
      </c>
      <c r="N71" s="368">
        <f t="shared" si="5"/>
        <v>100</v>
      </c>
      <c r="O71" s="335"/>
      <c r="P71" s="336"/>
      <c r="Q71" s="336">
        <v>38.200000000000003</v>
      </c>
      <c r="R71" s="337">
        <f t="shared" si="3"/>
        <v>38.200000000000003</v>
      </c>
      <c r="S71" s="292">
        <v>4</v>
      </c>
      <c r="T71" s="838"/>
      <c r="U71" s="836">
        <v>33180</v>
      </c>
      <c r="V71" s="299" t="s">
        <v>483</v>
      </c>
      <c r="W71" s="292" t="s">
        <v>20</v>
      </c>
      <c r="X71" s="292" t="s">
        <v>12</v>
      </c>
      <c r="Y71" s="300">
        <v>38.200000000000003</v>
      </c>
      <c r="AD71" s="299"/>
      <c r="AG71" s="300"/>
      <c r="AH71" s="390"/>
      <c r="AL71" s="299"/>
      <c r="AO71" s="300"/>
      <c r="AP71" s="299"/>
      <c r="AS71" s="300"/>
      <c r="AW71" s="300"/>
      <c r="BA71" s="301"/>
    </row>
    <row r="72" spans="1:53" s="292" customFormat="1">
      <c r="A72" s="292">
        <v>1991</v>
      </c>
      <c r="B72" s="836"/>
      <c r="C72" s="916" t="s">
        <v>818</v>
      </c>
      <c r="D72" s="916"/>
      <c r="E72" s="292">
        <v>0</v>
      </c>
      <c r="G72" s="366"/>
      <c r="I72" s="292">
        <v>19</v>
      </c>
      <c r="J72" s="377">
        <v>19</v>
      </c>
      <c r="K72" s="336">
        <f t="shared" si="4"/>
        <v>0</v>
      </c>
      <c r="L72" s="336">
        <f t="shared" si="4"/>
        <v>0</v>
      </c>
      <c r="M72" s="336">
        <f t="shared" si="4"/>
        <v>100</v>
      </c>
      <c r="N72" s="368">
        <f t="shared" si="5"/>
        <v>100</v>
      </c>
      <c r="O72" s="335"/>
      <c r="P72" s="336"/>
      <c r="Q72" s="336">
        <v>38.200000000000003</v>
      </c>
      <c r="R72" s="337">
        <f t="shared" si="3"/>
        <v>38.200000000000003</v>
      </c>
      <c r="S72" s="292">
        <v>4</v>
      </c>
      <c r="T72" s="838"/>
      <c r="U72" s="836"/>
      <c r="V72" s="299" t="s">
        <v>483</v>
      </c>
      <c r="W72" s="292" t="s">
        <v>20</v>
      </c>
      <c r="X72" s="292" t="s">
        <v>12</v>
      </c>
      <c r="Y72" s="300">
        <v>38.200000000000003</v>
      </c>
      <c r="AD72" s="299"/>
      <c r="AG72" s="300"/>
      <c r="AH72" s="390"/>
      <c r="AL72" s="299"/>
      <c r="AO72" s="300"/>
      <c r="AP72" s="299"/>
      <c r="AS72" s="300"/>
      <c r="AW72" s="300"/>
      <c r="BA72" s="301"/>
    </row>
    <row r="73" spans="1:53" s="292" customFormat="1">
      <c r="A73" s="292">
        <v>1991</v>
      </c>
      <c r="B73" s="836"/>
      <c r="C73" s="916" t="s">
        <v>818</v>
      </c>
      <c r="D73" s="916"/>
      <c r="E73" s="292">
        <f>365-E72</f>
        <v>365</v>
      </c>
      <c r="G73" s="366"/>
      <c r="I73" s="292">
        <v>19</v>
      </c>
      <c r="J73" s="377">
        <v>19</v>
      </c>
      <c r="K73" s="336">
        <f t="shared" si="4"/>
        <v>0</v>
      </c>
      <c r="L73" s="336">
        <f t="shared" si="4"/>
        <v>0</v>
      </c>
      <c r="M73" s="336">
        <f t="shared" si="4"/>
        <v>100</v>
      </c>
      <c r="N73" s="368">
        <f t="shared" si="5"/>
        <v>100</v>
      </c>
      <c r="O73" s="335"/>
      <c r="P73" s="336"/>
      <c r="Q73" s="336">
        <v>38.200000000000003</v>
      </c>
      <c r="R73" s="337">
        <f t="shared" ref="R73:R117" si="6">O73+P73+Q73</f>
        <v>38.200000000000003</v>
      </c>
      <c r="S73" s="292">
        <v>4</v>
      </c>
      <c r="T73" s="838"/>
      <c r="U73" s="836"/>
      <c r="V73" s="299" t="s">
        <v>483</v>
      </c>
      <c r="W73" s="292" t="s">
        <v>20</v>
      </c>
      <c r="X73" s="292" t="s">
        <v>12</v>
      </c>
      <c r="Y73" s="300">
        <v>38.200000000000003</v>
      </c>
      <c r="AD73" s="299"/>
      <c r="AG73" s="300"/>
      <c r="AH73" s="390"/>
      <c r="AL73" s="299"/>
      <c r="AO73" s="300"/>
      <c r="AP73" s="299"/>
      <c r="AS73" s="300"/>
      <c r="AW73" s="300"/>
      <c r="BA73" s="301"/>
    </row>
    <row r="74" spans="1:53" s="292" customFormat="1">
      <c r="A74" s="292">
        <v>1992</v>
      </c>
      <c r="B74" s="836"/>
      <c r="C74" s="916" t="s">
        <v>818</v>
      </c>
      <c r="D74" s="916"/>
      <c r="E74" s="292">
        <v>0</v>
      </c>
      <c r="G74" s="366"/>
      <c r="I74" s="292">
        <v>19</v>
      </c>
      <c r="J74" s="377">
        <v>19</v>
      </c>
      <c r="K74" s="336">
        <f t="shared" si="4"/>
        <v>0</v>
      </c>
      <c r="L74" s="336">
        <f t="shared" si="4"/>
        <v>0</v>
      </c>
      <c r="M74" s="336">
        <f t="shared" si="4"/>
        <v>100</v>
      </c>
      <c r="N74" s="368">
        <f t="shared" si="5"/>
        <v>100</v>
      </c>
      <c r="O74" s="335"/>
      <c r="P74" s="336"/>
      <c r="Q74" s="336">
        <v>38.200000000000003</v>
      </c>
      <c r="R74" s="337">
        <f t="shared" si="6"/>
        <v>38.200000000000003</v>
      </c>
      <c r="S74" s="292">
        <v>4</v>
      </c>
      <c r="T74" s="838"/>
      <c r="U74" s="836"/>
      <c r="V74" s="299" t="s">
        <v>483</v>
      </c>
      <c r="W74" s="292" t="s">
        <v>20</v>
      </c>
      <c r="X74" s="292" t="s">
        <v>12</v>
      </c>
      <c r="Y74" s="300">
        <v>38.200000000000003</v>
      </c>
      <c r="AD74" s="299"/>
      <c r="AG74" s="300"/>
      <c r="AH74" s="390"/>
      <c r="AL74" s="299"/>
      <c r="AO74" s="300"/>
      <c r="AP74" s="299"/>
      <c r="AS74" s="300"/>
      <c r="AW74" s="300"/>
      <c r="BA74" s="301"/>
    </row>
    <row r="75" spans="1:53" s="292" customFormat="1">
      <c r="A75" s="292">
        <v>1992</v>
      </c>
      <c r="B75" s="836"/>
      <c r="C75" s="916" t="s">
        <v>818</v>
      </c>
      <c r="D75" s="916"/>
      <c r="E75" s="292">
        <v>366</v>
      </c>
      <c r="G75" s="366"/>
      <c r="I75" s="292">
        <v>19</v>
      </c>
      <c r="J75" s="377">
        <v>19</v>
      </c>
      <c r="K75" s="336">
        <f t="shared" si="4"/>
        <v>0</v>
      </c>
      <c r="L75" s="336">
        <f t="shared" si="4"/>
        <v>0</v>
      </c>
      <c r="M75" s="336">
        <f t="shared" si="4"/>
        <v>100</v>
      </c>
      <c r="N75" s="368">
        <f t="shared" si="5"/>
        <v>100</v>
      </c>
      <c r="O75" s="335"/>
      <c r="P75" s="336"/>
      <c r="Q75" s="336">
        <v>38.200000000000003</v>
      </c>
      <c r="R75" s="337">
        <f t="shared" si="6"/>
        <v>38.200000000000003</v>
      </c>
      <c r="S75" s="292">
        <v>4</v>
      </c>
      <c r="T75" s="838"/>
      <c r="U75" s="836"/>
      <c r="V75" s="299" t="s">
        <v>483</v>
      </c>
      <c r="W75" s="292" t="s">
        <v>20</v>
      </c>
      <c r="X75" s="292" t="s">
        <v>12</v>
      </c>
      <c r="Y75" s="300">
        <v>38.200000000000003</v>
      </c>
      <c r="AD75" s="299"/>
      <c r="AG75" s="300"/>
      <c r="AH75" s="390"/>
      <c r="AL75" s="299"/>
      <c r="AO75" s="300"/>
      <c r="AP75" s="299"/>
      <c r="AS75" s="300"/>
      <c r="AW75" s="300"/>
      <c r="BA75" s="301"/>
    </row>
    <row r="76" spans="1:53" s="292" customFormat="1">
      <c r="A76" s="292">
        <v>1993</v>
      </c>
      <c r="B76" s="836"/>
      <c r="C76" s="916" t="s">
        <v>818</v>
      </c>
      <c r="D76" s="916"/>
      <c r="E76" s="292">
        <v>256</v>
      </c>
      <c r="G76" s="366"/>
      <c r="I76" s="292">
        <v>19</v>
      </c>
      <c r="J76" s="377">
        <v>19</v>
      </c>
      <c r="K76" s="336">
        <f t="shared" si="4"/>
        <v>0</v>
      </c>
      <c r="L76" s="336">
        <f t="shared" si="4"/>
        <v>0</v>
      </c>
      <c r="M76" s="336">
        <f t="shared" si="4"/>
        <v>100</v>
      </c>
      <c r="N76" s="368">
        <f t="shared" si="5"/>
        <v>100</v>
      </c>
      <c r="O76" s="335"/>
      <c r="P76" s="336"/>
      <c r="Q76" s="336">
        <v>38.200000000000003</v>
      </c>
      <c r="R76" s="337">
        <f t="shared" si="6"/>
        <v>38.200000000000003</v>
      </c>
      <c r="S76" s="292">
        <v>4</v>
      </c>
      <c r="T76" s="838"/>
      <c r="U76" s="836"/>
      <c r="V76" s="299" t="s">
        <v>483</v>
      </c>
      <c r="W76" s="292" t="s">
        <v>20</v>
      </c>
      <c r="X76" s="292" t="s">
        <v>12</v>
      </c>
      <c r="Y76" s="300">
        <v>38.200000000000003</v>
      </c>
      <c r="AD76" s="299"/>
      <c r="AG76" s="300"/>
      <c r="AH76" s="390"/>
      <c r="AL76" s="299"/>
      <c r="AO76" s="300"/>
      <c r="AP76" s="299"/>
      <c r="AS76" s="300"/>
      <c r="AW76" s="300"/>
      <c r="BA76" s="301"/>
    </row>
    <row r="77" spans="1:53" s="185" customFormat="1">
      <c r="A77" s="185">
        <v>1993</v>
      </c>
      <c r="B77" s="852">
        <v>34226</v>
      </c>
      <c r="C77" s="917" t="s">
        <v>1360</v>
      </c>
      <c r="D77" s="917"/>
      <c r="E77" s="185">
        <f>365-E76</f>
        <v>109</v>
      </c>
      <c r="F77" s="185">
        <v>1</v>
      </c>
      <c r="G77" s="119"/>
      <c r="I77" s="185">
        <v>19</v>
      </c>
      <c r="J77" s="126">
        <v>19</v>
      </c>
      <c r="K77" s="92">
        <f t="shared" si="4"/>
        <v>0</v>
      </c>
      <c r="L77" s="92">
        <f t="shared" si="4"/>
        <v>0</v>
      </c>
      <c r="M77" s="92">
        <f t="shared" si="4"/>
        <v>100</v>
      </c>
      <c r="N77" s="121">
        <f t="shared" si="5"/>
        <v>100</v>
      </c>
      <c r="O77" s="91"/>
      <c r="P77" s="92"/>
      <c r="Q77" s="92">
        <v>40.6</v>
      </c>
      <c r="R77" s="93">
        <f t="shared" si="6"/>
        <v>40.6</v>
      </c>
      <c r="S77" s="185">
        <v>4</v>
      </c>
      <c r="T77" s="839">
        <v>34224</v>
      </c>
      <c r="U77" s="852">
        <v>34226</v>
      </c>
      <c r="V77" s="82" t="s">
        <v>483</v>
      </c>
      <c r="W77" s="185" t="s">
        <v>20</v>
      </c>
      <c r="X77" s="185" t="s">
        <v>12</v>
      </c>
      <c r="Y77" s="83">
        <v>40.6</v>
      </c>
      <c r="AD77" s="82"/>
      <c r="AG77" s="83"/>
      <c r="AH77" s="150"/>
      <c r="AL77" s="82"/>
      <c r="AO77" s="83"/>
      <c r="AP77" s="82"/>
      <c r="AS77" s="83"/>
      <c r="AW77" s="83"/>
      <c r="BA77" s="84"/>
    </row>
    <row r="78" spans="1:53" s="185" customFormat="1">
      <c r="A78" s="185">
        <v>1994</v>
      </c>
      <c r="B78" s="852"/>
      <c r="C78" s="917" t="s">
        <v>1360</v>
      </c>
      <c r="D78" s="917"/>
      <c r="E78" s="185">
        <v>0</v>
      </c>
      <c r="G78" s="119"/>
      <c r="I78" s="185">
        <v>18</v>
      </c>
      <c r="J78" s="126">
        <v>18</v>
      </c>
      <c r="K78" s="92">
        <f t="shared" si="4"/>
        <v>0</v>
      </c>
      <c r="L78" s="92">
        <f t="shared" si="4"/>
        <v>0</v>
      </c>
      <c r="M78" s="92">
        <f t="shared" si="4"/>
        <v>100</v>
      </c>
      <c r="N78" s="121">
        <f t="shared" si="5"/>
        <v>100</v>
      </c>
      <c r="O78" s="91"/>
      <c r="P78" s="92"/>
      <c r="Q78" s="92">
        <v>40.6</v>
      </c>
      <c r="R78" s="93">
        <f t="shared" si="6"/>
        <v>40.6</v>
      </c>
      <c r="S78" s="185">
        <v>4</v>
      </c>
      <c r="T78" s="839"/>
      <c r="U78" s="852"/>
      <c r="V78" s="82" t="s">
        <v>483</v>
      </c>
      <c r="W78" s="185" t="s">
        <v>20</v>
      </c>
      <c r="X78" s="185" t="s">
        <v>12</v>
      </c>
      <c r="Y78" s="83">
        <v>40.6</v>
      </c>
      <c r="AD78" s="82"/>
      <c r="AG78" s="83"/>
      <c r="AH78" s="150"/>
      <c r="AL78" s="82"/>
      <c r="AO78" s="83"/>
      <c r="AP78" s="82"/>
      <c r="AS78" s="83"/>
      <c r="AW78" s="83"/>
      <c r="BA78" s="84"/>
    </row>
    <row r="79" spans="1:53" s="185" customFormat="1">
      <c r="A79" s="185">
        <v>1994</v>
      </c>
      <c r="B79" s="852"/>
      <c r="C79" s="917" t="s">
        <v>1360</v>
      </c>
      <c r="D79" s="917"/>
      <c r="E79" s="185">
        <f>365-E78</f>
        <v>365</v>
      </c>
      <c r="G79" s="119"/>
      <c r="I79" s="185">
        <v>18</v>
      </c>
      <c r="J79" s="126">
        <v>18</v>
      </c>
      <c r="K79" s="92">
        <f t="shared" si="4"/>
        <v>0</v>
      </c>
      <c r="L79" s="92">
        <f t="shared" si="4"/>
        <v>0</v>
      </c>
      <c r="M79" s="92">
        <f t="shared" si="4"/>
        <v>100</v>
      </c>
      <c r="N79" s="121">
        <f t="shared" si="5"/>
        <v>100</v>
      </c>
      <c r="O79" s="91"/>
      <c r="P79" s="92"/>
      <c r="Q79" s="92">
        <v>40.6</v>
      </c>
      <c r="R79" s="93">
        <f t="shared" si="6"/>
        <v>40.6</v>
      </c>
      <c r="S79" s="185">
        <v>4</v>
      </c>
      <c r="T79" s="839"/>
      <c r="U79" s="852"/>
      <c r="V79" s="82" t="s">
        <v>483</v>
      </c>
      <c r="W79" s="185" t="s">
        <v>20</v>
      </c>
      <c r="X79" s="185" t="s">
        <v>12</v>
      </c>
      <c r="Y79" s="83">
        <v>40.6</v>
      </c>
      <c r="AD79" s="82"/>
      <c r="AG79" s="83"/>
      <c r="AH79" s="150"/>
      <c r="AL79" s="82"/>
      <c r="AO79" s="83"/>
      <c r="AP79" s="82"/>
      <c r="AS79" s="83"/>
      <c r="AW79" s="83"/>
      <c r="BA79" s="84"/>
    </row>
    <row r="80" spans="1:53" s="185" customFormat="1">
      <c r="A80" s="185">
        <v>1995</v>
      </c>
      <c r="B80" s="852"/>
      <c r="C80" s="917" t="s">
        <v>1360</v>
      </c>
      <c r="D80" s="917"/>
      <c r="E80" s="185">
        <v>0</v>
      </c>
      <c r="G80" s="119"/>
      <c r="I80" s="185">
        <v>18</v>
      </c>
      <c r="J80" s="126">
        <v>18</v>
      </c>
      <c r="K80" s="92">
        <f t="shared" si="4"/>
        <v>0</v>
      </c>
      <c r="L80" s="92">
        <f t="shared" si="4"/>
        <v>0</v>
      </c>
      <c r="M80" s="92">
        <f t="shared" si="4"/>
        <v>100</v>
      </c>
      <c r="N80" s="121">
        <f t="shared" si="5"/>
        <v>100</v>
      </c>
      <c r="O80" s="91"/>
      <c r="P80" s="92"/>
      <c r="Q80" s="92">
        <v>40.6</v>
      </c>
      <c r="R80" s="93">
        <f t="shared" si="6"/>
        <v>40.6</v>
      </c>
      <c r="S80" s="185">
        <v>4</v>
      </c>
      <c r="T80" s="839"/>
      <c r="U80" s="852"/>
      <c r="V80" s="82" t="s">
        <v>483</v>
      </c>
      <c r="W80" s="185" t="s">
        <v>20</v>
      </c>
      <c r="X80" s="185" t="s">
        <v>12</v>
      </c>
      <c r="Y80" s="83">
        <v>40.6</v>
      </c>
      <c r="AD80" s="82"/>
      <c r="AG80" s="83"/>
      <c r="AH80" s="150"/>
      <c r="AL80" s="82"/>
      <c r="AO80" s="83"/>
      <c r="AP80" s="82"/>
      <c r="AS80" s="83"/>
      <c r="AW80" s="83"/>
      <c r="BA80" s="84"/>
    </row>
    <row r="81" spans="1:53" s="185" customFormat="1">
      <c r="A81" s="185">
        <v>1995</v>
      </c>
      <c r="B81" s="852"/>
      <c r="C81" s="917" t="s">
        <v>1360</v>
      </c>
      <c r="D81" s="917"/>
      <c r="E81" s="185">
        <f>365-E80</f>
        <v>365</v>
      </c>
      <c r="G81" s="119"/>
      <c r="I81" s="185">
        <v>18</v>
      </c>
      <c r="J81" s="126">
        <v>18</v>
      </c>
      <c r="K81" s="92">
        <f t="shared" si="4"/>
        <v>0</v>
      </c>
      <c r="L81" s="92">
        <f t="shared" si="4"/>
        <v>0</v>
      </c>
      <c r="M81" s="92">
        <f t="shared" si="4"/>
        <v>100</v>
      </c>
      <c r="N81" s="121">
        <f t="shared" si="5"/>
        <v>100</v>
      </c>
      <c r="O81" s="91"/>
      <c r="P81" s="92"/>
      <c r="Q81" s="92">
        <v>40.6</v>
      </c>
      <c r="R81" s="93">
        <f t="shared" si="6"/>
        <v>40.6</v>
      </c>
      <c r="S81" s="185">
        <v>4</v>
      </c>
      <c r="T81" s="839"/>
      <c r="U81" s="852"/>
      <c r="V81" s="82" t="s">
        <v>483</v>
      </c>
      <c r="W81" s="185" t="s">
        <v>20</v>
      </c>
      <c r="X81" s="185" t="s">
        <v>12</v>
      </c>
      <c r="Y81" s="83">
        <v>40.6</v>
      </c>
      <c r="AD81" s="82"/>
      <c r="AG81" s="83"/>
      <c r="AH81" s="150"/>
      <c r="AL81" s="82"/>
      <c r="AO81" s="83"/>
      <c r="AP81" s="82"/>
      <c r="AS81" s="83"/>
      <c r="AW81" s="83"/>
      <c r="BA81" s="84"/>
    </row>
    <row r="82" spans="1:53" s="185" customFormat="1">
      <c r="A82" s="185">
        <v>1996</v>
      </c>
      <c r="B82" s="852"/>
      <c r="C82" s="917" t="s">
        <v>1360</v>
      </c>
      <c r="D82" s="917"/>
      <c r="E82" s="185">
        <v>298</v>
      </c>
      <c r="F82" s="139"/>
      <c r="G82" s="119"/>
      <c r="I82" s="185">
        <v>18</v>
      </c>
      <c r="J82" s="126">
        <v>18</v>
      </c>
      <c r="K82" s="92">
        <f t="shared" si="4"/>
        <v>0</v>
      </c>
      <c r="L82" s="92">
        <f t="shared" si="4"/>
        <v>0</v>
      </c>
      <c r="M82" s="92">
        <f t="shared" si="4"/>
        <v>100</v>
      </c>
      <c r="N82" s="121">
        <f t="shared" si="5"/>
        <v>100</v>
      </c>
      <c r="O82" s="91"/>
      <c r="P82" s="92"/>
      <c r="Q82" s="92">
        <v>40.6</v>
      </c>
      <c r="R82" s="93">
        <f t="shared" si="6"/>
        <v>40.6</v>
      </c>
      <c r="S82" s="185">
        <v>4</v>
      </c>
      <c r="T82" s="839"/>
      <c r="U82" s="852"/>
      <c r="V82" s="82" t="s">
        <v>483</v>
      </c>
      <c r="W82" s="185" t="s">
        <v>20</v>
      </c>
      <c r="X82" s="185" t="s">
        <v>12</v>
      </c>
      <c r="Y82" s="83">
        <v>40.6</v>
      </c>
      <c r="AD82" s="82"/>
      <c r="AG82" s="83"/>
      <c r="AH82" s="150"/>
      <c r="AL82" s="82"/>
      <c r="AO82" s="83"/>
      <c r="AP82" s="82"/>
      <c r="AS82" s="83"/>
      <c r="AW82" s="83"/>
      <c r="BA82" s="84"/>
    </row>
    <row r="83" spans="1:53" s="292" customFormat="1">
      <c r="A83" s="292">
        <v>1996</v>
      </c>
      <c r="B83" s="836">
        <v>35363</v>
      </c>
      <c r="C83" s="916" t="s">
        <v>820</v>
      </c>
      <c r="D83" s="916"/>
      <c r="E83" s="292">
        <f>366-E82</f>
        <v>68</v>
      </c>
      <c r="F83" s="292">
        <v>2</v>
      </c>
      <c r="G83" s="366"/>
      <c r="I83" s="292">
        <v>19</v>
      </c>
      <c r="J83" s="377">
        <v>19</v>
      </c>
      <c r="K83" s="336">
        <f t="shared" si="4"/>
        <v>0</v>
      </c>
      <c r="L83" s="336">
        <f t="shared" si="4"/>
        <v>0</v>
      </c>
      <c r="M83" s="336">
        <f t="shared" si="4"/>
        <v>100</v>
      </c>
      <c r="N83" s="368">
        <f t="shared" si="5"/>
        <v>100</v>
      </c>
      <c r="O83" s="335"/>
      <c r="P83" s="336"/>
      <c r="Q83" s="336">
        <v>40.6</v>
      </c>
      <c r="R83" s="337">
        <f t="shared" si="6"/>
        <v>40.6</v>
      </c>
      <c r="S83" s="292">
        <v>4</v>
      </c>
      <c r="T83" s="838"/>
      <c r="U83" s="836">
        <v>35363</v>
      </c>
      <c r="V83" s="299" t="s">
        <v>483</v>
      </c>
      <c r="W83" s="292" t="s">
        <v>20</v>
      </c>
      <c r="X83" s="292" t="s">
        <v>12</v>
      </c>
      <c r="Y83" s="300">
        <v>40.6</v>
      </c>
      <c r="AD83" s="299"/>
      <c r="AG83" s="300"/>
      <c r="AH83" s="390"/>
      <c r="AL83" s="299"/>
      <c r="AO83" s="300"/>
      <c r="AP83" s="299"/>
      <c r="AS83" s="300"/>
      <c r="AW83" s="300"/>
      <c r="BA83" s="301"/>
    </row>
    <row r="84" spans="1:53" s="292" customFormat="1">
      <c r="A84" s="292">
        <v>1997</v>
      </c>
      <c r="B84" s="836"/>
      <c r="C84" s="916" t="s">
        <v>820</v>
      </c>
      <c r="D84" s="916"/>
      <c r="E84" s="292">
        <v>289</v>
      </c>
      <c r="G84" s="366"/>
      <c r="I84" s="292">
        <v>19</v>
      </c>
      <c r="J84" s="377">
        <v>19</v>
      </c>
      <c r="K84" s="336">
        <f t="shared" si="4"/>
        <v>0</v>
      </c>
      <c r="L84" s="336">
        <f t="shared" si="4"/>
        <v>0</v>
      </c>
      <c r="M84" s="336">
        <f t="shared" si="4"/>
        <v>100</v>
      </c>
      <c r="N84" s="368">
        <f t="shared" si="5"/>
        <v>100</v>
      </c>
      <c r="O84" s="335"/>
      <c r="P84" s="336"/>
      <c r="Q84" s="336">
        <v>40.6</v>
      </c>
      <c r="R84" s="337">
        <f t="shared" si="6"/>
        <v>40.6</v>
      </c>
      <c r="S84" s="292">
        <v>4</v>
      </c>
      <c r="T84" s="838"/>
      <c r="U84" s="836"/>
      <c r="V84" s="299" t="s">
        <v>483</v>
      </c>
      <c r="W84" s="292" t="s">
        <v>20</v>
      </c>
      <c r="X84" s="292" t="s">
        <v>12</v>
      </c>
      <c r="Y84" s="300">
        <v>40.6</v>
      </c>
      <c r="AD84" s="299"/>
      <c r="AG84" s="300"/>
      <c r="AH84" s="390"/>
      <c r="AL84" s="299"/>
      <c r="AO84" s="300"/>
      <c r="AP84" s="299"/>
      <c r="AS84" s="300"/>
      <c r="AW84" s="300"/>
      <c r="BA84" s="301"/>
    </row>
    <row r="85" spans="1:53" s="185" customFormat="1">
      <c r="A85" s="185">
        <v>1997</v>
      </c>
      <c r="B85" s="852">
        <v>35720</v>
      </c>
      <c r="C85" s="917" t="s">
        <v>819</v>
      </c>
      <c r="D85" s="917"/>
      <c r="E85" s="185">
        <f>365-E84</f>
        <v>76</v>
      </c>
      <c r="F85" s="185">
        <v>1</v>
      </c>
      <c r="G85" s="119">
        <v>4</v>
      </c>
      <c r="H85" s="185">
        <v>15</v>
      </c>
      <c r="J85" s="126">
        <v>19</v>
      </c>
      <c r="K85" s="92">
        <f t="shared" si="4"/>
        <v>21.052631578947366</v>
      </c>
      <c r="L85" s="92">
        <f t="shared" si="4"/>
        <v>78.94736842105263</v>
      </c>
      <c r="M85" s="92">
        <f t="shared" si="4"/>
        <v>0</v>
      </c>
      <c r="N85" s="121">
        <f t="shared" si="5"/>
        <v>100</v>
      </c>
      <c r="O85" s="91">
        <v>3.6</v>
      </c>
      <c r="P85" s="92">
        <v>21.9</v>
      </c>
      <c r="Q85" s="92"/>
      <c r="R85" s="93">
        <f t="shared" si="6"/>
        <v>25.5</v>
      </c>
      <c r="S85" s="185">
        <v>5</v>
      </c>
      <c r="T85" s="839">
        <v>35688</v>
      </c>
      <c r="U85" s="852">
        <v>35720</v>
      </c>
      <c r="V85" s="82" t="s">
        <v>266</v>
      </c>
      <c r="W85" s="185" t="s">
        <v>17</v>
      </c>
      <c r="X85" s="185" t="s">
        <v>18</v>
      </c>
      <c r="Y85" s="83">
        <v>15.2</v>
      </c>
      <c r="Z85" s="82" t="s">
        <v>84</v>
      </c>
      <c r="AA85" s="185" t="s">
        <v>75</v>
      </c>
      <c r="AB85" s="185" t="s">
        <v>18</v>
      </c>
      <c r="AC85" s="185">
        <v>6.7</v>
      </c>
      <c r="AD85" s="82" t="s">
        <v>407</v>
      </c>
      <c r="AE85" s="185" t="s">
        <v>22</v>
      </c>
      <c r="AF85" s="185" t="s">
        <v>11</v>
      </c>
      <c r="AG85" s="83">
        <v>3.6</v>
      </c>
      <c r="AH85" s="150"/>
      <c r="AL85" s="82"/>
      <c r="AO85" s="83"/>
      <c r="AP85" s="82"/>
      <c r="AS85" s="83"/>
      <c r="AW85" s="83"/>
      <c r="BA85" s="84"/>
    </row>
    <row r="86" spans="1:53" s="185" customFormat="1">
      <c r="A86" s="185">
        <v>1998</v>
      </c>
      <c r="B86" s="852"/>
      <c r="C86" s="917" t="s">
        <v>819</v>
      </c>
      <c r="D86" s="917"/>
      <c r="E86" s="185">
        <v>0</v>
      </c>
      <c r="G86" s="119">
        <v>4</v>
      </c>
      <c r="H86" s="185">
        <v>15</v>
      </c>
      <c r="J86" s="126">
        <v>19</v>
      </c>
      <c r="K86" s="92">
        <f t="shared" si="4"/>
        <v>21.052631578947366</v>
      </c>
      <c r="L86" s="92">
        <f t="shared" si="4"/>
        <v>78.94736842105263</v>
      </c>
      <c r="M86" s="92">
        <f t="shared" si="4"/>
        <v>0</v>
      </c>
      <c r="N86" s="121">
        <f t="shared" si="5"/>
        <v>100</v>
      </c>
      <c r="O86" s="91">
        <v>3.6</v>
      </c>
      <c r="P86" s="92">
        <v>21.9</v>
      </c>
      <c r="Q86" s="92"/>
      <c r="R86" s="93">
        <f t="shared" si="6"/>
        <v>25.5</v>
      </c>
      <c r="S86" s="185">
        <v>5</v>
      </c>
      <c r="T86" s="839"/>
      <c r="U86" s="852"/>
      <c r="V86" s="82" t="s">
        <v>266</v>
      </c>
      <c r="W86" s="185" t="s">
        <v>17</v>
      </c>
      <c r="X86" s="185" t="s">
        <v>18</v>
      </c>
      <c r="Y86" s="83">
        <v>15.2</v>
      </c>
      <c r="Z86" s="82" t="s">
        <v>84</v>
      </c>
      <c r="AA86" s="185" t="s">
        <v>75</v>
      </c>
      <c r="AB86" s="185" t="s">
        <v>18</v>
      </c>
      <c r="AC86" s="185">
        <v>6.7</v>
      </c>
      <c r="AD86" s="82" t="s">
        <v>407</v>
      </c>
      <c r="AE86" s="185" t="s">
        <v>22</v>
      </c>
      <c r="AF86" s="185" t="s">
        <v>11</v>
      </c>
      <c r="AG86" s="83">
        <v>3.6</v>
      </c>
      <c r="AH86" s="150"/>
      <c r="AL86" s="82"/>
      <c r="AO86" s="83"/>
      <c r="AP86" s="82"/>
      <c r="AS86" s="83"/>
      <c r="AW86" s="83"/>
      <c r="BA86" s="84"/>
    </row>
    <row r="87" spans="1:53" s="185" customFormat="1">
      <c r="A87" s="185">
        <v>1998</v>
      </c>
      <c r="B87" s="852"/>
      <c r="C87" s="917" t="s">
        <v>819</v>
      </c>
      <c r="D87" s="917"/>
      <c r="E87" s="185">
        <f>365-E86</f>
        <v>365</v>
      </c>
      <c r="G87" s="119">
        <v>4</v>
      </c>
      <c r="H87" s="185">
        <v>15</v>
      </c>
      <c r="J87" s="126">
        <v>19</v>
      </c>
      <c r="K87" s="92">
        <f t="shared" si="4"/>
        <v>21.052631578947366</v>
      </c>
      <c r="L87" s="92">
        <f t="shared" si="4"/>
        <v>78.94736842105263</v>
      </c>
      <c r="M87" s="92">
        <f t="shared" si="4"/>
        <v>0</v>
      </c>
      <c r="N87" s="121">
        <f t="shared" si="5"/>
        <v>100</v>
      </c>
      <c r="O87" s="91">
        <v>3.6</v>
      </c>
      <c r="P87" s="92">
        <v>21.9</v>
      </c>
      <c r="Q87" s="92"/>
      <c r="R87" s="93">
        <f t="shared" si="6"/>
        <v>25.5</v>
      </c>
      <c r="S87" s="185">
        <v>5</v>
      </c>
      <c r="T87" s="839"/>
      <c r="U87" s="852"/>
      <c r="V87" s="82" t="s">
        <v>266</v>
      </c>
      <c r="W87" s="185" t="s">
        <v>17</v>
      </c>
      <c r="X87" s="185" t="s">
        <v>18</v>
      </c>
      <c r="Y87" s="83">
        <v>15.2</v>
      </c>
      <c r="Z87" s="82" t="s">
        <v>84</v>
      </c>
      <c r="AA87" s="185" t="s">
        <v>75</v>
      </c>
      <c r="AB87" s="185" t="s">
        <v>18</v>
      </c>
      <c r="AC87" s="185">
        <v>6.7</v>
      </c>
      <c r="AD87" s="82" t="s">
        <v>407</v>
      </c>
      <c r="AE87" s="185" t="s">
        <v>22</v>
      </c>
      <c r="AF87" s="185" t="s">
        <v>11</v>
      </c>
      <c r="AG87" s="83">
        <v>3.6</v>
      </c>
      <c r="AH87" s="150"/>
      <c r="AL87" s="82"/>
      <c r="AO87" s="83"/>
      <c r="AP87" s="82"/>
      <c r="AS87" s="83"/>
      <c r="AW87" s="83"/>
      <c r="BA87" s="84"/>
    </row>
    <row r="88" spans="1:53" s="185" customFormat="1">
      <c r="A88" s="185">
        <v>1999</v>
      </c>
      <c r="B88" s="852"/>
      <c r="C88" s="917" t="s">
        <v>819</v>
      </c>
      <c r="D88" s="917"/>
      <c r="E88" s="185">
        <v>0</v>
      </c>
      <c r="G88" s="119">
        <v>4</v>
      </c>
      <c r="H88" s="185">
        <v>15</v>
      </c>
      <c r="J88" s="126">
        <v>19</v>
      </c>
      <c r="K88" s="92">
        <f t="shared" si="4"/>
        <v>21.052631578947366</v>
      </c>
      <c r="L88" s="92">
        <f t="shared" si="4"/>
        <v>78.94736842105263</v>
      </c>
      <c r="M88" s="92">
        <f t="shared" si="4"/>
        <v>0</v>
      </c>
      <c r="N88" s="121">
        <f t="shared" si="5"/>
        <v>100</v>
      </c>
      <c r="O88" s="91">
        <v>3.6</v>
      </c>
      <c r="P88" s="92">
        <v>21.9</v>
      </c>
      <c r="Q88" s="92"/>
      <c r="R88" s="93">
        <f t="shared" si="6"/>
        <v>25.5</v>
      </c>
      <c r="S88" s="185">
        <v>5</v>
      </c>
      <c r="T88" s="839"/>
      <c r="U88" s="852"/>
      <c r="V88" s="82" t="s">
        <v>266</v>
      </c>
      <c r="W88" s="185" t="s">
        <v>17</v>
      </c>
      <c r="X88" s="185" t="s">
        <v>18</v>
      </c>
      <c r="Y88" s="83">
        <v>15.2</v>
      </c>
      <c r="Z88" s="82" t="s">
        <v>84</v>
      </c>
      <c r="AA88" s="185" t="s">
        <v>75</v>
      </c>
      <c r="AB88" s="185" t="s">
        <v>18</v>
      </c>
      <c r="AC88" s="185">
        <v>6.7</v>
      </c>
      <c r="AD88" s="82" t="s">
        <v>407</v>
      </c>
      <c r="AE88" s="185" t="s">
        <v>22</v>
      </c>
      <c r="AF88" s="185" t="s">
        <v>11</v>
      </c>
      <c r="AG88" s="83">
        <v>3.6</v>
      </c>
      <c r="AH88" s="150"/>
      <c r="AL88" s="82"/>
      <c r="AO88" s="83"/>
      <c r="AP88" s="82"/>
      <c r="AS88" s="83"/>
      <c r="AW88" s="83"/>
      <c r="BA88" s="84"/>
    </row>
    <row r="89" spans="1:53" s="185" customFormat="1">
      <c r="A89" s="185">
        <v>1999</v>
      </c>
      <c r="B89" s="852"/>
      <c r="C89" s="917" t="s">
        <v>819</v>
      </c>
      <c r="D89" s="917"/>
      <c r="E89" s="185">
        <f>365-E88</f>
        <v>365</v>
      </c>
      <c r="G89" s="119">
        <v>4</v>
      </c>
      <c r="H89" s="185">
        <v>15</v>
      </c>
      <c r="J89" s="126">
        <v>19</v>
      </c>
      <c r="K89" s="92">
        <f t="shared" si="4"/>
        <v>21.052631578947366</v>
      </c>
      <c r="L89" s="92">
        <f t="shared" si="4"/>
        <v>78.94736842105263</v>
      </c>
      <c r="M89" s="92">
        <f t="shared" si="4"/>
        <v>0</v>
      </c>
      <c r="N89" s="121">
        <f t="shared" si="5"/>
        <v>100</v>
      </c>
      <c r="O89" s="91">
        <v>3.6</v>
      </c>
      <c r="P89" s="92">
        <v>21.9</v>
      </c>
      <c r="Q89" s="92"/>
      <c r="R89" s="93">
        <f t="shared" si="6"/>
        <v>25.5</v>
      </c>
      <c r="S89" s="185">
        <v>5</v>
      </c>
      <c r="T89" s="839"/>
      <c r="U89" s="852"/>
      <c r="V89" s="82" t="s">
        <v>266</v>
      </c>
      <c r="W89" s="185" t="s">
        <v>17</v>
      </c>
      <c r="X89" s="185" t="s">
        <v>18</v>
      </c>
      <c r="Y89" s="83">
        <v>15.2</v>
      </c>
      <c r="Z89" s="82" t="s">
        <v>84</v>
      </c>
      <c r="AA89" s="185" t="s">
        <v>75</v>
      </c>
      <c r="AB89" s="185" t="s">
        <v>18</v>
      </c>
      <c r="AC89" s="185">
        <v>6.7</v>
      </c>
      <c r="AD89" s="82" t="s">
        <v>407</v>
      </c>
      <c r="AE89" s="185" t="s">
        <v>22</v>
      </c>
      <c r="AF89" s="185" t="s">
        <v>11</v>
      </c>
      <c r="AG89" s="83">
        <v>3.6</v>
      </c>
      <c r="AH89" s="150"/>
      <c r="AL89" s="82"/>
      <c r="AO89" s="83"/>
      <c r="AP89" s="82"/>
      <c r="AS89" s="83"/>
      <c r="AW89" s="83"/>
      <c r="BA89" s="84"/>
    </row>
    <row r="90" spans="1:53" s="185" customFormat="1">
      <c r="A90" s="185">
        <v>2000</v>
      </c>
      <c r="B90" s="852"/>
      <c r="C90" s="917" t="s">
        <v>819</v>
      </c>
      <c r="D90" s="917"/>
      <c r="E90" s="185">
        <v>76</v>
      </c>
      <c r="G90" s="119">
        <v>4</v>
      </c>
      <c r="H90" s="185">
        <v>15</v>
      </c>
      <c r="J90" s="126">
        <v>19</v>
      </c>
      <c r="K90" s="92">
        <f t="shared" ref="K90:M115" si="7">G90/$J90*100</f>
        <v>21.052631578947366</v>
      </c>
      <c r="L90" s="92">
        <f t="shared" si="7"/>
        <v>78.94736842105263</v>
      </c>
      <c r="M90" s="92">
        <f t="shared" si="7"/>
        <v>0</v>
      </c>
      <c r="N90" s="121">
        <f t="shared" si="5"/>
        <v>100</v>
      </c>
      <c r="O90" s="91">
        <v>3.6</v>
      </c>
      <c r="P90" s="92">
        <v>21.9</v>
      </c>
      <c r="Q90" s="92"/>
      <c r="R90" s="93">
        <f t="shared" si="6"/>
        <v>25.5</v>
      </c>
      <c r="S90" s="185">
        <v>5</v>
      </c>
      <c r="T90" s="839"/>
      <c r="U90" s="852"/>
      <c r="V90" s="82" t="s">
        <v>266</v>
      </c>
      <c r="W90" s="185" t="s">
        <v>17</v>
      </c>
      <c r="X90" s="185" t="s">
        <v>18</v>
      </c>
      <c r="Y90" s="83">
        <v>15.2</v>
      </c>
      <c r="Z90" s="82" t="s">
        <v>84</v>
      </c>
      <c r="AA90" s="185" t="s">
        <v>75</v>
      </c>
      <c r="AB90" s="185" t="s">
        <v>18</v>
      </c>
      <c r="AC90" s="185">
        <v>6.7</v>
      </c>
      <c r="AD90" s="82" t="s">
        <v>407</v>
      </c>
      <c r="AE90" s="185" t="s">
        <v>22</v>
      </c>
      <c r="AF90" s="185" t="s">
        <v>11</v>
      </c>
      <c r="AG90" s="83">
        <v>3.6</v>
      </c>
      <c r="AH90" s="150"/>
      <c r="AL90" s="82"/>
      <c r="AO90" s="83"/>
      <c r="AP90" s="82"/>
      <c r="AS90" s="83"/>
      <c r="AW90" s="83"/>
      <c r="BA90" s="84"/>
    </row>
    <row r="91" spans="1:53" s="292" customFormat="1">
      <c r="A91" s="292">
        <v>2000</v>
      </c>
      <c r="B91" s="836">
        <v>36602</v>
      </c>
      <c r="C91" s="916" t="s">
        <v>821</v>
      </c>
      <c r="D91" s="916"/>
      <c r="E91" s="292">
        <f>366-E90</f>
        <v>290</v>
      </c>
      <c r="F91" s="292">
        <v>5</v>
      </c>
      <c r="G91" s="366"/>
      <c r="I91" s="292">
        <v>19</v>
      </c>
      <c r="J91" s="377">
        <v>19</v>
      </c>
      <c r="K91" s="336">
        <f t="shared" si="7"/>
        <v>0</v>
      </c>
      <c r="L91" s="336">
        <f t="shared" si="7"/>
        <v>0</v>
      </c>
      <c r="M91" s="336">
        <f t="shared" si="7"/>
        <v>100</v>
      </c>
      <c r="N91" s="368">
        <f t="shared" si="5"/>
        <v>100</v>
      </c>
      <c r="O91" s="335"/>
      <c r="P91" s="336"/>
      <c r="Q91" s="336">
        <v>39.4</v>
      </c>
      <c r="R91" s="337">
        <f t="shared" si="6"/>
        <v>39.4</v>
      </c>
      <c r="S91" s="292">
        <v>4</v>
      </c>
      <c r="T91" s="838"/>
      <c r="U91" s="836">
        <v>36602</v>
      </c>
      <c r="V91" s="299" t="s">
        <v>483</v>
      </c>
      <c r="W91" s="292" t="s">
        <v>20</v>
      </c>
      <c r="X91" s="292" t="s">
        <v>12</v>
      </c>
      <c r="Y91" s="300">
        <v>39.4</v>
      </c>
      <c r="Z91" s="299"/>
      <c r="AD91" s="299"/>
      <c r="AG91" s="300"/>
      <c r="AH91" s="390"/>
      <c r="AL91" s="299"/>
      <c r="AO91" s="300"/>
      <c r="AP91" s="299"/>
      <c r="AS91" s="300"/>
      <c r="AW91" s="300"/>
      <c r="BA91" s="301"/>
    </row>
    <row r="92" spans="1:53" s="292" customFormat="1">
      <c r="A92" s="292">
        <v>2001</v>
      </c>
      <c r="B92" s="836"/>
      <c r="C92" s="916" t="s">
        <v>821</v>
      </c>
      <c r="D92" s="916"/>
      <c r="E92" s="292">
        <v>291</v>
      </c>
      <c r="G92" s="366"/>
      <c r="I92" s="292">
        <v>19</v>
      </c>
      <c r="J92" s="377">
        <v>19</v>
      </c>
      <c r="K92" s="336">
        <f t="shared" si="7"/>
        <v>0</v>
      </c>
      <c r="L92" s="336">
        <f t="shared" si="7"/>
        <v>0</v>
      </c>
      <c r="M92" s="336">
        <f t="shared" si="7"/>
        <v>100</v>
      </c>
      <c r="N92" s="368">
        <f t="shared" si="5"/>
        <v>100</v>
      </c>
      <c r="O92" s="335"/>
      <c r="P92" s="336"/>
      <c r="Q92" s="336">
        <v>39.4</v>
      </c>
      <c r="R92" s="337">
        <f t="shared" si="6"/>
        <v>39.4</v>
      </c>
      <c r="S92" s="292">
        <v>4</v>
      </c>
      <c r="T92" s="838"/>
      <c r="U92" s="836"/>
      <c r="V92" s="299" t="s">
        <v>483</v>
      </c>
      <c r="W92" s="292" t="s">
        <v>20</v>
      </c>
      <c r="X92" s="292" t="s">
        <v>12</v>
      </c>
      <c r="Y92" s="300">
        <v>39.4</v>
      </c>
      <c r="Z92" s="299"/>
      <c r="AD92" s="299"/>
      <c r="AG92" s="300"/>
      <c r="AH92" s="390"/>
      <c r="AL92" s="299"/>
      <c r="AO92" s="300"/>
      <c r="AP92" s="299"/>
      <c r="AS92" s="300"/>
      <c r="AW92" s="300"/>
      <c r="BA92" s="301"/>
    </row>
    <row r="93" spans="1:53" s="185" customFormat="1">
      <c r="A93" s="185">
        <v>2001</v>
      </c>
      <c r="B93" s="852">
        <v>37183</v>
      </c>
      <c r="C93" s="917" t="s">
        <v>824</v>
      </c>
      <c r="D93" s="917"/>
      <c r="E93" s="185">
        <f>365-E92</f>
        <v>74</v>
      </c>
      <c r="F93" s="185">
        <v>1</v>
      </c>
      <c r="G93" s="119">
        <v>13</v>
      </c>
      <c r="H93" s="185">
        <v>6</v>
      </c>
      <c r="J93" s="126">
        <v>19</v>
      </c>
      <c r="K93" s="92">
        <f t="shared" si="7"/>
        <v>68.421052631578945</v>
      </c>
      <c r="L93" s="92">
        <f t="shared" si="7"/>
        <v>31.578947368421051</v>
      </c>
      <c r="M93" s="92">
        <f t="shared" si="7"/>
        <v>0</v>
      </c>
      <c r="N93" s="121">
        <f t="shared" si="5"/>
        <v>100</v>
      </c>
      <c r="O93" s="91">
        <v>24.2</v>
      </c>
      <c r="P93" s="92">
        <v>13.3</v>
      </c>
      <c r="Q93" s="92"/>
      <c r="R93" s="93">
        <f t="shared" si="6"/>
        <v>37.5</v>
      </c>
      <c r="S93" s="185">
        <v>5</v>
      </c>
      <c r="T93" s="839">
        <v>37144</v>
      </c>
      <c r="U93" s="852">
        <v>37183</v>
      </c>
      <c r="V93" s="82" t="s">
        <v>266</v>
      </c>
      <c r="W93" s="185" t="s">
        <v>17</v>
      </c>
      <c r="X93" s="185" t="s">
        <v>18</v>
      </c>
      <c r="Y93" s="83">
        <v>13.3</v>
      </c>
      <c r="Z93" s="82" t="s">
        <v>484</v>
      </c>
      <c r="AA93" s="185" t="s">
        <v>74</v>
      </c>
      <c r="AB93" s="185" t="s">
        <v>11</v>
      </c>
      <c r="AC93" s="185">
        <v>23</v>
      </c>
      <c r="AD93" s="82" t="s">
        <v>407</v>
      </c>
      <c r="AE93" s="185" t="s">
        <v>22</v>
      </c>
      <c r="AF93" s="185" t="s">
        <v>11</v>
      </c>
      <c r="AG93" s="83">
        <v>1.2</v>
      </c>
      <c r="AH93" s="150"/>
      <c r="AL93" s="82"/>
      <c r="AO93" s="83"/>
      <c r="AP93" s="82"/>
      <c r="AS93" s="83"/>
      <c r="AW93" s="83"/>
      <c r="BA93" s="84"/>
    </row>
    <row r="94" spans="1:53" s="185" customFormat="1">
      <c r="A94" s="185">
        <v>2002</v>
      </c>
      <c r="B94" s="852"/>
      <c r="C94" s="917" t="s">
        <v>824</v>
      </c>
      <c r="D94" s="917"/>
      <c r="E94" s="185">
        <v>0</v>
      </c>
      <c r="G94" s="119">
        <v>13</v>
      </c>
      <c r="H94" s="185">
        <v>6</v>
      </c>
      <c r="J94" s="126">
        <v>19</v>
      </c>
      <c r="K94" s="92">
        <f t="shared" si="7"/>
        <v>68.421052631578945</v>
      </c>
      <c r="L94" s="92">
        <f t="shared" si="7"/>
        <v>31.578947368421051</v>
      </c>
      <c r="M94" s="92">
        <f t="shared" si="7"/>
        <v>0</v>
      </c>
      <c r="N94" s="121">
        <f t="shared" si="5"/>
        <v>100</v>
      </c>
      <c r="O94" s="91">
        <v>24.2</v>
      </c>
      <c r="P94" s="92">
        <v>13.3</v>
      </c>
      <c r="Q94" s="92"/>
      <c r="R94" s="93">
        <f t="shared" si="6"/>
        <v>37.5</v>
      </c>
      <c r="S94" s="185">
        <v>5</v>
      </c>
      <c r="T94" s="839"/>
      <c r="U94" s="852"/>
      <c r="V94" s="82" t="s">
        <v>266</v>
      </c>
      <c r="W94" s="185" t="s">
        <v>17</v>
      </c>
      <c r="X94" s="185" t="s">
        <v>18</v>
      </c>
      <c r="Y94" s="83">
        <v>13.3</v>
      </c>
      <c r="Z94" s="82" t="s">
        <v>484</v>
      </c>
      <c r="AA94" s="185" t="s">
        <v>74</v>
      </c>
      <c r="AB94" s="185" t="s">
        <v>11</v>
      </c>
      <c r="AC94" s="185">
        <v>23</v>
      </c>
      <c r="AD94" s="82" t="s">
        <v>407</v>
      </c>
      <c r="AE94" s="185" t="s">
        <v>22</v>
      </c>
      <c r="AF94" s="185" t="s">
        <v>11</v>
      </c>
      <c r="AG94" s="83">
        <v>1.2</v>
      </c>
      <c r="AH94" s="150"/>
      <c r="AL94" s="82"/>
      <c r="AO94" s="83"/>
      <c r="AP94" s="82"/>
      <c r="AS94" s="83"/>
      <c r="AW94" s="83"/>
      <c r="BA94" s="84"/>
    </row>
    <row r="95" spans="1:53" s="185" customFormat="1">
      <c r="A95" s="185">
        <v>2002</v>
      </c>
      <c r="B95" s="852"/>
      <c r="C95" s="917" t="s">
        <v>824</v>
      </c>
      <c r="D95" s="917"/>
      <c r="E95" s="185">
        <f>365-E94</f>
        <v>365</v>
      </c>
      <c r="G95" s="119">
        <v>13</v>
      </c>
      <c r="H95" s="185">
        <v>6</v>
      </c>
      <c r="J95" s="126">
        <v>19</v>
      </c>
      <c r="K95" s="92">
        <f t="shared" si="7"/>
        <v>68.421052631578945</v>
      </c>
      <c r="L95" s="92">
        <f t="shared" si="7"/>
        <v>31.578947368421051</v>
      </c>
      <c r="M95" s="92">
        <f t="shared" si="7"/>
        <v>0</v>
      </c>
      <c r="N95" s="121">
        <f t="shared" si="5"/>
        <v>100</v>
      </c>
      <c r="O95" s="91">
        <v>24.2</v>
      </c>
      <c r="P95" s="92">
        <v>13.3</v>
      </c>
      <c r="Q95" s="92"/>
      <c r="R95" s="93">
        <f t="shared" si="6"/>
        <v>37.5</v>
      </c>
      <c r="S95" s="185">
        <v>5</v>
      </c>
      <c r="T95" s="839"/>
      <c r="U95" s="852"/>
      <c r="V95" s="82" t="s">
        <v>266</v>
      </c>
      <c r="W95" s="185" t="s">
        <v>17</v>
      </c>
      <c r="X95" s="185" t="s">
        <v>18</v>
      </c>
      <c r="Y95" s="83">
        <v>13.3</v>
      </c>
      <c r="Z95" s="82" t="s">
        <v>484</v>
      </c>
      <c r="AA95" s="185" t="s">
        <v>74</v>
      </c>
      <c r="AB95" s="185" t="s">
        <v>11</v>
      </c>
      <c r="AC95" s="185">
        <v>23</v>
      </c>
      <c r="AD95" s="82" t="s">
        <v>407</v>
      </c>
      <c r="AE95" s="185" t="s">
        <v>22</v>
      </c>
      <c r="AF95" s="185" t="s">
        <v>11</v>
      </c>
      <c r="AG95" s="83">
        <v>1.2</v>
      </c>
      <c r="AH95" s="150"/>
      <c r="AL95" s="82"/>
      <c r="AO95" s="83"/>
      <c r="AP95" s="82"/>
      <c r="AS95" s="83"/>
      <c r="AW95" s="83"/>
      <c r="BA95" s="84"/>
    </row>
    <row r="96" spans="1:53" s="185" customFormat="1">
      <c r="A96" s="185">
        <v>2003</v>
      </c>
      <c r="B96" s="852"/>
      <c r="C96" s="917" t="s">
        <v>824</v>
      </c>
      <c r="D96" s="917"/>
      <c r="E96" s="185">
        <v>0</v>
      </c>
      <c r="G96" s="119">
        <v>13</v>
      </c>
      <c r="H96" s="185">
        <v>6</v>
      </c>
      <c r="J96" s="126">
        <v>19</v>
      </c>
      <c r="K96" s="92">
        <f t="shared" si="7"/>
        <v>68.421052631578945</v>
      </c>
      <c r="L96" s="92">
        <f t="shared" si="7"/>
        <v>31.578947368421051</v>
      </c>
      <c r="M96" s="92">
        <f t="shared" si="7"/>
        <v>0</v>
      </c>
      <c r="N96" s="121">
        <f t="shared" si="5"/>
        <v>100</v>
      </c>
      <c r="O96" s="91">
        <v>24.2</v>
      </c>
      <c r="P96" s="92">
        <v>13.3</v>
      </c>
      <c r="Q96" s="92"/>
      <c r="R96" s="93">
        <f t="shared" si="6"/>
        <v>37.5</v>
      </c>
      <c r="S96" s="185">
        <v>5</v>
      </c>
      <c r="T96" s="839"/>
      <c r="U96" s="852"/>
      <c r="V96" s="82" t="s">
        <v>266</v>
      </c>
      <c r="W96" s="185" t="s">
        <v>17</v>
      </c>
      <c r="X96" s="185" t="s">
        <v>18</v>
      </c>
      <c r="Y96" s="83">
        <v>13.3</v>
      </c>
      <c r="Z96" s="82" t="s">
        <v>484</v>
      </c>
      <c r="AA96" s="185" t="s">
        <v>74</v>
      </c>
      <c r="AB96" s="185" t="s">
        <v>11</v>
      </c>
      <c r="AC96" s="185">
        <v>23</v>
      </c>
      <c r="AD96" s="82" t="s">
        <v>407</v>
      </c>
      <c r="AE96" s="185" t="s">
        <v>22</v>
      </c>
      <c r="AF96" s="185" t="s">
        <v>11</v>
      </c>
      <c r="AG96" s="83">
        <v>1.2</v>
      </c>
      <c r="AH96" s="150"/>
      <c r="AL96" s="82"/>
      <c r="AO96" s="83"/>
      <c r="AP96" s="82"/>
      <c r="AS96" s="83"/>
      <c r="AW96" s="83"/>
      <c r="BA96" s="84"/>
    </row>
    <row r="97" spans="1:53" s="185" customFormat="1">
      <c r="A97" s="185">
        <v>2003</v>
      </c>
      <c r="B97" s="852"/>
      <c r="C97" s="917" t="s">
        <v>824</v>
      </c>
      <c r="D97" s="917"/>
      <c r="E97" s="185">
        <f>365-E96</f>
        <v>365</v>
      </c>
      <c r="G97" s="119">
        <v>13</v>
      </c>
      <c r="H97" s="185">
        <v>6</v>
      </c>
      <c r="J97" s="126">
        <v>19</v>
      </c>
      <c r="K97" s="92">
        <f t="shared" si="7"/>
        <v>68.421052631578945</v>
      </c>
      <c r="L97" s="92">
        <f t="shared" si="7"/>
        <v>31.578947368421051</v>
      </c>
      <c r="M97" s="92">
        <f t="shared" si="7"/>
        <v>0</v>
      </c>
      <c r="N97" s="121">
        <f t="shared" si="5"/>
        <v>100</v>
      </c>
      <c r="O97" s="91">
        <v>24.2</v>
      </c>
      <c r="P97" s="92">
        <v>13.3</v>
      </c>
      <c r="Q97" s="92"/>
      <c r="R97" s="93">
        <f t="shared" si="6"/>
        <v>37.5</v>
      </c>
      <c r="S97" s="185">
        <v>5</v>
      </c>
      <c r="T97" s="839"/>
      <c r="U97" s="852"/>
      <c r="V97" s="82" t="s">
        <v>266</v>
      </c>
      <c r="W97" s="185" t="s">
        <v>17</v>
      </c>
      <c r="X97" s="185" t="s">
        <v>18</v>
      </c>
      <c r="Y97" s="83">
        <v>13.3</v>
      </c>
      <c r="Z97" s="82" t="s">
        <v>484</v>
      </c>
      <c r="AA97" s="185" t="s">
        <v>74</v>
      </c>
      <c r="AB97" s="185" t="s">
        <v>11</v>
      </c>
      <c r="AC97" s="185">
        <v>23</v>
      </c>
      <c r="AD97" s="82" t="s">
        <v>407</v>
      </c>
      <c r="AE97" s="185" t="s">
        <v>22</v>
      </c>
      <c r="AF97" s="185" t="s">
        <v>11</v>
      </c>
      <c r="AG97" s="83">
        <v>1.2</v>
      </c>
      <c r="AH97" s="150"/>
      <c r="AL97" s="82"/>
      <c r="AO97" s="83"/>
      <c r="AP97" s="82"/>
      <c r="AS97" s="83"/>
      <c r="AW97" s="83"/>
      <c r="BA97" s="84"/>
    </row>
    <row r="98" spans="1:53" s="185" customFormat="1">
      <c r="A98" s="185">
        <v>2004</v>
      </c>
      <c r="B98" s="852"/>
      <c r="C98" s="917" t="s">
        <v>824</v>
      </c>
      <c r="D98" s="917"/>
      <c r="E98" s="185">
        <v>0</v>
      </c>
      <c r="G98" s="119">
        <v>13</v>
      </c>
      <c r="H98" s="185">
        <v>6</v>
      </c>
      <c r="J98" s="126">
        <v>19</v>
      </c>
      <c r="K98" s="92">
        <f t="shared" si="7"/>
        <v>68.421052631578945</v>
      </c>
      <c r="L98" s="92">
        <f t="shared" si="7"/>
        <v>31.578947368421051</v>
      </c>
      <c r="M98" s="92">
        <f t="shared" si="7"/>
        <v>0</v>
      </c>
      <c r="N98" s="121">
        <f t="shared" si="5"/>
        <v>100</v>
      </c>
      <c r="O98" s="91">
        <v>24.2</v>
      </c>
      <c r="P98" s="92">
        <v>13.3</v>
      </c>
      <c r="Q98" s="92"/>
      <c r="R98" s="93">
        <f t="shared" si="6"/>
        <v>37.5</v>
      </c>
      <c r="S98" s="185">
        <v>5</v>
      </c>
      <c r="T98" s="839"/>
      <c r="U98" s="852"/>
      <c r="V98" s="82" t="s">
        <v>266</v>
      </c>
      <c r="W98" s="185" t="s">
        <v>17</v>
      </c>
      <c r="X98" s="185" t="s">
        <v>18</v>
      </c>
      <c r="Y98" s="83">
        <v>13.3</v>
      </c>
      <c r="Z98" s="82" t="s">
        <v>484</v>
      </c>
      <c r="AA98" s="185" t="s">
        <v>74</v>
      </c>
      <c r="AB98" s="185" t="s">
        <v>11</v>
      </c>
      <c r="AC98" s="185">
        <v>23</v>
      </c>
      <c r="AD98" s="82" t="s">
        <v>407</v>
      </c>
      <c r="AE98" s="185" t="s">
        <v>22</v>
      </c>
      <c r="AF98" s="185" t="s">
        <v>11</v>
      </c>
      <c r="AG98" s="83">
        <v>1.2</v>
      </c>
      <c r="AH98" s="150"/>
      <c r="AL98" s="82"/>
      <c r="AO98" s="83"/>
      <c r="AP98" s="82"/>
      <c r="AS98" s="83"/>
      <c r="AW98" s="83"/>
      <c r="BA98" s="84"/>
    </row>
    <row r="99" spans="1:53" s="185" customFormat="1">
      <c r="A99" s="185">
        <v>2004</v>
      </c>
      <c r="B99" s="852"/>
      <c r="C99" s="917" t="s">
        <v>824</v>
      </c>
      <c r="D99" s="917"/>
      <c r="E99" s="185">
        <v>366</v>
      </c>
      <c r="G99" s="119">
        <v>13</v>
      </c>
      <c r="H99" s="185">
        <v>6</v>
      </c>
      <c r="J99" s="126">
        <v>19</v>
      </c>
      <c r="K99" s="92">
        <f t="shared" si="7"/>
        <v>68.421052631578945</v>
      </c>
      <c r="L99" s="92">
        <f t="shared" si="7"/>
        <v>31.578947368421051</v>
      </c>
      <c r="M99" s="92">
        <f t="shared" si="7"/>
        <v>0</v>
      </c>
      <c r="N99" s="121">
        <f t="shared" si="5"/>
        <v>100</v>
      </c>
      <c r="O99" s="91">
        <v>24.2</v>
      </c>
      <c r="P99" s="92">
        <v>13.3</v>
      </c>
      <c r="Q99" s="92"/>
      <c r="R99" s="93">
        <f t="shared" si="6"/>
        <v>37.5</v>
      </c>
      <c r="S99" s="185">
        <v>5</v>
      </c>
      <c r="T99" s="839"/>
      <c r="U99" s="852"/>
      <c r="V99" s="82" t="s">
        <v>266</v>
      </c>
      <c r="W99" s="185" t="s">
        <v>17</v>
      </c>
      <c r="X99" s="185" t="s">
        <v>18</v>
      </c>
      <c r="Y99" s="83">
        <v>13.3</v>
      </c>
      <c r="Z99" s="82" t="s">
        <v>484</v>
      </c>
      <c r="AA99" s="185" t="s">
        <v>74</v>
      </c>
      <c r="AB99" s="185" t="s">
        <v>11</v>
      </c>
      <c r="AC99" s="185">
        <v>23</v>
      </c>
      <c r="AD99" s="82" t="s">
        <v>407</v>
      </c>
      <c r="AE99" s="185" t="s">
        <v>22</v>
      </c>
      <c r="AF99" s="185" t="s">
        <v>11</v>
      </c>
      <c r="AG99" s="83">
        <v>1.2</v>
      </c>
      <c r="AH99" s="150"/>
      <c r="AL99" s="82"/>
      <c r="AO99" s="83"/>
      <c r="AP99" s="82"/>
      <c r="AS99" s="83"/>
      <c r="AW99" s="83"/>
      <c r="BA99" s="84"/>
    </row>
    <row r="100" spans="1:53" s="185" customFormat="1">
      <c r="A100" s="185">
        <v>2005</v>
      </c>
      <c r="B100" s="852"/>
      <c r="C100" s="917" t="s">
        <v>824</v>
      </c>
      <c r="D100" s="917"/>
      <c r="E100" s="185">
        <f>365-E101</f>
        <v>289</v>
      </c>
      <c r="G100" s="119">
        <v>13</v>
      </c>
      <c r="H100" s="185">
        <v>6</v>
      </c>
      <c r="J100" s="126">
        <v>19</v>
      </c>
      <c r="K100" s="92">
        <f t="shared" si="7"/>
        <v>68.421052631578945</v>
      </c>
      <c r="L100" s="92">
        <f t="shared" si="7"/>
        <v>31.578947368421051</v>
      </c>
      <c r="M100" s="92">
        <f t="shared" si="7"/>
        <v>0</v>
      </c>
      <c r="N100" s="121">
        <f t="shared" si="5"/>
        <v>100</v>
      </c>
      <c r="O100" s="91">
        <v>24.2</v>
      </c>
      <c r="P100" s="92">
        <v>13.3</v>
      </c>
      <c r="Q100" s="92"/>
      <c r="R100" s="93">
        <f t="shared" si="6"/>
        <v>37.5</v>
      </c>
      <c r="S100" s="185">
        <v>5</v>
      </c>
      <c r="T100" s="839"/>
      <c r="U100" s="852"/>
      <c r="V100" s="82" t="s">
        <v>266</v>
      </c>
      <c r="W100" s="185" t="s">
        <v>17</v>
      </c>
      <c r="X100" s="185" t="s">
        <v>18</v>
      </c>
      <c r="Y100" s="83">
        <v>13.3</v>
      </c>
      <c r="Z100" s="82" t="s">
        <v>484</v>
      </c>
      <c r="AA100" s="185" t="s">
        <v>74</v>
      </c>
      <c r="AB100" s="185" t="s">
        <v>11</v>
      </c>
      <c r="AC100" s="185">
        <v>23</v>
      </c>
      <c r="AD100" s="82" t="s">
        <v>407</v>
      </c>
      <c r="AE100" s="185" t="s">
        <v>22</v>
      </c>
      <c r="AF100" s="185" t="s">
        <v>11</v>
      </c>
      <c r="AG100" s="83">
        <v>1.2</v>
      </c>
      <c r="AH100" s="150"/>
      <c r="AL100" s="82"/>
      <c r="AO100" s="83"/>
      <c r="AP100" s="82"/>
      <c r="AS100" s="83"/>
      <c r="AW100" s="83"/>
      <c r="BA100" s="84"/>
    </row>
    <row r="101" spans="1:53" s="292" customFormat="1">
      <c r="A101" s="292">
        <v>2005</v>
      </c>
      <c r="B101" s="836">
        <v>38642</v>
      </c>
      <c r="C101" s="916" t="s">
        <v>822</v>
      </c>
      <c r="D101" s="916"/>
      <c r="E101" s="292">
        <v>76</v>
      </c>
      <c r="F101" s="292">
        <v>1</v>
      </c>
      <c r="G101" s="366"/>
      <c r="H101" s="292">
        <v>4</v>
      </c>
      <c r="I101" s="292">
        <v>15</v>
      </c>
      <c r="J101" s="377">
        <v>19</v>
      </c>
      <c r="K101" s="336">
        <f t="shared" si="7"/>
        <v>0</v>
      </c>
      <c r="L101" s="336">
        <f t="shared" si="7"/>
        <v>21.052631578947366</v>
      </c>
      <c r="M101" s="336">
        <f t="shared" si="7"/>
        <v>78.94736842105263</v>
      </c>
      <c r="N101" s="368">
        <f t="shared" si="5"/>
        <v>100</v>
      </c>
      <c r="O101" s="335"/>
      <c r="P101" s="336">
        <v>6.5</v>
      </c>
      <c r="Q101" s="336">
        <v>45</v>
      </c>
      <c r="R101" s="337">
        <f t="shared" si="6"/>
        <v>51.5</v>
      </c>
      <c r="S101" s="292">
        <v>2</v>
      </c>
      <c r="T101" s="838">
        <v>38607</v>
      </c>
      <c r="U101" s="836">
        <v>38642</v>
      </c>
      <c r="V101" s="299" t="s">
        <v>483</v>
      </c>
      <c r="W101" s="292" t="s">
        <v>20</v>
      </c>
      <c r="X101" s="292" t="s">
        <v>12</v>
      </c>
      <c r="Y101" s="300">
        <v>36.1</v>
      </c>
      <c r="Z101" s="299" t="s">
        <v>84</v>
      </c>
      <c r="AA101" s="292" t="s">
        <v>75</v>
      </c>
      <c r="AB101" s="292" t="s">
        <v>18</v>
      </c>
      <c r="AC101" s="292">
        <v>6.5</v>
      </c>
      <c r="AD101" s="299" t="s">
        <v>485</v>
      </c>
      <c r="AE101" s="292" t="s">
        <v>116</v>
      </c>
      <c r="AF101" s="292" t="s">
        <v>12</v>
      </c>
      <c r="AG101" s="300">
        <v>8.9</v>
      </c>
      <c r="AH101" s="390"/>
      <c r="AL101" s="299"/>
      <c r="AO101" s="300"/>
      <c r="AP101" s="299"/>
      <c r="AS101" s="300"/>
      <c r="AW101" s="300"/>
      <c r="BA101" s="301"/>
    </row>
    <row r="102" spans="1:53" s="292" customFormat="1">
      <c r="A102" s="292">
        <v>2006</v>
      </c>
      <c r="B102" s="836"/>
      <c r="C102" s="916" t="s">
        <v>822</v>
      </c>
      <c r="D102" s="916"/>
      <c r="E102" s="292">
        <v>0</v>
      </c>
      <c r="G102" s="366"/>
      <c r="H102" s="292">
        <v>4</v>
      </c>
      <c r="I102" s="292">
        <v>15</v>
      </c>
      <c r="J102" s="377">
        <v>19</v>
      </c>
      <c r="K102" s="336">
        <f t="shared" si="7"/>
        <v>0</v>
      </c>
      <c r="L102" s="336">
        <f t="shared" si="7"/>
        <v>21.052631578947366</v>
      </c>
      <c r="M102" s="336">
        <f t="shared" si="7"/>
        <v>78.94736842105263</v>
      </c>
      <c r="N102" s="368">
        <f t="shared" si="5"/>
        <v>100</v>
      </c>
      <c r="O102" s="335"/>
      <c r="P102" s="336">
        <v>6.5</v>
      </c>
      <c r="Q102" s="336">
        <v>45</v>
      </c>
      <c r="R102" s="337">
        <f t="shared" si="6"/>
        <v>51.5</v>
      </c>
      <c r="S102" s="292">
        <v>2</v>
      </c>
      <c r="T102" s="838"/>
      <c r="U102" s="836"/>
      <c r="V102" s="299" t="s">
        <v>483</v>
      </c>
      <c r="W102" s="292" t="s">
        <v>20</v>
      </c>
      <c r="X102" s="292" t="s">
        <v>12</v>
      </c>
      <c r="Y102" s="300">
        <v>36.1</v>
      </c>
      <c r="Z102" s="299" t="s">
        <v>84</v>
      </c>
      <c r="AA102" s="292" t="s">
        <v>75</v>
      </c>
      <c r="AB102" s="292" t="s">
        <v>18</v>
      </c>
      <c r="AC102" s="292">
        <v>6.5</v>
      </c>
      <c r="AD102" s="299" t="s">
        <v>485</v>
      </c>
      <c r="AE102" s="292" t="s">
        <v>116</v>
      </c>
      <c r="AF102" s="292" t="s">
        <v>12</v>
      </c>
      <c r="AG102" s="300">
        <v>8.9</v>
      </c>
      <c r="AH102" s="390"/>
      <c r="AL102" s="299"/>
      <c r="AO102" s="300"/>
      <c r="AP102" s="299"/>
      <c r="AS102" s="300"/>
      <c r="AW102" s="300"/>
      <c r="BA102" s="301"/>
    </row>
    <row r="103" spans="1:53" s="292" customFormat="1">
      <c r="A103" s="292">
        <v>2006</v>
      </c>
      <c r="B103" s="836"/>
      <c r="C103" s="916" t="s">
        <v>822</v>
      </c>
      <c r="D103" s="916"/>
      <c r="E103" s="292">
        <v>365</v>
      </c>
      <c r="G103" s="366"/>
      <c r="H103" s="292">
        <v>4</v>
      </c>
      <c r="I103" s="292">
        <v>15</v>
      </c>
      <c r="J103" s="377">
        <v>19</v>
      </c>
      <c r="K103" s="336">
        <f t="shared" si="7"/>
        <v>0</v>
      </c>
      <c r="L103" s="336">
        <f t="shared" si="7"/>
        <v>21.052631578947366</v>
      </c>
      <c r="M103" s="336">
        <f t="shared" si="7"/>
        <v>78.94736842105263</v>
      </c>
      <c r="N103" s="368">
        <f t="shared" si="5"/>
        <v>100</v>
      </c>
      <c r="O103" s="335"/>
      <c r="P103" s="336">
        <v>6.5</v>
      </c>
      <c r="Q103" s="336">
        <v>45</v>
      </c>
      <c r="R103" s="337">
        <f t="shared" si="6"/>
        <v>51.5</v>
      </c>
      <c r="S103" s="292">
        <v>2</v>
      </c>
      <c r="T103" s="838"/>
      <c r="U103" s="836"/>
      <c r="V103" s="299" t="s">
        <v>483</v>
      </c>
      <c r="W103" s="292" t="s">
        <v>20</v>
      </c>
      <c r="X103" s="292" t="s">
        <v>12</v>
      </c>
      <c r="Y103" s="300">
        <v>36.1</v>
      </c>
      <c r="Z103" s="299" t="s">
        <v>84</v>
      </c>
      <c r="AA103" s="292" t="s">
        <v>75</v>
      </c>
      <c r="AB103" s="292" t="s">
        <v>18</v>
      </c>
      <c r="AC103" s="292">
        <v>6.5</v>
      </c>
      <c r="AD103" s="299" t="s">
        <v>485</v>
      </c>
      <c r="AE103" s="292" t="s">
        <v>116</v>
      </c>
      <c r="AF103" s="292" t="s">
        <v>12</v>
      </c>
      <c r="AG103" s="300">
        <v>8.9</v>
      </c>
      <c r="AH103" s="390"/>
      <c r="AL103" s="299"/>
      <c r="AO103" s="300"/>
      <c r="AP103" s="299"/>
      <c r="AS103" s="300"/>
      <c r="AW103" s="300"/>
      <c r="BA103" s="301"/>
    </row>
    <row r="104" spans="1:53" s="292" customFormat="1">
      <c r="A104" s="292">
        <v>2007</v>
      </c>
      <c r="B104" s="836"/>
      <c r="C104" s="916" t="s">
        <v>822</v>
      </c>
      <c r="D104" s="916"/>
      <c r="E104" s="292">
        <v>0</v>
      </c>
      <c r="G104" s="366"/>
      <c r="H104" s="292">
        <v>4</v>
      </c>
      <c r="I104" s="292">
        <v>15</v>
      </c>
      <c r="J104" s="377">
        <v>19</v>
      </c>
      <c r="K104" s="336">
        <f t="shared" si="7"/>
        <v>0</v>
      </c>
      <c r="L104" s="336">
        <f t="shared" si="7"/>
        <v>21.052631578947366</v>
      </c>
      <c r="M104" s="336">
        <f t="shared" si="7"/>
        <v>78.94736842105263</v>
      </c>
      <c r="N104" s="368">
        <f t="shared" si="5"/>
        <v>100</v>
      </c>
      <c r="O104" s="335"/>
      <c r="P104" s="336">
        <v>6.5</v>
      </c>
      <c r="Q104" s="336">
        <v>45</v>
      </c>
      <c r="R104" s="337">
        <f t="shared" si="6"/>
        <v>51.5</v>
      </c>
      <c r="S104" s="292">
        <v>2</v>
      </c>
      <c r="T104" s="838"/>
      <c r="U104" s="836"/>
      <c r="V104" s="299" t="s">
        <v>483</v>
      </c>
      <c r="W104" s="292" t="s">
        <v>20</v>
      </c>
      <c r="X104" s="292" t="s">
        <v>12</v>
      </c>
      <c r="Y104" s="300">
        <v>36.1</v>
      </c>
      <c r="Z104" s="299" t="s">
        <v>84</v>
      </c>
      <c r="AA104" s="292" t="s">
        <v>75</v>
      </c>
      <c r="AB104" s="292" t="s">
        <v>18</v>
      </c>
      <c r="AC104" s="292">
        <v>6.5</v>
      </c>
      <c r="AD104" s="299" t="s">
        <v>485</v>
      </c>
      <c r="AE104" s="292" t="s">
        <v>116</v>
      </c>
      <c r="AF104" s="292" t="s">
        <v>12</v>
      </c>
      <c r="AG104" s="300">
        <v>8.9</v>
      </c>
      <c r="AH104" s="390"/>
      <c r="AL104" s="299"/>
      <c r="AO104" s="300"/>
      <c r="AP104" s="299"/>
      <c r="AS104" s="300"/>
      <c r="AW104" s="300"/>
      <c r="BA104" s="301"/>
    </row>
    <row r="105" spans="1:53" s="292" customFormat="1">
      <c r="A105" s="292">
        <v>2007</v>
      </c>
      <c r="B105" s="836"/>
      <c r="C105" s="916" t="s">
        <v>822</v>
      </c>
      <c r="D105" s="916"/>
      <c r="E105" s="292">
        <v>365</v>
      </c>
      <c r="G105" s="366"/>
      <c r="H105" s="292">
        <v>4</v>
      </c>
      <c r="I105" s="292">
        <v>15</v>
      </c>
      <c r="J105" s="377">
        <v>19</v>
      </c>
      <c r="K105" s="336">
        <f t="shared" si="7"/>
        <v>0</v>
      </c>
      <c r="L105" s="336">
        <f t="shared" si="7"/>
        <v>21.052631578947366</v>
      </c>
      <c r="M105" s="336">
        <f t="shared" si="7"/>
        <v>78.94736842105263</v>
      </c>
      <c r="N105" s="368">
        <f t="shared" si="5"/>
        <v>100</v>
      </c>
      <c r="O105" s="335"/>
      <c r="P105" s="336">
        <v>6.5</v>
      </c>
      <c r="Q105" s="336">
        <v>45</v>
      </c>
      <c r="R105" s="337">
        <f t="shared" si="6"/>
        <v>51.5</v>
      </c>
      <c r="S105" s="292">
        <v>2</v>
      </c>
      <c r="T105" s="838"/>
      <c r="U105" s="836"/>
      <c r="V105" s="299" t="s">
        <v>483</v>
      </c>
      <c r="W105" s="292" t="s">
        <v>20</v>
      </c>
      <c r="X105" s="292" t="s">
        <v>12</v>
      </c>
      <c r="Y105" s="300">
        <v>36.1</v>
      </c>
      <c r="Z105" s="299" t="s">
        <v>84</v>
      </c>
      <c r="AA105" s="292" t="s">
        <v>75</v>
      </c>
      <c r="AB105" s="292" t="s">
        <v>18</v>
      </c>
      <c r="AC105" s="292">
        <v>6.5</v>
      </c>
      <c r="AD105" s="299" t="s">
        <v>485</v>
      </c>
      <c r="AE105" s="292" t="s">
        <v>116</v>
      </c>
      <c r="AF105" s="292" t="s">
        <v>12</v>
      </c>
      <c r="AG105" s="300">
        <v>8.9</v>
      </c>
      <c r="AH105" s="390"/>
      <c r="AL105" s="299"/>
      <c r="AO105" s="300"/>
      <c r="AP105" s="299"/>
      <c r="AS105" s="300"/>
      <c r="AW105" s="300"/>
      <c r="BA105" s="301"/>
    </row>
    <row r="106" spans="1:53" s="292" customFormat="1">
      <c r="A106" s="292">
        <v>2008</v>
      </c>
      <c r="B106" s="836"/>
      <c r="C106" s="916" t="s">
        <v>822</v>
      </c>
      <c r="D106" s="916"/>
      <c r="E106" s="292">
        <v>0</v>
      </c>
      <c r="G106" s="366"/>
      <c r="H106" s="292">
        <v>4</v>
      </c>
      <c r="I106" s="292">
        <v>15</v>
      </c>
      <c r="J106" s="377">
        <v>19</v>
      </c>
      <c r="K106" s="336">
        <f t="shared" si="7"/>
        <v>0</v>
      </c>
      <c r="L106" s="336">
        <f t="shared" si="7"/>
        <v>21.052631578947366</v>
      </c>
      <c r="M106" s="336">
        <f t="shared" si="7"/>
        <v>78.94736842105263</v>
      </c>
      <c r="N106" s="368">
        <f t="shared" si="5"/>
        <v>100</v>
      </c>
      <c r="O106" s="335"/>
      <c r="P106" s="336">
        <v>6.5</v>
      </c>
      <c r="Q106" s="336">
        <v>45</v>
      </c>
      <c r="R106" s="337">
        <f t="shared" si="6"/>
        <v>51.5</v>
      </c>
      <c r="S106" s="292">
        <v>2</v>
      </c>
      <c r="T106" s="838"/>
      <c r="U106" s="836"/>
      <c r="V106" s="299" t="s">
        <v>483</v>
      </c>
      <c r="W106" s="292" t="s">
        <v>20</v>
      </c>
      <c r="X106" s="292" t="s">
        <v>12</v>
      </c>
      <c r="Y106" s="300">
        <v>36.1</v>
      </c>
      <c r="Z106" s="299" t="s">
        <v>84</v>
      </c>
      <c r="AA106" s="292" t="s">
        <v>75</v>
      </c>
      <c r="AB106" s="292" t="s">
        <v>18</v>
      </c>
      <c r="AC106" s="292">
        <v>6.5</v>
      </c>
      <c r="AD106" s="299" t="s">
        <v>485</v>
      </c>
      <c r="AE106" s="292" t="s">
        <v>116</v>
      </c>
      <c r="AF106" s="292" t="s">
        <v>12</v>
      </c>
      <c r="AG106" s="300">
        <v>8.9</v>
      </c>
      <c r="AH106" s="390"/>
      <c r="AL106" s="299"/>
      <c r="AO106" s="300"/>
      <c r="AP106" s="299"/>
      <c r="AS106" s="300"/>
      <c r="AW106" s="300"/>
      <c r="BA106" s="301"/>
    </row>
    <row r="107" spans="1:53" s="292" customFormat="1">
      <c r="A107" s="292">
        <v>2008</v>
      </c>
      <c r="B107" s="836"/>
      <c r="C107" s="916" t="s">
        <v>822</v>
      </c>
      <c r="D107" s="916"/>
      <c r="E107" s="292">
        <v>366</v>
      </c>
      <c r="G107" s="366"/>
      <c r="H107" s="292">
        <v>4</v>
      </c>
      <c r="I107" s="292">
        <v>15</v>
      </c>
      <c r="J107" s="377">
        <v>19</v>
      </c>
      <c r="K107" s="336">
        <f t="shared" si="7"/>
        <v>0</v>
      </c>
      <c r="L107" s="336">
        <f t="shared" si="7"/>
        <v>21.052631578947366</v>
      </c>
      <c r="M107" s="336">
        <f t="shared" si="7"/>
        <v>78.94736842105263</v>
      </c>
      <c r="N107" s="368">
        <f t="shared" si="5"/>
        <v>100</v>
      </c>
      <c r="O107" s="335"/>
      <c r="P107" s="336">
        <v>6.5</v>
      </c>
      <c r="Q107" s="336">
        <v>45</v>
      </c>
      <c r="R107" s="337">
        <f t="shared" si="6"/>
        <v>51.5</v>
      </c>
      <c r="S107" s="292">
        <v>2</v>
      </c>
      <c r="T107" s="838"/>
      <c r="U107" s="836"/>
      <c r="V107" s="299" t="s">
        <v>483</v>
      </c>
      <c r="W107" s="292" t="s">
        <v>20</v>
      </c>
      <c r="X107" s="292" t="s">
        <v>12</v>
      </c>
      <c r="Y107" s="300">
        <v>36.1</v>
      </c>
      <c r="Z107" s="299" t="s">
        <v>84</v>
      </c>
      <c r="AA107" s="292" t="s">
        <v>75</v>
      </c>
      <c r="AB107" s="292" t="s">
        <v>18</v>
      </c>
      <c r="AC107" s="292">
        <v>6.5</v>
      </c>
      <c r="AD107" s="299" t="s">
        <v>485</v>
      </c>
      <c r="AE107" s="292" t="s">
        <v>116</v>
      </c>
      <c r="AF107" s="292" t="s">
        <v>12</v>
      </c>
      <c r="AG107" s="300">
        <v>8.9</v>
      </c>
      <c r="AH107" s="390"/>
      <c r="AL107" s="299"/>
      <c r="AO107" s="300"/>
      <c r="AP107" s="299"/>
      <c r="AS107" s="300"/>
      <c r="AW107" s="300"/>
      <c r="BA107" s="301"/>
    </row>
    <row r="108" spans="1:53" s="292" customFormat="1">
      <c r="A108" s="292">
        <v>2009</v>
      </c>
      <c r="B108" s="836"/>
      <c r="C108" s="916" t="s">
        <v>822</v>
      </c>
      <c r="D108" s="916"/>
      <c r="E108" s="292">
        <v>292</v>
      </c>
      <c r="G108" s="366"/>
      <c r="H108" s="292">
        <v>4</v>
      </c>
      <c r="I108" s="292">
        <v>15</v>
      </c>
      <c r="J108" s="377">
        <v>19</v>
      </c>
      <c r="K108" s="336">
        <f t="shared" si="7"/>
        <v>0</v>
      </c>
      <c r="L108" s="336">
        <f t="shared" si="7"/>
        <v>21.052631578947366</v>
      </c>
      <c r="M108" s="336">
        <f t="shared" si="7"/>
        <v>78.94736842105263</v>
      </c>
      <c r="N108" s="368">
        <f t="shared" si="5"/>
        <v>100</v>
      </c>
      <c r="O108" s="335"/>
      <c r="P108" s="336">
        <v>6.5</v>
      </c>
      <c r="Q108" s="336">
        <v>45</v>
      </c>
      <c r="R108" s="337">
        <f t="shared" si="6"/>
        <v>51.5</v>
      </c>
      <c r="S108" s="292">
        <v>2</v>
      </c>
      <c r="T108" s="838"/>
      <c r="U108" s="836"/>
      <c r="V108" s="299" t="s">
        <v>483</v>
      </c>
      <c r="W108" s="292" t="s">
        <v>20</v>
      </c>
      <c r="X108" s="292" t="s">
        <v>12</v>
      </c>
      <c r="Y108" s="300">
        <v>36.1</v>
      </c>
      <c r="Z108" s="299" t="s">
        <v>84</v>
      </c>
      <c r="AA108" s="292" t="s">
        <v>75</v>
      </c>
      <c r="AB108" s="292" t="s">
        <v>18</v>
      </c>
      <c r="AC108" s="292">
        <v>6.5</v>
      </c>
      <c r="AD108" s="299" t="s">
        <v>485</v>
      </c>
      <c r="AE108" s="292" t="s">
        <v>116</v>
      </c>
      <c r="AF108" s="292" t="s">
        <v>12</v>
      </c>
      <c r="AG108" s="300">
        <v>8.9</v>
      </c>
      <c r="AH108" s="390"/>
      <c r="AL108" s="299"/>
      <c r="AO108" s="300"/>
      <c r="AP108" s="299"/>
      <c r="AS108" s="300"/>
      <c r="AW108" s="300"/>
      <c r="BA108" s="301"/>
    </row>
    <row r="109" spans="1:53" s="185" customFormat="1">
      <c r="A109" s="185">
        <v>2009</v>
      </c>
      <c r="B109" s="852">
        <v>40106</v>
      </c>
      <c r="C109" s="917" t="s">
        <v>823</v>
      </c>
      <c r="D109" s="917"/>
      <c r="E109" s="185">
        <v>73</v>
      </c>
      <c r="F109" s="185">
        <v>1</v>
      </c>
      <c r="G109" s="119"/>
      <c r="H109" s="185">
        <v>4</v>
      </c>
      <c r="I109" s="185">
        <v>16</v>
      </c>
      <c r="J109" s="126">
        <v>20</v>
      </c>
      <c r="K109" s="92">
        <f t="shared" si="7"/>
        <v>0</v>
      </c>
      <c r="L109" s="92">
        <f t="shared" si="7"/>
        <v>20</v>
      </c>
      <c r="M109" s="92">
        <f t="shared" si="7"/>
        <v>80</v>
      </c>
      <c r="N109" s="121">
        <f t="shared" si="5"/>
        <v>100</v>
      </c>
      <c r="O109" s="91"/>
      <c r="P109" s="92">
        <v>6.5</v>
      </c>
      <c r="Q109" s="92">
        <v>44.4</v>
      </c>
      <c r="R109" s="93">
        <f t="shared" si="6"/>
        <v>50.9</v>
      </c>
      <c r="S109" s="185">
        <v>2</v>
      </c>
      <c r="T109" s="839">
        <v>40070</v>
      </c>
      <c r="U109" s="852">
        <v>40106</v>
      </c>
      <c r="V109" s="82" t="s">
        <v>483</v>
      </c>
      <c r="W109" s="185" t="s">
        <v>20</v>
      </c>
      <c r="X109" s="185" t="s">
        <v>12</v>
      </c>
      <c r="Y109" s="83">
        <v>37.9</v>
      </c>
      <c r="Z109" s="82" t="s">
        <v>84</v>
      </c>
      <c r="AA109" s="185" t="s">
        <v>75</v>
      </c>
      <c r="AB109" s="185" t="s">
        <v>18</v>
      </c>
      <c r="AC109" s="185">
        <v>6.5</v>
      </c>
      <c r="AD109" s="82" t="s">
        <v>485</v>
      </c>
      <c r="AE109" s="185" t="s">
        <v>116</v>
      </c>
      <c r="AF109" s="185" t="s">
        <v>12</v>
      </c>
      <c r="AG109" s="83">
        <v>6.5</v>
      </c>
      <c r="AH109" s="150"/>
      <c r="AL109" s="82"/>
      <c r="AO109" s="83"/>
      <c r="AP109" s="82"/>
      <c r="AS109" s="83"/>
      <c r="AW109" s="83"/>
      <c r="BA109" s="84"/>
    </row>
    <row r="110" spans="1:53" s="185" customFormat="1">
      <c r="A110" s="185">
        <v>2010</v>
      </c>
      <c r="B110" s="852"/>
      <c r="C110" s="917" t="s">
        <v>823</v>
      </c>
      <c r="D110" s="917"/>
      <c r="E110" s="185">
        <v>0</v>
      </c>
      <c r="G110" s="119"/>
      <c r="H110" s="185">
        <v>4</v>
      </c>
      <c r="I110" s="185">
        <v>16</v>
      </c>
      <c r="J110" s="126">
        <v>20</v>
      </c>
      <c r="K110" s="92">
        <f t="shared" si="7"/>
        <v>0</v>
      </c>
      <c r="L110" s="92">
        <f t="shared" si="7"/>
        <v>20</v>
      </c>
      <c r="M110" s="92">
        <f t="shared" si="7"/>
        <v>80</v>
      </c>
      <c r="N110" s="121">
        <f t="shared" si="5"/>
        <v>100</v>
      </c>
      <c r="O110" s="91"/>
      <c r="P110" s="92">
        <v>6.5</v>
      </c>
      <c r="Q110" s="92">
        <v>44.4</v>
      </c>
      <c r="R110" s="93">
        <f t="shared" si="6"/>
        <v>50.9</v>
      </c>
      <c r="S110" s="185">
        <v>2</v>
      </c>
      <c r="T110" s="839"/>
      <c r="U110" s="852"/>
      <c r="V110" s="82" t="s">
        <v>483</v>
      </c>
      <c r="W110" s="185" t="s">
        <v>20</v>
      </c>
      <c r="X110" s="185" t="s">
        <v>12</v>
      </c>
      <c r="Y110" s="83">
        <v>37.9</v>
      </c>
      <c r="Z110" s="82" t="s">
        <v>84</v>
      </c>
      <c r="AA110" s="185" t="s">
        <v>75</v>
      </c>
      <c r="AB110" s="185" t="s">
        <v>18</v>
      </c>
      <c r="AC110" s="185">
        <v>6.5</v>
      </c>
      <c r="AD110" s="82" t="s">
        <v>485</v>
      </c>
      <c r="AE110" s="185" t="s">
        <v>116</v>
      </c>
      <c r="AF110" s="185" t="s">
        <v>12</v>
      </c>
      <c r="AG110" s="83">
        <v>6.5</v>
      </c>
      <c r="AH110" s="150"/>
      <c r="AL110" s="82"/>
      <c r="AO110" s="83"/>
      <c r="AP110" s="82"/>
      <c r="AS110" s="83"/>
      <c r="AW110" s="83"/>
      <c r="BA110" s="84"/>
    </row>
    <row r="111" spans="1:53" s="185" customFormat="1">
      <c r="A111" s="185">
        <v>2010</v>
      </c>
      <c r="B111" s="852"/>
      <c r="C111" s="917" t="s">
        <v>823</v>
      </c>
      <c r="D111" s="917"/>
      <c r="E111" s="185">
        <v>365</v>
      </c>
      <c r="G111" s="119"/>
      <c r="H111" s="185">
        <v>4</v>
      </c>
      <c r="I111" s="185">
        <v>16</v>
      </c>
      <c r="J111" s="126">
        <v>20</v>
      </c>
      <c r="K111" s="92">
        <f t="shared" si="7"/>
        <v>0</v>
      </c>
      <c r="L111" s="92">
        <f t="shared" si="7"/>
        <v>20</v>
      </c>
      <c r="M111" s="92">
        <f t="shared" si="7"/>
        <v>80</v>
      </c>
      <c r="N111" s="121">
        <f t="shared" si="5"/>
        <v>100</v>
      </c>
      <c r="O111" s="91"/>
      <c r="P111" s="92">
        <v>6.5</v>
      </c>
      <c r="Q111" s="92">
        <v>44.4</v>
      </c>
      <c r="R111" s="93">
        <f t="shared" si="6"/>
        <v>50.9</v>
      </c>
      <c r="S111" s="185">
        <v>2</v>
      </c>
      <c r="T111" s="839"/>
      <c r="U111" s="852"/>
      <c r="V111" s="82" t="s">
        <v>483</v>
      </c>
      <c r="W111" s="185" t="s">
        <v>20</v>
      </c>
      <c r="X111" s="185" t="s">
        <v>12</v>
      </c>
      <c r="Y111" s="83">
        <v>37.9</v>
      </c>
      <c r="Z111" s="82" t="s">
        <v>84</v>
      </c>
      <c r="AA111" s="185" t="s">
        <v>75</v>
      </c>
      <c r="AB111" s="185" t="s">
        <v>18</v>
      </c>
      <c r="AC111" s="185">
        <v>6.5</v>
      </c>
      <c r="AD111" s="82" t="s">
        <v>485</v>
      </c>
      <c r="AE111" s="185" t="s">
        <v>116</v>
      </c>
      <c r="AF111" s="185" t="s">
        <v>12</v>
      </c>
      <c r="AG111" s="83">
        <v>6.5</v>
      </c>
      <c r="AH111" s="150"/>
      <c r="AL111" s="82"/>
      <c r="AO111" s="83"/>
      <c r="AP111" s="82"/>
      <c r="AS111" s="83"/>
      <c r="AW111" s="83"/>
      <c r="BA111" s="84"/>
    </row>
    <row r="112" spans="1:53" s="185" customFormat="1">
      <c r="A112" s="185">
        <v>2011</v>
      </c>
      <c r="B112" s="852"/>
      <c r="C112" s="917" t="s">
        <v>823</v>
      </c>
      <c r="D112" s="917"/>
      <c r="E112" s="185">
        <v>0</v>
      </c>
      <c r="G112" s="119"/>
      <c r="H112" s="185">
        <v>4</v>
      </c>
      <c r="I112" s="185">
        <v>16</v>
      </c>
      <c r="J112" s="126">
        <v>20</v>
      </c>
      <c r="K112" s="92">
        <f t="shared" si="7"/>
        <v>0</v>
      </c>
      <c r="L112" s="92">
        <f t="shared" si="7"/>
        <v>20</v>
      </c>
      <c r="M112" s="92">
        <f t="shared" si="7"/>
        <v>80</v>
      </c>
      <c r="N112" s="121">
        <f t="shared" si="5"/>
        <v>100</v>
      </c>
      <c r="O112" s="91"/>
      <c r="P112" s="92">
        <v>6.5</v>
      </c>
      <c r="Q112" s="92">
        <v>44.4</v>
      </c>
      <c r="R112" s="93">
        <f t="shared" si="6"/>
        <v>50.9</v>
      </c>
      <c r="S112" s="185">
        <v>2</v>
      </c>
      <c r="T112" s="839"/>
      <c r="U112" s="852"/>
      <c r="V112" s="82" t="s">
        <v>483</v>
      </c>
      <c r="W112" s="185" t="s">
        <v>20</v>
      </c>
      <c r="X112" s="185" t="s">
        <v>12</v>
      </c>
      <c r="Y112" s="83">
        <v>37.9</v>
      </c>
      <c r="Z112" s="82" t="s">
        <v>84</v>
      </c>
      <c r="AA112" s="185" t="s">
        <v>75</v>
      </c>
      <c r="AB112" s="185" t="s">
        <v>18</v>
      </c>
      <c r="AC112" s="185">
        <v>6.5</v>
      </c>
      <c r="AD112" s="82" t="s">
        <v>485</v>
      </c>
      <c r="AE112" s="185" t="s">
        <v>116</v>
      </c>
      <c r="AF112" s="185" t="s">
        <v>12</v>
      </c>
      <c r="AG112" s="83">
        <v>6.5</v>
      </c>
      <c r="AH112" s="150"/>
      <c r="AL112" s="82"/>
      <c r="AO112" s="83"/>
      <c r="AP112" s="82"/>
      <c r="AS112" s="83"/>
      <c r="AW112" s="83"/>
      <c r="BA112" s="84"/>
    </row>
    <row r="113" spans="1:53" s="185" customFormat="1">
      <c r="A113" s="185">
        <v>2011</v>
      </c>
      <c r="B113" s="852"/>
      <c r="C113" s="917" t="s">
        <v>823</v>
      </c>
      <c r="D113" s="917"/>
      <c r="E113" s="185">
        <v>365</v>
      </c>
      <c r="G113" s="119"/>
      <c r="H113" s="185">
        <v>4</v>
      </c>
      <c r="I113" s="185">
        <v>16</v>
      </c>
      <c r="J113" s="126">
        <v>20</v>
      </c>
      <c r="K113" s="92">
        <f t="shared" si="7"/>
        <v>0</v>
      </c>
      <c r="L113" s="92">
        <f t="shared" si="7"/>
        <v>20</v>
      </c>
      <c r="M113" s="92">
        <f t="shared" si="7"/>
        <v>80</v>
      </c>
      <c r="N113" s="121">
        <f t="shared" si="5"/>
        <v>100</v>
      </c>
      <c r="O113" s="91"/>
      <c r="P113" s="92">
        <v>6.5</v>
      </c>
      <c r="Q113" s="92">
        <v>44.4</v>
      </c>
      <c r="R113" s="93">
        <f t="shared" si="6"/>
        <v>50.9</v>
      </c>
      <c r="S113" s="185">
        <v>2</v>
      </c>
      <c r="T113" s="839"/>
      <c r="U113" s="852"/>
      <c r="V113" s="82" t="s">
        <v>483</v>
      </c>
      <c r="W113" s="185" t="s">
        <v>20</v>
      </c>
      <c r="X113" s="185" t="s">
        <v>12</v>
      </c>
      <c r="Y113" s="83">
        <v>37.9</v>
      </c>
      <c r="Z113" s="82" t="s">
        <v>84</v>
      </c>
      <c r="AA113" s="185" t="s">
        <v>75</v>
      </c>
      <c r="AB113" s="185" t="s">
        <v>18</v>
      </c>
      <c r="AC113" s="185">
        <v>6.5</v>
      </c>
      <c r="AD113" s="82" t="s">
        <v>485</v>
      </c>
      <c r="AE113" s="185" t="s">
        <v>116</v>
      </c>
      <c r="AF113" s="185" t="s">
        <v>12</v>
      </c>
      <c r="AG113" s="83">
        <v>6.5</v>
      </c>
      <c r="AH113" s="150"/>
      <c r="AL113" s="82"/>
      <c r="AO113" s="83"/>
      <c r="AP113" s="82"/>
      <c r="AS113" s="83"/>
      <c r="AW113" s="83"/>
      <c r="BA113" s="84"/>
    </row>
    <row r="114" spans="1:53" s="185" customFormat="1">
      <c r="A114" s="185">
        <v>2012</v>
      </c>
      <c r="B114" s="852"/>
      <c r="C114" s="917" t="s">
        <v>823</v>
      </c>
      <c r="D114" s="917"/>
      <c r="E114" s="185">
        <v>0</v>
      </c>
      <c r="G114" s="119"/>
      <c r="H114" s="185">
        <v>4</v>
      </c>
      <c r="I114" s="185">
        <v>16</v>
      </c>
      <c r="J114" s="126">
        <v>20</v>
      </c>
      <c r="K114" s="92">
        <f t="shared" si="7"/>
        <v>0</v>
      </c>
      <c r="L114" s="92">
        <f t="shared" si="7"/>
        <v>20</v>
      </c>
      <c r="M114" s="92">
        <f t="shared" si="7"/>
        <v>80</v>
      </c>
      <c r="N114" s="121">
        <f t="shared" si="5"/>
        <v>100</v>
      </c>
      <c r="O114" s="91"/>
      <c r="P114" s="92">
        <v>6.5</v>
      </c>
      <c r="Q114" s="92">
        <v>44.4</v>
      </c>
      <c r="R114" s="93">
        <f t="shared" si="6"/>
        <v>50.9</v>
      </c>
      <c r="S114" s="185">
        <v>2</v>
      </c>
      <c r="T114" s="839"/>
      <c r="U114" s="852"/>
      <c r="V114" s="82" t="s">
        <v>483</v>
      </c>
      <c r="W114" s="185" t="s">
        <v>20</v>
      </c>
      <c r="X114" s="185" t="s">
        <v>12</v>
      </c>
      <c r="Y114" s="83">
        <v>37.9</v>
      </c>
      <c r="Z114" s="82" t="s">
        <v>84</v>
      </c>
      <c r="AA114" s="185" t="s">
        <v>75</v>
      </c>
      <c r="AB114" s="185" t="s">
        <v>18</v>
      </c>
      <c r="AC114" s="185">
        <v>6.5</v>
      </c>
      <c r="AD114" s="82" t="s">
        <v>485</v>
      </c>
      <c r="AE114" s="185" t="s">
        <v>116</v>
      </c>
      <c r="AF114" s="185" t="s">
        <v>12</v>
      </c>
      <c r="AG114" s="83">
        <v>6.5</v>
      </c>
      <c r="AH114" s="150"/>
      <c r="AL114" s="82"/>
      <c r="AO114" s="83"/>
      <c r="AP114" s="82"/>
      <c r="AS114" s="83"/>
      <c r="AW114" s="83"/>
      <c r="BA114" s="84"/>
    </row>
    <row r="115" spans="1:53" s="185" customFormat="1">
      <c r="A115" s="185">
        <v>2012</v>
      </c>
      <c r="B115" s="860"/>
      <c r="C115" s="917" t="s">
        <v>823</v>
      </c>
      <c r="D115" s="917"/>
      <c r="E115" s="185">
        <v>366</v>
      </c>
      <c r="F115" s="139"/>
      <c r="G115" s="119"/>
      <c r="H115" s="185">
        <v>4</v>
      </c>
      <c r="I115" s="185">
        <v>16</v>
      </c>
      <c r="J115" s="126">
        <v>20</v>
      </c>
      <c r="K115" s="92">
        <f>G115/$J115*100</f>
        <v>0</v>
      </c>
      <c r="L115" s="92">
        <f t="shared" si="7"/>
        <v>20</v>
      </c>
      <c r="M115" s="92">
        <f t="shared" si="7"/>
        <v>80</v>
      </c>
      <c r="N115" s="121">
        <f t="shared" si="5"/>
        <v>100</v>
      </c>
      <c r="O115" s="91"/>
      <c r="P115" s="92">
        <v>6.5</v>
      </c>
      <c r="Q115" s="92">
        <v>44.4</v>
      </c>
      <c r="R115" s="93">
        <f t="shared" si="6"/>
        <v>50.9</v>
      </c>
      <c r="S115" s="185">
        <v>2</v>
      </c>
      <c r="T115" s="839"/>
      <c r="U115" s="852"/>
      <c r="V115" s="82" t="s">
        <v>483</v>
      </c>
      <c r="W115" s="185" t="s">
        <v>20</v>
      </c>
      <c r="X115" s="185" t="s">
        <v>12</v>
      </c>
      <c r="Y115" s="83">
        <v>37.9</v>
      </c>
      <c r="Z115" s="82" t="s">
        <v>84</v>
      </c>
      <c r="AA115" s="185" t="s">
        <v>75</v>
      </c>
      <c r="AB115" s="185" t="s">
        <v>18</v>
      </c>
      <c r="AC115" s="185">
        <v>6.5</v>
      </c>
      <c r="AD115" s="82" t="s">
        <v>485</v>
      </c>
      <c r="AE115" s="185" t="s">
        <v>116</v>
      </c>
      <c r="AF115" s="185" t="s">
        <v>12</v>
      </c>
      <c r="AG115" s="83">
        <v>6.5</v>
      </c>
      <c r="AH115" s="150"/>
      <c r="AL115" s="82"/>
      <c r="AO115" s="83"/>
      <c r="AP115" s="82"/>
      <c r="AS115" s="83"/>
      <c r="AW115" s="83"/>
      <c r="BA115" s="84"/>
    </row>
    <row r="116" spans="1:53" s="274" customFormat="1">
      <c r="A116" s="274">
        <v>2013</v>
      </c>
      <c r="B116" s="860"/>
      <c r="C116" s="917" t="s">
        <v>823</v>
      </c>
      <c r="D116" s="917"/>
      <c r="E116" s="274">
        <v>288</v>
      </c>
      <c r="F116" s="139"/>
      <c r="G116" s="119"/>
      <c r="H116" s="274">
        <v>4</v>
      </c>
      <c r="I116" s="274">
        <v>16</v>
      </c>
      <c r="J116" s="126">
        <v>20</v>
      </c>
      <c r="K116" s="496">
        <f t="shared" ref="K116:K127" si="8">G116/$J116*100</f>
        <v>0</v>
      </c>
      <c r="L116" s="496">
        <f t="shared" ref="L116:L127" si="9">H116/$J116*100</f>
        <v>20</v>
      </c>
      <c r="M116" s="496">
        <f t="shared" ref="M116:M127" si="10">I116/$J116*100</f>
        <v>80</v>
      </c>
      <c r="N116" s="499">
        <f t="shared" ref="N116:N127" si="11">K116+L116+M116</f>
        <v>100</v>
      </c>
      <c r="O116" s="91"/>
      <c r="P116" s="92">
        <v>6.5</v>
      </c>
      <c r="Q116" s="92">
        <v>44.4</v>
      </c>
      <c r="R116" s="93">
        <f t="shared" si="6"/>
        <v>50.9</v>
      </c>
      <c r="S116" s="274">
        <v>2</v>
      </c>
      <c r="T116" s="839"/>
      <c r="U116" s="852"/>
      <c r="V116" s="82" t="s">
        <v>483</v>
      </c>
      <c r="W116" s="274" t="s">
        <v>20</v>
      </c>
      <c r="X116" s="274" t="s">
        <v>12</v>
      </c>
      <c r="Y116" s="83">
        <v>37.9</v>
      </c>
      <c r="Z116" s="82" t="s">
        <v>84</v>
      </c>
      <c r="AA116" s="274" t="s">
        <v>75</v>
      </c>
      <c r="AB116" s="274" t="s">
        <v>18</v>
      </c>
      <c r="AC116" s="274">
        <v>6.5</v>
      </c>
      <c r="AD116" s="82" t="s">
        <v>485</v>
      </c>
      <c r="AE116" s="274" t="s">
        <v>116</v>
      </c>
      <c r="AF116" s="274" t="s">
        <v>12</v>
      </c>
      <c r="AG116" s="83">
        <v>6.5</v>
      </c>
      <c r="AH116" s="150"/>
      <c r="AL116" s="82"/>
      <c r="AO116" s="83"/>
      <c r="AP116" s="82"/>
      <c r="AS116" s="83"/>
      <c r="AW116" s="83"/>
      <c r="BA116" s="84"/>
    </row>
    <row r="117" spans="1:53" s="292" customFormat="1">
      <c r="A117" s="292">
        <v>2013</v>
      </c>
      <c r="B117" s="836">
        <v>41563</v>
      </c>
      <c r="C117" s="916" t="s">
        <v>1250</v>
      </c>
      <c r="D117" s="916"/>
      <c r="E117" s="292">
        <f>365-E116</f>
        <v>77</v>
      </c>
      <c r="F117" s="292">
        <v>1</v>
      </c>
      <c r="G117" s="366">
        <v>18</v>
      </c>
      <c r="J117" s="377">
        <v>18</v>
      </c>
      <c r="K117" s="537">
        <f t="shared" si="8"/>
        <v>100</v>
      </c>
      <c r="L117" s="537">
        <f t="shared" si="9"/>
        <v>0</v>
      </c>
      <c r="M117" s="537">
        <f t="shared" si="10"/>
        <v>0</v>
      </c>
      <c r="N117" s="540">
        <f t="shared" si="11"/>
        <v>100</v>
      </c>
      <c r="O117" s="335">
        <v>45.6</v>
      </c>
      <c r="P117" s="336"/>
      <c r="Q117" s="336"/>
      <c r="R117" s="337">
        <f t="shared" si="6"/>
        <v>45.6</v>
      </c>
      <c r="S117" s="292">
        <v>5</v>
      </c>
      <c r="T117" s="838">
        <v>41526</v>
      </c>
      <c r="U117" s="836">
        <v>41563</v>
      </c>
      <c r="V117" s="299" t="s">
        <v>484</v>
      </c>
      <c r="W117" s="292" t="s">
        <v>74</v>
      </c>
      <c r="X117" s="292" t="s">
        <v>11</v>
      </c>
      <c r="Y117" s="300">
        <v>28.4</v>
      </c>
      <c r="Z117" s="299" t="s">
        <v>1251</v>
      </c>
      <c r="AA117" s="292" t="s">
        <v>27</v>
      </c>
      <c r="AB117" s="292" t="s">
        <v>11</v>
      </c>
      <c r="AC117" s="292">
        <v>17.2</v>
      </c>
      <c r="AD117" s="299"/>
      <c r="AG117" s="300"/>
      <c r="AH117" s="390"/>
      <c r="AL117" s="299"/>
      <c r="AO117" s="300"/>
      <c r="AP117" s="299"/>
      <c r="AS117" s="300"/>
      <c r="AW117" s="300"/>
      <c r="BA117" s="301"/>
    </row>
    <row r="118" spans="1:53" s="545" customFormat="1">
      <c r="A118" s="545">
        <v>2014</v>
      </c>
      <c r="B118" s="836"/>
      <c r="C118" s="916" t="s">
        <v>1250</v>
      </c>
      <c r="D118" s="916"/>
      <c r="E118" s="545">
        <v>0</v>
      </c>
      <c r="G118" s="539">
        <v>18</v>
      </c>
      <c r="J118" s="541">
        <v>18</v>
      </c>
      <c r="K118" s="537">
        <f t="shared" si="8"/>
        <v>100</v>
      </c>
      <c r="L118" s="537">
        <f t="shared" si="9"/>
        <v>0</v>
      </c>
      <c r="M118" s="537">
        <f t="shared" si="10"/>
        <v>0</v>
      </c>
      <c r="N118" s="540">
        <f t="shared" si="11"/>
        <v>100</v>
      </c>
      <c r="O118" s="536">
        <v>45.6</v>
      </c>
      <c r="P118" s="537"/>
      <c r="Q118" s="537"/>
      <c r="R118" s="538">
        <f>O118+P118+Q118</f>
        <v>45.6</v>
      </c>
      <c r="S118" s="545">
        <v>5</v>
      </c>
      <c r="T118" s="838"/>
      <c r="U118" s="836"/>
      <c r="V118" s="532" t="s">
        <v>484</v>
      </c>
      <c r="W118" s="545" t="s">
        <v>74</v>
      </c>
      <c r="X118" s="545" t="s">
        <v>11</v>
      </c>
      <c r="Y118" s="533">
        <v>28.4</v>
      </c>
      <c r="Z118" s="532" t="s">
        <v>1251</v>
      </c>
      <c r="AA118" s="545" t="s">
        <v>27</v>
      </c>
      <c r="AB118" s="545" t="s">
        <v>11</v>
      </c>
      <c r="AC118" s="545">
        <v>17.2</v>
      </c>
      <c r="AD118" s="532"/>
      <c r="AG118" s="533"/>
      <c r="AH118" s="390"/>
      <c r="AL118" s="532"/>
      <c r="AO118" s="533"/>
      <c r="AP118" s="532"/>
      <c r="AS118" s="533"/>
      <c r="AW118" s="533"/>
      <c r="BA118" s="534"/>
    </row>
    <row r="119" spans="1:53" s="545" customFormat="1">
      <c r="A119" s="545">
        <v>2014</v>
      </c>
      <c r="B119" s="836"/>
      <c r="C119" s="916" t="s">
        <v>1250</v>
      </c>
      <c r="D119" s="916"/>
      <c r="E119" s="545">
        <v>365</v>
      </c>
      <c r="G119" s="539">
        <v>18</v>
      </c>
      <c r="J119" s="541">
        <v>18</v>
      </c>
      <c r="K119" s="537">
        <f t="shared" si="8"/>
        <v>100</v>
      </c>
      <c r="L119" s="537">
        <f t="shared" si="9"/>
        <v>0</v>
      </c>
      <c r="M119" s="537">
        <f t="shared" si="10"/>
        <v>0</v>
      </c>
      <c r="N119" s="540">
        <f t="shared" si="11"/>
        <v>100</v>
      </c>
      <c r="O119" s="536">
        <v>45.6</v>
      </c>
      <c r="P119" s="537"/>
      <c r="Q119" s="537"/>
      <c r="R119" s="538">
        <f>O119+P119+Q119</f>
        <v>45.6</v>
      </c>
      <c r="S119" s="545">
        <v>5</v>
      </c>
      <c r="T119" s="838"/>
      <c r="U119" s="836"/>
      <c r="V119" s="532" t="s">
        <v>484</v>
      </c>
      <c r="W119" s="545" t="s">
        <v>74</v>
      </c>
      <c r="X119" s="545" t="s">
        <v>11</v>
      </c>
      <c r="Y119" s="533">
        <v>28.4</v>
      </c>
      <c r="Z119" s="532" t="s">
        <v>1251</v>
      </c>
      <c r="AA119" s="545" t="s">
        <v>27</v>
      </c>
      <c r="AB119" s="545" t="s">
        <v>11</v>
      </c>
      <c r="AC119" s="545">
        <v>17.2</v>
      </c>
      <c r="AD119" s="532"/>
      <c r="AG119" s="533"/>
      <c r="AH119" s="390"/>
      <c r="AL119" s="532"/>
      <c r="AO119" s="533"/>
      <c r="AP119" s="532"/>
      <c r="AS119" s="533"/>
      <c r="AW119" s="533"/>
      <c r="BA119" s="534"/>
    </row>
    <row r="120" spans="1:53" s="616" customFormat="1">
      <c r="A120" s="616">
        <v>2015</v>
      </c>
      <c r="B120" s="836"/>
      <c r="C120" s="916" t="s">
        <v>1250</v>
      </c>
      <c r="D120" s="916"/>
      <c r="E120" s="616">
        <v>349</v>
      </c>
      <c r="G120" s="539">
        <v>18</v>
      </c>
      <c r="J120" s="541">
        <v>18</v>
      </c>
      <c r="K120" s="537">
        <f t="shared" si="8"/>
        <v>100</v>
      </c>
      <c r="L120" s="537">
        <f t="shared" si="9"/>
        <v>0</v>
      </c>
      <c r="M120" s="537">
        <f t="shared" si="10"/>
        <v>0</v>
      </c>
      <c r="N120" s="540">
        <f t="shared" si="11"/>
        <v>100</v>
      </c>
      <c r="O120" s="536">
        <v>45.6</v>
      </c>
      <c r="P120" s="537"/>
      <c r="Q120" s="537"/>
      <c r="R120" s="538">
        <f t="shared" ref="R120:R121" si="12">O120+P120+Q120</f>
        <v>45.6</v>
      </c>
      <c r="S120" s="616">
        <v>5</v>
      </c>
      <c r="T120" s="838"/>
      <c r="U120" s="836"/>
      <c r="V120" s="532" t="s">
        <v>484</v>
      </c>
      <c r="W120" s="616" t="s">
        <v>74</v>
      </c>
      <c r="X120" s="616" t="s">
        <v>11</v>
      </c>
      <c r="Y120" s="533">
        <v>28.4</v>
      </c>
      <c r="Z120" s="532" t="s">
        <v>1251</v>
      </c>
      <c r="AA120" s="616" t="s">
        <v>27</v>
      </c>
      <c r="AB120" s="616" t="s">
        <v>11</v>
      </c>
      <c r="AC120" s="616">
        <v>17.2</v>
      </c>
      <c r="AD120" s="532"/>
      <c r="AG120" s="533"/>
      <c r="AH120" s="390"/>
      <c r="AL120" s="532"/>
      <c r="AO120" s="533"/>
      <c r="AP120" s="532"/>
      <c r="AS120" s="533"/>
      <c r="AW120" s="533"/>
      <c r="BA120" s="534"/>
    </row>
    <row r="121" spans="1:53" s="616" customFormat="1">
      <c r="A121" s="616">
        <v>2015</v>
      </c>
      <c r="B121" s="858">
        <v>42354</v>
      </c>
      <c r="C121" s="916" t="s">
        <v>1250</v>
      </c>
      <c r="D121" s="916"/>
      <c r="E121" s="616">
        <v>16</v>
      </c>
      <c r="F121" s="421">
        <v>0</v>
      </c>
      <c r="G121" s="539">
        <v>19</v>
      </c>
      <c r="J121" s="541">
        <v>19</v>
      </c>
      <c r="K121" s="537">
        <f t="shared" si="8"/>
        <v>100</v>
      </c>
      <c r="L121" s="537">
        <f t="shared" si="9"/>
        <v>0</v>
      </c>
      <c r="M121" s="537">
        <f t="shared" si="10"/>
        <v>0</v>
      </c>
      <c r="N121" s="540">
        <f t="shared" si="11"/>
        <v>100</v>
      </c>
      <c r="O121" s="536">
        <v>45.6</v>
      </c>
      <c r="P121" s="537"/>
      <c r="Q121" s="537"/>
      <c r="R121" s="538">
        <f t="shared" si="12"/>
        <v>45.6</v>
      </c>
      <c r="S121" s="616">
        <v>5</v>
      </c>
      <c r="T121" s="838"/>
      <c r="U121" s="836"/>
      <c r="V121" s="532" t="s">
        <v>484</v>
      </c>
      <c r="W121" s="616" t="s">
        <v>74</v>
      </c>
      <c r="X121" s="616" t="s">
        <v>11</v>
      </c>
      <c r="Y121" s="533">
        <v>28.4</v>
      </c>
      <c r="Z121" s="532" t="s">
        <v>1251</v>
      </c>
      <c r="AA121" s="616" t="s">
        <v>27</v>
      </c>
      <c r="AB121" s="616" t="s">
        <v>11</v>
      </c>
      <c r="AC121" s="616">
        <v>17.2</v>
      </c>
      <c r="AD121" s="532"/>
      <c r="AG121" s="533"/>
      <c r="AH121" s="390"/>
      <c r="AL121" s="532"/>
      <c r="AO121" s="533"/>
      <c r="AP121" s="532"/>
      <c r="AS121" s="533"/>
      <c r="AW121" s="533"/>
      <c r="BA121" s="534"/>
    </row>
    <row r="122" spans="1:53" s="687" customFormat="1">
      <c r="A122" s="687">
        <v>2016</v>
      </c>
      <c r="B122" s="858"/>
      <c r="C122" s="916" t="s">
        <v>1250</v>
      </c>
      <c r="D122" s="916"/>
      <c r="E122" s="687">
        <v>0</v>
      </c>
      <c r="F122" s="421"/>
      <c r="G122" s="539">
        <v>19</v>
      </c>
      <c r="J122" s="541">
        <v>19</v>
      </c>
      <c r="K122" s="537">
        <f t="shared" si="8"/>
        <v>100</v>
      </c>
      <c r="L122" s="537">
        <f t="shared" si="9"/>
        <v>0</v>
      </c>
      <c r="M122" s="537">
        <f t="shared" si="10"/>
        <v>0</v>
      </c>
      <c r="N122" s="540">
        <f t="shared" si="11"/>
        <v>100</v>
      </c>
      <c r="O122" s="536">
        <v>45.6</v>
      </c>
      <c r="P122" s="537"/>
      <c r="Q122" s="537"/>
      <c r="R122" s="538">
        <f t="shared" ref="R122" si="13">O122+P122+Q122</f>
        <v>45.6</v>
      </c>
      <c r="S122" s="687">
        <v>5</v>
      </c>
      <c r="T122" s="838"/>
      <c r="U122" s="836"/>
      <c r="V122" s="532" t="s">
        <v>484</v>
      </c>
      <c r="W122" s="687" t="s">
        <v>74</v>
      </c>
      <c r="X122" s="687" t="s">
        <v>11</v>
      </c>
      <c r="Y122" s="533">
        <v>28.4</v>
      </c>
      <c r="Z122" s="532" t="s">
        <v>1251</v>
      </c>
      <c r="AA122" s="687" t="s">
        <v>27</v>
      </c>
      <c r="AB122" s="687" t="s">
        <v>11</v>
      </c>
      <c r="AC122" s="687">
        <v>17.2</v>
      </c>
      <c r="AD122" s="532"/>
      <c r="AG122" s="533"/>
      <c r="AH122" s="390"/>
      <c r="AL122" s="532"/>
      <c r="AO122" s="533"/>
      <c r="AP122" s="532"/>
      <c r="AS122" s="533"/>
      <c r="AW122" s="533"/>
      <c r="BA122" s="534"/>
    </row>
    <row r="123" spans="1:53" s="687" customFormat="1">
      <c r="A123" s="687">
        <v>2016</v>
      </c>
      <c r="B123" s="858"/>
      <c r="C123" s="916" t="s">
        <v>1250</v>
      </c>
      <c r="D123" s="916"/>
      <c r="E123" s="687">
        <v>366</v>
      </c>
      <c r="F123" s="421"/>
      <c r="G123" s="539">
        <v>19</v>
      </c>
      <c r="J123" s="541">
        <v>19</v>
      </c>
      <c r="K123" s="537">
        <f t="shared" si="8"/>
        <v>100</v>
      </c>
      <c r="L123" s="537">
        <f t="shared" si="9"/>
        <v>0</v>
      </c>
      <c r="M123" s="537">
        <f t="shared" si="10"/>
        <v>0</v>
      </c>
      <c r="N123" s="540">
        <f t="shared" si="11"/>
        <v>100</v>
      </c>
      <c r="O123" s="536">
        <v>45.6</v>
      </c>
      <c r="P123" s="537"/>
      <c r="Q123" s="537"/>
      <c r="R123" s="538">
        <f t="shared" ref="R123:R129" si="14">O123+P123+Q123</f>
        <v>45.6</v>
      </c>
      <c r="S123" s="687">
        <v>5</v>
      </c>
      <c r="T123" s="838"/>
      <c r="U123" s="836"/>
      <c r="V123" s="532" t="s">
        <v>484</v>
      </c>
      <c r="W123" s="687" t="s">
        <v>74</v>
      </c>
      <c r="X123" s="687" t="s">
        <v>11</v>
      </c>
      <c r="Y123" s="533">
        <v>28.4</v>
      </c>
      <c r="Z123" s="532" t="s">
        <v>1251</v>
      </c>
      <c r="AA123" s="687" t="s">
        <v>27</v>
      </c>
      <c r="AB123" s="687" t="s">
        <v>11</v>
      </c>
      <c r="AC123" s="687">
        <v>17.2</v>
      </c>
      <c r="AD123" s="532"/>
      <c r="AG123" s="533"/>
      <c r="AH123" s="390"/>
      <c r="AL123" s="532"/>
      <c r="AO123" s="533"/>
      <c r="AP123" s="532"/>
      <c r="AS123" s="533"/>
      <c r="AW123" s="533"/>
      <c r="BA123" s="534"/>
    </row>
    <row r="124" spans="1:53" s="726" customFormat="1">
      <c r="A124" s="726">
        <v>2017</v>
      </c>
      <c r="B124" s="858"/>
      <c r="C124" s="916" t="s">
        <v>1250</v>
      </c>
      <c r="D124" s="916"/>
      <c r="E124" s="726">
        <v>253</v>
      </c>
      <c r="F124" s="421"/>
      <c r="G124" s="539">
        <v>19</v>
      </c>
      <c r="J124" s="541">
        <v>19</v>
      </c>
      <c r="K124" s="537">
        <f t="shared" si="8"/>
        <v>100</v>
      </c>
      <c r="L124" s="537">
        <f t="shared" si="9"/>
        <v>0</v>
      </c>
      <c r="M124" s="537">
        <f t="shared" si="10"/>
        <v>0</v>
      </c>
      <c r="N124" s="540">
        <f t="shared" si="11"/>
        <v>100</v>
      </c>
      <c r="O124" s="536">
        <v>45.6</v>
      </c>
      <c r="P124" s="537"/>
      <c r="Q124" s="537"/>
      <c r="R124" s="538">
        <f t="shared" si="14"/>
        <v>45.6</v>
      </c>
      <c r="S124" s="726">
        <v>5</v>
      </c>
      <c r="T124" s="838"/>
      <c r="U124" s="836"/>
      <c r="V124" s="532" t="s">
        <v>484</v>
      </c>
      <c r="W124" s="726" t="s">
        <v>74</v>
      </c>
      <c r="X124" s="726" t="s">
        <v>11</v>
      </c>
      <c r="Y124" s="533">
        <v>28.4</v>
      </c>
      <c r="Z124" s="532" t="s">
        <v>1251</v>
      </c>
      <c r="AA124" s="726" t="s">
        <v>27</v>
      </c>
      <c r="AB124" s="726" t="s">
        <v>11</v>
      </c>
      <c r="AC124" s="726">
        <v>17.2</v>
      </c>
      <c r="AD124" s="532"/>
      <c r="AG124" s="533"/>
      <c r="AH124" s="390"/>
      <c r="AL124" s="532"/>
      <c r="AO124" s="533"/>
      <c r="AP124" s="532"/>
      <c r="AS124" s="533"/>
      <c r="AW124" s="533"/>
      <c r="BA124" s="534"/>
    </row>
    <row r="125" spans="1:53" s="727" customFormat="1">
      <c r="A125" s="727">
        <v>2017</v>
      </c>
      <c r="B125" s="852">
        <v>42989</v>
      </c>
      <c r="C125" s="917" t="s">
        <v>1385</v>
      </c>
      <c r="D125" s="917"/>
      <c r="E125" s="727">
        <v>112</v>
      </c>
      <c r="F125" s="727">
        <v>1</v>
      </c>
      <c r="G125" s="498">
        <v>19</v>
      </c>
      <c r="J125" s="500">
        <v>19</v>
      </c>
      <c r="K125" s="496">
        <f t="shared" si="8"/>
        <v>100</v>
      </c>
      <c r="L125" s="496">
        <f t="shared" si="9"/>
        <v>0</v>
      </c>
      <c r="M125" s="496">
        <f t="shared" si="10"/>
        <v>0</v>
      </c>
      <c r="N125" s="499">
        <f t="shared" si="11"/>
        <v>100</v>
      </c>
      <c r="O125" s="495">
        <v>42.6</v>
      </c>
      <c r="P125" s="496"/>
      <c r="Q125" s="496"/>
      <c r="R125" s="497">
        <f t="shared" si="14"/>
        <v>42.6</v>
      </c>
      <c r="S125" s="727">
        <v>5</v>
      </c>
      <c r="T125" s="839">
        <v>42989</v>
      </c>
      <c r="U125" s="852">
        <v>42989</v>
      </c>
      <c r="V125" s="492" t="s">
        <v>484</v>
      </c>
      <c r="W125" s="727" t="s">
        <v>74</v>
      </c>
      <c r="X125" s="727" t="s">
        <v>11</v>
      </c>
      <c r="Y125" s="493">
        <v>26.6</v>
      </c>
      <c r="Z125" s="492" t="s">
        <v>1251</v>
      </c>
      <c r="AA125" s="727" t="s">
        <v>27</v>
      </c>
      <c r="AB125" s="727" t="s">
        <v>11</v>
      </c>
      <c r="AC125" s="727">
        <v>16</v>
      </c>
      <c r="AD125" s="492"/>
      <c r="AG125" s="493"/>
      <c r="AH125" s="150"/>
      <c r="AL125" s="492"/>
      <c r="AO125" s="493"/>
      <c r="AP125" s="492"/>
      <c r="AS125" s="493"/>
      <c r="AW125" s="493"/>
      <c r="BA125" s="494"/>
    </row>
    <row r="126" spans="1:53" s="771" customFormat="1">
      <c r="A126" s="771">
        <v>2018</v>
      </c>
      <c r="B126" s="852"/>
      <c r="C126" s="917" t="s">
        <v>1385</v>
      </c>
      <c r="D126" s="917"/>
      <c r="E126" s="771">
        <v>16</v>
      </c>
      <c r="G126" s="498">
        <v>19</v>
      </c>
      <c r="J126" s="500">
        <v>19</v>
      </c>
      <c r="K126" s="496">
        <f t="shared" si="8"/>
        <v>100</v>
      </c>
      <c r="L126" s="496">
        <f t="shared" si="9"/>
        <v>0</v>
      </c>
      <c r="M126" s="496">
        <f t="shared" si="10"/>
        <v>0</v>
      </c>
      <c r="N126" s="499">
        <f t="shared" si="11"/>
        <v>100</v>
      </c>
      <c r="O126" s="495">
        <v>42.6</v>
      </c>
      <c r="P126" s="496"/>
      <c r="Q126" s="496"/>
      <c r="R126" s="497">
        <f t="shared" si="14"/>
        <v>42.6</v>
      </c>
      <c r="S126" s="771">
        <v>5</v>
      </c>
      <c r="T126" s="839"/>
      <c r="U126" s="852"/>
      <c r="V126" s="492" t="s">
        <v>484</v>
      </c>
      <c r="W126" s="771" t="s">
        <v>74</v>
      </c>
      <c r="X126" s="771" t="s">
        <v>11</v>
      </c>
      <c r="Y126" s="493">
        <v>26.6</v>
      </c>
      <c r="Z126" s="492" t="s">
        <v>1251</v>
      </c>
      <c r="AA126" s="771" t="s">
        <v>27</v>
      </c>
      <c r="AB126" s="771" t="s">
        <v>11</v>
      </c>
      <c r="AC126" s="771">
        <v>16</v>
      </c>
      <c r="AD126" s="492"/>
      <c r="AG126" s="493"/>
      <c r="AH126" s="150"/>
      <c r="AL126" s="492"/>
      <c r="AO126" s="493"/>
      <c r="AP126" s="492"/>
      <c r="AS126" s="493"/>
      <c r="AW126" s="493"/>
      <c r="BA126" s="494"/>
    </row>
    <row r="127" spans="1:53" s="770" customFormat="1">
      <c r="A127" s="770">
        <v>2018</v>
      </c>
      <c r="B127" s="836">
        <v>43117</v>
      </c>
      <c r="C127" s="916" t="s">
        <v>1405</v>
      </c>
      <c r="D127" s="916"/>
      <c r="E127" s="770">
        <v>349</v>
      </c>
      <c r="F127" s="770">
        <v>7</v>
      </c>
      <c r="G127" s="539">
        <v>20</v>
      </c>
      <c r="J127" s="541">
        <v>20</v>
      </c>
      <c r="K127" s="537">
        <f t="shared" si="8"/>
        <v>100</v>
      </c>
      <c r="L127" s="537">
        <f t="shared" si="9"/>
        <v>0</v>
      </c>
      <c r="M127" s="537">
        <f t="shared" si="10"/>
        <v>0</v>
      </c>
      <c r="N127" s="540">
        <f t="shared" si="11"/>
        <v>100</v>
      </c>
      <c r="O127" s="536">
        <v>52.1</v>
      </c>
      <c r="P127" s="537"/>
      <c r="Q127" s="537"/>
      <c r="R127" s="538">
        <f t="shared" si="14"/>
        <v>52.1</v>
      </c>
      <c r="S127" s="770">
        <v>3</v>
      </c>
      <c r="T127" s="838"/>
      <c r="U127" s="836">
        <v>43117</v>
      </c>
      <c r="V127" s="532" t="s">
        <v>484</v>
      </c>
      <c r="W127" s="770" t="s">
        <v>74</v>
      </c>
      <c r="X127" s="770" t="s">
        <v>11</v>
      </c>
      <c r="Y127" s="533">
        <v>26.6</v>
      </c>
      <c r="Z127" s="532" t="s">
        <v>1251</v>
      </c>
      <c r="AA127" s="770" t="s">
        <v>27</v>
      </c>
      <c r="AB127" s="770" t="s">
        <v>11</v>
      </c>
      <c r="AC127" s="770">
        <v>16</v>
      </c>
      <c r="AD127" s="532" t="s">
        <v>407</v>
      </c>
      <c r="AE127" s="770" t="s">
        <v>22</v>
      </c>
      <c r="AF127" s="770" t="s">
        <v>11</v>
      </c>
      <c r="AG127" s="533">
        <v>4.7</v>
      </c>
      <c r="AH127" s="390"/>
      <c r="AL127" s="532"/>
      <c r="AO127" s="533"/>
      <c r="AP127" s="532"/>
      <c r="AS127" s="533"/>
      <c r="AW127" s="533"/>
      <c r="BA127" s="534"/>
    </row>
    <row r="128" spans="1:53" s="803" customFormat="1">
      <c r="A128" s="803">
        <v>2019</v>
      </c>
      <c r="B128" s="836"/>
      <c r="C128" s="916" t="s">
        <v>1405</v>
      </c>
      <c r="D128" s="916"/>
      <c r="E128" s="803">
        <v>22</v>
      </c>
      <c r="G128" s="539">
        <v>20</v>
      </c>
      <c r="J128" s="541">
        <v>20</v>
      </c>
      <c r="K128" s="537">
        <f t="shared" ref="K128" si="15">G128/$J128*100</f>
        <v>100</v>
      </c>
      <c r="L128" s="537">
        <f t="shared" ref="L128" si="16">H128/$J128*100</f>
        <v>0</v>
      </c>
      <c r="M128" s="537">
        <f t="shared" ref="M128" si="17">I128/$J128*100</f>
        <v>0</v>
      </c>
      <c r="N128" s="540">
        <f t="shared" ref="N128" si="18">K128+L128+M128</f>
        <v>100</v>
      </c>
      <c r="O128" s="536">
        <v>52.1</v>
      </c>
      <c r="P128" s="537"/>
      <c r="Q128" s="537"/>
      <c r="R128" s="538">
        <f t="shared" si="14"/>
        <v>52.1</v>
      </c>
      <c r="S128" s="803">
        <v>3</v>
      </c>
      <c r="T128" s="838"/>
      <c r="U128" s="836"/>
      <c r="V128" s="532" t="s">
        <v>484</v>
      </c>
      <c r="W128" s="803" t="s">
        <v>74</v>
      </c>
      <c r="X128" s="803" t="s">
        <v>11</v>
      </c>
      <c r="Y128" s="533">
        <v>26.6</v>
      </c>
      <c r="Z128" s="532" t="s">
        <v>1251</v>
      </c>
      <c r="AA128" s="803" t="s">
        <v>27</v>
      </c>
      <c r="AB128" s="803" t="s">
        <v>11</v>
      </c>
      <c r="AC128" s="803">
        <v>16</v>
      </c>
      <c r="AD128" s="532" t="s">
        <v>407</v>
      </c>
      <c r="AE128" s="803" t="s">
        <v>22</v>
      </c>
      <c r="AF128" s="803" t="s">
        <v>11</v>
      </c>
      <c r="AG128" s="533">
        <v>4.7</v>
      </c>
      <c r="AH128" s="390"/>
      <c r="AL128" s="532"/>
      <c r="AO128" s="533"/>
      <c r="AP128" s="532"/>
      <c r="AS128" s="533"/>
      <c r="AW128" s="533"/>
      <c r="BA128" s="534"/>
    </row>
    <row r="129" spans="1:53" s="821" customFormat="1">
      <c r="A129" s="821">
        <v>2019</v>
      </c>
      <c r="B129" s="836">
        <v>43487</v>
      </c>
      <c r="C129" s="916" t="s">
        <v>1405</v>
      </c>
      <c r="D129" s="916"/>
      <c r="E129" s="821">
        <v>343</v>
      </c>
      <c r="F129" s="821">
        <v>7</v>
      </c>
      <c r="G129" s="539">
        <v>20</v>
      </c>
      <c r="H129" s="821">
        <v>2</v>
      </c>
      <c r="J129" s="541">
        <v>22</v>
      </c>
      <c r="K129" s="537">
        <f t="shared" ref="K129" si="19">G129/$J129*100</f>
        <v>90.909090909090907</v>
      </c>
      <c r="L129" s="537">
        <f t="shared" ref="L129" si="20">H129/$J129*100</f>
        <v>9.0909090909090917</v>
      </c>
      <c r="M129" s="537">
        <f t="shared" ref="M129" si="21">I129/$J129*100</f>
        <v>0</v>
      </c>
      <c r="N129" s="540">
        <f t="shared" ref="N129" si="22">K129+L129+M129</f>
        <v>100</v>
      </c>
      <c r="O129" s="536">
        <v>52.1</v>
      </c>
      <c r="P129" s="537">
        <v>4.7</v>
      </c>
      <c r="Q129" s="537"/>
      <c r="R129" s="538">
        <f t="shared" si="14"/>
        <v>56.800000000000004</v>
      </c>
      <c r="S129" s="821">
        <v>3</v>
      </c>
      <c r="T129" s="838"/>
      <c r="U129" s="836"/>
      <c r="V129" s="532" t="s">
        <v>484</v>
      </c>
      <c r="W129" s="821" t="s">
        <v>74</v>
      </c>
      <c r="X129" s="821" t="s">
        <v>11</v>
      </c>
      <c r="Y129" s="533">
        <v>26.6</v>
      </c>
      <c r="Z129" s="532" t="s">
        <v>1251</v>
      </c>
      <c r="AA129" s="821" t="s">
        <v>27</v>
      </c>
      <c r="AB129" s="821" t="s">
        <v>11</v>
      </c>
      <c r="AC129" s="821">
        <v>16</v>
      </c>
      <c r="AD129" s="532" t="s">
        <v>407</v>
      </c>
      <c r="AE129" s="821" t="s">
        <v>22</v>
      </c>
      <c r="AF129" s="821" t="s">
        <v>11</v>
      </c>
      <c r="AG129" s="533">
        <v>4.7</v>
      </c>
      <c r="AH129" s="390" t="s">
        <v>266</v>
      </c>
      <c r="AI129" s="821" t="s">
        <v>17</v>
      </c>
      <c r="AJ129" s="821" t="s">
        <v>1419</v>
      </c>
      <c r="AK129" s="821">
        <v>4.7</v>
      </c>
      <c r="AL129" s="532"/>
      <c r="AO129" s="533"/>
      <c r="AP129" s="532"/>
      <c r="AS129" s="533"/>
      <c r="AW129" s="533"/>
      <c r="BA129" s="534"/>
    </row>
    <row r="130" spans="1:53" s="727" customFormat="1">
      <c r="B130" s="127"/>
      <c r="C130" s="917"/>
      <c r="D130" s="917"/>
      <c r="F130" s="123"/>
      <c r="G130" s="498"/>
      <c r="J130" s="500"/>
      <c r="K130" s="496"/>
      <c r="L130" s="496"/>
      <c r="M130" s="496"/>
      <c r="N130" s="499"/>
      <c r="O130" s="495"/>
      <c r="P130" s="496"/>
      <c r="Q130" s="496"/>
      <c r="R130" s="497"/>
      <c r="T130" s="839"/>
      <c r="U130" s="852"/>
      <c r="V130" s="492"/>
      <c r="Y130" s="493"/>
      <c r="Z130" s="492"/>
      <c r="AD130" s="492"/>
      <c r="AG130" s="493"/>
      <c r="AH130" s="150"/>
      <c r="AL130" s="492"/>
      <c r="AO130" s="493"/>
      <c r="AP130" s="492"/>
      <c r="AS130" s="493"/>
      <c r="AW130" s="493"/>
      <c r="BA130" s="494"/>
    </row>
    <row r="131" spans="1:53" s="2" customFormat="1" ht="18" customHeight="1">
      <c r="B131" s="22" t="s">
        <v>1269</v>
      </c>
      <c r="H131" s="6"/>
    </row>
    <row r="132" spans="1:53" s="2" customFormat="1" ht="9" customHeight="1">
      <c r="H132" s="6"/>
    </row>
    <row r="133" spans="1:53" s="317" customFormat="1" ht="9" customHeight="1">
      <c r="A133" s="315"/>
      <c r="B133" s="316" t="s">
        <v>1220</v>
      </c>
      <c r="C133" s="316"/>
      <c r="D133" s="316"/>
      <c r="E133" s="316"/>
      <c r="F133" s="316"/>
      <c r="G133" s="316" t="s">
        <v>1221</v>
      </c>
      <c r="H133" s="316"/>
      <c r="I133" s="316"/>
      <c r="J133" s="316"/>
      <c r="K133" s="316"/>
      <c r="L133" s="316"/>
      <c r="M133" s="316"/>
      <c r="N133" s="316"/>
      <c r="R133" s="895" t="s">
        <v>1222</v>
      </c>
      <c r="S133" s="895"/>
      <c r="T133" s="895"/>
      <c r="U133" s="895"/>
      <c r="V133" s="895"/>
      <c r="W133" s="895"/>
      <c r="X133" s="318"/>
      <c r="Y133" s="318"/>
      <c r="AA133" s="318"/>
      <c r="AB133" s="318"/>
      <c r="AC133" s="318"/>
      <c r="AD133" s="318"/>
    </row>
    <row r="134" spans="1:53" s="322" customFormat="1" ht="9" customHeight="1">
      <c r="A134" s="319"/>
      <c r="B134" s="320" t="s">
        <v>1224</v>
      </c>
      <c r="C134" s="321"/>
      <c r="D134" s="321"/>
      <c r="E134" s="321"/>
      <c r="F134" s="321"/>
      <c r="G134" s="320" t="s">
        <v>1223</v>
      </c>
      <c r="H134" s="321"/>
      <c r="I134" s="321"/>
      <c r="J134" s="321"/>
      <c r="K134" s="321"/>
      <c r="L134" s="321"/>
      <c r="M134" s="321"/>
      <c r="N134" s="321"/>
      <c r="R134" s="323" t="s">
        <v>1225</v>
      </c>
      <c r="S134" s="324"/>
      <c r="T134" s="325"/>
      <c r="U134" s="325"/>
      <c r="V134" s="325"/>
      <c r="W134" s="323" t="s">
        <v>1226</v>
      </c>
      <c r="X134" s="325"/>
      <c r="Y134" s="325"/>
      <c r="AA134" s="325"/>
      <c r="AB134" s="325"/>
      <c r="AC134" s="325"/>
      <c r="AD134" s="325"/>
    </row>
    <row r="135" spans="1:53" s="307" customFormat="1" ht="12" customHeight="1">
      <c r="A135" s="326" t="s">
        <v>3</v>
      </c>
      <c r="B135" s="327" t="s">
        <v>8</v>
      </c>
      <c r="C135" s="327" t="s">
        <v>9</v>
      </c>
      <c r="D135" s="327" t="s">
        <v>10</v>
      </c>
      <c r="E135" s="328" t="s">
        <v>1200</v>
      </c>
      <c r="F135" s="327"/>
      <c r="G135" s="307" t="s">
        <v>3</v>
      </c>
      <c r="H135" s="896" t="s">
        <v>0</v>
      </c>
      <c r="I135" s="896"/>
      <c r="J135" s="896" t="s">
        <v>1</v>
      </c>
      <c r="K135" s="896"/>
      <c r="L135" s="896" t="s">
        <v>2</v>
      </c>
      <c r="M135" s="896"/>
      <c r="N135" s="897" t="s">
        <v>1200</v>
      </c>
      <c r="O135" s="897"/>
      <c r="P135" s="329"/>
      <c r="Q135" s="329"/>
      <c r="R135" s="330" t="s">
        <v>3</v>
      </c>
      <c r="S135" s="331" t="s">
        <v>136</v>
      </c>
      <c r="T135" s="329" t="s">
        <v>134</v>
      </c>
      <c r="U135" s="327" t="s">
        <v>135</v>
      </c>
      <c r="V135" s="329"/>
      <c r="W135" s="332" t="s">
        <v>26</v>
      </c>
    </row>
    <row r="136" spans="1:53" s="243" customFormat="1">
      <c r="A136" s="243">
        <v>1959</v>
      </c>
      <c r="B136" s="230">
        <f>(K6*($E6/365)) + (K7*($E7/365))</f>
        <v>0</v>
      </c>
      <c r="C136" s="230">
        <f>(L6*($E6/365)) + (L7*($E7/365))</f>
        <v>0</v>
      </c>
      <c r="D136" s="230">
        <f>(M6*($E6/365)) + (M7*($E7/365))</f>
        <v>100</v>
      </c>
      <c r="E136" s="231">
        <f>B136+C136+D136</f>
        <v>100</v>
      </c>
      <c r="G136" s="243">
        <v>1959</v>
      </c>
      <c r="H136" s="927">
        <f>(O6/$R6*100*($E6/365))+(O7/$R7*100*($E7/365))</f>
        <v>0</v>
      </c>
      <c r="I136" s="927"/>
      <c r="J136" s="927">
        <f>(P6/$R6*100*($E6/365))+(P7/$R7*100*($E7/365))</f>
        <v>0</v>
      </c>
      <c r="K136" s="927"/>
      <c r="L136" s="927">
        <f>(Q6/$R6*100*($E6/365))+(Q7/$R7*100*($E7/365))</f>
        <v>100</v>
      </c>
      <c r="M136" s="927"/>
      <c r="N136" s="926">
        <f>H136+J136+L136</f>
        <v>100</v>
      </c>
      <c r="O136" s="926"/>
      <c r="R136" s="243">
        <v>1959</v>
      </c>
      <c r="S136" s="230">
        <f>(O6*($E6/365)) + (O7*($E7/365))</f>
        <v>0</v>
      </c>
      <c r="T136" s="230">
        <f>(P6*($E6/365)) + (P7*($E7/365))</f>
        <v>0</v>
      </c>
      <c r="U136" s="230">
        <f>(Q6*($E6/365)) + (Q7*($E7/365))</f>
        <v>52</v>
      </c>
      <c r="V136" s="244"/>
      <c r="W136" s="244">
        <f>S136+T136+U136</f>
        <v>52</v>
      </c>
      <c r="AH136" s="250"/>
    </row>
    <row r="137" spans="1:53">
      <c r="A137" s="1">
        <v>1960</v>
      </c>
      <c r="B137" s="8">
        <f>(K8*($E8/366))+(K9*($E9/366))</f>
        <v>0</v>
      </c>
      <c r="C137" s="8">
        <f>(L8*($E8/366))+(L9*($E9/366))</f>
        <v>0</v>
      </c>
      <c r="D137" s="8">
        <f>(M8*($E8/366))+(M9*($E9/366))</f>
        <v>100</v>
      </c>
      <c r="E137" s="48">
        <f>B137+C137+D137</f>
        <v>100</v>
      </c>
      <c r="G137" s="1">
        <v>1960</v>
      </c>
      <c r="H137" s="918">
        <f>(O8/$R8*100*($E8/366))+(O9/$R9*100*($E9/366))</f>
        <v>0</v>
      </c>
      <c r="I137" s="918"/>
      <c r="J137" s="918">
        <f>(P8/$R8*100*($E8/366))+(P9/$R9*100*($E9/366))</f>
        <v>0</v>
      </c>
      <c r="K137" s="918"/>
      <c r="L137" s="918">
        <f>(Q8/$R8*100*($E8/366))+(Q9/$R9*100*($E9/366))</f>
        <v>100</v>
      </c>
      <c r="M137" s="918"/>
      <c r="N137" s="919">
        <f t="shared" ref="N137:N168" si="23">H137+J137+L137</f>
        <v>100</v>
      </c>
      <c r="O137" s="919"/>
      <c r="R137" s="1">
        <v>1960</v>
      </c>
      <c r="S137" s="8">
        <f>(O8*($E8/366))+(O9*($E9/366))</f>
        <v>0</v>
      </c>
      <c r="T137" s="8">
        <f>(P8*($E8/366))+(P9*($E9/366))</f>
        <v>0</v>
      </c>
      <c r="U137" s="8">
        <f>(Q8*($E8/366))+(Q9*($E9/366))</f>
        <v>52</v>
      </c>
      <c r="V137" s="7"/>
      <c r="W137" s="7">
        <f>S137+T137+U137</f>
        <v>52</v>
      </c>
    </row>
    <row r="138" spans="1:53">
      <c r="A138" s="1">
        <v>1961</v>
      </c>
      <c r="B138" s="8">
        <f>(K10*($E10/365))+(K11*($E11/365))</f>
        <v>0</v>
      </c>
      <c r="C138" s="8">
        <f>(L10*($E10/365))+(L11*($E11/365))</f>
        <v>0</v>
      </c>
      <c r="D138" s="8">
        <f>(M10*($E10/365))+(M11*($E11/365))</f>
        <v>100</v>
      </c>
      <c r="E138" s="48">
        <f t="shared" ref="E138:E190" si="24">B138+C138+D138</f>
        <v>100</v>
      </c>
      <c r="G138" s="1">
        <v>1961</v>
      </c>
      <c r="H138" s="918">
        <f>(O10/$R10*100*($E10/365))+(O11/$R11*100*($E11/365))</f>
        <v>0</v>
      </c>
      <c r="I138" s="918"/>
      <c r="J138" s="918">
        <f>(P10/$R10*100*($E10/365))+(P11/$R11*100*($E11/365))</f>
        <v>0</v>
      </c>
      <c r="K138" s="918"/>
      <c r="L138" s="918">
        <f>(Q10/$R10*100*($E10/365))+(Q11/$R11*100*($E11/365))</f>
        <v>100</v>
      </c>
      <c r="M138" s="918"/>
      <c r="N138" s="887">
        <f t="shared" si="23"/>
        <v>100</v>
      </c>
      <c r="O138" s="887"/>
      <c r="R138" s="1">
        <v>1961</v>
      </c>
      <c r="S138" s="8">
        <f>(O10*($E10/365))+(O11*($E11/365))</f>
        <v>0</v>
      </c>
      <c r="T138" s="8">
        <f>(P10*($E10/365))+(P11*($E11/365))</f>
        <v>0</v>
      </c>
      <c r="U138" s="8">
        <f>(Q10*($E10/365))+(Q11*($E11/365))</f>
        <v>51.171506849315072</v>
      </c>
      <c r="V138" s="7"/>
      <c r="W138" s="7">
        <f t="shared" ref="W138:W190" si="25">S138+T138+U138</f>
        <v>51.171506849315072</v>
      </c>
    </row>
    <row r="139" spans="1:53">
      <c r="A139" s="1">
        <v>1962</v>
      </c>
      <c r="B139" s="8">
        <f>(K12*($E12/365))+(K13*($E13/365))</f>
        <v>0</v>
      </c>
      <c r="C139" s="8">
        <f>(L12*($E12/365))+(L13*($E13/365))</f>
        <v>0</v>
      </c>
      <c r="D139" s="8">
        <f>(M12*($E12/365))+(M13*($E13/365))</f>
        <v>100</v>
      </c>
      <c r="E139" s="48">
        <f t="shared" si="24"/>
        <v>100</v>
      </c>
      <c r="G139" s="1">
        <v>1962</v>
      </c>
      <c r="H139" s="918">
        <f>(O12/$R12*100*($E12/365))+(O13/$R13*100*($E13/365))</f>
        <v>0</v>
      </c>
      <c r="I139" s="918"/>
      <c r="J139" s="918">
        <f>(P12/$R12*100*($E12/365))+(P13/$R13*100*($E13/365))</f>
        <v>0</v>
      </c>
      <c r="K139" s="918"/>
      <c r="L139" s="918">
        <f>(Q12/$R12*100*($E12/365))+(Q13/$R13*100*($E13/365))</f>
        <v>100</v>
      </c>
      <c r="M139" s="918"/>
      <c r="N139" s="887">
        <f t="shared" si="23"/>
        <v>100</v>
      </c>
      <c r="O139" s="887"/>
      <c r="R139" s="1">
        <v>1962</v>
      </c>
      <c r="S139" s="8">
        <f>(O12*($E12/365))+(O13*($E13/365))</f>
        <v>0</v>
      </c>
      <c r="T139" s="8">
        <f>(P12*($E12/365))+(P13*($E13/365))</f>
        <v>0</v>
      </c>
      <c r="U139" s="8">
        <f>(Q12*($E12/365))+(Q13*($E13/365))</f>
        <v>49.3</v>
      </c>
      <c r="V139" s="7"/>
      <c r="W139" s="7">
        <f t="shared" si="25"/>
        <v>49.3</v>
      </c>
    </row>
    <row r="140" spans="1:53">
      <c r="A140" s="1">
        <v>1963</v>
      </c>
      <c r="B140" s="8">
        <f>(K14*($E14/365))+(K15*($E15/365))+(K16*($E16/365))</f>
        <v>4.0913242009132427</v>
      </c>
      <c r="C140" s="8">
        <f>(L14*($E14/365))+(L15*($E15/365))+(L16*($E16/365))</f>
        <v>3.5799086757990866</v>
      </c>
      <c r="D140" s="8">
        <f>(M14*($E14/365))+(M15*($E15/365))+(M16*($E16/365))</f>
        <v>92.328767123287662</v>
      </c>
      <c r="E140" s="48">
        <f t="shared" si="24"/>
        <v>99.999999999999986</v>
      </c>
      <c r="G140" s="1">
        <v>1963</v>
      </c>
      <c r="H140" s="918">
        <f>(O14/$R14*100*($E14/365))+(O15/$R15*100*($E15/365))+(O16/$R16*100*($E16/365))</f>
        <v>4.4502486870988367</v>
      </c>
      <c r="I140" s="918"/>
      <c r="J140" s="918">
        <f>(P14/$R14*100*($E14/365))+(P15/$R15*100*($E15/365))+(P16/$R16*100*($E16/365))</f>
        <v>3.2209841896134934</v>
      </c>
      <c r="K140" s="918"/>
      <c r="L140" s="918">
        <f>(Q14/$R14*100*($E14/365))+(Q15/$R15*100*($E15/365))+(Q16/$R16*100*($E16/365))</f>
        <v>92.328767123287662</v>
      </c>
      <c r="M140" s="918"/>
      <c r="N140" s="887">
        <f t="shared" si="23"/>
        <v>99.999999999999986</v>
      </c>
      <c r="O140" s="887"/>
      <c r="R140" s="1">
        <v>1963</v>
      </c>
      <c r="S140" s="8">
        <f>(O14*($E14/365))+(O15*($E15/365))+(O16*($E16/365))</f>
        <v>2.1939726027397262</v>
      </c>
      <c r="T140" s="8">
        <f>(P14*($E14/365))+(P15*($E15/365))+(P16*($E16/365))</f>
        <v>1.5879452054794521</v>
      </c>
      <c r="U140" s="8">
        <f>(Q14*($E14/365))+(Q15*($E15/365))+(Q16*($E16/365))</f>
        <v>45.51808219178082</v>
      </c>
      <c r="V140" s="7"/>
      <c r="W140" s="7">
        <f t="shared" si="25"/>
        <v>49.3</v>
      </c>
    </row>
    <row r="141" spans="1:53">
      <c r="A141" s="1">
        <v>1964</v>
      </c>
      <c r="B141" s="8">
        <f>(K17*($E17/366))+(K18*($E18/366))</f>
        <v>0</v>
      </c>
      <c r="C141" s="8">
        <f>(L17*($E17/366))+(L18*($E18/366))</f>
        <v>0</v>
      </c>
      <c r="D141" s="8">
        <f>(M17*($E17/366))+(M18*($E18/366))</f>
        <v>100</v>
      </c>
      <c r="E141" s="48">
        <f t="shared" si="24"/>
        <v>100</v>
      </c>
      <c r="G141" s="1">
        <v>1964</v>
      </c>
      <c r="H141" s="918">
        <f>(O17/$R17*100*($E17/366))+(O18/$R18*100*($E18/366))</f>
        <v>0</v>
      </c>
      <c r="I141" s="918"/>
      <c r="J141" s="918">
        <f>(P17/$R17*100*($E17/366))+(P18/$R18*100*($E18/366))</f>
        <v>0</v>
      </c>
      <c r="K141" s="918"/>
      <c r="L141" s="918">
        <f>(Q17/$R17*100*($E17/366))+(Q18/$R18*100*($E18/366))</f>
        <v>100</v>
      </c>
      <c r="M141" s="918"/>
      <c r="N141" s="887">
        <f t="shared" si="23"/>
        <v>100</v>
      </c>
      <c r="O141" s="887"/>
      <c r="R141" s="1">
        <v>1964</v>
      </c>
      <c r="S141" s="8">
        <f>(O17*($E17/366))+(O18*($E18/366))</f>
        <v>0</v>
      </c>
      <c r="T141" s="8">
        <f>(P17*($E17/366))+(P18*($E18/366))</f>
        <v>0</v>
      </c>
      <c r="U141" s="8">
        <f>(Q17*($E17/366))+(Q18*($E18/366))</f>
        <v>49.3</v>
      </c>
      <c r="V141" s="7"/>
      <c r="W141" s="7">
        <f t="shared" si="25"/>
        <v>49.3</v>
      </c>
    </row>
    <row r="142" spans="1:53">
      <c r="A142" s="1">
        <v>1965</v>
      </c>
      <c r="B142" s="8">
        <f>(K19*($E19/365))+(K20*($E20/365))</f>
        <v>13.479452054794519</v>
      </c>
      <c r="C142" s="8">
        <f>(L19*($E19/365))+(L20*($E20/365))</f>
        <v>8.9863013698630141</v>
      </c>
      <c r="D142" s="8">
        <f>(M19*($E19/365))+(M20*($E20/365))</f>
        <v>77.534246575342465</v>
      </c>
      <c r="E142" s="48">
        <f t="shared" si="24"/>
        <v>100</v>
      </c>
      <c r="G142" s="1">
        <v>1965</v>
      </c>
      <c r="H142" s="918">
        <f>(O19/$R19*100*($E19/365))+(O20/$R20*100*($E20/365))</f>
        <v>13.757118670155455</v>
      </c>
      <c r="I142" s="918"/>
      <c r="J142" s="918">
        <f>(P19/$R19*100*($E19/365))+(P20/$R20*100*($E20/365))</f>
        <v>8.708634754502075</v>
      </c>
      <c r="K142" s="918"/>
      <c r="L142" s="918">
        <f>(Q19/$R19*100*($E19/365))+(Q20/$R20*100*($E20/365))</f>
        <v>77.534246575342465</v>
      </c>
      <c r="M142" s="918"/>
      <c r="N142" s="887">
        <f t="shared" si="23"/>
        <v>100</v>
      </c>
      <c r="O142" s="887"/>
      <c r="R142" s="1">
        <v>1965</v>
      </c>
      <c r="S142" s="8">
        <f>(O19*($E19/365))+(O20*($E20/365))</f>
        <v>7.3463013698630144</v>
      </c>
      <c r="T142" s="8">
        <f>(P19*($E19/365))+(P20*($E20/365))</f>
        <v>4.6504109589041089</v>
      </c>
      <c r="U142" s="8">
        <f>(Q19*($E19/365))+(Q20*($E20/365))</f>
        <v>38.224383561643833</v>
      </c>
      <c r="V142" s="7"/>
      <c r="W142" s="7">
        <f t="shared" si="25"/>
        <v>50.221095890410957</v>
      </c>
    </row>
    <row r="143" spans="1:53">
      <c r="A143" s="1">
        <v>1966</v>
      </c>
      <c r="B143" s="8">
        <f>(K21*($E21/365))+(K22*($E22/365))</f>
        <v>60</v>
      </c>
      <c r="C143" s="8">
        <f>(L21*($E21/365))+(L22*($E22/365))</f>
        <v>40</v>
      </c>
      <c r="D143" s="8">
        <f>(M21*($E21/365))+(M22*($E22/365))</f>
        <v>0</v>
      </c>
      <c r="E143" s="48">
        <f t="shared" si="24"/>
        <v>100</v>
      </c>
      <c r="G143" s="1">
        <v>1966</v>
      </c>
      <c r="H143" s="918">
        <f>(O21/$R21*100*($E21/365))+(O22/$R22*100*($E22/365))</f>
        <v>61.235955056179769</v>
      </c>
      <c r="I143" s="918"/>
      <c r="J143" s="918">
        <f>(P21/$R21*100*($E21/365))+(P22/$R22*100*($E22/365))</f>
        <v>38.764044943820217</v>
      </c>
      <c r="K143" s="918"/>
      <c r="L143" s="918">
        <f>(Q21/$R21*100*($E21/365))+(Q22/$R22*100*($E22/365))</f>
        <v>0</v>
      </c>
      <c r="M143" s="918"/>
      <c r="N143" s="887">
        <f t="shared" si="23"/>
        <v>99.999999999999986</v>
      </c>
      <c r="O143" s="887"/>
      <c r="R143" s="1">
        <v>1966</v>
      </c>
      <c r="S143" s="8">
        <f>(O21*($E21/365))+(O22*($E22/365))</f>
        <v>32.700000000000003</v>
      </c>
      <c r="T143" s="8">
        <f>(P21*($E21/365))+(P22*($E22/365))</f>
        <v>20.7</v>
      </c>
      <c r="U143" s="8">
        <f>(Q21*($E21/365))+(Q22*($E22/365))</f>
        <v>0</v>
      </c>
      <c r="V143" s="7"/>
      <c r="W143" s="7">
        <f t="shared" si="25"/>
        <v>53.400000000000006</v>
      </c>
    </row>
    <row r="144" spans="1:53">
      <c r="A144" s="1">
        <v>1967</v>
      </c>
      <c r="B144" s="8">
        <f>(K23*($E23/365))+(K24*($E24/365))</f>
        <v>60</v>
      </c>
      <c r="C144" s="8">
        <f>(L23*($E23/365))+(L24*($E24/365))</f>
        <v>40</v>
      </c>
      <c r="D144" s="8">
        <f>(M23*($E23/365))+(M24*($E24/365))</f>
        <v>0</v>
      </c>
      <c r="E144" s="48">
        <f t="shared" si="24"/>
        <v>100</v>
      </c>
      <c r="G144" s="1">
        <v>1967</v>
      </c>
      <c r="H144" s="918">
        <f>(O23/$R23*100*($E23/365))+(O24/$R24*100*($E24/365))</f>
        <v>61.235955056179769</v>
      </c>
      <c r="I144" s="918"/>
      <c r="J144" s="918">
        <f>(P23/$R23*100*($E23/365))+(P24/$R24*100*($E24/365))</f>
        <v>38.764044943820217</v>
      </c>
      <c r="K144" s="918"/>
      <c r="L144" s="918">
        <f>(Q23/$R23*100*($E23/365))+(Q24/$R24*100*($E24/365))</f>
        <v>0</v>
      </c>
      <c r="M144" s="918"/>
      <c r="N144" s="887">
        <f t="shared" si="23"/>
        <v>99.999999999999986</v>
      </c>
      <c r="O144" s="887"/>
      <c r="R144" s="1">
        <v>1967</v>
      </c>
      <c r="S144" s="8">
        <f>(O23*($E23/365))+(O24*($E24/365))</f>
        <v>32.700000000000003</v>
      </c>
      <c r="T144" s="8">
        <f>(P23*($E23/365))+(P24*($E24/365))</f>
        <v>20.7</v>
      </c>
      <c r="U144" s="8">
        <f>(Q23*($E23/365))+(Q24*($E24/365))</f>
        <v>0</v>
      </c>
      <c r="V144" s="7"/>
      <c r="W144" s="7">
        <f t="shared" si="25"/>
        <v>53.400000000000006</v>
      </c>
    </row>
    <row r="145" spans="1:23">
      <c r="A145" s="1">
        <v>1968</v>
      </c>
      <c r="B145" s="8">
        <f>(K25*($E25/366))+(K26*($E26/366))</f>
        <v>60</v>
      </c>
      <c r="C145" s="8">
        <f>(L25*($E25/366))+(L26*($E26/366))</f>
        <v>40</v>
      </c>
      <c r="D145" s="8">
        <f>(M25*($E25/366))+(M26*($E26/366))</f>
        <v>0</v>
      </c>
      <c r="E145" s="48">
        <f t="shared" si="24"/>
        <v>100</v>
      </c>
      <c r="G145" s="1">
        <v>1968</v>
      </c>
      <c r="H145" s="918">
        <f>(O25/$R25*100*($E25/366))+(O26/$R26*100*($E26/366))</f>
        <v>61.235955056179769</v>
      </c>
      <c r="I145" s="918"/>
      <c r="J145" s="918">
        <f>(P25/$R25*100*($E25/366))+(P26/$R26*100*($E26/366))</f>
        <v>38.764044943820217</v>
      </c>
      <c r="K145" s="918"/>
      <c r="L145" s="918">
        <f>(Q25/$R25*100*($E25/366))+(Q26/$R26*100*($E26/366))</f>
        <v>0</v>
      </c>
      <c r="M145" s="918"/>
      <c r="N145" s="887">
        <f t="shared" si="23"/>
        <v>99.999999999999986</v>
      </c>
      <c r="O145" s="887"/>
      <c r="R145" s="1">
        <v>1968</v>
      </c>
      <c r="S145" s="8">
        <f>(O25*($E25/366))+(O26*($E26/366))</f>
        <v>32.700000000000003</v>
      </c>
      <c r="T145" s="8">
        <f>(P25*($E25/366))+(P26*($E26/366))</f>
        <v>20.7</v>
      </c>
      <c r="U145" s="8">
        <f>(Q25*($E25/366))+(Q26*($E26/366))</f>
        <v>0</v>
      </c>
      <c r="V145" s="7"/>
      <c r="W145" s="7">
        <f t="shared" si="25"/>
        <v>53.400000000000006</v>
      </c>
    </row>
    <row r="146" spans="1:23">
      <c r="A146" s="1">
        <v>1969</v>
      </c>
      <c r="B146" s="8">
        <f>(K27*($E27/365))+(K28*($E28/365))</f>
        <v>60</v>
      </c>
      <c r="C146" s="8">
        <f>(L27*($E27/365))+(L28*($E28/365))</f>
        <v>40</v>
      </c>
      <c r="D146" s="8">
        <f>(M27*($E27/365))+(M28*($E28/365))</f>
        <v>0</v>
      </c>
      <c r="E146" s="48">
        <f t="shared" si="24"/>
        <v>100</v>
      </c>
      <c r="G146" s="1">
        <v>1969</v>
      </c>
      <c r="H146" s="918">
        <f>(O27/$R27*100*($E27/365))+(O28/$R28*100*($E28/365))</f>
        <v>59.360890797272802</v>
      </c>
      <c r="I146" s="918"/>
      <c r="J146" s="918">
        <f>(P27/$R27*100*($E27/365))+(P28/$R28*100*($E28/365))</f>
        <v>40.639109202727191</v>
      </c>
      <c r="K146" s="918"/>
      <c r="L146" s="918">
        <f>(Q27/$R27*100*($E27/365))+(Q28/$R28*100*($E28/365))</f>
        <v>0</v>
      </c>
      <c r="M146" s="918"/>
      <c r="N146" s="887">
        <f t="shared" si="23"/>
        <v>100</v>
      </c>
      <c r="O146" s="887"/>
      <c r="R146" s="1">
        <v>1969</v>
      </c>
      <c r="S146" s="8">
        <f>(O27*($E27/365))+(O28*($E28/365))</f>
        <v>31.206301369863017</v>
      </c>
      <c r="T146" s="8">
        <f>(P27*($E27/365))+(P28*($E28/365))</f>
        <v>21.303835616438356</v>
      </c>
      <c r="U146" s="8">
        <f>(Q27*($E27/365))+(Q28*($E28/365))</f>
        <v>0</v>
      </c>
      <c r="V146" s="7"/>
      <c r="W146" s="7">
        <f t="shared" si="25"/>
        <v>52.510136986301376</v>
      </c>
    </row>
    <row r="147" spans="1:23">
      <c r="A147" s="1">
        <v>1970</v>
      </c>
      <c r="B147" s="8">
        <f>(K29*($E29/365))+(K30*($E30/365))</f>
        <v>60</v>
      </c>
      <c r="C147" s="8">
        <f>(L29*($E29/365))+(L30*($E30/365))</f>
        <v>40</v>
      </c>
      <c r="D147" s="8">
        <f>(M29*($E29/365))+(M30*($E30/365))</f>
        <v>0</v>
      </c>
      <c r="E147" s="48">
        <f t="shared" si="24"/>
        <v>100</v>
      </c>
      <c r="G147" s="1">
        <v>1970</v>
      </c>
      <c r="H147" s="918">
        <f>(O29/$R29*100*($E29/365))+(O30/$R30*100*($E30/365))</f>
        <v>55.335968379446641</v>
      </c>
      <c r="I147" s="918"/>
      <c r="J147" s="918">
        <f>(P29/$R29*100*($E29/365))+(P30/$R30*100*($E30/365))</f>
        <v>44.664031620553359</v>
      </c>
      <c r="K147" s="918"/>
      <c r="L147" s="918">
        <f>(Q29/$R29*100*($E29/365))+(Q30/$R30*100*($E30/365))</f>
        <v>0</v>
      </c>
      <c r="M147" s="918"/>
      <c r="N147" s="887">
        <f t="shared" si="23"/>
        <v>100</v>
      </c>
      <c r="O147" s="887"/>
      <c r="R147" s="1">
        <v>1970</v>
      </c>
      <c r="S147" s="8">
        <f>(O29*($E29/365))+(O30*($E30/365))</f>
        <v>28</v>
      </c>
      <c r="T147" s="8">
        <f>(P29*($E29/365))+(P30*($E30/365))</f>
        <v>22.6</v>
      </c>
      <c r="U147" s="8">
        <f>(Q29*($E29/365))+(Q30*($E30/365))</f>
        <v>0</v>
      </c>
      <c r="V147" s="7"/>
      <c r="W147" s="7">
        <f t="shared" si="25"/>
        <v>50.6</v>
      </c>
    </row>
    <row r="148" spans="1:23">
      <c r="A148" s="1">
        <v>1971</v>
      </c>
      <c r="B148" s="8">
        <f>(K31*($E31/365))+(K32*($E32/365))</f>
        <v>11.671232876712329</v>
      </c>
      <c r="C148" s="8">
        <f>(L31*($E31/365))+(L32*($E32/365))</f>
        <v>7.7808219178082192</v>
      </c>
      <c r="D148" s="8">
        <f>(M31*($E31/365))+(M32*($E32/365))</f>
        <v>80.547945205479451</v>
      </c>
      <c r="E148" s="48">
        <f t="shared" si="24"/>
        <v>100</v>
      </c>
      <c r="G148" s="1">
        <v>1971</v>
      </c>
      <c r="H148" s="918">
        <f>(O31/$R31*100*($E31/365))+(O32/$R32*100*($E32/365))</f>
        <v>10.763982890248524</v>
      </c>
      <c r="I148" s="918"/>
      <c r="J148" s="918">
        <f>(P31/$R31*100*($E31/365))+(P32/$R32*100*($E32/365))</f>
        <v>8.6880719042720234</v>
      </c>
      <c r="K148" s="918"/>
      <c r="L148" s="918">
        <f>(Q31/$R31*100*($E31/365))+(Q32/$R32*100*($E32/365))</f>
        <v>80.547945205479451</v>
      </c>
      <c r="M148" s="918"/>
      <c r="N148" s="887">
        <f t="shared" si="23"/>
        <v>100</v>
      </c>
      <c r="O148" s="887"/>
      <c r="R148" s="1">
        <v>1971</v>
      </c>
      <c r="S148" s="8">
        <f>(O31*($E31/365))+(O32*($E32/365))</f>
        <v>5.4465753424657537</v>
      </c>
      <c r="T148" s="8">
        <f>(P31*($E31/365))+(P32*($E32/365))</f>
        <v>4.3961643835616444</v>
      </c>
      <c r="U148" s="8">
        <f>(Q31*($E31/365))+(Q32*($E32/365))</f>
        <v>39.710136986301372</v>
      </c>
      <c r="V148" s="7"/>
      <c r="W148" s="7">
        <f t="shared" si="25"/>
        <v>49.552876712328768</v>
      </c>
    </row>
    <row r="149" spans="1:23">
      <c r="A149" s="1">
        <v>1972</v>
      </c>
      <c r="B149" s="8">
        <f>(K33*($E33/366))+(K34*($E34/366))</f>
        <v>6.830601092896174</v>
      </c>
      <c r="C149" s="8">
        <f>(L33*($E33/366))+(L34*($E34/366))</f>
        <v>13.661202185792348</v>
      </c>
      <c r="D149" s="8">
        <f>(M33*($E33/366))+(M34*($E34/366))</f>
        <v>79.508196721311478</v>
      </c>
      <c r="E149" s="48">
        <f t="shared" si="24"/>
        <v>100</v>
      </c>
      <c r="G149" s="1">
        <v>1972</v>
      </c>
      <c r="H149" s="918">
        <f>(O33/$R33*100*($E33/366))+(O34/$R34*100*($E34/366))</f>
        <v>5.6958047451945726</v>
      </c>
      <c r="I149" s="918"/>
      <c r="J149" s="918">
        <f>(P33/$R33*100*($E33/366))+(P34/$R34*100*($E34/366))</f>
        <v>14.795998533493954</v>
      </c>
      <c r="K149" s="918"/>
      <c r="L149" s="918">
        <f>(Q33/$R33*100*($E33/366))+(Q34/$R34*100*($E34/366))</f>
        <v>79.508196721311478</v>
      </c>
      <c r="M149" s="918"/>
      <c r="N149" s="887">
        <f t="shared" si="23"/>
        <v>100</v>
      </c>
      <c r="O149" s="887"/>
      <c r="R149" s="1">
        <v>1972</v>
      </c>
      <c r="S149" s="8">
        <f>(O33*($E33/366))+(O34*($E34/366))</f>
        <v>1.7827868852459015</v>
      </c>
      <c r="T149" s="8">
        <f>(P33*($E33/366))+(P34*($E34/366))</f>
        <v>4.6311475409836067</v>
      </c>
      <c r="U149" s="8">
        <f>(Q33*($E33/366))+(Q34*($E34/366))</f>
        <v>39.197540983606558</v>
      </c>
      <c r="V149" s="7"/>
      <c r="W149" s="7">
        <f t="shared" si="25"/>
        <v>45.611475409836068</v>
      </c>
    </row>
    <row r="150" spans="1:23">
      <c r="A150" s="1">
        <v>1973</v>
      </c>
      <c r="B150" s="8">
        <f>(K35*($E35/365))+(K36*($E36/365))</f>
        <v>26.301369863013694</v>
      </c>
      <c r="C150" s="8">
        <f>(L35*($E35/365))+(L36*($E36/365))</f>
        <v>52.602739726027387</v>
      </c>
      <c r="D150" s="8">
        <f>(M35*($E35/365))+(M36*($E36/365))</f>
        <v>21.095890410958905</v>
      </c>
      <c r="E150" s="48">
        <f t="shared" si="24"/>
        <v>99.999999999999986</v>
      </c>
      <c r="G150" s="1">
        <v>1973</v>
      </c>
      <c r="H150" s="918">
        <f>(O35/$R35*100*($E35/365))+(O36/$R36*100*($E36/365))</f>
        <v>21.931813208455505</v>
      </c>
      <c r="I150" s="918"/>
      <c r="J150" s="918">
        <f>(P35/$R35*100*($E35/365))+(P36/$R36*100*($E36/365))</f>
        <v>56.97229638058559</v>
      </c>
      <c r="K150" s="918"/>
      <c r="L150" s="918">
        <f>(Q35/$R35*100*($E35/365))+(Q36/$R36*100*($E36/365))</f>
        <v>21.095890410958905</v>
      </c>
      <c r="M150" s="918"/>
      <c r="N150" s="887">
        <f t="shared" si="23"/>
        <v>100</v>
      </c>
      <c r="O150" s="887"/>
      <c r="R150" s="1">
        <v>1973</v>
      </c>
      <c r="S150" s="8">
        <f>(O35*($E35/365))+(O36*($E36/365))</f>
        <v>6.8646575342465743</v>
      </c>
      <c r="T150" s="8">
        <f>(P35*($E35/365))+(P36*($E36/365))</f>
        <v>17.83232876712329</v>
      </c>
      <c r="U150" s="8">
        <f>(Q35*($E35/365))+(Q36*($E36/365))</f>
        <v>8.4383561643835616</v>
      </c>
      <c r="V150" s="7"/>
      <c r="W150" s="7">
        <f t="shared" si="25"/>
        <v>33.135342465753425</v>
      </c>
    </row>
    <row r="151" spans="1:23">
      <c r="A151" s="1">
        <v>1974</v>
      </c>
      <c r="B151" s="8">
        <f>(K37*($E37/365))+(K38*($E38/365))</f>
        <v>0</v>
      </c>
      <c r="C151" s="8">
        <f>(L37*($E37/365))+(L38*($E38/365))</f>
        <v>0</v>
      </c>
      <c r="D151" s="8">
        <f>(M37*($E37/365))+(M38*($E38/365))</f>
        <v>100</v>
      </c>
      <c r="E151" s="48">
        <f t="shared" si="24"/>
        <v>100</v>
      </c>
      <c r="G151" s="1">
        <v>1974</v>
      </c>
      <c r="H151" s="918">
        <f>(O37/$R37*100*($E37/365))+(O38/$R38*100*($E38/365))</f>
        <v>0</v>
      </c>
      <c r="I151" s="918"/>
      <c r="J151" s="918">
        <f>(P37/$R37*100*($E37/365))+(P38/$R38*100*($E38/365))</f>
        <v>0</v>
      </c>
      <c r="K151" s="918"/>
      <c r="L151" s="918">
        <f>(Q37/$R37*100*($E37/365))+(Q38/$R38*100*($E38/365))</f>
        <v>100</v>
      </c>
      <c r="M151" s="918"/>
      <c r="N151" s="887">
        <f t="shared" si="23"/>
        <v>100</v>
      </c>
      <c r="O151" s="887"/>
      <c r="R151" s="1">
        <v>1974</v>
      </c>
      <c r="S151" s="8">
        <f>(O37*($E37/365))+(O38*($E38/365))</f>
        <v>0</v>
      </c>
      <c r="T151" s="8">
        <f>(P37*($E37/365))+(P38*($E38/365))</f>
        <v>0</v>
      </c>
      <c r="U151" s="8">
        <f>(Q37*($E37/365))+(Q38*($E38/365))</f>
        <v>40</v>
      </c>
      <c r="V151" s="7"/>
      <c r="W151" s="7">
        <f t="shared" si="25"/>
        <v>40</v>
      </c>
    </row>
    <row r="152" spans="1:23">
      <c r="A152" s="1">
        <v>1975</v>
      </c>
      <c r="B152" s="8">
        <f>(K39*($E39/365))+(K40*($E40/365))</f>
        <v>0</v>
      </c>
      <c r="C152" s="8">
        <f>(L39*($E39/365))+(L40*($E40/365))</f>
        <v>0</v>
      </c>
      <c r="D152" s="8">
        <f>(M39*($E39/365))+(M40*($E40/365))</f>
        <v>100</v>
      </c>
      <c r="E152" s="48">
        <f t="shared" si="24"/>
        <v>100</v>
      </c>
      <c r="G152" s="1">
        <v>1975</v>
      </c>
      <c r="H152" s="918">
        <f>(O39/$R39*100*($E39/365))+(O40/$R40*100*($E40/365))</f>
        <v>0</v>
      </c>
      <c r="I152" s="918"/>
      <c r="J152" s="918">
        <f>(P39/$R39*100*($E39/365))+(P40/$R40*100*($E40/365))</f>
        <v>0</v>
      </c>
      <c r="K152" s="918"/>
      <c r="L152" s="918">
        <f>(Q39/$R39*100*($E39/365))+(Q40/$R40*100*($E40/365))</f>
        <v>100</v>
      </c>
      <c r="M152" s="918"/>
      <c r="N152" s="887">
        <f t="shared" si="23"/>
        <v>100</v>
      </c>
      <c r="O152" s="887"/>
      <c r="R152" s="1">
        <v>1975</v>
      </c>
      <c r="S152" s="8">
        <f>(O39*($E39/365))+(O40*($E40/365))</f>
        <v>0</v>
      </c>
      <c r="T152" s="8">
        <f>(P39*($E39/365))+(P40*($E40/365))</f>
        <v>0</v>
      </c>
      <c r="U152" s="8">
        <f>(Q39*($E39/365))+(Q40*($E40/365))</f>
        <v>40</v>
      </c>
      <c r="V152" s="7"/>
      <c r="W152" s="7">
        <f t="shared" si="25"/>
        <v>40</v>
      </c>
    </row>
    <row r="153" spans="1:23">
      <c r="A153" s="1">
        <v>1976</v>
      </c>
      <c r="B153" s="8">
        <f>(K41*($E41/366))+(K42*($E42/366))</f>
        <v>0</v>
      </c>
      <c r="C153" s="8">
        <f>(L41*($E41/366))+(L42*($E42/366))</f>
        <v>0</v>
      </c>
      <c r="D153" s="8">
        <f>(M41*($E41/366))+(M42*($E42/366))</f>
        <v>100</v>
      </c>
      <c r="E153" s="48">
        <f t="shared" si="24"/>
        <v>100</v>
      </c>
      <c r="G153" s="1">
        <v>1976</v>
      </c>
      <c r="H153" s="918">
        <f>(O41/$R41*100*($E41/366))+(O42/$R42*100*($E42/366))</f>
        <v>0</v>
      </c>
      <c r="I153" s="918"/>
      <c r="J153" s="918">
        <f>(P41/$R41*100*($E41/366))+(P42/$R42*100*($E42/366))</f>
        <v>0</v>
      </c>
      <c r="K153" s="918"/>
      <c r="L153" s="918">
        <f>(Q41/$R41*100*($E41/366))+(Q42/$R42*100*($E42/366))</f>
        <v>100</v>
      </c>
      <c r="M153" s="918"/>
      <c r="N153" s="887">
        <f t="shared" si="23"/>
        <v>100</v>
      </c>
      <c r="O153" s="887"/>
      <c r="R153" s="1">
        <v>1976</v>
      </c>
      <c r="S153" s="8">
        <f>(O41*($E41/366))+(O42*($E42/366))</f>
        <v>0</v>
      </c>
      <c r="T153" s="8">
        <f>(P41*($E41/366))+(P42*($E42/366))</f>
        <v>0</v>
      </c>
      <c r="U153" s="8">
        <f>(Q41*($E41/366))+(Q42*($E42/366))</f>
        <v>39.999999999999993</v>
      </c>
      <c r="V153" s="7"/>
      <c r="W153" s="7">
        <f t="shared" si="25"/>
        <v>39.999999999999993</v>
      </c>
    </row>
    <row r="154" spans="1:23">
      <c r="A154" s="1">
        <v>1977</v>
      </c>
      <c r="B154" s="8">
        <f>(K43*($E43/365))+(K44*($E44/365))</f>
        <v>0</v>
      </c>
      <c r="C154" s="8">
        <f>(L43*($E43/365))+(L44*($E44/365))</f>
        <v>0</v>
      </c>
      <c r="D154" s="8">
        <f>(M43*($E43/365))+(M44*($E44/365))</f>
        <v>100</v>
      </c>
      <c r="E154" s="48">
        <f t="shared" si="24"/>
        <v>100</v>
      </c>
      <c r="G154" s="1">
        <v>1977</v>
      </c>
      <c r="H154" s="918">
        <f>(O43/$R43*100*($E43/365))+(O44/$R44*100*($E44/365))</f>
        <v>0</v>
      </c>
      <c r="I154" s="918"/>
      <c r="J154" s="918">
        <f>(P43/$R43*100*($E43/365))+(P44/$R44*100*($E44/365))</f>
        <v>0</v>
      </c>
      <c r="K154" s="918"/>
      <c r="L154" s="918">
        <f>(Q43/$R43*100*($E43/365))+(Q44/$R44*100*($E44/365))</f>
        <v>100</v>
      </c>
      <c r="M154" s="918"/>
      <c r="N154" s="887">
        <f t="shared" si="23"/>
        <v>100</v>
      </c>
      <c r="O154" s="887"/>
      <c r="R154" s="1">
        <v>1977</v>
      </c>
      <c r="S154" s="8">
        <f>(O43*($E43/365))+(O44*($E44/365))</f>
        <v>0</v>
      </c>
      <c r="T154" s="8">
        <f>(P43*($E43/365))+(P44*($E44/365))</f>
        <v>0</v>
      </c>
      <c r="U154" s="8">
        <f>(Q43*($E43/365))+(Q44*($E44/365))</f>
        <v>42.736986301369868</v>
      </c>
      <c r="V154" s="7"/>
      <c r="W154" s="7">
        <f t="shared" si="25"/>
        <v>42.736986301369868</v>
      </c>
    </row>
    <row r="155" spans="1:23">
      <c r="A155" s="1">
        <v>1978</v>
      </c>
      <c r="B155" s="8">
        <f>(K45*($E45/365))+(K46*($E46/365))</f>
        <v>0</v>
      </c>
      <c r="C155" s="8">
        <f>(L45*($E45/365))+(L46*($E46/365))</f>
        <v>0</v>
      </c>
      <c r="D155" s="8">
        <f>(M45*($E45/365))+(M46*($E46/365))</f>
        <v>100</v>
      </c>
      <c r="E155" s="48">
        <f t="shared" si="24"/>
        <v>100</v>
      </c>
      <c r="G155" s="1">
        <v>1978</v>
      </c>
      <c r="H155" s="918">
        <f>(O45/$R45*100*($E45/365))+(O46/$R46*100*($E46/365))</f>
        <v>0</v>
      </c>
      <c r="I155" s="918"/>
      <c r="J155" s="918">
        <f>(P45/$R45*100*($E45/365))+(P46/$R46*100*($E46/365))</f>
        <v>0</v>
      </c>
      <c r="K155" s="918"/>
      <c r="L155" s="918">
        <f>(Q45/$R45*100*($E45/365))+(Q46/$R46*100*($E46/365))</f>
        <v>100</v>
      </c>
      <c r="M155" s="918"/>
      <c r="N155" s="887">
        <f t="shared" si="23"/>
        <v>100</v>
      </c>
      <c r="O155" s="887"/>
      <c r="R155" s="1">
        <v>1978</v>
      </c>
      <c r="S155" s="8">
        <f>(O45*($E45/365))+(O46*($E46/365))</f>
        <v>0</v>
      </c>
      <c r="T155" s="8">
        <f>(P45*($E45/365))+(P46*($E46/365))</f>
        <v>0</v>
      </c>
      <c r="U155" s="8">
        <f>(Q45*($E45/365))+(Q46*($E46/365))</f>
        <v>49</v>
      </c>
      <c r="V155" s="7"/>
      <c r="W155" s="7">
        <f t="shared" si="25"/>
        <v>49</v>
      </c>
    </row>
    <row r="156" spans="1:23">
      <c r="A156" s="1">
        <v>1979</v>
      </c>
      <c r="B156" s="8">
        <f>(K47*($E47/365))+(K48*($E48/365))</f>
        <v>0</v>
      </c>
      <c r="C156" s="8">
        <f>(L47*($E47/365))+(L48*($E48/365))</f>
        <v>0</v>
      </c>
      <c r="D156" s="8">
        <f>(M47*($E47/365))+(M48*($E48/365))</f>
        <v>100</v>
      </c>
      <c r="E156" s="48">
        <f t="shared" si="24"/>
        <v>100</v>
      </c>
      <c r="G156" s="1">
        <v>1979</v>
      </c>
      <c r="H156" s="918">
        <f>(O47/$R47*100*($E47/365))+(O48/$R48*100*($E48/365))</f>
        <v>0</v>
      </c>
      <c r="I156" s="918"/>
      <c r="J156" s="918">
        <f>(P47/$R47*100*($E47/365))+(P48/$R48*100*($E48/365))</f>
        <v>0</v>
      </c>
      <c r="K156" s="918"/>
      <c r="L156" s="918">
        <f>(Q47/$R47*100*($E47/365))+(Q48/$R48*100*($E48/365))</f>
        <v>100</v>
      </c>
      <c r="M156" s="918"/>
      <c r="N156" s="887">
        <f t="shared" si="23"/>
        <v>100</v>
      </c>
      <c r="O156" s="887"/>
      <c r="R156" s="1">
        <v>1979</v>
      </c>
      <c r="S156" s="8">
        <f>(O47*($E47/365))+(O48*($E48/365))</f>
        <v>0</v>
      </c>
      <c r="T156" s="8">
        <f>(P47*($E47/365))+(P48*($E48/365))</f>
        <v>0</v>
      </c>
      <c r="U156" s="8">
        <f>(Q47*($E47/365))+(Q48*($E48/365))</f>
        <v>49</v>
      </c>
      <c r="V156" s="7"/>
      <c r="W156" s="7">
        <f t="shared" si="25"/>
        <v>49</v>
      </c>
    </row>
    <row r="157" spans="1:23">
      <c r="A157" s="1">
        <v>1980</v>
      </c>
      <c r="B157" s="8">
        <f>(K49*($E49/366))+(K50*($E50/366))</f>
        <v>0</v>
      </c>
      <c r="C157" s="8">
        <f>(L49*($E49/366))+(L50*($E50/366))</f>
        <v>0</v>
      </c>
      <c r="D157" s="8">
        <f>(M49*($E49/366))+(M50*($E50/366))</f>
        <v>100</v>
      </c>
      <c r="E157" s="48">
        <f t="shared" si="24"/>
        <v>100</v>
      </c>
      <c r="G157" s="1">
        <v>1980</v>
      </c>
      <c r="H157" s="918">
        <f>(O49/$R49*100*($E49/366))+(O50/$R50*100*($E50/366))</f>
        <v>0</v>
      </c>
      <c r="I157" s="918"/>
      <c r="J157" s="918">
        <f>(P49/$R49*100*($E49/366))+(P50/$R50*100*($E50/366))</f>
        <v>0</v>
      </c>
      <c r="K157" s="918"/>
      <c r="L157" s="918">
        <f>(Q49/$R49*100*($E49/366))+(Q50/$R50*100*($E50/366))</f>
        <v>100</v>
      </c>
      <c r="M157" s="918"/>
      <c r="N157" s="887">
        <f t="shared" si="23"/>
        <v>100</v>
      </c>
      <c r="O157" s="887"/>
      <c r="R157" s="1">
        <v>1980</v>
      </c>
      <c r="S157" s="8">
        <f>(O49*($E49/366))+(O50*($E50/366))</f>
        <v>0</v>
      </c>
      <c r="T157" s="8">
        <f>(P49*($E49/366))+(P50*($E50/366))</f>
        <v>0</v>
      </c>
      <c r="U157" s="8">
        <f>(Q49*($E49/366))+(Q50*($E50/366))</f>
        <v>49</v>
      </c>
      <c r="V157" s="7"/>
      <c r="W157" s="7">
        <f t="shared" si="25"/>
        <v>49</v>
      </c>
    </row>
    <row r="158" spans="1:23">
      <c r="A158" s="1">
        <v>1981</v>
      </c>
      <c r="B158" s="8">
        <f>(K51*($E51/365))+(K52*($E52/365))+(K53*($E53/365))</f>
        <v>21.643835616438356</v>
      </c>
      <c r="C158" s="8">
        <f>(L51*($E51/365))+(L52*($E52/365))+(L53*($E53/365))</f>
        <v>0</v>
      </c>
      <c r="D158" s="8">
        <f>(M51*($E51/365))+(M52*($E52/365))+(M53*($E53/365))</f>
        <v>78.356164383561648</v>
      </c>
      <c r="E158" s="48">
        <f t="shared" si="24"/>
        <v>100</v>
      </c>
      <c r="G158" s="1">
        <v>1981</v>
      </c>
      <c r="H158" s="918">
        <f>(O51/$R51*100*($E51/365))+(O52/$R52*100*($E52/365))+(O53/$R53*100*($E53/365))</f>
        <v>21.643835616438356</v>
      </c>
      <c r="I158" s="918"/>
      <c r="J158" s="918">
        <f>(P51/$R51*100*($E51/365))+(P52/$R52*100*($E52/365))+(P53/$R53*100*($E53/365))</f>
        <v>0</v>
      </c>
      <c r="K158" s="918"/>
      <c r="L158" s="918">
        <f>(Q51/$R51*100*($E51/365))+(Q52/$R52*100*($E52/365))+(Q53/$R53*100*($E53/365))</f>
        <v>78.356164383561648</v>
      </c>
      <c r="M158" s="918"/>
      <c r="N158" s="887">
        <f t="shared" si="23"/>
        <v>100</v>
      </c>
      <c r="O158" s="887"/>
      <c r="R158" s="1">
        <v>1981</v>
      </c>
      <c r="S158" s="8">
        <f>(O51*($E51/365))+(O52*($E52/365))+(O53*($E53/365))</f>
        <v>7.5320547945205476</v>
      </c>
      <c r="T158" s="8">
        <f>(P51*($E51/365))+(P52*($E52/365))+(P53*($E53/365))</f>
        <v>0</v>
      </c>
      <c r="U158" s="8">
        <f>(Q51*($E51/365))+(Q52*($E52/365))+(Q53*($E53/365))</f>
        <v>38.394520547945206</v>
      </c>
      <c r="V158" s="7"/>
      <c r="W158" s="7">
        <f t="shared" si="25"/>
        <v>45.926575342465753</v>
      </c>
    </row>
    <row r="159" spans="1:23">
      <c r="A159" s="1">
        <v>1982</v>
      </c>
      <c r="B159" s="8">
        <f>(K54*($E54/365))+(K55*($E55/365))</f>
        <v>100</v>
      </c>
      <c r="C159" s="8">
        <f>(L54*($E54/365))+(L55*($E55/365))</f>
        <v>0</v>
      </c>
      <c r="D159" s="8">
        <f>(M54*($E54/365))+(M55*($E55/365))</f>
        <v>0</v>
      </c>
      <c r="E159" s="48">
        <f t="shared" si="24"/>
        <v>100</v>
      </c>
      <c r="G159" s="1">
        <v>1982</v>
      </c>
      <c r="H159" s="918">
        <f>(O54/$R54*100*($E54/365))+(O55/$R55*100*($E55/365))</f>
        <v>100</v>
      </c>
      <c r="I159" s="918"/>
      <c r="J159" s="918">
        <f>(P54/$R54*100*($E54/365))+(P55/$R55*100*($E55/365))</f>
        <v>0</v>
      </c>
      <c r="K159" s="918"/>
      <c r="L159" s="918">
        <f>(Q54/$R54*100*($E54/365))+(Q55/$R55*100*($E55/365))</f>
        <v>0</v>
      </c>
      <c r="M159" s="918"/>
      <c r="N159" s="887">
        <f t="shared" si="23"/>
        <v>100</v>
      </c>
      <c r="O159" s="887"/>
      <c r="R159" s="1">
        <v>1982</v>
      </c>
      <c r="S159" s="8">
        <f>(O54*($E54/365))+(O55*($E55/365))</f>
        <v>34.799999999999997</v>
      </c>
      <c r="T159" s="8">
        <f>(P54*($E54/365))+(P55*($E55/365))</f>
        <v>0</v>
      </c>
      <c r="U159" s="8">
        <f>(Q54*($E54/365))+(Q55*($E55/365))</f>
        <v>0</v>
      </c>
      <c r="V159" s="7"/>
      <c r="W159" s="7">
        <f t="shared" si="25"/>
        <v>34.799999999999997</v>
      </c>
    </row>
    <row r="160" spans="1:23">
      <c r="A160" s="1">
        <v>1983</v>
      </c>
      <c r="B160" s="8">
        <f>(K56*($E56/365))+(K57*($E57/365))</f>
        <v>81.095890410958901</v>
      </c>
      <c r="C160" s="8">
        <f>(L56*($E56/365))+(L57*($E57/365))</f>
        <v>18.904109589041092</v>
      </c>
      <c r="D160" s="8">
        <f>(M56*($E56/365))+(M57*($E57/365))</f>
        <v>0</v>
      </c>
      <c r="E160" s="48">
        <f t="shared" si="24"/>
        <v>100</v>
      </c>
      <c r="G160" s="1">
        <v>1983</v>
      </c>
      <c r="H160" s="918">
        <f>(O56/$R56*100*($E56/365))+(O57/$R57*100*($E57/365))</f>
        <v>81.535520866517999</v>
      </c>
      <c r="I160" s="918"/>
      <c r="J160" s="918">
        <f>(P56/$R56*100*($E56/365))+(P57/$R57*100*($E57/365))</f>
        <v>18.464479133481998</v>
      </c>
      <c r="K160" s="918"/>
      <c r="L160" s="918">
        <f>(Q56/$R56*100*($E56/365))+(Q57/$R57*100*($E57/365))</f>
        <v>0</v>
      </c>
      <c r="M160" s="918"/>
      <c r="N160" s="887">
        <f t="shared" si="23"/>
        <v>100</v>
      </c>
      <c r="O160" s="887"/>
      <c r="R160" s="1">
        <v>1983</v>
      </c>
      <c r="S160" s="8">
        <f>(O56*($E56/365))+(O57*($E57/365))</f>
        <v>34.799999999999997</v>
      </c>
      <c r="T160" s="8">
        <f>(P56*($E56/365))+(P57*($E57/365))</f>
        <v>9.5276712328767115</v>
      </c>
      <c r="U160" s="8">
        <f>(Q56*($E56/365))+(Q57*($E57/365))</f>
        <v>0</v>
      </c>
      <c r="V160" s="7"/>
      <c r="W160" s="7">
        <f t="shared" si="25"/>
        <v>44.32767123287671</v>
      </c>
    </row>
    <row r="161" spans="1:23">
      <c r="A161" s="1">
        <v>1984</v>
      </c>
      <c r="B161" s="8">
        <f>(K58*($E58/366))+(K59*($E59/366))</f>
        <v>66.666666666666657</v>
      </c>
      <c r="C161" s="8">
        <f>(L58*($E58/366))+(L59*($E59/366))</f>
        <v>33.333333333333329</v>
      </c>
      <c r="D161" s="8">
        <f>(M58*($E58/366))+(M59*($E59/366))</f>
        <v>0</v>
      </c>
      <c r="E161" s="48">
        <f t="shared" si="24"/>
        <v>99.999999999999986</v>
      </c>
      <c r="G161" s="1">
        <v>1984</v>
      </c>
      <c r="H161" s="918">
        <f>(O58/$R58*100*($E58/366))+(O59/$R59*100*($E59/366))</f>
        <v>67.441860465116278</v>
      </c>
      <c r="I161" s="918"/>
      <c r="J161" s="918">
        <f>(P58/$R58*100*($E58/366))+(P59/$R59*100*($E59/366))</f>
        <v>32.558139534883715</v>
      </c>
      <c r="K161" s="918"/>
      <c r="L161" s="918">
        <f>(Q58/$R58*100*($E58/366))+(Q59/$R59*100*($E59/366))</f>
        <v>0</v>
      </c>
      <c r="M161" s="918"/>
      <c r="N161" s="887">
        <f t="shared" si="23"/>
        <v>100</v>
      </c>
      <c r="O161" s="887"/>
      <c r="R161" s="1">
        <v>1984</v>
      </c>
      <c r="S161" s="8">
        <f>(O58*($E58/366))+(O59*($E59/366))</f>
        <v>34.799999999999997</v>
      </c>
      <c r="T161" s="8">
        <f>(P58*($E58/366))+(P59*($E59/366))</f>
        <v>16.799999999999997</v>
      </c>
      <c r="U161" s="8">
        <f>(Q58*($E58/366))+(Q59*($E59/366))</f>
        <v>0</v>
      </c>
      <c r="V161" s="7"/>
      <c r="W161" s="7">
        <f t="shared" si="25"/>
        <v>51.599999999999994</v>
      </c>
    </row>
    <row r="162" spans="1:23">
      <c r="A162" s="1">
        <v>1985</v>
      </c>
      <c r="B162" s="8">
        <f>(K60*($E60/365))+(K61*($E61/365))</f>
        <v>66.118721461187207</v>
      </c>
      <c r="C162" s="8">
        <f>(L60*($E60/365))+(L61*($E61/365))</f>
        <v>33.881278538812779</v>
      </c>
      <c r="D162" s="8">
        <f>(M60*($E60/365))+(M61*($E61/365))</f>
        <v>0</v>
      </c>
      <c r="E162" s="48">
        <f t="shared" si="24"/>
        <v>99.999999999999986</v>
      </c>
      <c r="G162" s="1">
        <v>1985</v>
      </c>
      <c r="H162" s="918">
        <f>(O60/$R60*100*($E60/365))+(O61/$R61*100*($E61/365))</f>
        <v>67.113524956581614</v>
      </c>
      <c r="I162" s="918"/>
      <c r="J162" s="918">
        <f>(P60/$R60*100*($E60/365))+(P61/$R61*100*($E61/365))</f>
        <v>32.886475043418386</v>
      </c>
      <c r="K162" s="918"/>
      <c r="L162" s="918">
        <f>(Q60/$R60*100*($E60/365))+(Q61/$R61*100*($E61/365))</f>
        <v>0</v>
      </c>
      <c r="M162" s="918"/>
      <c r="N162" s="887">
        <f t="shared" si="23"/>
        <v>100</v>
      </c>
      <c r="O162" s="887"/>
      <c r="R162" s="1">
        <v>1985</v>
      </c>
      <c r="S162" s="8">
        <f>(O60*($E60/365))+(O61*($E61/365))</f>
        <v>34.504109589041093</v>
      </c>
      <c r="T162" s="8">
        <f>(P60*($E60/365))+(P61*($E61/365))</f>
        <v>16.898630136986299</v>
      </c>
      <c r="U162" s="8">
        <f>(Q60*($E60/365))+(Q61*($E61/365))</f>
        <v>0</v>
      </c>
      <c r="V162" s="7"/>
      <c r="W162" s="7">
        <f t="shared" si="25"/>
        <v>51.402739726027391</v>
      </c>
    </row>
    <row r="163" spans="1:23">
      <c r="A163" s="1">
        <v>1986</v>
      </c>
      <c r="B163" s="8">
        <f>(K62*($E62/365))+(K63*($E63/365))</f>
        <v>21.430745814307461</v>
      </c>
      <c r="C163" s="8">
        <f>(L62*($E62/365))+(L63*($E63/365))</f>
        <v>13.637747336377474</v>
      </c>
      <c r="D163" s="8">
        <f>(M62*($E62/365))+(M63*($E63/365))</f>
        <v>64.93150684931507</v>
      </c>
      <c r="E163" s="48">
        <f t="shared" si="24"/>
        <v>100</v>
      </c>
      <c r="G163" s="1">
        <v>1986</v>
      </c>
      <c r="H163" s="918">
        <f>(O62/$R62*100*($E62/365))+(O63/$R63*100*($E63/365))</f>
        <v>22.483429076447198</v>
      </c>
      <c r="I163" s="918"/>
      <c r="J163" s="918">
        <f>(P62/$R62*100*($E62/365))+(P63/$R63*100*($E63/365))</f>
        <v>12.585064074237737</v>
      </c>
      <c r="K163" s="918"/>
      <c r="L163" s="918">
        <f>(Q62/$R62*100*($E62/365))+(Q63/$R63*100*($E63/365))</f>
        <v>64.93150684931507</v>
      </c>
      <c r="M163" s="918"/>
      <c r="N163" s="887">
        <f t="shared" si="23"/>
        <v>100</v>
      </c>
      <c r="O163" s="887"/>
      <c r="R163" s="1">
        <v>1986</v>
      </c>
      <c r="S163" s="8">
        <f>(O62*($E62/365))+(O63*($E63/365))</f>
        <v>11.151780821917809</v>
      </c>
      <c r="T163" s="8">
        <f>(P62*($E62/365))+(P63*($E63/365))</f>
        <v>6.2421917808219165</v>
      </c>
      <c r="U163" s="8">
        <f>(Q62*($E62/365))+(Q63*($E63/365))</f>
        <v>29.349041095890414</v>
      </c>
      <c r="V163" s="7"/>
      <c r="W163" s="7">
        <f t="shared" si="25"/>
        <v>46.743013698630136</v>
      </c>
    </row>
    <row r="164" spans="1:23">
      <c r="A164" s="1">
        <v>1987</v>
      </c>
      <c r="B164" s="8">
        <f>(K64*($E64/365))+(K65*($E65/365))</f>
        <v>0</v>
      </c>
      <c r="C164" s="8">
        <f>(L64*($E64/365))+(L65*($E65/365))</f>
        <v>0</v>
      </c>
      <c r="D164" s="8">
        <f>(M64*($E64/365))+(M65*($E65/365))</f>
        <v>100</v>
      </c>
      <c r="E164" s="48">
        <f t="shared" si="24"/>
        <v>100</v>
      </c>
      <c r="G164" s="1">
        <v>1987</v>
      </c>
      <c r="H164" s="918">
        <f>(O64/$R64*100*($E64/365))+(O65/$R65*100*($E65/365))</f>
        <v>0</v>
      </c>
      <c r="I164" s="918"/>
      <c r="J164" s="918">
        <f>(P64/$R64*100*($E64/365))+(P65/$R65*100*($E65/365))</f>
        <v>0</v>
      </c>
      <c r="K164" s="918"/>
      <c r="L164" s="918">
        <f>(Q64/$R64*100*($E64/365))+(Q65/$R65*100*($E65/365))</f>
        <v>100</v>
      </c>
      <c r="M164" s="918"/>
      <c r="N164" s="887">
        <f t="shared" si="23"/>
        <v>100</v>
      </c>
      <c r="O164" s="887"/>
      <c r="R164" s="1">
        <v>1987</v>
      </c>
      <c r="S164" s="8">
        <f>(O64*($E64/365))+(O65*($E65/365))</f>
        <v>0</v>
      </c>
      <c r="T164" s="8">
        <f>(P64*($E64/365))+(P65*($E65/365))</f>
        <v>0</v>
      </c>
      <c r="U164" s="8">
        <f>(Q64*($E64/365))+(Q65*($E65/365))</f>
        <v>45.2</v>
      </c>
      <c r="V164" s="7"/>
      <c r="W164" s="7">
        <f t="shared" si="25"/>
        <v>45.2</v>
      </c>
    </row>
    <row r="165" spans="1:23">
      <c r="A165" s="1">
        <v>1988</v>
      </c>
      <c r="B165" s="8">
        <f>(K66*($E66/366))+(K67*($E67/366))</f>
        <v>0</v>
      </c>
      <c r="C165" s="8">
        <f>(L66*($E66/366))+(L67*($E67/366))</f>
        <v>0</v>
      </c>
      <c r="D165" s="8">
        <f>(M66*($E66/366))+(M67*($E67/366))</f>
        <v>100</v>
      </c>
      <c r="E165" s="48">
        <f t="shared" si="24"/>
        <v>100</v>
      </c>
      <c r="G165" s="1">
        <v>1988</v>
      </c>
      <c r="H165" s="918">
        <f>(O66/$R66*100*($E66/366))+(O67/$R67*100*($E67/366))</f>
        <v>0</v>
      </c>
      <c r="I165" s="918"/>
      <c r="J165" s="918">
        <f>(P66/$R66*100*($E66/366))+(P67/$R67*100*($E67/366))</f>
        <v>0</v>
      </c>
      <c r="K165" s="918"/>
      <c r="L165" s="918">
        <f>(Q66/$R66*100*($E66/366))+(Q67/$R67*100*($E67/366))</f>
        <v>100</v>
      </c>
      <c r="M165" s="918"/>
      <c r="N165" s="887">
        <f t="shared" si="23"/>
        <v>100</v>
      </c>
      <c r="O165" s="887"/>
      <c r="R165" s="1">
        <v>1988</v>
      </c>
      <c r="S165" s="8">
        <f>(O66*($E66/366))+(O67*($E67/366))</f>
        <v>0</v>
      </c>
      <c r="T165" s="8">
        <f>(P66*($E66/366))+(P67*($E67/366))</f>
        <v>0</v>
      </c>
      <c r="U165" s="8">
        <f>(Q66*($E66/366))+(Q67*($E67/366))</f>
        <v>45.2</v>
      </c>
      <c r="V165" s="7"/>
      <c r="W165" s="7">
        <f t="shared" si="25"/>
        <v>45.2</v>
      </c>
    </row>
    <row r="166" spans="1:23">
      <c r="A166" s="1">
        <v>1989</v>
      </c>
      <c r="B166" s="8">
        <f>(K68*($E68/365))+(K69*($E69/365))</f>
        <v>9.3759512937595115</v>
      </c>
      <c r="C166" s="8">
        <f>(L68*($E68/365))+(L69*($E69/365))</f>
        <v>11.719939117199392</v>
      </c>
      <c r="D166" s="8">
        <f>(M68*($E68/365))+(M69*($E69/365))</f>
        <v>78.904109589041099</v>
      </c>
      <c r="E166" s="48">
        <f t="shared" si="24"/>
        <v>100</v>
      </c>
      <c r="G166" s="1">
        <v>1989</v>
      </c>
      <c r="H166" s="918">
        <f>(O68/$R68*100*($E68/365))+(O69/$R69*100*($E69/365))</f>
        <v>12.567764500145731</v>
      </c>
      <c r="I166" s="918"/>
      <c r="J166" s="918">
        <f>(P68/$R68*100*($E68/365))+(P69/$R69*100*($E69/365))</f>
        <v>8.5281259108131735</v>
      </c>
      <c r="K166" s="918"/>
      <c r="L166" s="918">
        <f>(Q68/$R68*100*($E68/365))+(Q69/$R69*100*($E69/365))</f>
        <v>78.904109589041099</v>
      </c>
      <c r="M166" s="918"/>
      <c r="N166" s="887">
        <f t="shared" si="23"/>
        <v>100</v>
      </c>
      <c r="O166" s="887"/>
      <c r="R166" s="1">
        <v>1989</v>
      </c>
      <c r="S166" s="8">
        <f>(O68*($E68/365))+(O69*($E69/365))</f>
        <v>4.7254794520547945</v>
      </c>
      <c r="T166" s="8">
        <f>(P68*($E68/365))+(P69*($E69/365))</f>
        <v>3.206575342465753</v>
      </c>
      <c r="U166" s="8">
        <f>(Q68*($E68/365))+(Q69*($E69/365))</f>
        <v>35.664657534246579</v>
      </c>
      <c r="V166" s="7"/>
      <c r="W166" s="7">
        <f t="shared" si="25"/>
        <v>43.596712328767126</v>
      </c>
    </row>
    <row r="167" spans="1:23">
      <c r="A167" s="1">
        <v>1990</v>
      </c>
      <c r="B167" s="8">
        <f>(K70*($E70/365))+(K71*($E71/365))</f>
        <v>37.260273972602739</v>
      </c>
      <c r="C167" s="8">
        <f>(L70*($E70/365))+(L71*($E71/365))</f>
        <v>46.575342465753423</v>
      </c>
      <c r="D167" s="8">
        <f>(M70*($E70/365))+(M71*($E71/365))</f>
        <v>16.164383561643834</v>
      </c>
      <c r="E167" s="48">
        <f t="shared" si="24"/>
        <v>100</v>
      </c>
      <c r="G167" s="1">
        <v>1990</v>
      </c>
      <c r="H167" s="918">
        <f>(O70/$R70*100*($E70/365))+(O71/$R71*100*($E71/365))</f>
        <v>49.944622559020701</v>
      </c>
      <c r="I167" s="918"/>
      <c r="J167" s="918">
        <f>(P70/$R70*100*($E70/365))+(P71/$R71*100*($E71/365))</f>
        <v>33.890993879335468</v>
      </c>
      <c r="K167" s="918"/>
      <c r="L167" s="918">
        <f>(Q70/$R70*100*($E70/365))+(Q71/$R71*100*($E71/365))</f>
        <v>16.164383561643834</v>
      </c>
      <c r="M167" s="918"/>
      <c r="N167" s="887">
        <f t="shared" si="23"/>
        <v>100</v>
      </c>
      <c r="O167" s="887"/>
      <c r="R167" s="1">
        <v>1990</v>
      </c>
      <c r="S167" s="8">
        <f>(O70*($E70/365))+(O71*($E71/365))</f>
        <v>18.77917808219178</v>
      </c>
      <c r="T167" s="8">
        <f>(P70*($E70/365))+(P71*($E71/365))</f>
        <v>12.743013698630136</v>
      </c>
      <c r="U167" s="8">
        <f>(Q70*($E70/365))+(Q71*($E71/365))</f>
        <v>6.1747945205479455</v>
      </c>
      <c r="V167" s="7"/>
      <c r="W167" s="7">
        <f t="shared" si="25"/>
        <v>37.696986301369861</v>
      </c>
    </row>
    <row r="168" spans="1:23">
      <c r="A168" s="1">
        <v>1991</v>
      </c>
      <c r="B168" s="8">
        <f>(K72*($E72/365))+(K73*($E73/365))</f>
        <v>0</v>
      </c>
      <c r="C168" s="8">
        <f>(L72*($E72/365))+(L73*($E73/365))</f>
        <v>0</v>
      </c>
      <c r="D168" s="8">
        <f>(M72*($E72/365))+(M73*($E73/365))</f>
        <v>100</v>
      </c>
      <c r="E168" s="48">
        <f t="shared" si="24"/>
        <v>100</v>
      </c>
      <c r="G168" s="1">
        <v>1991</v>
      </c>
      <c r="H168" s="918">
        <f>(O72/$R72*100*($E72/365))+(O73/$R73*100*($E73/365))</f>
        <v>0</v>
      </c>
      <c r="I168" s="918"/>
      <c r="J168" s="918">
        <f>(P72/$R72*100*($E72/365))+(P73/$R73*100*($E73/365))</f>
        <v>0</v>
      </c>
      <c r="K168" s="918"/>
      <c r="L168" s="918">
        <f>(Q72/$R72*100*($E72/365))+(Q73/$R73*100*($E73/365))</f>
        <v>100</v>
      </c>
      <c r="M168" s="918"/>
      <c r="N168" s="887">
        <f t="shared" si="23"/>
        <v>100</v>
      </c>
      <c r="O168" s="887"/>
      <c r="R168" s="1">
        <v>1991</v>
      </c>
      <c r="S168" s="8">
        <f>(O72*($E72/365))+(O73*($E73/365))</f>
        <v>0</v>
      </c>
      <c r="T168" s="8">
        <f>(P72*($E72/365))+(P73*($E73/365))</f>
        <v>0</v>
      </c>
      <c r="U168" s="8">
        <f>(Q72*($E72/365))+(Q73*($E73/365))</f>
        <v>38.200000000000003</v>
      </c>
      <c r="V168" s="7"/>
      <c r="W168" s="7">
        <f t="shared" si="25"/>
        <v>38.200000000000003</v>
      </c>
    </row>
    <row r="169" spans="1:23">
      <c r="A169" s="1">
        <v>1992</v>
      </c>
      <c r="B169" s="8">
        <f>(K74*($E74/366))+(K75*($E75/366))</f>
        <v>0</v>
      </c>
      <c r="C169" s="8">
        <f>(L74*($E74/366))+(L75*($E75/366))</f>
        <v>0</v>
      </c>
      <c r="D169" s="8">
        <f>(M74*($E74/366))+(M75*($E75/366))</f>
        <v>100</v>
      </c>
      <c r="E169" s="48">
        <f t="shared" si="24"/>
        <v>100</v>
      </c>
      <c r="G169" s="1">
        <v>1992</v>
      </c>
      <c r="H169" s="918">
        <f>(O74/$R74*100*($E74/366))+(O75/$R75*100*($E75/366))</f>
        <v>0</v>
      </c>
      <c r="I169" s="918"/>
      <c r="J169" s="918">
        <f>(P74/$R74*100*($E74/366))+(P75/$R75*100*($E75/366))</f>
        <v>0</v>
      </c>
      <c r="K169" s="918"/>
      <c r="L169" s="918">
        <f>(Q74/$R74*100*($E74/366))+(Q75/$R75*100*($E75/366))</f>
        <v>100</v>
      </c>
      <c r="M169" s="918"/>
      <c r="N169" s="887">
        <f t="shared" ref="N169:N189" si="26">H169+J169+L169</f>
        <v>100</v>
      </c>
      <c r="O169" s="887"/>
      <c r="R169" s="1">
        <v>1992</v>
      </c>
      <c r="S169" s="8">
        <f>(O74*($E74/366))+(O75*($E75/366))</f>
        <v>0</v>
      </c>
      <c r="T169" s="8">
        <f>(P74*($E74/366))+(P75*($E75/366))</f>
        <v>0</v>
      </c>
      <c r="U169" s="8">
        <f>(Q74*($E74/366))+(Q75*($E75/366))</f>
        <v>38.200000000000003</v>
      </c>
      <c r="V169" s="7"/>
      <c r="W169" s="7">
        <f t="shared" si="25"/>
        <v>38.200000000000003</v>
      </c>
    </row>
    <row r="170" spans="1:23">
      <c r="A170" s="1">
        <v>1993</v>
      </c>
      <c r="B170" s="8">
        <f>(K76*($E76/365))+(K77*($E77/365))</f>
        <v>0</v>
      </c>
      <c r="C170" s="8">
        <f>(L76*($E76/365))+(L77*($E77/365))</f>
        <v>0</v>
      </c>
      <c r="D170" s="8">
        <f>(M76*($E76/365))+(M77*($E77/365))</f>
        <v>100</v>
      </c>
      <c r="E170" s="48">
        <f t="shared" si="24"/>
        <v>100</v>
      </c>
      <c r="G170" s="1">
        <v>1993</v>
      </c>
      <c r="H170" s="918">
        <f>(O76/$R76*100*($E76/365))+(O77/$R77*100*($E77/365))</f>
        <v>0</v>
      </c>
      <c r="I170" s="918"/>
      <c r="J170" s="918">
        <f>(P76/$R76*100*($E76/365))+(P77/$R77*100*($E77/365))</f>
        <v>0</v>
      </c>
      <c r="K170" s="918"/>
      <c r="L170" s="918">
        <f>(Q76/$R76*100*($E76/365))+(Q77/$R77*100*($E77/365))</f>
        <v>100</v>
      </c>
      <c r="M170" s="918"/>
      <c r="N170" s="887">
        <f t="shared" si="26"/>
        <v>100</v>
      </c>
      <c r="O170" s="887"/>
      <c r="R170" s="1">
        <v>1993</v>
      </c>
      <c r="S170" s="8">
        <f>(O76*($E76/365))+(O77*($E77/365))</f>
        <v>0</v>
      </c>
      <c r="T170" s="8">
        <f>(P76*($E76/365))+(P77*($E77/365))</f>
        <v>0</v>
      </c>
      <c r="U170" s="8">
        <f>(Q76*($E76/365))+(Q77*($E77/365))</f>
        <v>38.916712328767126</v>
      </c>
      <c r="V170" s="7"/>
      <c r="W170" s="7">
        <f t="shared" si="25"/>
        <v>38.916712328767126</v>
      </c>
    </row>
    <row r="171" spans="1:23">
      <c r="A171" s="1">
        <v>1994</v>
      </c>
      <c r="B171" s="8">
        <f>(K78*($E78/365))+(K79*($E79/365))</f>
        <v>0</v>
      </c>
      <c r="C171" s="8">
        <f>(L78*($E78/365))+(L79*($E79/365))</f>
        <v>0</v>
      </c>
      <c r="D171" s="8">
        <f>(M78*($E78/365))+(M79*($E79/365))</f>
        <v>100</v>
      </c>
      <c r="E171" s="48">
        <f t="shared" si="24"/>
        <v>100</v>
      </c>
      <c r="G171" s="1">
        <v>1994</v>
      </c>
      <c r="H171" s="918">
        <f>(O78/$R78*100*($E78/365))+(O79/$R79*100*($E79/365))</f>
        <v>0</v>
      </c>
      <c r="I171" s="918"/>
      <c r="J171" s="918">
        <f>(P78/$R78*100*($E78/365))+(P79/$R79*100*($E79/365))</f>
        <v>0</v>
      </c>
      <c r="K171" s="918"/>
      <c r="L171" s="918">
        <f>(Q78/$R78*100*($E78/365))+(Q79/$R79*100*($E79/365))</f>
        <v>100</v>
      </c>
      <c r="M171" s="918"/>
      <c r="N171" s="887">
        <f t="shared" si="26"/>
        <v>100</v>
      </c>
      <c r="O171" s="887"/>
      <c r="R171" s="1">
        <v>1994</v>
      </c>
      <c r="S171" s="8">
        <f>(O78*($E78/365))+(O79*($E79/365))</f>
        <v>0</v>
      </c>
      <c r="T171" s="8">
        <f>(P78*($E78/365))+(P79*($E79/365))</f>
        <v>0</v>
      </c>
      <c r="U171" s="8">
        <f>(Q78*($E78/365))+(Q79*($E79/365))</f>
        <v>40.6</v>
      </c>
      <c r="V171" s="7"/>
      <c r="W171" s="7">
        <f t="shared" si="25"/>
        <v>40.6</v>
      </c>
    </row>
    <row r="172" spans="1:23">
      <c r="A172" s="1">
        <v>1995</v>
      </c>
      <c r="B172" s="8">
        <f>(K80*($E80/365))+(K81*($E81/365))</f>
        <v>0</v>
      </c>
      <c r="C172" s="8">
        <f>(L80*($E80/365))+(L81*($E81/365))</f>
        <v>0</v>
      </c>
      <c r="D172" s="8">
        <f>(M80*($E80/365))+(M81*($E81/365))</f>
        <v>100</v>
      </c>
      <c r="E172" s="48">
        <f t="shared" si="24"/>
        <v>100</v>
      </c>
      <c r="G172" s="1">
        <v>1995</v>
      </c>
      <c r="H172" s="918">
        <f>(O80/$R80*100*($E80/365))+(O81/$R81*100*($E81/365))</f>
        <v>0</v>
      </c>
      <c r="I172" s="918"/>
      <c r="J172" s="918">
        <f>(P80/$R80*100*($E80/365))+(P81/$R81*100*($E81/365))</f>
        <v>0</v>
      </c>
      <c r="K172" s="918"/>
      <c r="L172" s="918">
        <f>(Q80/$R80*100*($E80/365))+(Q81/$R81*100*($E81/365))</f>
        <v>100</v>
      </c>
      <c r="M172" s="918"/>
      <c r="N172" s="887">
        <f t="shared" si="26"/>
        <v>100</v>
      </c>
      <c r="O172" s="887"/>
      <c r="R172" s="1">
        <v>1995</v>
      </c>
      <c r="S172" s="8">
        <f>(O80*($E80/365))+(O81*($E81/365))</f>
        <v>0</v>
      </c>
      <c r="T172" s="8">
        <f>(P80*($E80/365))+(P81*($E81/365))</f>
        <v>0</v>
      </c>
      <c r="U172" s="8">
        <f>(Q80*($E80/365))+(Q81*($E81/365))</f>
        <v>40.6</v>
      </c>
      <c r="V172" s="7"/>
      <c r="W172" s="7">
        <f t="shared" si="25"/>
        <v>40.6</v>
      </c>
    </row>
    <row r="173" spans="1:23">
      <c r="A173" s="1">
        <v>1996</v>
      </c>
      <c r="B173" s="8">
        <f>(K82*($E82/366))+(K83*($E83/366))</f>
        <v>0</v>
      </c>
      <c r="C173" s="8">
        <f>(L82*($E82/366))+(L83*($E83/366))</f>
        <v>0</v>
      </c>
      <c r="D173" s="8">
        <f>(M82*($E82/366))+(M83*($E83/366))</f>
        <v>100</v>
      </c>
      <c r="E173" s="48">
        <f t="shared" si="24"/>
        <v>100</v>
      </c>
      <c r="G173" s="1">
        <v>1996</v>
      </c>
      <c r="H173" s="918">
        <f>(O82/$R82*100*($E82/366))+(O83/$R83*100*($E83/366))</f>
        <v>0</v>
      </c>
      <c r="I173" s="918"/>
      <c r="J173" s="918">
        <f>(P82/$R82*100*($E82/366))+(P83/$R83*100*($E83/366))</f>
        <v>0</v>
      </c>
      <c r="K173" s="918"/>
      <c r="L173" s="918">
        <f>(Q82/$R82*100*($E82/366))+(Q83/$R83*100*($E83/366))</f>
        <v>100</v>
      </c>
      <c r="M173" s="918"/>
      <c r="N173" s="887">
        <f t="shared" si="26"/>
        <v>100</v>
      </c>
      <c r="O173" s="887"/>
      <c r="R173" s="1">
        <v>1996</v>
      </c>
      <c r="S173" s="8">
        <f>(O82*($E82/366))+(O83*($E83/366))</f>
        <v>0</v>
      </c>
      <c r="T173" s="8">
        <f>(P82*($E82/366))+(P83*($E83/366))</f>
        <v>0</v>
      </c>
      <c r="U173" s="8">
        <f>(Q82*($E82/366))+(Q83*($E83/366))</f>
        <v>40.6</v>
      </c>
      <c r="V173" s="7"/>
      <c r="W173" s="7">
        <f t="shared" si="25"/>
        <v>40.6</v>
      </c>
    </row>
    <row r="174" spans="1:23">
      <c r="A174" s="1">
        <v>1997</v>
      </c>
      <c r="B174" s="8">
        <f>(K84*($E84/365))+(K85*($E85/365))</f>
        <v>4.3835616438356162</v>
      </c>
      <c r="C174" s="8">
        <f>(L84*($E84/365))+(L85*($E85/365))</f>
        <v>16.438356164383563</v>
      </c>
      <c r="D174" s="8">
        <f>(M84*($E84/365))+(M85*($E85/365))</f>
        <v>79.178082191780817</v>
      </c>
      <c r="E174" s="48">
        <f t="shared" si="24"/>
        <v>100</v>
      </c>
      <c r="G174" s="1">
        <v>1997</v>
      </c>
      <c r="H174" s="918">
        <f>(O84/$R84*100*($E84/365))+(O85/$R85*100*($E85/365))</f>
        <v>2.9395648670427077</v>
      </c>
      <c r="I174" s="918"/>
      <c r="J174" s="918">
        <f>(P84/$R84*100*($E84/365))+(P85/$R85*100*($E85/365))</f>
        <v>17.882352941176471</v>
      </c>
      <c r="K174" s="918"/>
      <c r="L174" s="918">
        <f>(Q84/$R84*100*($E84/365))+(Q85/$R85*100*($E85/365))</f>
        <v>79.178082191780817</v>
      </c>
      <c r="M174" s="918"/>
      <c r="N174" s="887">
        <f t="shared" si="26"/>
        <v>100</v>
      </c>
      <c r="O174" s="887"/>
      <c r="R174" s="1">
        <v>1997</v>
      </c>
      <c r="S174" s="8">
        <f>(O84*($E84/365))+(O85*($E85/365))</f>
        <v>0.74958904109589042</v>
      </c>
      <c r="T174" s="8">
        <f>(P84*($E84/365))+(P85*($E85/365))</f>
        <v>4.5599999999999996</v>
      </c>
      <c r="U174" s="8">
        <f>(Q84*($E84/365))+(Q85*($E85/365))</f>
        <v>32.146301369863011</v>
      </c>
      <c r="V174" s="7"/>
      <c r="W174" s="7">
        <f t="shared" si="25"/>
        <v>37.455890410958901</v>
      </c>
    </row>
    <row r="175" spans="1:23">
      <c r="A175" s="1">
        <v>1998</v>
      </c>
      <c r="B175" s="8">
        <f>(K86*($E86/365))+(K87*($E87/365))</f>
        <v>21.052631578947366</v>
      </c>
      <c r="C175" s="8">
        <f>(L86*($E86/365))+(L87*($E87/365))</f>
        <v>78.94736842105263</v>
      </c>
      <c r="D175" s="8">
        <f>(M86*($E86/365))+(M87*($E87/365))</f>
        <v>0</v>
      </c>
      <c r="E175" s="48">
        <f t="shared" si="24"/>
        <v>100</v>
      </c>
      <c r="G175" s="1">
        <v>1998</v>
      </c>
      <c r="H175" s="918">
        <f>(O86/$R86*100*($E86/365))+(O87/$R87*100*($E87/365))</f>
        <v>14.117647058823529</v>
      </c>
      <c r="I175" s="918"/>
      <c r="J175" s="918">
        <f>(P86/$R86*100*($E86/365))+(P87/$R87*100*($E87/365))</f>
        <v>85.882352941176464</v>
      </c>
      <c r="K175" s="918"/>
      <c r="L175" s="918">
        <f>(Q86/$R86*100*($E86/365))+(Q87/$R87*100*($E87/365))</f>
        <v>0</v>
      </c>
      <c r="M175" s="918"/>
      <c r="N175" s="887">
        <f t="shared" si="26"/>
        <v>100</v>
      </c>
      <c r="O175" s="887"/>
      <c r="R175" s="1">
        <v>1998</v>
      </c>
      <c r="S175" s="8">
        <f>(O86*($E86/365))+(O87*($E87/365))</f>
        <v>3.6</v>
      </c>
      <c r="T175" s="8">
        <f>(P86*($E86/365))+(P87*($E87/365))</f>
        <v>21.9</v>
      </c>
      <c r="U175" s="8">
        <f>(Q86*($E86/365))+(Q87*($E87/365))</f>
        <v>0</v>
      </c>
      <c r="V175" s="7"/>
      <c r="W175" s="7">
        <f t="shared" si="25"/>
        <v>25.5</v>
      </c>
    </row>
    <row r="176" spans="1:23">
      <c r="A176" s="1">
        <v>1999</v>
      </c>
      <c r="B176" s="8">
        <f>(K88*($E88/365))+(K89*($E89/365))</f>
        <v>21.052631578947366</v>
      </c>
      <c r="C176" s="8">
        <f>(L88*($E88/365))+(L89*($E89/365))</f>
        <v>78.94736842105263</v>
      </c>
      <c r="D176" s="8">
        <f>(M88*($E88/365))+(M89*($E89/365))</f>
        <v>0</v>
      </c>
      <c r="E176" s="48">
        <f t="shared" si="24"/>
        <v>100</v>
      </c>
      <c r="G176" s="1">
        <v>1999</v>
      </c>
      <c r="H176" s="918">
        <f>(O88/$R88*100*($E88/365))+(O89/$R89*100*($E89/365))</f>
        <v>14.117647058823529</v>
      </c>
      <c r="I176" s="918"/>
      <c r="J176" s="918">
        <f>(P88/$R88*100*($E88/365))+(P89/$R89*100*($E89/365))</f>
        <v>85.882352941176464</v>
      </c>
      <c r="K176" s="918"/>
      <c r="L176" s="918">
        <f>(Q88/$R88*100*($E88/365))+(Q89/$R89*100*($E89/365))</f>
        <v>0</v>
      </c>
      <c r="M176" s="918"/>
      <c r="N176" s="887">
        <f t="shared" si="26"/>
        <v>100</v>
      </c>
      <c r="O176" s="887"/>
      <c r="R176" s="1">
        <v>1999</v>
      </c>
      <c r="S176" s="8">
        <f>(O88*($E88/365))+(O89*($E89/365))</f>
        <v>3.6</v>
      </c>
      <c r="T176" s="8">
        <f>(P88*($E88/365))+(P89*($E89/365))</f>
        <v>21.9</v>
      </c>
      <c r="U176" s="8">
        <f>(Q88*($E88/365))+(Q89*($E89/365))</f>
        <v>0</v>
      </c>
      <c r="V176" s="7"/>
      <c r="W176" s="7">
        <f t="shared" si="25"/>
        <v>25.5</v>
      </c>
    </row>
    <row r="177" spans="1:34">
      <c r="A177" s="1">
        <v>2000</v>
      </c>
      <c r="B177" s="8">
        <f>(K90*($E90/366))+(K91*($E91/366))</f>
        <v>4.3715846994535514</v>
      </c>
      <c r="C177" s="8">
        <f>(L90*($E90/366))+(L91*($E91/366))</f>
        <v>16.393442622950818</v>
      </c>
      <c r="D177" s="8">
        <f>(M90*($E90/366))+(M91*($E91/366))</f>
        <v>79.234972677595621</v>
      </c>
      <c r="E177" s="48">
        <f t="shared" si="24"/>
        <v>100</v>
      </c>
      <c r="G177" s="1">
        <v>2000</v>
      </c>
      <c r="H177" s="918">
        <f>(O90/$R90*100*($E90/366))+(O91/$R91*100*($E91/366))</f>
        <v>2.9315332690453233</v>
      </c>
      <c r="I177" s="918"/>
      <c r="J177" s="918">
        <f>(P90/$R90*100*($E90/366))+(P91/$R91*100*($E91/366))</f>
        <v>17.833494053359047</v>
      </c>
      <c r="K177" s="918"/>
      <c r="L177" s="918">
        <f>(Q90/$R90*100*($E90/366))+(Q91/$R91*100*($E91/366))</f>
        <v>79.234972677595621</v>
      </c>
      <c r="M177" s="918"/>
      <c r="N177" s="887">
        <f t="shared" si="26"/>
        <v>100</v>
      </c>
      <c r="O177" s="887"/>
      <c r="R177" s="1">
        <v>2000</v>
      </c>
      <c r="S177" s="8">
        <f>(O90*($E90/366))+(O91*($E91/366))</f>
        <v>0.74754098360655741</v>
      </c>
      <c r="T177" s="8">
        <f>(P90*($E90/366))+(P91*($E91/366))</f>
        <v>4.5475409836065577</v>
      </c>
      <c r="U177" s="8">
        <f>(Q90*($E90/366))+(Q91*($E91/366))</f>
        <v>31.218579234972676</v>
      </c>
      <c r="V177" s="7"/>
      <c r="W177" s="7">
        <f t="shared" si="25"/>
        <v>36.513661202185787</v>
      </c>
    </row>
    <row r="178" spans="1:34">
      <c r="A178" s="1">
        <v>2001</v>
      </c>
      <c r="B178" s="8">
        <f>(K92*($E92/365))+(K93*($E93/365))</f>
        <v>13.871665465032443</v>
      </c>
      <c r="C178" s="8">
        <f>(L92*($E92/365))+(L93*($E93/365))</f>
        <v>6.4023071377072815</v>
      </c>
      <c r="D178" s="8">
        <f>(M92*($E92/365))+(M93*($E93/365))</f>
        <v>79.726027397260268</v>
      </c>
      <c r="E178" s="48">
        <f t="shared" si="24"/>
        <v>100</v>
      </c>
      <c r="G178" s="1">
        <v>2001</v>
      </c>
      <c r="H178" s="918">
        <f>(O92/$R92*100*($E92/365))+(O93/$R93*100*($E93/365))</f>
        <v>13.083470319634703</v>
      </c>
      <c r="I178" s="918"/>
      <c r="J178" s="918">
        <f>(P92/$R92*100*($E92/365))+(P93/$R93*100*($E93/365))</f>
        <v>7.1905022831050234</v>
      </c>
      <c r="K178" s="918"/>
      <c r="L178" s="918">
        <f>(Q92/$R92*100*($E92/365))+(Q93/$R93*100*($E93/365))</f>
        <v>79.726027397260268</v>
      </c>
      <c r="M178" s="918"/>
      <c r="N178" s="887">
        <f t="shared" si="26"/>
        <v>100</v>
      </c>
      <c r="O178" s="887"/>
      <c r="R178" s="1">
        <v>2001</v>
      </c>
      <c r="S178" s="8">
        <f>(O92*($E92/365))+(O93*($E93/365))</f>
        <v>4.9063013698630131</v>
      </c>
      <c r="T178" s="8">
        <f>(P92*($E92/365))+(P93*($E93/365))</f>
        <v>2.6964383561643839</v>
      </c>
      <c r="U178" s="8">
        <f>(Q92*($E92/365))+(Q93*($E93/365))</f>
        <v>31.412054794520543</v>
      </c>
      <c r="V178" s="7"/>
      <c r="W178" s="7">
        <f t="shared" si="25"/>
        <v>39.014794520547937</v>
      </c>
    </row>
    <row r="179" spans="1:34">
      <c r="A179" s="1">
        <v>2002</v>
      </c>
      <c r="B179" s="8">
        <f>(K94*($E94/365))+(K95*($E95/365))</f>
        <v>68.421052631578945</v>
      </c>
      <c r="C179" s="8">
        <f>(L94*($E94/365))+(L95*($E95/365))</f>
        <v>31.578947368421051</v>
      </c>
      <c r="D179" s="8">
        <f>(M94*($E94/365))+(M95*($E95/365))</f>
        <v>0</v>
      </c>
      <c r="E179" s="48">
        <f t="shared" si="24"/>
        <v>100</v>
      </c>
      <c r="G179" s="1">
        <v>2002</v>
      </c>
      <c r="H179" s="918">
        <f>(O94/$R94*100*($E94/365))+(O95/$R95*100*($E95/365))</f>
        <v>64.533333333333331</v>
      </c>
      <c r="I179" s="918"/>
      <c r="J179" s="918">
        <f>(P94/$R94*100*($E94/365))+(P95/$R95*100*($E95/365))</f>
        <v>35.466666666666669</v>
      </c>
      <c r="K179" s="918"/>
      <c r="L179" s="918">
        <f>(Q94/$R94*100*($E94/365))+(Q95/$R95*100*($E95/365))</f>
        <v>0</v>
      </c>
      <c r="M179" s="918"/>
      <c r="N179" s="887">
        <f t="shared" si="26"/>
        <v>100</v>
      </c>
      <c r="O179" s="887"/>
      <c r="R179" s="1">
        <v>2002</v>
      </c>
      <c r="S179" s="8">
        <f>(O94*($E94/365))+(O95*($E95/365))</f>
        <v>24.2</v>
      </c>
      <c r="T179" s="8">
        <f>(P94*($E94/365))+(P95*($E95/365))</f>
        <v>13.3</v>
      </c>
      <c r="U179" s="8">
        <f>(Q94*($E94/365))+(Q95*($E95/365))</f>
        <v>0</v>
      </c>
      <c r="V179" s="7"/>
      <c r="W179" s="7">
        <f t="shared" si="25"/>
        <v>37.5</v>
      </c>
    </row>
    <row r="180" spans="1:34">
      <c r="A180" s="1">
        <v>2003</v>
      </c>
      <c r="B180" s="8">
        <f>(K96*($E96/365))+(K97*($E97/365))</f>
        <v>68.421052631578945</v>
      </c>
      <c r="C180" s="8">
        <f>(L96*($E96/365))+(L97*($E97/365))</f>
        <v>31.578947368421051</v>
      </c>
      <c r="D180" s="8">
        <f>(M96*($E96/365))+(M97*($E97/365))</f>
        <v>0</v>
      </c>
      <c r="E180" s="48">
        <f t="shared" si="24"/>
        <v>100</v>
      </c>
      <c r="G180" s="1">
        <v>2003</v>
      </c>
      <c r="H180" s="918">
        <f>(O96/$R96*100*($E96/365))+(O97/$R97*100*($E97/365))</f>
        <v>64.533333333333331</v>
      </c>
      <c r="I180" s="918"/>
      <c r="J180" s="918">
        <f>(P96/$R96*100*($E96/365))+(P97/$R97*100*($E97/365))</f>
        <v>35.466666666666669</v>
      </c>
      <c r="K180" s="918"/>
      <c r="L180" s="918">
        <f>(Q96/$R96*100*($E96/365))+(Q97/$R97*100*($E97/365))</f>
        <v>0</v>
      </c>
      <c r="M180" s="918"/>
      <c r="N180" s="887">
        <f t="shared" si="26"/>
        <v>100</v>
      </c>
      <c r="O180" s="887"/>
      <c r="R180" s="1">
        <v>2003</v>
      </c>
      <c r="S180" s="8">
        <f>(O96*($E96/365))+(O97*($E97/365))</f>
        <v>24.2</v>
      </c>
      <c r="T180" s="8">
        <f>(P96*($E96/365))+(P97*($E97/365))</f>
        <v>13.3</v>
      </c>
      <c r="U180" s="8">
        <f>(Q96*($E96/365))+(Q97*($E97/365))</f>
        <v>0</v>
      </c>
      <c r="V180" s="7"/>
      <c r="W180" s="7">
        <f t="shared" si="25"/>
        <v>37.5</v>
      </c>
    </row>
    <row r="181" spans="1:34">
      <c r="A181" s="1">
        <v>2004</v>
      </c>
      <c r="B181" s="8">
        <f>(K98*($E98/366))+(K99*($E99/366))</f>
        <v>68.421052631578945</v>
      </c>
      <c r="C181" s="8">
        <f>(L98*($E98/366))+(L99*($E99/366))</f>
        <v>31.578947368421051</v>
      </c>
      <c r="D181" s="8">
        <f>(M98*($E98/366))+(M99*($E99/366))</f>
        <v>0</v>
      </c>
      <c r="E181" s="48">
        <f t="shared" si="24"/>
        <v>100</v>
      </c>
      <c r="G181" s="1">
        <v>2004</v>
      </c>
      <c r="H181" s="918">
        <f>(O98/$R98*100*($E98/366))+(O99/$R99*100*($E99/366))</f>
        <v>64.533333333333331</v>
      </c>
      <c r="I181" s="918"/>
      <c r="J181" s="918">
        <f>(P98/$R98*100*($E98/366))+(P99/$R99*100*($E99/366))</f>
        <v>35.466666666666669</v>
      </c>
      <c r="K181" s="918"/>
      <c r="L181" s="918">
        <f>(Q98/$R98*100*($E98/366))+(Q99/$R99*100*($E99/366))</f>
        <v>0</v>
      </c>
      <c r="M181" s="918"/>
      <c r="N181" s="887">
        <f t="shared" si="26"/>
        <v>100</v>
      </c>
      <c r="O181" s="887"/>
      <c r="R181" s="1">
        <v>2004</v>
      </c>
      <c r="S181" s="8">
        <f>(O98*($E98/366))+(O99*($E99/366))</f>
        <v>24.2</v>
      </c>
      <c r="T181" s="8">
        <f>(P98*($E98/366))+(P99*($E99/366))</f>
        <v>13.3</v>
      </c>
      <c r="U181" s="8">
        <f>(Q98*($E98/366))+(Q99*($E99/366))</f>
        <v>0</v>
      </c>
      <c r="V181" s="7"/>
      <c r="W181" s="7">
        <f t="shared" si="25"/>
        <v>37.5</v>
      </c>
    </row>
    <row r="182" spans="1:34">
      <c r="A182" s="1">
        <v>2005</v>
      </c>
      <c r="B182" s="8">
        <f>(K100*($E100/365))+(K101*($E101/365))</f>
        <v>54.174477289113192</v>
      </c>
      <c r="C182" s="8">
        <f>(L100*($E100/365))+(L101*($E101/365))</f>
        <v>29.387166546503241</v>
      </c>
      <c r="D182" s="8">
        <f>(M100*($E100/365))+(M101*($E101/365))</f>
        <v>16.438356164383563</v>
      </c>
      <c r="E182" s="48">
        <f t="shared" si="24"/>
        <v>100</v>
      </c>
      <c r="G182" s="1">
        <v>2005</v>
      </c>
      <c r="H182" s="918">
        <f>(O100/$R100*100*($E100/365))+(O101/$R101*100*($E101/365))</f>
        <v>51.096255707762552</v>
      </c>
      <c r="I182" s="918"/>
      <c r="J182" s="918">
        <f>(P100/$R100*100*($E100/365))+(P101/$R101*100*($E101/365))</f>
        <v>30.709835527774082</v>
      </c>
      <c r="K182" s="918"/>
      <c r="L182" s="918">
        <f>(Q100/$R100*100*($E100/365))+(Q101/$R101*100*($E101/365))</f>
        <v>18.193908764463359</v>
      </c>
      <c r="M182" s="918"/>
      <c r="N182" s="887">
        <f t="shared" si="26"/>
        <v>99.999999999999986</v>
      </c>
      <c r="O182" s="887"/>
      <c r="R182" s="1">
        <v>2005</v>
      </c>
      <c r="S182" s="8">
        <f>(O100*($E100/365))+(O101*($E101/365))</f>
        <v>19.161095890410959</v>
      </c>
      <c r="T182" s="8">
        <f>(P100*($E100/365))+(P101*($E101/365))</f>
        <v>11.884109589041095</v>
      </c>
      <c r="U182" s="8">
        <f>(Q100*($E100/365))+(Q101*($E101/365))</f>
        <v>9.3698630136986303</v>
      </c>
      <c r="V182" s="7"/>
      <c r="W182" s="7">
        <f t="shared" si="25"/>
        <v>40.415068493150685</v>
      </c>
    </row>
    <row r="183" spans="1:34">
      <c r="A183" s="1">
        <v>2006</v>
      </c>
      <c r="B183" s="8">
        <f>(K102*($E102/365))+(K103*($E103/365))</f>
        <v>0</v>
      </c>
      <c r="C183" s="8">
        <f>(L102*($E102/365))+(L103*($E103/365))</f>
        <v>21.052631578947366</v>
      </c>
      <c r="D183" s="8">
        <f>(M102*($E102/365))+(M103*($E103/365))</f>
        <v>78.94736842105263</v>
      </c>
      <c r="E183" s="48">
        <f t="shared" si="24"/>
        <v>100</v>
      </c>
      <c r="G183" s="1">
        <v>2006</v>
      </c>
      <c r="H183" s="918">
        <f>(O102/$R102*100*($E102/365))+(O103/$R103*100*($E103/365))</f>
        <v>0</v>
      </c>
      <c r="I183" s="918"/>
      <c r="J183" s="918">
        <f>(P102/$R102*100*($E102/365))+(P103/$R103*100*($E103/365))</f>
        <v>12.621359223300971</v>
      </c>
      <c r="K183" s="918"/>
      <c r="L183" s="918">
        <f>(Q102/$R102*100*($E102/365))+(Q103/$R103*100*($E103/365))</f>
        <v>87.378640776699029</v>
      </c>
      <c r="M183" s="918"/>
      <c r="N183" s="887">
        <f t="shared" si="26"/>
        <v>100</v>
      </c>
      <c r="O183" s="887"/>
      <c r="R183" s="1">
        <v>2006</v>
      </c>
      <c r="S183" s="8">
        <f>(O102*($E102/365))+(O103*($E103/365))</f>
        <v>0</v>
      </c>
      <c r="T183" s="8">
        <f>(P102*($E102/365))+(P103*($E103/365))</f>
        <v>6.5</v>
      </c>
      <c r="U183" s="8">
        <f>(Q102*($E102/365))+(Q103*($E103/365))</f>
        <v>45</v>
      </c>
      <c r="V183" s="7"/>
      <c r="W183" s="7">
        <f t="shared" si="25"/>
        <v>51.5</v>
      </c>
    </row>
    <row r="184" spans="1:34">
      <c r="A184" s="1">
        <v>2007</v>
      </c>
      <c r="B184" s="8">
        <f>(K104*($E104/365))+(K105*($E105/365))</f>
        <v>0</v>
      </c>
      <c r="C184" s="8">
        <f>(L104*($E104/365))+(L105*($E105/365))</f>
        <v>21.052631578947366</v>
      </c>
      <c r="D184" s="8">
        <f>(M104*($E104/365))+(M105*($E105/365))</f>
        <v>78.94736842105263</v>
      </c>
      <c r="E184" s="48">
        <f t="shared" si="24"/>
        <v>100</v>
      </c>
      <c r="G184" s="1">
        <v>2007</v>
      </c>
      <c r="H184" s="918">
        <f>(O104/$R104*100*($E104/365))+(O105/$R105*100*($E105/365))</f>
        <v>0</v>
      </c>
      <c r="I184" s="918"/>
      <c r="J184" s="918">
        <f>(P104/$R104*100*($E104/365))+(P105/$R105*100*($E105/365))</f>
        <v>12.621359223300971</v>
      </c>
      <c r="K184" s="918"/>
      <c r="L184" s="918">
        <f>(Q104/$R104*100*($E104/365))+(Q105/$R105*100*($E105/365))</f>
        <v>87.378640776699029</v>
      </c>
      <c r="M184" s="918"/>
      <c r="N184" s="887">
        <f t="shared" si="26"/>
        <v>100</v>
      </c>
      <c r="O184" s="887"/>
      <c r="R184" s="1">
        <v>2007</v>
      </c>
      <c r="S184" s="8">
        <f>(O104*($E104/365))+(O105*($E105/365))</f>
        <v>0</v>
      </c>
      <c r="T184" s="8">
        <f>(P104*($E104/365))+(P105*($E105/365))</f>
        <v>6.5</v>
      </c>
      <c r="U184" s="8">
        <f>(Q104*($E104/365))+(Q105*($E105/365))</f>
        <v>45</v>
      </c>
      <c r="V184" s="7"/>
      <c r="W184" s="7">
        <f t="shared" si="25"/>
        <v>51.5</v>
      </c>
    </row>
    <row r="185" spans="1:34">
      <c r="A185" s="1">
        <v>2008</v>
      </c>
      <c r="B185" s="8">
        <f>(K106*($E106/366))+(K107*($E107/366))</f>
        <v>0</v>
      </c>
      <c r="C185" s="8">
        <f>(L106*($E106/366))+(L107*($E107/366))</f>
        <v>21.052631578947366</v>
      </c>
      <c r="D185" s="8">
        <f>(M106*($E106/366))+(M107*($E107/366))</f>
        <v>78.94736842105263</v>
      </c>
      <c r="E185" s="48">
        <f t="shared" si="24"/>
        <v>100</v>
      </c>
      <c r="G185" s="1">
        <v>2008</v>
      </c>
      <c r="H185" s="918">
        <f>(O106/$R106*100*($E106/366))+(O107/$R107*100*($E107/366))</f>
        <v>0</v>
      </c>
      <c r="I185" s="918"/>
      <c r="J185" s="918">
        <f>(P106/$R106*100*($E106/366))+(P107/$R107*100*($E107/366))</f>
        <v>12.621359223300971</v>
      </c>
      <c r="K185" s="918"/>
      <c r="L185" s="918">
        <f>(Q106/$R106*100*($E106/366))+(Q107/$R107*100*($E107/366))</f>
        <v>87.378640776699029</v>
      </c>
      <c r="M185" s="918"/>
      <c r="N185" s="887">
        <f t="shared" si="26"/>
        <v>100</v>
      </c>
      <c r="O185" s="887"/>
      <c r="R185" s="1">
        <v>2008</v>
      </c>
      <c r="S185" s="8">
        <f>(O106*($E106/366))+(O107*($E107/366))</f>
        <v>0</v>
      </c>
      <c r="T185" s="8">
        <f>(P106*($E106/366))+(P107*($E107/366))</f>
        <v>6.5</v>
      </c>
      <c r="U185" s="8">
        <f>(Q106*($E106/366))+(Q107*($E107/366))</f>
        <v>45</v>
      </c>
      <c r="V185" s="7"/>
      <c r="W185" s="7">
        <f t="shared" si="25"/>
        <v>51.5</v>
      </c>
    </row>
    <row r="186" spans="1:34">
      <c r="A186" s="1">
        <v>2009</v>
      </c>
      <c r="B186" s="8">
        <f>(K108*($E108/365))+(K109*($E109/365))</f>
        <v>0</v>
      </c>
      <c r="C186" s="8">
        <f>(L108*($E108/365))+(L109*($E109/365))</f>
        <v>20.842105263157894</v>
      </c>
      <c r="D186" s="8">
        <f>(M108*($E108/365))+(M109*($E109/365))</f>
        <v>79.15789473684211</v>
      </c>
      <c r="E186" s="48">
        <f t="shared" si="24"/>
        <v>100</v>
      </c>
      <c r="G186" s="1">
        <v>2009</v>
      </c>
      <c r="H186" s="918">
        <f>(O108/$R108*100*($E108/365))+(O109/$R109*100*($E109/365))</f>
        <v>0</v>
      </c>
      <c r="I186" s="918"/>
      <c r="J186" s="918">
        <f>(P108/$R108*100*($E108/365))+(P109/$R109*100*($E109/365))</f>
        <v>12.651114883552369</v>
      </c>
      <c r="K186" s="918"/>
      <c r="L186" s="918">
        <f>(Q108/$R108*100*($E108/365))+(Q109/$R109*100*($E109/365))</f>
        <v>87.348885116447633</v>
      </c>
      <c r="M186" s="918"/>
      <c r="N186" s="887">
        <f t="shared" si="26"/>
        <v>100</v>
      </c>
      <c r="O186" s="887"/>
      <c r="R186" s="1">
        <v>2009</v>
      </c>
      <c r="S186" s="8">
        <f>(O108*($E108/365))+(O109*($E109/365))</f>
        <v>0</v>
      </c>
      <c r="T186" s="8">
        <f>(P108*($E108/365))+(P109*($E109/365))</f>
        <v>6.5</v>
      </c>
      <c r="U186" s="8">
        <f>(Q108*($E108/365))+(Q109*($E109/365))</f>
        <v>44.88</v>
      </c>
      <c r="V186" s="7"/>
      <c r="W186" s="7">
        <f t="shared" si="25"/>
        <v>51.38</v>
      </c>
    </row>
    <row r="187" spans="1:34">
      <c r="A187" s="1">
        <v>2010</v>
      </c>
      <c r="B187" s="8">
        <f>(K110*($E110/365))+(K111*($E111/365))</f>
        <v>0</v>
      </c>
      <c r="C187" s="8">
        <f>(L110*($E110/365))+(L111*($E111/365))</f>
        <v>20</v>
      </c>
      <c r="D187" s="8">
        <f>(M110*($E110/365))+(M111*($E111/365))</f>
        <v>80</v>
      </c>
      <c r="E187" s="48">
        <f t="shared" si="24"/>
        <v>100</v>
      </c>
      <c r="G187" s="1">
        <v>2010</v>
      </c>
      <c r="H187" s="918">
        <f>(O110/$R110*100*($E110/365))+(O111/$R111*100*($E111/365))</f>
        <v>0</v>
      </c>
      <c r="I187" s="918"/>
      <c r="J187" s="918">
        <f>(P110/$R110*100*($E110/365))+(P111/$R111*100*($E111/365))</f>
        <v>12.770137524557956</v>
      </c>
      <c r="K187" s="918"/>
      <c r="L187" s="918">
        <f>(Q110/$R110*100*($E110/365))+(Q111/$R111*100*($E111/365))</f>
        <v>87.229862475442047</v>
      </c>
      <c r="M187" s="918"/>
      <c r="N187" s="887">
        <f t="shared" si="26"/>
        <v>100</v>
      </c>
      <c r="O187" s="887"/>
      <c r="R187" s="1">
        <v>2010</v>
      </c>
      <c r="S187" s="8">
        <f>(O110*($E110/365))+(O111*($E111/365))</f>
        <v>0</v>
      </c>
      <c r="T187" s="8">
        <f>(P110*($E110/365))+(P111*($E111/365))</f>
        <v>6.5</v>
      </c>
      <c r="U187" s="8">
        <f>(Q110*($E110/365))+(Q111*($E111/365))</f>
        <v>44.4</v>
      </c>
      <c r="V187" s="7"/>
      <c r="W187" s="7">
        <f t="shared" si="25"/>
        <v>50.9</v>
      </c>
    </row>
    <row r="188" spans="1:34">
      <c r="A188" s="1">
        <v>2011</v>
      </c>
      <c r="B188" s="8">
        <f>(K112*($E112/365))+(K113*($E113/365))</f>
        <v>0</v>
      </c>
      <c r="C188" s="8">
        <f>(L112*($E112/365))+(L113*($E113/365))</f>
        <v>20</v>
      </c>
      <c r="D188" s="8">
        <f>(M112*($E112/365))+(M113*($E113/365))</f>
        <v>80</v>
      </c>
      <c r="E188" s="48">
        <f t="shared" si="24"/>
        <v>100</v>
      </c>
      <c r="G188" s="1">
        <v>2011</v>
      </c>
      <c r="H188" s="918">
        <f>(O112/$R112*100*($E112/365))+(O113/$R113*100*($E113/365))</f>
        <v>0</v>
      </c>
      <c r="I188" s="918"/>
      <c r="J188" s="918">
        <f>(P112/$R112*100*($E112/365))+(P113/$R113*100*($E113/365))</f>
        <v>12.770137524557956</v>
      </c>
      <c r="K188" s="918"/>
      <c r="L188" s="918">
        <f>(Q112/$R112*100*($E112/365))+(Q113/$R113*100*($E113/365))</f>
        <v>87.229862475442047</v>
      </c>
      <c r="M188" s="918"/>
      <c r="N188" s="887">
        <f t="shared" si="26"/>
        <v>100</v>
      </c>
      <c r="O188" s="887"/>
      <c r="R188" s="1">
        <v>2011</v>
      </c>
      <c r="S188" s="8">
        <f>(O112*($E112/365))+(O113*($E113/365))</f>
        <v>0</v>
      </c>
      <c r="T188" s="8">
        <f>(P112*($E112/365))+(P113*($E113/365))</f>
        <v>6.5</v>
      </c>
      <c r="U188" s="8">
        <f>(Q112*($E112/365))+(Q113*($E113/365))</f>
        <v>44.4</v>
      </c>
      <c r="V188" s="7"/>
      <c r="W188" s="7">
        <f t="shared" si="25"/>
        <v>50.9</v>
      </c>
    </row>
    <row r="189" spans="1:34">
      <c r="A189" s="1">
        <v>2012</v>
      </c>
      <c r="B189" s="8">
        <f>(K114*($E114/366))+(K115*($E115/366))</f>
        <v>0</v>
      </c>
      <c r="C189" s="8">
        <f>(L114*($E114/366))+(L115*($E115/366))</f>
        <v>20</v>
      </c>
      <c r="D189" s="8">
        <f>(M114*($E114/366))+(M115*($E115/366))</f>
        <v>80</v>
      </c>
      <c r="E189" s="48">
        <f t="shared" si="24"/>
        <v>100</v>
      </c>
      <c r="G189" s="1">
        <v>2012</v>
      </c>
      <c r="H189" s="918">
        <f>(O114/$R114*100*($E114/366))+(O115/$R115*100*($E115/366))</f>
        <v>0</v>
      </c>
      <c r="I189" s="918"/>
      <c r="J189" s="918">
        <f>(P114/$R114*100*($E114/366))+(P115/$R115*100*($E115/366))</f>
        <v>12.770137524557956</v>
      </c>
      <c r="K189" s="918"/>
      <c r="L189" s="918">
        <f>(Q114/$R114*100*($E114/366))+(Q115/$R115*100*($E115/366))</f>
        <v>87.229862475442047</v>
      </c>
      <c r="M189" s="918"/>
      <c r="N189" s="887">
        <f t="shared" si="26"/>
        <v>100</v>
      </c>
      <c r="O189" s="887"/>
      <c r="R189" s="1">
        <v>2012</v>
      </c>
      <c r="S189" s="8">
        <f>(O114*($E114/366))+(O115*($E115/366))</f>
        <v>0</v>
      </c>
      <c r="T189" s="8">
        <f>(P114*($E114/366))+(P115*($E115/366))</f>
        <v>6.5</v>
      </c>
      <c r="U189" s="8">
        <f>(Q114*($E114/366))+(Q115*($E115/366))</f>
        <v>44.4</v>
      </c>
      <c r="V189" s="7"/>
      <c r="W189" s="7">
        <f t="shared" si="25"/>
        <v>50.9</v>
      </c>
    </row>
    <row r="190" spans="1:34">
      <c r="A190" s="1">
        <v>2013</v>
      </c>
      <c r="B190" s="8">
        <f>(K116*($E116/365))+(K117*($E117/365))</f>
        <v>21.095890410958905</v>
      </c>
      <c r="C190" s="8">
        <f>(L116*($E116/365))+(L117*($E117/365))</f>
        <v>15.780821917808218</v>
      </c>
      <c r="D190" s="8">
        <f>(M116*($E116/365))+(M117*($E117/365))</f>
        <v>63.123287671232873</v>
      </c>
      <c r="E190" s="273">
        <f t="shared" si="24"/>
        <v>100</v>
      </c>
      <c r="G190" s="1">
        <v>2013</v>
      </c>
      <c r="H190" s="918">
        <f>(O116/$R116*100*($E116/365))+(O117/$R117*100*($E117/365))</f>
        <v>21.095890410958905</v>
      </c>
      <c r="I190" s="918"/>
      <c r="J190" s="918">
        <f>(P116/$R116*100*($E116/365))+(P117/$R117*100*($E117/365))</f>
        <v>10.07616330704847</v>
      </c>
      <c r="K190" s="918"/>
      <c r="L190" s="918">
        <f>(Q116/$R116*100*($E116/365))+(Q117/$R117*100*($E117/365))</f>
        <v>68.827946281992624</v>
      </c>
      <c r="M190" s="918"/>
      <c r="N190" s="887">
        <f>H190+J190+L190</f>
        <v>100</v>
      </c>
      <c r="O190" s="887"/>
      <c r="R190" s="1">
        <v>2013</v>
      </c>
      <c r="S190" s="8">
        <f>(O116*($E116/365))+(O117*($E117/365))</f>
        <v>9.6197260273972596</v>
      </c>
      <c r="T190" s="8">
        <f>(P116*($E116/365))+(P117*($E117/365))</f>
        <v>5.1287671232876715</v>
      </c>
      <c r="U190" s="8">
        <f>(Q116*($E116/365))+(Q117*($E117/365))</f>
        <v>35.033424657534248</v>
      </c>
      <c r="W190" s="7">
        <f t="shared" si="25"/>
        <v>49.781917808219177</v>
      </c>
      <c r="X190" s="7"/>
    </row>
    <row r="191" spans="1:34">
      <c r="A191" s="1">
        <v>2014</v>
      </c>
      <c r="B191" s="8">
        <f>(K118*($E118/365))+(K119*($E119/365))</f>
        <v>100</v>
      </c>
      <c r="C191" s="8">
        <f>(L118*($E118/365))+(L119*($E119/365))</f>
        <v>0</v>
      </c>
      <c r="D191" s="8">
        <f>(M118*($E118/365))+(M119*($E119/365))</f>
        <v>0</v>
      </c>
      <c r="E191" s="543">
        <f>B191+C191+D191</f>
        <v>100</v>
      </c>
      <c r="G191" s="1">
        <v>2014</v>
      </c>
      <c r="H191" s="918">
        <f>(O118/$R118*100*($E118/365))+(O119/$R119*100*($E119/365))</f>
        <v>100</v>
      </c>
      <c r="I191" s="918"/>
      <c r="J191" s="918">
        <f>(P118/$R118*100*($E118/365))+(P119/$R119*100*($E119/365))</f>
        <v>0</v>
      </c>
      <c r="K191" s="918"/>
      <c r="L191" s="918">
        <f>(Q118/$R118*100*($E118/365))+(Q119/$R119*100*($E119/365))</f>
        <v>0</v>
      </c>
      <c r="M191" s="918"/>
      <c r="N191" s="887">
        <f>H191+J191+L191</f>
        <v>100</v>
      </c>
      <c r="O191" s="887"/>
      <c r="R191" s="1">
        <v>2014</v>
      </c>
      <c r="S191" s="8">
        <f>(O118*($E118/365))+(O119*($E119/365))</f>
        <v>45.6</v>
      </c>
      <c r="T191" s="8">
        <f>(P118*($E118/365))+(P119*($E119/365))</f>
        <v>0</v>
      </c>
      <c r="U191" s="8">
        <f>(Q118*($E118/365))+(Q119*($E119/365))</f>
        <v>0</v>
      </c>
      <c r="W191" s="7">
        <f>S191+T191+U191</f>
        <v>45.6</v>
      </c>
      <c r="X191" s="7"/>
    </row>
    <row r="192" spans="1:34" s="618" customFormat="1">
      <c r="A192" s="618">
        <v>2015</v>
      </c>
      <c r="B192" s="613">
        <f>(K120*($E120/365))+(K121*($E121/365))</f>
        <v>100</v>
      </c>
      <c r="C192" s="613">
        <f>(L120*($E120/365))+(L121*($E121/365))</f>
        <v>0</v>
      </c>
      <c r="D192" s="613">
        <f>(M120*($E120/365))+(M121*($E121/365))</f>
        <v>0</v>
      </c>
      <c r="E192" s="614">
        <f>B192+C192+D192</f>
        <v>100</v>
      </c>
      <c r="G192" s="618">
        <v>2015</v>
      </c>
      <c r="H192" s="918">
        <f>(O120/$R120*100*($E120/365))+(O121/$R121*100*($E121/365))</f>
        <v>100</v>
      </c>
      <c r="I192" s="918"/>
      <c r="J192" s="918">
        <f>(P120/$R120*100*($E120/365))+(P121/$R121*100*($E121/365))</f>
        <v>0</v>
      </c>
      <c r="K192" s="918"/>
      <c r="L192" s="918">
        <f>(Q120/$R120*100*($E120/365))+(Q121/$R121*100*($E121/365))</f>
        <v>0</v>
      </c>
      <c r="M192" s="918"/>
      <c r="N192" s="887">
        <f>H192+J192+L192</f>
        <v>100</v>
      </c>
      <c r="O192" s="887"/>
      <c r="R192" s="618">
        <v>2015</v>
      </c>
      <c r="S192" s="613">
        <f>(O120*($E120/365))+(O121*($E121/365))</f>
        <v>45.6</v>
      </c>
      <c r="T192" s="613">
        <f>(P120*($E120/365))+(P121*($E121/365))</f>
        <v>0</v>
      </c>
      <c r="U192" s="613">
        <f>(Q120*($E120/365))+(Q121*($E121/365))</f>
        <v>0</v>
      </c>
      <c r="W192" s="617">
        <f>S192+T192+U192</f>
        <v>45.6</v>
      </c>
      <c r="X192" s="617"/>
      <c r="AH192" s="37"/>
    </row>
    <row r="193" spans="1:34" s="618" customFormat="1">
      <c r="A193" s="690">
        <v>2016</v>
      </c>
      <c r="B193" s="684">
        <f>(K122*($E122/366))+(K123*($E123/366))</f>
        <v>100</v>
      </c>
      <c r="C193" s="684">
        <f>(L122*($E122/366))+(L123*($E123/366))</f>
        <v>0</v>
      </c>
      <c r="D193" s="684">
        <f>(M122*($E122/366))+(M123*($E123/366))</f>
        <v>0</v>
      </c>
      <c r="E193" s="685">
        <f t="shared" ref="E193" si="27">B193+C193+D193</f>
        <v>100</v>
      </c>
      <c r="F193" s="690"/>
      <c r="G193" s="690">
        <v>2016</v>
      </c>
      <c r="H193" s="918">
        <f>(O122/$R122*100*($E122/366))+(O123/$R123*100*($E123/366))</f>
        <v>100</v>
      </c>
      <c r="I193" s="918"/>
      <c r="J193" s="918">
        <f>(P122/$R122*100*($E122/366))+(P123/$R123*100*($E123/366))</f>
        <v>0</v>
      </c>
      <c r="K193" s="918"/>
      <c r="L193" s="918">
        <f>(Q122/$R122*100*($E122/366))+(Q123/$R123*100*($E123/366))</f>
        <v>0</v>
      </c>
      <c r="M193" s="918"/>
      <c r="N193" s="887">
        <f t="shared" ref="N193" si="28">H193+J193+L193</f>
        <v>100</v>
      </c>
      <c r="O193" s="887"/>
      <c r="P193" s="690"/>
      <c r="Q193" s="690"/>
      <c r="R193" s="690">
        <v>2016</v>
      </c>
      <c r="S193" s="684">
        <f>(O122*($E122/366))+(O123*($E123/366))</f>
        <v>45.6</v>
      </c>
      <c r="T193" s="684">
        <f>(P122*($E122/366))+(P123*($E123/366))</f>
        <v>0</v>
      </c>
      <c r="U193" s="684">
        <f>(Q122*($E122/366))+(Q123*($E123/366))</f>
        <v>0</v>
      </c>
      <c r="V193" s="690"/>
      <c r="W193" s="688">
        <f t="shared" ref="W193" si="29">S193+T193+U193</f>
        <v>45.6</v>
      </c>
      <c r="X193" s="617"/>
      <c r="AH193" s="37"/>
    </row>
    <row r="194" spans="1:34">
      <c r="A194" s="749">
        <v>2017</v>
      </c>
      <c r="B194" s="744">
        <f>(K124*($E124/365))+(K125*($E125/365))</f>
        <v>100</v>
      </c>
      <c r="C194" s="744">
        <f t="shared" ref="C194:D194" si="30">(L124*($E124/365))+(L125*($E125/365))</f>
        <v>0</v>
      </c>
      <c r="D194" s="744">
        <f t="shared" si="30"/>
        <v>0</v>
      </c>
      <c r="E194" s="745">
        <f t="shared" ref="E194" si="31">B194+C194+D194</f>
        <v>100</v>
      </c>
      <c r="F194" s="749"/>
      <c r="G194" s="749">
        <v>2017</v>
      </c>
      <c r="H194" s="918">
        <f>(O124/$R124*100*($E124/365))+(O125/$R125*100*($E125/365))</f>
        <v>100</v>
      </c>
      <c r="I194" s="918"/>
      <c r="J194" s="918">
        <f>(P124/$R124*100*($E124/365))+(P125/$R125*100*($E125/365))</f>
        <v>0</v>
      </c>
      <c r="K194" s="918"/>
      <c r="L194" s="918">
        <f>(Q124/$R124*100*($E124/365))+(Q125/$R125*100*($E125/365))</f>
        <v>0</v>
      </c>
      <c r="M194" s="918"/>
      <c r="N194" s="887">
        <f t="shared" ref="N194" si="32">H194+J194+L194</f>
        <v>100</v>
      </c>
      <c r="O194" s="887"/>
      <c r="P194" s="749"/>
      <c r="Q194" s="749"/>
      <c r="R194" s="749">
        <v>2017</v>
      </c>
      <c r="S194" s="744">
        <f>(O124*($E124/365))+(O125*($E125/365))</f>
        <v>44.679452054794524</v>
      </c>
      <c r="T194" s="744">
        <f t="shared" ref="T194:U194" si="33">(P124*($E124/365))+(P125*($E125/365))</f>
        <v>0</v>
      </c>
      <c r="U194" s="744">
        <f t="shared" si="33"/>
        <v>0</v>
      </c>
      <c r="V194" s="749"/>
      <c r="W194" s="746">
        <f t="shared" ref="W194" si="34">S194+T194+U194</f>
        <v>44.679452054794524</v>
      </c>
    </row>
    <row r="195" spans="1:34">
      <c r="A195" s="775">
        <v>2018</v>
      </c>
      <c r="B195" s="772">
        <f>(K126*($E126/365))+(K127*($E127/365))</f>
        <v>100</v>
      </c>
      <c r="C195" s="772">
        <f>(L126*($E126/365))+(L127*($E127/365))</f>
        <v>0</v>
      </c>
      <c r="D195" s="772">
        <f>(M126*($E126/365))+(M127*($E127/365))</f>
        <v>0</v>
      </c>
      <c r="E195" s="773">
        <f t="shared" ref="E195" si="35">B195+C195+D195</f>
        <v>100</v>
      </c>
      <c r="F195" s="775"/>
      <c r="G195" s="775">
        <v>2018</v>
      </c>
      <c r="H195" s="918">
        <f>(O126/$R126*100*($E126/365))+(O127/$R127*100*($E127/365))</f>
        <v>100</v>
      </c>
      <c r="I195" s="918"/>
      <c r="J195" s="918">
        <f>(P126/$R126*100*($E126/365))+(P127/$R127*100*($E127/365))</f>
        <v>0</v>
      </c>
      <c r="K195" s="918"/>
      <c r="L195" s="918">
        <f>(Q126/$R126*100*($E126/365))+(Q127/$R127*100*($E127/365))</f>
        <v>0</v>
      </c>
      <c r="M195" s="918"/>
      <c r="N195" s="887">
        <f t="shared" ref="N195" si="36">H195+J195+L195</f>
        <v>100</v>
      </c>
      <c r="O195" s="887"/>
      <c r="P195" s="775"/>
      <c r="Q195" s="775"/>
      <c r="R195" s="775">
        <v>2018</v>
      </c>
      <c r="S195" s="772">
        <f>(O126*($E126/365))+(O127*($E127/365))</f>
        <v>51.683561643835617</v>
      </c>
      <c r="T195" s="772">
        <f>(P126*($E126/365))+(P127*($E127/365))</f>
        <v>0</v>
      </c>
      <c r="U195" s="772">
        <f>(Q126*($E126/365))+(Q127*($E127/365))</f>
        <v>0</v>
      </c>
      <c r="V195" s="775"/>
      <c r="W195" s="774">
        <f t="shared" ref="W195" si="37">S195+T195+U195</f>
        <v>51.683561643835617</v>
      </c>
    </row>
    <row r="196" spans="1:34">
      <c r="A196" s="808">
        <v>2019</v>
      </c>
      <c r="B196" s="805">
        <f>(K128*($E128/365))+(K129*($E129/365))</f>
        <v>91.457036114570357</v>
      </c>
      <c r="C196" s="805">
        <f>(L128*($E128/365))+(L129*($E129/365))</f>
        <v>8.5429638854296392</v>
      </c>
      <c r="D196" s="805">
        <f>(M128*($E128/365))+(M129*($E129/365))</f>
        <v>0</v>
      </c>
      <c r="E196" s="806">
        <f t="shared" ref="E196" si="38">B196+C196+D196</f>
        <v>100</v>
      </c>
      <c r="F196" s="808"/>
      <c r="G196" s="808">
        <v>2019</v>
      </c>
      <c r="H196" s="918">
        <f>(O128/$R128*100*($E128/365))+(O129/$R129*100*($E129/365))</f>
        <v>92.224098012733933</v>
      </c>
      <c r="I196" s="918"/>
      <c r="J196" s="918">
        <f>(P128/$R128*100*($E128/365))+(P129/$R129*100*($E129/365))</f>
        <v>7.7759019872660629</v>
      </c>
      <c r="K196" s="918"/>
      <c r="L196" s="918">
        <f>(Q128/$R128*100*($E128/365))+(Q129/$R129*100*($E129/365))</f>
        <v>0</v>
      </c>
      <c r="M196" s="918"/>
      <c r="N196" s="887">
        <f t="shared" ref="N196" si="39">H196+J196+L196</f>
        <v>100</v>
      </c>
      <c r="O196" s="887"/>
      <c r="P196" s="808"/>
      <c r="Q196" s="808"/>
      <c r="R196" s="808">
        <v>2019</v>
      </c>
      <c r="S196" s="805">
        <f>(O128*($E128/365))+(O129*($E129/365))</f>
        <v>52.1</v>
      </c>
      <c r="T196" s="805">
        <f>(P128*($E128/365))+(P129*($E129/365))</f>
        <v>4.4167123287671233</v>
      </c>
      <c r="U196" s="805">
        <f>(Q128*($E128/365))+(Q129*($E129/365))</f>
        <v>0</v>
      </c>
      <c r="V196" s="808"/>
      <c r="W196" s="807">
        <f t="shared" ref="W196" si="40">S196+T196+U196</f>
        <v>56.516712328767127</v>
      </c>
    </row>
    <row r="197" spans="1:34">
      <c r="O197" s="37"/>
      <c r="AH197" s="1"/>
    </row>
  </sheetData>
  <mergeCells count="395">
    <mergeCell ref="H137:I137"/>
    <mergeCell ref="J137:K137"/>
    <mergeCell ref="L137:M137"/>
    <mergeCell ref="N137:O137"/>
    <mergeCell ref="H136:I136"/>
    <mergeCell ref="J136:K136"/>
    <mergeCell ref="L136:M136"/>
    <mergeCell ref="N136:O136"/>
    <mergeCell ref="H140:I140"/>
    <mergeCell ref="J140:K140"/>
    <mergeCell ref="L140:M140"/>
    <mergeCell ref="N140:O140"/>
    <mergeCell ref="C110:D110"/>
    <mergeCell ref="C103:D103"/>
    <mergeCell ref="C104:D104"/>
    <mergeCell ref="C111:D111"/>
    <mergeCell ref="C112:D112"/>
    <mergeCell ref="C113:D113"/>
    <mergeCell ref="C105:D105"/>
    <mergeCell ref="C106:D106"/>
    <mergeCell ref="H135:I135"/>
    <mergeCell ref="C118:D118"/>
    <mergeCell ref="C119:D119"/>
    <mergeCell ref="C120:D120"/>
    <mergeCell ref="C121:D121"/>
    <mergeCell ref="C124:D124"/>
    <mergeCell ref="C125:D125"/>
    <mergeCell ref="C130:D130"/>
    <mergeCell ref="C122:D122"/>
    <mergeCell ref="C123:D123"/>
    <mergeCell ref="C126:D126"/>
    <mergeCell ref="C127:D127"/>
    <mergeCell ref="C129:D129"/>
    <mergeCell ref="C128:D128"/>
    <mergeCell ref="C94:D94"/>
    <mergeCell ref="C95:D95"/>
    <mergeCell ref="C96:D96"/>
    <mergeCell ref="C107:D107"/>
    <mergeCell ref="C108:D108"/>
    <mergeCell ref="C109:D109"/>
    <mergeCell ref="C97:D97"/>
    <mergeCell ref="C98:D98"/>
    <mergeCell ref="C99:D99"/>
    <mergeCell ref="C100:D100"/>
    <mergeCell ref="C101:D101"/>
    <mergeCell ref="C102:D10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H144:I144"/>
    <mergeCell ref="J144:K144"/>
    <mergeCell ref="L144:M144"/>
    <mergeCell ref="N144:O144"/>
    <mergeCell ref="J141:K141"/>
    <mergeCell ref="L141:M141"/>
    <mergeCell ref="N141:O141"/>
    <mergeCell ref="H138:I138"/>
    <mergeCell ref="J138:K138"/>
    <mergeCell ref="L138:M138"/>
    <mergeCell ref="H142:I142"/>
    <mergeCell ref="J142:K142"/>
    <mergeCell ref="L142:M142"/>
    <mergeCell ref="N142:O142"/>
    <mergeCell ref="H143:I143"/>
    <mergeCell ref="J143:K143"/>
    <mergeCell ref="L143:M143"/>
    <mergeCell ref="N143:O143"/>
    <mergeCell ref="N138:O138"/>
    <mergeCell ref="H139:I139"/>
    <mergeCell ref="J139:K139"/>
    <mergeCell ref="L139:M139"/>
    <mergeCell ref="N139:O139"/>
    <mergeCell ref="H141:I141"/>
    <mergeCell ref="H146:I146"/>
    <mergeCell ref="J146:K146"/>
    <mergeCell ref="L146:M146"/>
    <mergeCell ref="N146:O146"/>
    <mergeCell ref="H147:I147"/>
    <mergeCell ref="J147:K147"/>
    <mergeCell ref="L147:M147"/>
    <mergeCell ref="N147:O147"/>
    <mergeCell ref="H145:I145"/>
    <mergeCell ref="J145:K145"/>
    <mergeCell ref="L145:M145"/>
    <mergeCell ref="N145:O145"/>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63:I163"/>
    <mergeCell ref="H164:I164"/>
    <mergeCell ref="L166:M166"/>
    <mergeCell ref="L163:M163"/>
    <mergeCell ref="L164:M164"/>
    <mergeCell ref="L165:M165"/>
    <mergeCell ref="H165:I165"/>
    <mergeCell ref="H166:I166"/>
    <mergeCell ref="H160:I160"/>
    <mergeCell ref="J160:K160"/>
    <mergeCell ref="L160:M160"/>
    <mergeCell ref="H161:I161"/>
    <mergeCell ref="J161:K161"/>
    <mergeCell ref="L161:M161"/>
    <mergeCell ref="H162:I162"/>
    <mergeCell ref="J162:K162"/>
    <mergeCell ref="L162:M162"/>
    <mergeCell ref="N181:O181"/>
    <mergeCell ref="L182:M182"/>
    <mergeCell ref="N182:O182"/>
    <mergeCell ref="L179:M179"/>
    <mergeCell ref="L180:M180"/>
    <mergeCell ref="H167:I167"/>
    <mergeCell ref="J180:K180"/>
    <mergeCell ref="H168:I168"/>
    <mergeCell ref="H169:I169"/>
    <mergeCell ref="L173:M173"/>
    <mergeCell ref="L174:M174"/>
    <mergeCell ref="H177:I177"/>
    <mergeCell ref="H178:I178"/>
    <mergeCell ref="H179:I179"/>
    <mergeCell ref="H180:I180"/>
    <mergeCell ref="N169:O169"/>
    <mergeCell ref="N170:O170"/>
    <mergeCell ref="N171:O171"/>
    <mergeCell ref="N172:O172"/>
    <mergeCell ref="N173:O173"/>
    <mergeCell ref="H170:I170"/>
    <mergeCell ref="J181:K181"/>
    <mergeCell ref="J182:K182"/>
    <mergeCell ref="L167:M167"/>
    <mergeCell ref="R133:W133"/>
    <mergeCell ref="J168:K168"/>
    <mergeCell ref="J169:K169"/>
    <mergeCell ref="J163:K163"/>
    <mergeCell ref="J164:K164"/>
    <mergeCell ref="J165:K165"/>
    <mergeCell ref="J166:K166"/>
    <mergeCell ref="J167:K167"/>
    <mergeCell ref="N180:O180"/>
    <mergeCell ref="N163:O163"/>
    <mergeCell ref="N164:O164"/>
    <mergeCell ref="J135:K135"/>
    <mergeCell ref="L135:M135"/>
    <mergeCell ref="N135:O135"/>
    <mergeCell ref="J170:K170"/>
    <mergeCell ref="L168:M168"/>
    <mergeCell ref="L169:M169"/>
    <mergeCell ref="L170:M170"/>
    <mergeCell ref="L171:M171"/>
    <mergeCell ref="L172:M172"/>
    <mergeCell ref="N160:O160"/>
    <mergeCell ref="N161:O161"/>
    <mergeCell ref="N162:O162"/>
    <mergeCell ref="H185:I185"/>
    <mergeCell ref="H186:I186"/>
    <mergeCell ref="L176:M176"/>
    <mergeCell ref="L184:M184"/>
    <mergeCell ref="L185:M185"/>
    <mergeCell ref="L181:M181"/>
    <mergeCell ref="H181:I181"/>
    <mergeCell ref="H182:I182"/>
    <mergeCell ref="H171:I171"/>
    <mergeCell ref="H172:I172"/>
    <mergeCell ref="H173:I173"/>
    <mergeCell ref="H174:I174"/>
    <mergeCell ref="H175:I175"/>
    <mergeCell ref="H176:I176"/>
    <mergeCell ref="H184:I184"/>
    <mergeCell ref="J175:K175"/>
    <mergeCell ref="J176:K176"/>
    <mergeCell ref="J177:K177"/>
    <mergeCell ref="J178:K178"/>
    <mergeCell ref="J179:K179"/>
    <mergeCell ref="J171:K171"/>
    <mergeCell ref="J172:K172"/>
    <mergeCell ref="J173:K173"/>
    <mergeCell ref="J174:K174"/>
    <mergeCell ref="AT4:AW4"/>
    <mergeCell ref="AX4:BA4"/>
    <mergeCell ref="N190:O190"/>
    <mergeCell ref="C116:D116"/>
    <mergeCell ref="C117:D117"/>
    <mergeCell ref="H190:I190"/>
    <mergeCell ref="J190:K190"/>
    <mergeCell ref="L190:M190"/>
    <mergeCell ref="H189:I189"/>
    <mergeCell ref="J189:K189"/>
    <mergeCell ref="C114:D114"/>
    <mergeCell ref="C115:D115"/>
    <mergeCell ref="N184:O184"/>
    <mergeCell ref="N185:O185"/>
    <mergeCell ref="N174:O174"/>
    <mergeCell ref="N179:O179"/>
    <mergeCell ref="N168:O168"/>
    <mergeCell ref="N165:O165"/>
    <mergeCell ref="N166:O166"/>
    <mergeCell ref="N167:O167"/>
    <mergeCell ref="L178:M178"/>
    <mergeCell ref="N176:O176"/>
    <mergeCell ref="J183:K183"/>
    <mergeCell ref="H183:I183"/>
    <mergeCell ref="H195:I195"/>
    <mergeCell ref="J195:K195"/>
    <mergeCell ref="L195:M195"/>
    <mergeCell ref="N195:O195"/>
    <mergeCell ref="L189:M189"/>
    <mergeCell ref="N188:O188"/>
    <mergeCell ref="N189:O189"/>
    <mergeCell ref="L186:M186"/>
    <mergeCell ref="N186:O186"/>
    <mergeCell ref="N187:O187"/>
    <mergeCell ref="H188:I188"/>
    <mergeCell ref="J188:K188"/>
    <mergeCell ref="L188:M188"/>
    <mergeCell ref="H187:I187"/>
    <mergeCell ref="H194:I194"/>
    <mergeCell ref="J194:K194"/>
    <mergeCell ref="L194:M194"/>
    <mergeCell ref="N194:O194"/>
    <mergeCell ref="H193:I193"/>
    <mergeCell ref="J193:K193"/>
    <mergeCell ref="L193:M193"/>
    <mergeCell ref="N193:O193"/>
    <mergeCell ref="J184:K184"/>
    <mergeCell ref="J185:K185"/>
    <mergeCell ref="H196:I196"/>
    <mergeCell ref="J196:K196"/>
    <mergeCell ref="L196:M196"/>
    <mergeCell ref="N196:O196"/>
    <mergeCell ref="N175:O175"/>
    <mergeCell ref="L175:M175"/>
    <mergeCell ref="H192:I192"/>
    <mergeCell ref="J192:K192"/>
    <mergeCell ref="L192:M192"/>
    <mergeCell ref="N192:O192"/>
    <mergeCell ref="H191:I191"/>
    <mergeCell ref="J191:K191"/>
    <mergeCell ref="L191:M191"/>
    <mergeCell ref="N191:O191"/>
    <mergeCell ref="L177:M177"/>
    <mergeCell ref="N177:O177"/>
    <mergeCell ref="L187:M187"/>
    <mergeCell ref="L183:M183"/>
    <mergeCell ref="N183:O183"/>
    <mergeCell ref="N178:O178"/>
    <mergeCell ref="J186:K186"/>
    <mergeCell ref="J187:K18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BA138"/>
  <sheetViews>
    <sheetView zoomScale="184" zoomScaleNormal="120" workbookViewId="0">
      <pane xSplit="1" ySplit="5" topLeftCell="G69" activePane="bottomRight" state="frozen"/>
      <selection pane="topRight" activeCell="B1" sqref="B1"/>
      <selection pane="bottomLeft" activeCell="A6" sqref="A6"/>
      <selection pane="bottomRight" activeCell="Y102" sqref="Y10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144</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73" customFormat="1">
      <c r="A6" s="173">
        <v>1991</v>
      </c>
      <c r="B6" s="852"/>
      <c r="C6" s="935" t="s">
        <v>1268</v>
      </c>
      <c r="D6" s="935"/>
      <c r="E6" s="172">
        <v>356</v>
      </c>
      <c r="F6" s="174"/>
      <c r="G6" s="119"/>
      <c r="J6" s="126"/>
      <c r="K6" s="92"/>
      <c r="L6" s="92"/>
      <c r="M6" s="92"/>
      <c r="N6" s="121"/>
      <c r="O6" s="91"/>
      <c r="P6" s="92"/>
      <c r="Q6" s="92"/>
      <c r="R6" s="93"/>
      <c r="T6" s="839"/>
      <c r="U6" s="852"/>
      <c r="V6" s="82"/>
      <c r="Y6" s="83"/>
      <c r="AD6" s="82"/>
      <c r="AG6" s="83"/>
      <c r="AL6" s="82"/>
      <c r="AO6" s="83"/>
      <c r="AP6" s="82"/>
      <c r="AS6" s="83"/>
      <c r="AW6" s="83"/>
      <c r="BA6" s="84"/>
    </row>
    <row r="7" spans="1:53" s="292" customFormat="1">
      <c r="A7" s="292">
        <v>1991</v>
      </c>
      <c r="B7" s="836">
        <v>33595</v>
      </c>
      <c r="C7" s="916" t="s">
        <v>934</v>
      </c>
      <c r="D7" s="916"/>
      <c r="E7" s="292">
        <v>9</v>
      </c>
      <c r="F7" s="292" t="s">
        <v>338</v>
      </c>
      <c r="G7" s="366">
        <v>3</v>
      </c>
      <c r="H7" s="292">
        <v>7</v>
      </c>
      <c r="J7" s="377">
        <v>23</v>
      </c>
      <c r="K7" s="336">
        <f t="shared" ref="K7:M11" si="0">G7/J7*100</f>
        <v>13.043478260869565</v>
      </c>
      <c r="L7" s="336">
        <f t="shared" si="0"/>
        <v>53.666666666666671</v>
      </c>
      <c r="M7" s="336">
        <f t="shared" si="0"/>
        <v>0</v>
      </c>
      <c r="N7" s="368">
        <f>K7+L7+M7</f>
        <v>66.710144927536234</v>
      </c>
      <c r="O7" s="335">
        <v>9.6</v>
      </c>
      <c r="P7" s="336">
        <v>16.8</v>
      </c>
      <c r="Q7" s="336"/>
      <c r="R7" s="337">
        <f t="shared" ref="R7:R80" si="1">SUM(O7:Q7)</f>
        <v>26.4</v>
      </c>
      <c r="S7" s="292">
        <v>5</v>
      </c>
      <c r="T7" s="838">
        <v>33538</v>
      </c>
      <c r="U7" s="836">
        <v>33595</v>
      </c>
      <c r="V7" s="299" t="s">
        <v>101</v>
      </c>
      <c r="W7" s="292" t="s">
        <v>77</v>
      </c>
      <c r="X7" s="292" t="s">
        <v>11</v>
      </c>
      <c r="Y7" s="300">
        <v>9.6</v>
      </c>
      <c r="Z7" s="292" t="s">
        <v>935</v>
      </c>
      <c r="AA7" s="292" t="s">
        <v>86</v>
      </c>
      <c r="AB7" s="292" t="s">
        <v>18</v>
      </c>
      <c r="AC7" s="292">
        <v>10.7</v>
      </c>
      <c r="AD7" s="299" t="s">
        <v>936</v>
      </c>
      <c r="AE7" s="292" t="s">
        <v>937</v>
      </c>
      <c r="AF7" s="292" t="s">
        <v>18</v>
      </c>
      <c r="AG7" s="300">
        <v>6.1</v>
      </c>
      <c r="AL7" s="299"/>
      <c r="AO7" s="300"/>
      <c r="AP7" s="299"/>
      <c r="AS7" s="300"/>
      <c r="AW7" s="300"/>
      <c r="BA7" s="301"/>
    </row>
    <row r="8" spans="1:53" s="292" customFormat="1">
      <c r="A8" s="292">
        <v>1992</v>
      </c>
      <c r="B8" s="836"/>
      <c r="C8" s="916" t="s">
        <v>934</v>
      </c>
      <c r="D8" s="916"/>
      <c r="E8" s="292">
        <v>157</v>
      </c>
      <c r="G8" s="366">
        <v>3</v>
      </c>
      <c r="H8" s="292">
        <v>7</v>
      </c>
      <c r="J8" s="377">
        <v>23</v>
      </c>
      <c r="K8" s="336">
        <f t="shared" si="0"/>
        <v>13.043478260869565</v>
      </c>
      <c r="L8" s="336">
        <f t="shared" si="0"/>
        <v>53.666666666666671</v>
      </c>
      <c r="M8" s="336">
        <f t="shared" si="0"/>
        <v>0</v>
      </c>
      <c r="N8" s="368">
        <f>K8+L8+M8</f>
        <v>66.710144927536234</v>
      </c>
      <c r="O8" s="335">
        <v>9.6</v>
      </c>
      <c r="P8" s="336">
        <v>16.8</v>
      </c>
      <c r="Q8" s="336"/>
      <c r="R8" s="337">
        <f t="shared" si="1"/>
        <v>26.4</v>
      </c>
      <c r="S8" s="292">
        <v>5</v>
      </c>
      <c r="T8" s="838"/>
      <c r="U8" s="836"/>
      <c r="V8" s="299" t="s">
        <v>101</v>
      </c>
      <c r="W8" s="292" t="s">
        <v>77</v>
      </c>
      <c r="X8" s="292" t="s">
        <v>11</v>
      </c>
      <c r="Y8" s="300">
        <v>9.6</v>
      </c>
      <c r="Z8" s="292" t="s">
        <v>935</v>
      </c>
      <c r="AA8" s="292" t="s">
        <v>86</v>
      </c>
      <c r="AB8" s="292" t="s">
        <v>18</v>
      </c>
      <c r="AC8" s="292">
        <v>10.7</v>
      </c>
      <c r="AD8" s="299" t="s">
        <v>936</v>
      </c>
      <c r="AE8" s="292" t="s">
        <v>937</v>
      </c>
      <c r="AF8" s="292" t="s">
        <v>18</v>
      </c>
      <c r="AG8" s="300">
        <v>6.1</v>
      </c>
      <c r="AL8" s="299"/>
      <c r="AO8" s="300"/>
      <c r="AP8" s="299"/>
      <c r="AS8" s="300"/>
      <c r="AW8" s="300"/>
      <c r="BA8" s="301"/>
    </row>
    <row r="9" spans="1:53" s="173" customFormat="1">
      <c r="A9" s="173">
        <v>1992</v>
      </c>
      <c r="B9" s="852">
        <v>33761</v>
      </c>
      <c r="C9" s="917" t="s">
        <v>938</v>
      </c>
      <c r="D9" s="917"/>
      <c r="E9" s="173">
        <v>35</v>
      </c>
      <c r="F9" s="173">
        <v>5</v>
      </c>
      <c r="G9" s="119">
        <v>0</v>
      </c>
      <c r="H9" s="173">
        <v>0</v>
      </c>
      <c r="I9" s="173">
        <v>0</v>
      </c>
      <c r="J9" s="126">
        <v>0</v>
      </c>
      <c r="K9" s="92">
        <v>0</v>
      </c>
      <c r="L9" s="92">
        <v>0</v>
      </c>
      <c r="M9" s="92">
        <v>0</v>
      </c>
      <c r="N9" s="121">
        <v>0</v>
      </c>
      <c r="O9" s="91">
        <v>0</v>
      </c>
      <c r="P9" s="92">
        <v>0</v>
      </c>
      <c r="Q9" s="92">
        <v>0</v>
      </c>
      <c r="R9" s="93">
        <f t="shared" si="1"/>
        <v>0</v>
      </c>
      <c r="S9" s="173">
        <v>6</v>
      </c>
      <c r="T9" s="839"/>
      <c r="U9" s="852">
        <v>33761</v>
      </c>
      <c r="V9" s="962" t="s">
        <v>1155</v>
      </c>
      <c r="W9" s="963"/>
      <c r="X9" s="963"/>
      <c r="Y9" s="963"/>
      <c r="Z9" s="963"/>
      <c r="AA9" s="963"/>
      <c r="AB9" s="963"/>
      <c r="AC9" s="964"/>
      <c r="AH9" s="82"/>
      <c r="AK9" s="83"/>
      <c r="AP9" s="82"/>
      <c r="AS9" s="83"/>
      <c r="AW9" s="83"/>
      <c r="BA9" s="84"/>
    </row>
    <row r="10" spans="1:53" s="292" customFormat="1">
      <c r="A10" s="292">
        <v>1992</v>
      </c>
      <c r="B10" s="836">
        <v>33796</v>
      </c>
      <c r="C10" s="916" t="s">
        <v>1156</v>
      </c>
      <c r="D10" s="916"/>
      <c r="E10" s="292">
        <f>366-E9-E8</f>
        <v>174</v>
      </c>
      <c r="F10" s="292">
        <v>5</v>
      </c>
      <c r="G10" s="366">
        <v>7</v>
      </c>
      <c r="H10" s="292">
        <v>9</v>
      </c>
      <c r="J10" s="377">
        <v>19</v>
      </c>
      <c r="K10" s="336">
        <f t="shared" si="0"/>
        <v>36.84210526315789</v>
      </c>
      <c r="L10" s="336">
        <f t="shared" si="0"/>
        <v>24.428571428571434</v>
      </c>
      <c r="M10" s="336">
        <f t="shared" si="0"/>
        <v>0</v>
      </c>
      <c r="N10" s="368">
        <f>K10+L10+M10</f>
        <v>61.270676691729321</v>
      </c>
      <c r="O10" s="335">
        <v>21.5</v>
      </c>
      <c r="P10" s="336">
        <v>17.899999999999999</v>
      </c>
      <c r="Q10" s="336"/>
      <c r="R10" s="337">
        <f t="shared" si="1"/>
        <v>39.4</v>
      </c>
      <c r="S10" s="292">
        <v>5</v>
      </c>
      <c r="T10" s="838"/>
      <c r="U10" s="836">
        <v>33796</v>
      </c>
      <c r="V10" s="299" t="s">
        <v>554</v>
      </c>
      <c r="W10" s="292" t="s">
        <v>22</v>
      </c>
      <c r="X10" s="292" t="s">
        <v>11</v>
      </c>
      <c r="Y10" s="300">
        <v>13.5</v>
      </c>
      <c r="Z10" s="292" t="s">
        <v>939</v>
      </c>
      <c r="AA10" s="292" t="s">
        <v>86</v>
      </c>
      <c r="AB10" s="292" t="s">
        <v>18</v>
      </c>
      <c r="AC10" s="292">
        <v>10.7</v>
      </c>
      <c r="AD10" s="299" t="s">
        <v>941</v>
      </c>
      <c r="AE10" s="292" t="s">
        <v>88</v>
      </c>
      <c r="AF10" s="292" t="s">
        <v>11</v>
      </c>
      <c r="AG10" s="292">
        <v>8</v>
      </c>
      <c r="AH10" s="299" t="s">
        <v>936</v>
      </c>
      <c r="AI10" s="292" t="s">
        <v>937</v>
      </c>
      <c r="AJ10" s="292" t="s">
        <v>18</v>
      </c>
      <c r="AK10" s="300">
        <v>6.1</v>
      </c>
      <c r="AL10" s="299" t="s">
        <v>940</v>
      </c>
      <c r="AM10" s="292" t="s">
        <v>17</v>
      </c>
      <c r="AN10" s="292" t="s">
        <v>18</v>
      </c>
      <c r="AO10" s="300">
        <v>1.1000000000000001</v>
      </c>
      <c r="AP10" s="299" t="s">
        <v>1157</v>
      </c>
      <c r="AQ10" s="292" t="s">
        <v>330</v>
      </c>
      <c r="AR10" s="292" t="s">
        <v>18</v>
      </c>
      <c r="AS10" s="300">
        <v>0</v>
      </c>
      <c r="AW10" s="300"/>
      <c r="BA10" s="301"/>
    </row>
    <row r="11" spans="1:53" s="292" customFormat="1">
      <c r="A11" s="292">
        <v>1993</v>
      </c>
      <c r="B11" s="836"/>
      <c r="C11" s="916" t="s">
        <v>1156</v>
      </c>
      <c r="D11" s="916"/>
      <c r="E11" s="292">
        <v>298</v>
      </c>
      <c r="G11" s="366">
        <v>7</v>
      </c>
      <c r="H11" s="292">
        <v>9</v>
      </c>
      <c r="J11" s="377">
        <v>19</v>
      </c>
      <c r="K11" s="336">
        <f t="shared" si="0"/>
        <v>36.84210526315789</v>
      </c>
      <c r="L11" s="336">
        <f t="shared" si="0"/>
        <v>24.428571428571434</v>
      </c>
      <c r="M11" s="336">
        <f t="shared" si="0"/>
        <v>0</v>
      </c>
      <c r="N11" s="368">
        <f>K11+L11+M11</f>
        <v>61.270676691729321</v>
      </c>
      <c r="O11" s="335">
        <v>21.5</v>
      </c>
      <c r="P11" s="336">
        <v>17.899999999999999</v>
      </c>
      <c r="Q11" s="336"/>
      <c r="R11" s="337">
        <f t="shared" si="1"/>
        <v>39.4</v>
      </c>
      <c r="S11" s="292">
        <v>5</v>
      </c>
      <c r="T11" s="838"/>
      <c r="U11" s="836"/>
      <c r="V11" s="299" t="s">
        <v>554</v>
      </c>
      <c r="W11" s="292" t="s">
        <v>22</v>
      </c>
      <c r="X11" s="292" t="s">
        <v>11</v>
      </c>
      <c r="Y11" s="300">
        <v>13.5</v>
      </c>
      <c r="Z11" s="292" t="s">
        <v>939</v>
      </c>
      <c r="AA11" s="292" t="s">
        <v>86</v>
      </c>
      <c r="AB11" s="292" t="s">
        <v>18</v>
      </c>
      <c r="AC11" s="292">
        <v>10.7</v>
      </c>
      <c r="AD11" s="299" t="s">
        <v>941</v>
      </c>
      <c r="AE11" s="292" t="s">
        <v>88</v>
      </c>
      <c r="AF11" s="292" t="s">
        <v>11</v>
      </c>
      <c r="AG11" s="292">
        <v>8</v>
      </c>
      <c r="AH11" s="299" t="s">
        <v>936</v>
      </c>
      <c r="AI11" s="292" t="s">
        <v>937</v>
      </c>
      <c r="AJ11" s="292" t="s">
        <v>18</v>
      </c>
      <c r="AK11" s="300">
        <v>6.1</v>
      </c>
      <c r="AL11" s="299" t="s">
        <v>940</v>
      </c>
      <c r="AM11" s="292" t="s">
        <v>17</v>
      </c>
      <c r="AN11" s="292" t="s">
        <v>18</v>
      </c>
      <c r="AO11" s="300">
        <v>1.1000000000000001</v>
      </c>
      <c r="AP11" s="299" t="s">
        <v>1157</v>
      </c>
      <c r="AQ11" s="292" t="s">
        <v>330</v>
      </c>
      <c r="AR11" s="292" t="s">
        <v>18</v>
      </c>
      <c r="AS11" s="300">
        <v>0</v>
      </c>
      <c r="AW11" s="300"/>
      <c r="BA11" s="301"/>
    </row>
    <row r="12" spans="1:53" s="173" customFormat="1">
      <c r="A12" s="173">
        <v>1993</v>
      </c>
      <c r="B12" s="852">
        <v>34268</v>
      </c>
      <c r="C12" s="917" t="s">
        <v>944</v>
      </c>
      <c r="D12" s="917"/>
      <c r="E12" s="173">
        <f xml:space="preserve"> 365-E11</f>
        <v>67</v>
      </c>
      <c r="F12" s="173">
        <v>5</v>
      </c>
      <c r="G12" s="119"/>
      <c r="I12" s="173">
        <v>13</v>
      </c>
      <c r="J12" s="126">
        <v>20</v>
      </c>
      <c r="K12" s="92">
        <f>G12/J12*100</f>
        <v>0</v>
      </c>
      <c r="L12" s="92">
        <f>H12/J12*100</f>
        <v>0</v>
      </c>
      <c r="M12" s="92">
        <f>I12/J12*100</f>
        <v>65</v>
      </c>
      <c r="N12" s="121">
        <f t="shared" ref="N12:N84" si="2">SUM(K12:M12)</f>
        <v>65</v>
      </c>
      <c r="O12" s="91"/>
      <c r="P12" s="92"/>
      <c r="Q12" s="92">
        <v>65.900000000000006</v>
      </c>
      <c r="R12" s="93">
        <f t="shared" si="1"/>
        <v>65.900000000000006</v>
      </c>
      <c r="S12" s="173">
        <v>2</v>
      </c>
      <c r="T12" s="839">
        <v>34231</v>
      </c>
      <c r="U12" s="852">
        <v>34268</v>
      </c>
      <c r="V12" s="82" t="s">
        <v>943</v>
      </c>
      <c r="W12" s="173" t="s">
        <v>97</v>
      </c>
      <c r="X12" s="173" t="s">
        <v>12</v>
      </c>
      <c r="Y12" s="83">
        <v>37.200000000000003</v>
      </c>
      <c r="Z12" s="173" t="s">
        <v>942</v>
      </c>
      <c r="AA12" s="173" t="s">
        <v>872</v>
      </c>
      <c r="AB12" s="173" t="s">
        <v>12</v>
      </c>
      <c r="AC12" s="173">
        <v>28.7</v>
      </c>
      <c r="AD12" s="82"/>
      <c r="AG12" s="83"/>
      <c r="AL12" s="82"/>
      <c r="AO12" s="83"/>
      <c r="AP12" s="82"/>
      <c r="AS12" s="83"/>
      <c r="AW12" s="83"/>
      <c r="BA12" s="84"/>
    </row>
    <row r="13" spans="1:53" s="173" customFormat="1">
      <c r="A13" s="173">
        <v>1994</v>
      </c>
      <c r="B13" s="852"/>
      <c r="C13" s="917" t="s">
        <v>944</v>
      </c>
      <c r="D13" s="917"/>
      <c r="E13" s="173">
        <v>0</v>
      </c>
      <c r="G13" s="119"/>
      <c r="I13" s="173">
        <v>13</v>
      </c>
      <c r="J13" s="126">
        <v>20</v>
      </c>
      <c r="K13" s="92">
        <f t="shared" ref="K13:K75" si="3">G13/J13*100</f>
        <v>0</v>
      </c>
      <c r="L13" s="92">
        <f t="shared" ref="L13:L75" si="4">H13/J13*100</f>
        <v>0</v>
      </c>
      <c r="M13" s="92">
        <f t="shared" ref="M13:M75" si="5">I13/J13*100</f>
        <v>65</v>
      </c>
      <c r="N13" s="121">
        <f t="shared" si="2"/>
        <v>65</v>
      </c>
      <c r="O13" s="91"/>
      <c r="P13" s="92"/>
      <c r="Q13" s="92">
        <v>65.900000000000006</v>
      </c>
      <c r="R13" s="93">
        <f t="shared" si="1"/>
        <v>65.900000000000006</v>
      </c>
      <c r="S13" s="173">
        <v>2</v>
      </c>
      <c r="T13" s="839"/>
      <c r="U13" s="852"/>
      <c r="V13" s="82" t="s">
        <v>943</v>
      </c>
      <c r="W13" s="173" t="s">
        <v>97</v>
      </c>
      <c r="X13" s="173" t="s">
        <v>12</v>
      </c>
      <c r="Y13" s="83">
        <v>37.200000000000003</v>
      </c>
      <c r="Z13" s="173" t="s">
        <v>942</v>
      </c>
      <c r="AA13" s="173" t="s">
        <v>872</v>
      </c>
      <c r="AB13" s="173" t="s">
        <v>12</v>
      </c>
      <c r="AC13" s="173">
        <v>28.7</v>
      </c>
      <c r="AD13" s="82"/>
      <c r="AG13" s="83"/>
      <c r="AL13" s="82"/>
      <c r="AO13" s="83"/>
      <c r="AP13" s="82"/>
      <c r="AS13" s="83"/>
      <c r="AW13" s="83"/>
      <c r="BA13" s="84"/>
    </row>
    <row r="14" spans="1:53" s="173" customFormat="1">
      <c r="A14" s="173">
        <v>1994</v>
      </c>
      <c r="B14" s="852"/>
      <c r="C14" s="917" t="s">
        <v>944</v>
      </c>
      <c r="D14" s="917"/>
      <c r="E14" s="173">
        <v>365</v>
      </c>
      <c r="G14" s="119"/>
      <c r="I14" s="173">
        <v>13</v>
      </c>
      <c r="J14" s="126">
        <v>20</v>
      </c>
      <c r="K14" s="92">
        <f t="shared" si="3"/>
        <v>0</v>
      </c>
      <c r="L14" s="92">
        <f t="shared" si="4"/>
        <v>0</v>
      </c>
      <c r="M14" s="92">
        <f t="shared" si="5"/>
        <v>65</v>
      </c>
      <c r="N14" s="121">
        <f t="shared" si="2"/>
        <v>65</v>
      </c>
      <c r="O14" s="91"/>
      <c r="P14" s="92"/>
      <c r="Q14" s="92">
        <v>65.900000000000006</v>
      </c>
      <c r="R14" s="93">
        <f t="shared" si="1"/>
        <v>65.900000000000006</v>
      </c>
      <c r="S14" s="173">
        <v>2</v>
      </c>
      <c r="T14" s="839"/>
      <c r="U14" s="852"/>
      <c r="V14" s="82" t="s">
        <v>943</v>
      </c>
      <c r="W14" s="173" t="s">
        <v>97</v>
      </c>
      <c r="X14" s="173" t="s">
        <v>12</v>
      </c>
      <c r="Y14" s="83">
        <v>37.200000000000003</v>
      </c>
      <c r="Z14" s="173" t="s">
        <v>942</v>
      </c>
      <c r="AA14" s="173" t="s">
        <v>872</v>
      </c>
      <c r="AB14" s="173" t="s">
        <v>12</v>
      </c>
      <c r="AC14" s="173">
        <v>28.7</v>
      </c>
      <c r="AD14" s="82"/>
      <c r="AG14" s="83"/>
      <c r="AL14" s="82"/>
      <c r="AO14" s="83"/>
      <c r="AP14" s="82"/>
      <c r="AS14" s="83"/>
      <c r="AW14" s="83"/>
      <c r="BA14" s="84"/>
    </row>
    <row r="15" spans="1:53" s="173" customFormat="1">
      <c r="A15" s="173">
        <v>1995</v>
      </c>
      <c r="B15" s="852"/>
      <c r="C15" s="917" t="s">
        <v>944</v>
      </c>
      <c r="D15" s="917"/>
      <c r="E15" s="173">
        <v>64</v>
      </c>
      <c r="G15" s="119"/>
      <c r="I15" s="173">
        <v>13</v>
      </c>
      <c r="J15" s="126">
        <v>20</v>
      </c>
      <c r="K15" s="92">
        <f t="shared" si="3"/>
        <v>0</v>
      </c>
      <c r="L15" s="92">
        <f t="shared" si="4"/>
        <v>0</v>
      </c>
      <c r="M15" s="92">
        <f t="shared" si="5"/>
        <v>65</v>
      </c>
      <c r="N15" s="121">
        <f t="shared" si="2"/>
        <v>65</v>
      </c>
      <c r="O15" s="91"/>
      <c r="P15" s="92"/>
      <c r="Q15" s="92">
        <v>65.900000000000006</v>
      </c>
      <c r="R15" s="93">
        <f t="shared" si="1"/>
        <v>65.900000000000006</v>
      </c>
      <c r="S15" s="173">
        <v>2</v>
      </c>
      <c r="T15" s="839"/>
      <c r="U15" s="852"/>
      <c r="V15" s="82" t="s">
        <v>943</v>
      </c>
      <c r="W15" s="173" t="s">
        <v>97</v>
      </c>
      <c r="X15" s="173" t="s">
        <v>12</v>
      </c>
      <c r="Y15" s="83">
        <v>37.200000000000003</v>
      </c>
      <c r="Z15" s="173" t="s">
        <v>942</v>
      </c>
      <c r="AA15" s="173" t="s">
        <v>872</v>
      </c>
      <c r="AB15" s="173" t="s">
        <v>12</v>
      </c>
      <c r="AC15" s="173">
        <v>28.7</v>
      </c>
      <c r="AD15" s="82"/>
      <c r="AG15" s="83"/>
      <c r="AL15" s="82"/>
      <c r="AO15" s="83"/>
      <c r="AP15" s="82"/>
      <c r="AS15" s="83"/>
      <c r="AW15" s="83"/>
      <c r="BA15" s="84"/>
    </row>
    <row r="16" spans="1:53" s="292" customFormat="1">
      <c r="A16" s="292">
        <v>1995</v>
      </c>
      <c r="B16" s="836">
        <v>34764</v>
      </c>
      <c r="C16" s="916" t="s">
        <v>945</v>
      </c>
      <c r="D16" s="916"/>
      <c r="E16" s="292">
        <f xml:space="preserve"> 365-E15</f>
        <v>301</v>
      </c>
      <c r="F16" s="292">
        <v>6</v>
      </c>
      <c r="G16" s="366"/>
      <c r="I16" s="292">
        <v>18</v>
      </c>
      <c r="J16" s="377">
        <v>21</v>
      </c>
      <c r="K16" s="336">
        <f t="shared" si="3"/>
        <v>0</v>
      </c>
      <c r="L16" s="336">
        <f t="shared" si="4"/>
        <v>0</v>
      </c>
      <c r="M16" s="336">
        <f t="shared" si="5"/>
        <v>85.714285714285708</v>
      </c>
      <c r="N16" s="368">
        <f t="shared" si="2"/>
        <v>85.714285714285708</v>
      </c>
      <c r="O16" s="335"/>
      <c r="P16" s="336"/>
      <c r="Q16" s="336">
        <v>65.900000000000006</v>
      </c>
      <c r="R16" s="337">
        <f t="shared" si="1"/>
        <v>65.900000000000006</v>
      </c>
      <c r="S16" s="292">
        <v>2</v>
      </c>
      <c r="T16" s="838"/>
      <c r="U16" s="836">
        <v>34764</v>
      </c>
      <c r="V16" s="299" t="s">
        <v>943</v>
      </c>
      <c r="W16" s="292" t="s">
        <v>97</v>
      </c>
      <c r="X16" s="292" t="s">
        <v>12</v>
      </c>
      <c r="Y16" s="300">
        <v>37.200000000000003</v>
      </c>
      <c r="Z16" s="292" t="s">
        <v>942</v>
      </c>
      <c r="AA16" s="292" t="s">
        <v>872</v>
      </c>
      <c r="AB16" s="292" t="s">
        <v>12</v>
      </c>
      <c r="AC16" s="292">
        <v>28.7</v>
      </c>
      <c r="AD16" s="299"/>
      <c r="AG16" s="300"/>
      <c r="AL16" s="299"/>
      <c r="AO16" s="300"/>
      <c r="AP16" s="299"/>
      <c r="AS16" s="300"/>
      <c r="AW16" s="300"/>
      <c r="BA16" s="301"/>
    </row>
    <row r="17" spans="1:53" s="292" customFormat="1">
      <c r="A17" s="292">
        <v>1996</v>
      </c>
      <c r="B17" s="836"/>
      <c r="C17" s="916" t="s">
        <v>945</v>
      </c>
      <c r="D17" s="916"/>
      <c r="E17" s="292">
        <v>37</v>
      </c>
      <c r="G17" s="366"/>
      <c r="I17" s="292">
        <v>18</v>
      </c>
      <c r="J17" s="377">
        <v>21</v>
      </c>
      <c r="K17" s="336">
        <f t="shared" si="3"/>
        <v>0</v>
      </c>
      <c r="L17" s="336">
        <f t="shared" si="4"/>
        <v>0</v>
      </c>
      <c r="M17" s="336">
        <f t="shared" si="5"/>
        <v>85.714285714285708</v>
      </c>
      <c r="N17" s="368">
        <f t="shared" si="2"/>
        <v>85.714285714285708</v>
      </c>
      <c r="O17" s="335"/>
      <c r="P17" s="336"/>
      <c r="Q17" s="336">
        <v>65.900000000000006</v>
      </c>
      <c r="R17" s="337">
        <f t="shared" si="1"/>
        <v>65.900000000000006</v>
      </c>
      <c r="S17" s="292">
        <v>2</v>
      </c>
      <c r="T17" s="838"/>
      <c r="U17" s="836"/>
      <c r="V17" s="299" t="s">
        <v>943</v>
      </c>
      <c r="W17" s="292" t="s">
        <v>97</v>
      </c>
      <c r="X17" s="292" t="s">
        <v>12</v>
      </c>
      <c r="Y17" s="300">
        <v>37.200000000000003</v>
      </c>
      <c r="Z17" s="292" t="s">
        <v>942</v>
      </c>
      <c r="AA17" s="292" t="s">
        <v>872</v>
      </c>
      <c r="AB17" s="292" t="s">
        <v>12</v>
      </c>
      <c r="AC17" s="292">
        <v>28.7</v>
      </c>
      <c r="AD17" s="299"/>
      <c r="AG17" s="300"/>
      <c r="AL17" s="299"/>
      <c r="AO17" s="300"/>
      <c r="AP17" s="299"/>
      <c r="AS17" s="300"/>
      <c r="AW17" s="300"/>
      <c r="BA17" s="301"/>
    </row>
    <row r="18" spans="1:53" s="173" customFormat="1">
      <c r="A18" s="173">
        <v>1996</v>
      </c>
      <c r="B18" s="852">
        <v>35102</v>
      </c>
      <c r="C18" s="917" t="s">
        <v>946</v>
      </c>
      <c r="D18" s="917"/>
      <c r="E18" s="173">
        <v>237</v>
      </c>
      <c r="F18" s="173">
        <v>2</v>
      </c>
      <c r="G18" s="119"/>
      <c r="I18" s="173">
        <v>14</v>
      </c>
      <c r="J18" s="126">
        <v>21</v>
      </c>
      <c r="K18" s="92">
        <f t="shared" si="3"/>
        <v>0</v>
      </c>
      <c r="L18" s="92">
        <f t="shared" si="4"/>
        <v>0</v>
      </c>
      <c r="M18" s="92">
        <f t="shared" si="5"/>
        <v>66.666666666666657</v>
      </c>
      <c r="N18" s="121">
        <f t="shared" si="2"/>
        <v>66.666666666666657</v>
      </c>
      <c r="O18" s="91"/>
      <c r="P18" s="92"/>
      <c r="Q18" s="92">
        <v>65.900000000000006</v>
      </c>
      <c r="R18" s="93">
        <f t="shared" si="1"/>
        <v>65.900000000000006</v>
      </c>
      <c r="S18" s="173">
        <v>2</v>
      </c>
      <c r="T18" s="839"/>
      <c r="U18" s="852"/>
      <c r="V18" s="82" t="s">
        <v>943</v>
      </c>
      <c r="W18" s="173" t="s">
        <v>97</v>
      </c>
      <c r="X18" s="173" t="s">
        <v>12</v>
      </c>
      <c r="Y18" s="83">
        <v>37.200000000000003</v>
      </c>
      <c r="Z18" s="173" t="s">
        <v>942</v>
      </c>
      <c r="AA18" s="173" t="s">
        <v>872</v>
      </c>
      <c r="AB18" s="173" t="s">
        <v>12</v>
      </c>
      <c r="AC18" s="173">
        <v>28.7</v>
      </c>
      <c r="AD18" s="82"/>
      <c r="AG18" s="83"/>
      <c r="AL18" s="82"/>
      <c r="AO18" s="83"/>
      <c r="AP18" s="82"/>
      <c r="AS18" s="83"/>
      <c r="AW18" s="83"/>
      <c r="BA18" s="84"/>
    </row>
    <row r="19" spans="1:53" s="173" customFormat="1">
      <c r="A19" s="173">
        <v>1996</v>
      </c>
      <c r="B19" s="866">
        <v>35339</v>
      </c>
      <c r="C19" s="917" t="s">
        <v>946</v>
      </c>
      <c r="D19" s="917"/>
      <c r="E19" s="173">
        <v>92</v>
      </c>
      <c r="F19" s="190">
        <v>0</v>
      </c>
      <c r="G19" s="119"/>
      <c r="I19" s="173">
        <v>13</v>
      </c>
      <c r="J19" s="126">
        <v>20</v>
      </c>
      <c r="K19" s="92">
        <f t="shared" si="3"/>
        <v>0</v>
      </c>
      <c r="L19" s="92">
        <f t="shared" si="4"/>
        <v>0</v>
      </c>
      <c r="M19" s="92">
        <f t="shared" si="5"/>
        <v>65</v>
      </c>
      <c r="N19" s="121">
        <f t="shared" si="2"/>
        <v>65</v>
      </c>
      <c r="O19" s="91"/>
      <c r="P19" s="92"/>
      <c r="Q19" s="92">
        <v>65.900000000000006</v>
      </c>
      <c r="R19" s="93">
        <f t="shared" si="1"/>
        <v>65.900000000000006</v>
      </c>
      <c r="S19" s="173">
        <v>2</v>
      </c>
      <c r="T19" s="839"/>
      <c r="U19" s="852"/>
      <c r="V19" s="82" t="s">
        <v>943</v>
      </c>
      <c r="W19" s="173" t="s">
        <v>97</v>
      </c>
      <c r="X19" s="173" t="s">
        <v>12</v>
      </c>
      <c r="Y19" s="83">
        <v>37.200000000000003</v>
      </c>
      <c r="Z19" s="173" t="s">
        <v>942</v>
      </c>
      <c r="AA19" s="173" t="s">
        <v>872</v>
      </c>
      <c r="AB19" s="173" t="s">
        <v>12</v>
      </c>
      <c r="AC19" s="173">
        <v>28.7</v>
      </c>
      <c r="AD19" s="82"/>
      <c r="AG19" s="83"/>
      <c r="AL19" s="82"/>
      <c r="AO19" s="83"/>
      <c r="AP19" s="82"/>
      <c r="AS19" s="83"/>
      <c r="AW19" s="83"/>
      <c r="BA19" s="84"/>
    </row>
    <row r="20" spans="1:53" s="173" customFormat="1">
      <c r="A20" s="173">
        <v>1997</v>
      </c>
      <c r="B20" s="866">
        <v>35431</v>
      </c>
      <c r="C20" s="917" t="s">
        <v>946</v>
      </c>
      <c r="D20" s="917"/>
      <c r="E20" s="173">
        <v>209</v>
      </c>
      <c r="F20" s="190">
        <v>0</v>
      </c>
      <c r="G20" s="119"/>
      <c r="I20" s="173">
        <v>12</v>
      </c>
      <c r="J20" s="126">
        <v>18</v>
      </c>
      <c r="K20" s="92">
        <f>G20/J20*100</f>
        <v>0</v>
      </c>
      <c r="L20" s="92">
        <f>H20/J20*100</f>
        <v>0</v>
      </c>
      <c r="M20" s="92">
        <f>I20/J20*100</f>
        <v>66.666666666666657</v>
      </c>
      <c r="N20" s="121">
        <f>SUM(K20:M20)</f>
        <v>66.666666666666657</v>
      </c>
      <c r="O20" s="91"/>
      <c r="P20" s="92"/>
      <c r="Q20" s="92">
        <v>65.900000000000006</v>
      </c>
      <c r="R20" s="93">
        <f>SUM(O20:Q20)</f>
        <v>65.900000000000006</v>
      </c>
      <c r="S20" s="173">
        <v>2</v>
      </c>
      <c r="T20" s="839"/>
      <c r="U20" s="852"/>
      <c r="V20" s="82" t="s">
        <v>943</v>
      </c>
      <c r="W20" s="173" t="s">
        <v>97</v>
      </c>
      <c r="X20" s="173" t="s">
        <v>12</v>
      </c>
      <c r="Y20" s="83">
        <v>37.200000000000003</v>
      </c>
      <c r="Z20" s="173" t="s">
        <v>942</v>
      </c>
      <c r="AA20" s="173" t="s">
        <v>872</v>
      </c>
      <c r="AB20" s="173" t="s">
        <v>12</v>
      </c>
      <c r="AC20" s="173">
        <v>28.7</v>
      </c>
      <c r="AD20" s="82"/>
      <c r="AG20" s="83"/>
      <c r="AL20" s="82"/>
      <c r="AO20" s="83"/>
      <c r="AP20" s="82"/>
      <c r="AS20" s="83"/>
      <c r="AW20" s="83"/>
      <c r="BA20" s="84"/>
    </row>
    <row r="21" spans="1:53" s="173" customFormat="1">
      <c r="A21" s="173">
        <v>1997</v>
      </c>
      <c r="B21" s="866">
        <v>35640</v>
      </c>
      <c r="C21" s="917" t="s">
        <v>946</v>
      </c>
      <c r="D21" s="917"/>
      <c r="E21" s="173">
        <v>94</v>
      </c>
      <c r="F21" s="190">
        <v>0</v>
      </c>
      <c r="G21" s="119"/>
      <c r="I21" s="173">
        <v>13</v>
      </c>
      <c r="J21" s="126">
        <v>19</v>
      </c>
      <c r="K21" s="92">
        <f t="shared" si="3"/>
        <v>0</v>
      </c>
      <c r="L21" s="92">
        <f t="shared" si="4"/>
        <v>0</v>
      </c>
      <c r="M21" s="92">
        <f t="shared" si="5"/>
        <v>68.421052631578945</v>
      </c>
      <c r="N21" s="121">
        <f t="shared" si="2"/>
        <v>68.421052631578945</v>
      </c>
      <c r="O21" s="91"/>
      <c r="P21" s="92"/>
      <c r="Q21" s="92">
        <v>65.900000000000006</v>
      </c>
      <c r="R21" s="93">
        <f t="shared" si="1"/>
        <v>65.900000000000006</v>
      </c>
      <c r="S21" s="173">
        <v>2</v>
      </c>
      <c r="T21" s="839"/>
      <c r="U21" s="852"/>
      <c r="V21" s="82" t="s">
        <v>943</v>
      </c>
      <c r="W21" s="173" t="s">
        <v>97</v>
      </c>
      <c r="X21" s="173" t="s">
        <v>12</v>
      </c>
      <c r="Y21" s="83">
        <v>37.200000000000003</v>
      </c>
      <c r="Z21" s="173" t="s">
        <v>942</v>
      </c>
      <c r="AA21" s="173" t="s">
        <v>872</v>
      </c>
      <c r="AB21" s="173" t="s">
        <v>12</v>
      </c>
      <c r="AC21" s="173">
        <v>28.7</v>
      </c>
      <c r="AD21" s="82"/>
      <c r="AG21" s="83"/>
      <c r="AL21" s="82"/>
      <c r="AO21" s="83"/>
      <c r="AP21" s="82"/>
      <c r="AS21" s="83"/>
      <c r="AW21" s="83"/>
      <c r="BA21" s="84"/>
    </row>
    <row r="22" spans="1:53" s="292" customFormat="1">
      <c r="A22" s="292">
        <v>1997</v>
      </c>
      <c r="B22" s="836">
        <v>35734</v>
      </c>
      <c r="C22" s="916" t="s">
        <v>1158</v>
      </c>
      <c r="D22" s="916"/>
      <c r="E22" s="292">
        <v>62</v>
      </c>
      <c r="F22" s="292">
        <v>1</v>
      </c>
      <c r="G22" s="366">
        <v>22</v>
      </c>
      <c r="J22" s="377">
        <v>23</v>
      </c>
      <c r="K22" s="336">
        <f t="shared" si="3"/>
        <v>95.652173913043484</v>
      </c>
      <c r="L22" s="336">
        <f t="shared" si="4"/>
        <v>0</v>
      </c>
      <c r="M22" s="336">
        <f t="shared" si="5"/>
        <v>0</v>
      </c>
      <c r="N22" s="368">
        <f t="shared" si="2"/>
        <v>95.652173913043484</v>
      </c>
      <c r="O22" s="335">
        <v>56.7</v>
      </c>
      <c r="P22" s="336"/>
      <c r="Q22" s="336"/>
      <c r="R22" s="337">
        <f t="shared" si="1"/>
        <v>56.7</v>
      </c>
      <c r="S22" s="292">
        <v>2</v>
      </c>
      <c r="T22" s="838">
        <v>35694</v>
      </c>
      <c r="U22" s="836">
        <v>35734</v>
      </c>
      <c r="V22" s="299" t="s">
        <v>947</v>
      </c>
      <c r="W22" s="292" t="s">
        <v>328</v>
      </c>
      <c r="X22" s="292" t="s">
        <v>11</v>
      </c>
      <c r="Y22" s="300">
        <v>43.7</v>
      </c>
      <c r="Z22" s="292" t="s">
        <v>948</v>
      </c>
      <c r="AA22" s="292" t="s">
        <v>107</v>
      </c>
      <c r="AB22" s="292" t="s">
        <v>11</v>
      </c>
      <c r="AC22" s="292">
        <v>13</v>
      </c>
      <c r="AD22" s="299"/>
      <c r="AG22" s="300"/>
      <c r="AL22" s="299"/>
      <c r="AO22" s="300"/>
      <c r="AP22" s="299"/>
      <c r="AS22" s="300"/>
      <c r="AW22" s="300"/>
      <c r="BA22" s="301"/>
    </row>
    <row r="23" spans="1:53" s="292" customFormat="1">
      <c r="A23" s="292">
        <v>1998</v>
      </c>
      <c r="B23" s="836"/>
      <c r="C23" s="916" t="s">
        <v>1158</v>
      </c>
      <c r="D23" s="916"/>
      <c r="E23" s="292">
        <v>207</v>
      </c>
      <c r="G23" s="366">
        <v>22</v>
      </c>
      <c r="J23" s="377">
        <v>23</v>
      </c>
      <c r="K23" s="336">
        <f t="shared" si="3"/>
        <v>95.652173913043484</v>
      </c>
      <c r="L23" s="336">
        <f t="shared" si="4"/>
        <v>0</v>
      </c>
      <c r="M23" s="336">
        <f t="shared" si="5"/>
        <v>0</v>
      </c>
      <c r="N23" s="368">
        <f t="shared" si="2"/>
        <v>95.652173913043484</v>
      </c>
      <c r="O23" s="335">
        <v>56.7</v>
      </c>
      <c r="P23" s="336"/>
      <c r="Q23" s="336"/>
      <c r="R23" s="337">
        <f t="shared" si="1"/>
        <v>56.7</v>
      </c>
      <c r="S23" s="292">
        <v>2</v>
      </c>
      <c r="T23" s="838"/>
      <c r="U23" s="836"/>
      <c r="V23" s="299" t="s">
        <v>947</v>
      </c>
      <c r="W23" s="292" t="s">
        <v>328</v>
      </c>
      <c r="X23" s="292" t="s">
        <v>11</v>
      </c>
      <c r="Y23" s="300">
        <v>43.7</v>
      </c>
      <c r="Z23" s="292" t="s">
        <v>948</v>
      </c>
      <c r="AA23" s="292" t="s">
        <v>107</v>
      </c>
      <c r="AB23" s="292" t="s">
        <v>11</v>
      </c>
      <c r="AC23" s="292">
        <v>13</v>
      </c>
      <c r="AD23" s="299"/>
      <c r="AG23" s="300"/>
      <c r="AL23" s="299"/>
      <c r="AO23" s="300"/>
      <c r="AP23" s="299"/>
      <c r="AS23" s="300"/>
      <c r="AW23" s="300"/>
      <c r="BA23" s="301"/>
    </row>
    <row r="24" spans="1:53" s="292" customFormat="1">
      <c r="A24" s="292">
        <v>1998</v>
      </c>
      <c r="B24" s="872">
        <v>36003</v>
      </c>
      <c r="C24" s="916" t="s">
        <v>1158</v>
      </c>
      <c r="D24" s="916"/>
      <c r="E24" s="292">
        <v>122</v>
      </c>
      <c r="F24" s="389">
        <v>0</v>
      </c>
      <c r="G24" s="366">
        <v>21</v>
      </c>
      <c r="J24" s="377">
        <v>22</v>
      </c>
      <c r="K24" s="336">
        <f t="shared" si="3"/>
        <v>95.454545454545453</v>
      </c>
      <c r="L24" s="336">
        <f t="shared" si="4"/>
        <v>0</v>
      </c>
      <c r="M24" s="336">
        <f t="shared" si="5"/>
        <v>0</v>
      </c>
      <c r="N24" s="368">
        <f t="shared" si="2"/>
        <v>95.454545454545453</v>
      </c>
      <c r="O24" s="335">
        <v>56.7</v>
      </c>
      <c r="P24" s="336"/>
      <c r="Q24" s="336"/>
      <c r="R24" s="337">
        <f t="shared" si="1"/>
        <v>56.7</v>
      </c>
      <c r="S24" s="292">
        <v>2</v>
      </c>
      <c r="T24" s="838"/>
      <c r="U24" s="836"/>
      <c r="V24" s="299" t="s">
        <v>947</v>
      </c>
      <c r="W24" s="292" t="s">
        <v>328</v>
      </c>
      <c r="X24" s="292" t="s">
        <v>11</v>
      </c>
      <c r="Y24" s="300">
        <v>43.7</v>
      </c>
      <c r="Z24" s="292" t="s">
        <v>948</v>
      </c>
      <c r="AA24" s="292" t="s">
        <v>107</v>
      </c>
      <c r="AB24" s="292" t="s">
        <v>11</v>
      </c>
      <c r="AC24" s="292">
        <v>13</v>
      </c>
      <c r="AD24" s="299"/>
      <c r="AG24" s="300"/>
      <c r="AL24" s="299"/>
      <c r="AO24" s="300"/>
      <c r="AP24" s="299"/>
      <c r="AS24" s="300"/>
      <c r="AW24" s="300"/>
      <c r="BA24" s="301"/>
    </row>
    <row r="25" spans="1:53" s="292" customFormat="1">
      <c r="A25" s="292">
        <v>1998</v>
      </c>
      <c r="B25" s="872">
        <v>36125</v>
      </c>
      <c r="C25" s="916" t="s">
        <v>1158</v>
      </c>
      <c r="D25" s="916"/>
      <c r="E25" s="292">
        <f xml:space="preserve"> 365-E24-E23</f>
        <v>36</v>
      </c>
      <c r="F25" s="389">
        <v>0</v>
      </c>
      <c r="G25" s="366">
        <v>22</v>
      </c>
      <c r="J25" s="377">
        <v>22</v>
      </c>
      <c r="K25" s="336">
        <f t="shared" si="3"/>
        <v>100</v>
      </c>
      <c r="L25" s="336">
        <f t="shared" si="4"/>
        <v>0</v>
      </c>
      <c r="M25" s="336">
        <f t="shared" si="5"/>
        <v>0</v>
      </c>
      <c r="N25" s="368">
        <f t="shared" si="2"/>
        <v>100</v>
      </c>
      <c r="O25" s="335">
        <v>56.7</v>
      </c>
      <c r="P25" s="336"/>
      <c r="Q25" s="336"/>
      <c r="R25" s="337">
        <f t="shared" si="1"/>
        <v>56.7</v>
      </c>
      <c r="S25" s="292">
        <v>2</v>
      </c>
      <c r="T25" s="838"/>
      <c r="U25" s="836"/>
      <c r="V25" s="299" t="s">
        <v>947</v>
      </c>
      <c r="W25" s="292" t="s">
        <v>328</v>
      </c>
      <c r="X25" s="292" t="s">
        <v>11</v>
      </c>
      <c r="Y25" s="300">
        <v>43.7</v>
      </c>
      <c r="Z25" s="292" t="s">
        <v>948</v>
      </c>
      <c r="AA25" s="292" t="s">
        <v>107</v>
      </c>
      <c r="AB25" s="292" t="s">
        <v>11</v>
      </c>
      <c r="AC25" s="292">
        <v>13</v>
      </c>
      <c r="AD25" s="299"/>
      <c r="AG25" s="300"/>
      <c r="AL25" s="299"/>
      <c r="AO25" s="300"/>
      <c r="AP25" s="299"/>
      <c r="AS25" s="300"/>
      <c r="AW25" s="300"/>
      <c r="BA25" s="301"/>
    </row>
    <row r="26" spans="1:53" s="292" customFormat="1">
      <c r="A26" s="292">
        <v>1999</v>
      </c>
      <c r="B26" s="872"/>
      <c r="C26" s="916" t="s">
        <v>1158</v>
      </c>
      <c r="D26" s="916"/>
      <c r="E26" s="292">
        <v>84</v>
      </c>
      <c r="F26" s="389"/>
      <c r="G26" s="366">
        <v>22</v>
      </c>
      <c r="J26" s="377">
        <v>22</v>
      </c>
      <c r="K26" s="336">
        <f t="shared" si="3"/>
        <v>100</v>
      </c>
      <c r="L26" s="336">
        <f t="shared" si="4"/>
        <v>0</v>
      </c>
      <c r="M26" s="336">
        <f t="shared" si="5"/>
        <v>0</v>
      </c>
      <c r="N26" s="368">
        <f t="shared" si="2"/>
        <v>100</v>
      </c>
      <c r="O26" s="335">
        <v>56.7</v>
      </c>
      <c r="P26" s="336"/>
      <c r="Q26" s="336"/>
      <c r="R26" s="337">
        <f t="shared" si="1"/>
        <v>56.7</v>
      </c>
      <c r="S26" s="292">
        <v>2</v>
      </c>
      <c r="T26" s="838"/>
      <c r="U26" s="836"/>
      <c r="V26" s="299" t="s">
        <v>947</v>
      </c>
      <c r="W26" s="292" t="s">
        <v>328</v>
      </c>
      <c r="X26" s="292" t="s">
        <v>11</v>
      </c>
      <c r="Y26" s="300">
        <v>43.7</v>
      </c>
      <c r="Z26" s="292" t="s">
        <v>948</v>
      </c>
      <c r="AA26" s="292" t="s">
        <v>107</v>
      </c>
      <c r="AB26" s="292" t="s">
        <v>11</v>
      </c>
      <c r="AC26" s="292">
        <v>13</v>
      </c>
      <c r="AD26" s="299"/>
      <c r="AG26" s="300"/>
      <c r="AL26" s="299"/>
      <c r="AO26" s="300"/>
      <c r="AP26" s="299"/>
      <c r="AS26" s="300"/>
      <c r="AW26" s="300"/>
      <c r="BA26" s="301"/>
    </row>
    <row r="27" spans="1:53" s="292" customFormat="1">
      <c r="A27" s="292">
        <v>1999</v>
      </c>
      <c r="B27" s="872">
        <v>36245</v>
      </c>
      <c r="C27" s="916" t="s">
        <v>1158</v>
      </c>
      <c r="D27" s="916"/>
      <c r="E27" s="292">
        <v>281</v>
      </c>
      <c r="F27" s="389">
        <v>0</v>
      </c>
      <c r="G27" s="366">
        <v>19</v>
      </c>
      <c r="J27" s="377">
        <v>19</v>
      </c>
      <c r="K27" s="336">
        <f t="shared" si="3"/>
        <v>100</v>
      </c>
      <c r="L27" s="336">
        <f t="shared" si="4"/>
        <v>0</v>
      </c>
      <c r="M27" s="336">
        <f t="shared" si="5"/>
        <v>0</v>
      </c>
      <c r="N27" s="368">
        <f t="shared" si="2"/>
        <v>100</v>
      </c>
      <c r="O27" s="335">
        <v>56.7</v>
      </c>
      <c r="P27" s="336"/>
      <c r="Q27" s="336"/>
      <c r="R27" s="337">
        <f t="shared" si="1"/>
        <v>56.7</v>
      </c>
      <c r="S27" s="292">
        <v>2</v>
      </c>
      <c r="T27" s="838"/>
      <c r="U27" s="836"/>
      <c r="V27" s="299" t="s">
        <v>947</v>
      </c>
      <c r="W27" s="292" t="s">
        <v>328</v>
      </c>
      <c r="X27" s="292" t="s">
        <v>11</v>
      </c>
      <c r="Y27" s="300">
        <v>43.7</v>
      </c>
      <c r="Z27" s="292" t="s">
        <v>948</v>
      </c>
      <c r="AA27" s="292" t="s">
        <v>107</v>
      </c>
      <c r="AB27" s="292" t="s">
        <v>11</v>
      </c>
      <c r="AC27" s="292">
        <v>13</v>
      </c>
      <c r="AD27" s="299"/>
      <c r="AG27" s="300"/>
      <c r="AL27" s="299"/>
      <c r="AO27" s="300"/>
      <c r="AP27" s="299"/>
      <c r="AS27" s="300"/>
      <c r="AW27" s="300"/>
      <c r="BA27" s="301"/>
    </row>
    <row r="28" spans="1:53" s="292" customFormat="1">
      <c r="A28" s="292">
        <v>2000</v>
      </c>
      <c r="B28" s="872"/>
      <c r="C28" s="916" t="s">
        <v>1158</v>
      </c>
      <c r="D28" s="916"/>
      <c r="E28" s="292">
        <v>163</v>
      </c>
      <c r="F28" s="389"/>
      <c r="G28" s="366">
        <v>19</v>
      </c>
      <c r="J28" s="377">
        <v>19</v>
      </c>
      <c r="K28" s="336">
        <f t="shared" si="3"/>
        <v>100</v>
      </c>
      <c r="L28" s="336">
        <f t="shared" si="4"/>
        <v>0</v>
      </c>
      <c r="M28" s="336">
        <f t="shared" si="5"/>
        <v>0</v>
      </c>
      <c r="N28" s="368">
        <f t="shared" si="2"/>
        <v>100</v>
      </c>
      <c r="O28" s="335">
        <v>56.7</v>
      </c>
      <c r="P28" s="336"/>
      <c r="Q28" s="336"/>
      <c r="R28" s="337">
        <f t="shared" si="1"/>
        <v>56.7</v>
      </c>
      <c r="S28" s="292">
        <v>2</v>
      </c>
      <c r="T28" s="838"/>
      <c r="U28" s="836"/>
      <c r="V28" s="299" t="s">
        <v>947</v>
      </c>
      <c r="W28" s="292" t="s">
        <v>328</v>
      </c>
      <c r="X28" s="292" t="s">
        <v>11</v>
      </c>
      <c r="Y28" s="300">
        <v>43.7</v>
      </c>
      <c r="Z28" s="292" t="s">
        <v>948</v>
      </c>
      <c r="AA28" s="292" t="s">
        <v>107</v>
      </c>
      <c r="AB28" s="292" t="s">
        <v>11</v>
      </c>
      <c r="AC28" s="292">
        <v>13</v>
      </c>
      <c r="AD28" s="299"/>
      <c r="AG28" s="300"/>
      <c r="AL28" s="299"/>
      <c r="AO28" s="300"/>
      <c r="AP28" s="299"/>
      <c r="AS28" s="300"/>
      <c r="AW28" s="300"/>
      <c r="BA28" s="301"/>
    </row>
    <row r="29" spans="1:53" s="292" customFormat="1">
      <c r="A29" s="292">
        <v>2000</v>
      </c>
      <c r="B29" s="872">
        <v>36689</v>
      </c>
      <c r="C29" s="916" t="s">
        <v>1158</v>
      </c>
      <c r="D29" s="916"/>
      <c r="E29" s="292">
        <v>17</v>
      </c>
      <c r="F29" s="389">
        <v>0</v>
      </c>
      <c r="G29" s="366">
        <v>17</v>
      </c>
      <c r="J29" s="377">
        <v>19</v>
      </c>
      <c r="K29" s="336">
        <f t="shared" si="3"/>
        <v>89.473684210526315</v>
      </c>
      <c r="L29" s="336">
        <f t="shared" si="4"/>
        <v>0</v>
      </c>
      <c r="M29" s="336">
        <f t="shared" si="5"/>
        <v>0</v>
      </c>
      <c r="N29" s="368">
        <f t="shared" si="2"/>
        <v>89.473684210526315</v>
      </c>
      <c r="O29" s="335">
        <v>56.7</v>
      </c>
      <c r="P29" s="336"/>
      <c r="Q29" s="336"/>
      <c r="R29" s="337">
        <f t="shared" si="1"/>
        <v>56.7</v>
      </c>
      <c r="S29" s="292">
        <v>2</v>
      </c>
      <c r="T29" s="838"/>
      <c r="U29" s="836"/>
      <c r="V29" s="299" t="s">
        <v>947</v>
      </c>
      <c r="W29" s="292" t="s">
        <v>328</v>
      </c>
      <c r="X29" s="292" t="s">
        <v>11</v>
      </c>
      <c r="Y29" s="300">
        <v>43.7</v>
      </c>
      <c r="Z29" s="292" t="s">
        <v>948</v>
      </c>
      <c r="AA29" s="292" t="s">
        <v>107</v>
      </c>
      <c r="AB29" s="292" t="s">
        <v>11</v>
      </c>
      <c r="AC29" s="292">
        <v>13</v>
      </c>
      <c r="AD29" s="299"/>
      <c r="AG29" s="300"/>
      <c r="AL29" s="299"/>
      <c r="AO29" s="300"/>
      <c r="AP29" s="299"/>
      <c r="AS29" s="300"/>
      <c r="AW29" s="300"/>
      <c r="BA29" s="301"/>
    </row>
    <row r="30" spans="1:53" s="184" customFormat="1">
      <c r="A30" s="184">
        <v>2000</v>
      </c>
      <c r="B30" s="852">
        <v>36706</v>
      </c>
      <c r="C30" s="917" t="s">
        <v>1159</v>
      </c>
      <c r="D30" s="917"/>
      <c r="E30" s="184">
        <v>48</v>
      </c>
      <c r="F30" s="184">
        <v>4</v>
      </c>
      <c r="G30" s="119">
        <v>16</v>
      </c>
      <c r="J30" s="126">
        <v>19</v>
      </c>
      <c r="K30" s="92">
        <f>G30/J30*100</f>
        <v>84.210526315789465</v>
      </c>
      <c r="L30" s="92">
        <f>H30/J30*100</f>
        <v>0</v>
      </c>
      <c r="M30" s="92">
        <f>I30/J30*100</f>
        <v>0</v>
      </c>
      <c r="N30" s="121">
        <f>SUM(K30:M30)</f>
        <v>84.210526315789465</v>
      </c>
      <c r="O30" s="91">
        <v>43.7</v>
      </c>
      <c r="P30" s="92"/>
      <c r="Q30" s="92"/>
      <c r="R30" s="93">
        <f>SUM(O30:Q30)</f>
        <v>43.7</v>
      </c>
      <c r="S30" s="184">
        <v>4</v>
      </c>
      <c r="T30" s="839"/>
      <c r="U30" s="852">
        <v>36706</v>
      </c>
      <c r="V30" s="82" t="s">
        <v>947</v>
      </c>
      <c r="W30" s="184" t="s">
        <v>328</v>
      </c>
      <c r="X30" s="184" t="s">
        <v>11</v>
      </c>
      <c r="Y30" s="83">
        <v>43.7</v>
      </c>
      <c r="AD30" s="82"/>
      <c r="AG30" s="83"/>
      <c r="AL30" s="82"/>
      <c r="AO30" s="83"/>
      <c r="AP30" s="82"/>
      <c r="AS30" s="83"/>
      <c r="AW30" s="83"/>
      <c r="BA30" s="84"/>
    </row>
    <row r="31" spans="1:53" s="173" customFormat="1">
      <c r="A31" s="173">
        <v>2000</v>
      </c>
      <c r="B31" s="866">
        <v>36754</v>
      </c>
      <c r="C31" s="917" t="s">
        <v>1159</v>
      </c>
      <c r="D31" s="917"/>
      <c r="E31" s="173">
        <v>138</v>
      </c>
      <c r="F31" s="190">
        <v>0</v>
      </c>
      <c r="G31" s="119">
        <v>15</v>
      </c>
      <c r="J31" s="126">
        <v>19</v>
      </c>
      <c r="K31" s="92">
        <f t="shared" si="3"/>
        <v>78.94736842105263</v>
      </c>
      <c r="L31" s="92">
        <f t="shared" si="4"/>
        <v>0</v>
      </c>
      <c r="M31" s="92">
        <f t="shared" si="5"/>
        <v>0</v>
      </c>
      <c r="N31" s="121">
        <f t="shared" si="2"/>
        <v>78.94736842105263</v>
      </c>
      <c r="O31" s="91">
        <v>43.7</v>
      </c>
      <c r="P31" s="92"/>
      <c r="Q31" s="92"/>
      <c r="R31" s="93">
        <f t="shared" si="1"/>
        <v>43.7</v>
      </c>
      <c r="S31" s="173">
        <v>4</v>
      </c>
      <c r="T31" s="839"/>
      <c r="U31" s="852"/>
      <c r="V31" s="82" t="s">
        <v>947</v>
      </c>
      <c r="W31" s="173" t="s">
        <v>328</v>
      </c>
      <c r="X31" s="173" t="s">
        <v>11</v>
      </c>
      <c r="Y31" s="83">
        <v>43.7</v>
      </c>
      <c r="AD31" s="82"/>
      <c r="AG31" s="83"/>
      <c r="AL31" s="82"/>
      <c r="AO31" s="83"/>
      <c r="AP31" s="82"/>
      <c r="AS31" s="83"/>
      <c r="AW31" s="83"/>
      <c r="BA31" s="84"/>
    </row>
    <row r="32" spans="1:53" s="173" customFormat="1">
      <c r="A32" s="173">
        <v>2001</v>
      </c>
      <c r="B32" s="866"/>
      <c r="C32" s="917" t="s">
        <v>1159</v>
      </c>
      <c r="D32" s="917"/>
      <c r="E32" s="173">
        <v>58</v>
      </c>
      <c r="F32" s="190"/>
      <c r="G32" s="119">
        <v>15</v>
      </c>
      <c r="J32" s="126">
        <v>19</v>
      </c>
      <c r="K32" s="92">
        <f t="shared" si="3"/>
        <v>78.94736842105263</v>
      </c>
      <c r="L32" s="92">
        <f t="shared" si="4"/>
        <v>0</v>
      </c>
      <c r="M32" s="92">
        <f t="shared" si="5"/>
        <v>0</v>
      </c>
      <c r="N32" s="121">
        <f t="shared" si="2"/>
        <v>78.94736842105263</v>
      </c>
      <c r="O32" s="91">
        <v>43.7</v>
      </c>
      <c r="P32" s="92"/>
      <c r="Q32" s="92"/>
      <c r="R32" s="93">
        <f t="shared" si="1"/>
        <v>43.7</v>
      </c>
      <c r="S32" s="173">
        <v>4</v>
      </c>
      <c r="T32" s="839"/>
      <c r="U32" s="852"/>
      <c r="V32" s="82" t="s">
        <v>947</v>
      </c>
      <c r="W32" s="173" t="s">
        <v>328</v>
      </c>
      <c r="X32" s="173" t="s">
        <v>11</v>
      </c>
      <c r="Y32" s="83">
        <v>43.7</v>
      </c>
      <c r="AD32" s="82"/>
      <c r="AG32" s="83"/>
      <c r="AL32" s="82"/>
      <c r="AO32" s="83"/>
      <c r="AP32" s="82"/>
      <c r="AS32" s="83"/>
      <c r="AW32" s="83"/>
      <c r="BA32" s="84"/>
    </row>
    <row r="33" spans="1:53" s="173" customFormat="1">
      <c r="A33" s="173">
        <v>2001</v>
      </c>
      <c r="B33" s="866">
        <v>36950</v>
      </c>
      <c r="C33" s="917" t="s">
        <v>1159</v>
      </c>
      <c r="D33" s="917"/>
      <c r="E33" s="173">
        <v>127</v>
      </c>
      <c r="F33" s="190">
        <v>0</v>
      </c>
      <c r="G33" s="119">
        <v>14</v>
      </c>
      <c r="J33" s="126">
        <v>19</v>
      </c>
      <c r="K33" s="92">
        <f t="shared" si="3"/>
        <v>73.68421052631578</v>
      </c>
      <c r="L33" s="92">
        <f t="shared" si="4"/>
        <v>0</v>
      </c>
      <c r="M33" s="92">
        <f t="shared" si="5"/>
        <v>0</v>
      </c>
      <c r="N33" s="121">
        <f t="shared" si="2"/>
        <v>73.68421052631578</v>
      </c>
      <c r="O33" s="91">
        <v>43.7</v>
      </c>
      <c r="P33" s="92"/>
      <c r="Q33" s="92"/>
      <c r="R33" s="93">
        <f t="shared" si="1"/>
        <v>43.7</v>
      </c>
      <c r="S33" s="173">
        <v>4</v>
      </c>
      <c r="T33" s="839"/>
      <c r="U33" s="852"/>
      <c r="V33" s="82" t="s">
        <v>947</v>
      </c>
      <c r="W33" s="173" t="s">
        <v>328</v>
      </c>
      <c r="X33" s="173" t="s">
        <v>11</v>
      </c>
      <c r="Y33" s="83">
        <v>43.7</v>
      </c>
      <c r="AD33" s="82"/>
      <c r="AG33" s="83"/>
      <c r="AL33" s="82"/>
      <c r="AO33" s="83"/>
      <c r="AP33" s="82"/>
      <c r="AS33" s="83"/>
      <c r="AW33" s="83"/>
      <c r="BA33" s="84"/>
    </row>
    <row r="34" spans="1:53" s="173" customFormat="1">
      <c r="A34" s="173">
        <v>2001</v>
      </c>
      <c r="B34" s="866">
        <v>37077</v>
      </c>
      <c r="C34" s="917" t="s">
        <v>1159</v>
      </c>
      <c r="D34" s="917"/>
      <c r="E34" s="173">
        <v>106</v>
      </c>
      <c r="F34" s="190">
        <v>0</v>
      </c>
      <c r="G34" s="119">
        <v>15</v>
      </c>
      <c r="J34" s="126">
        <v>19</v>
      </c>
      <c r="K34" s="92">
        <f t="shared" si="3"/>
        <v>78.94736842105263</v>
      </c>
      <c r="L34" s="92">
        <f t="shared" si="4"/>
        <v>0</v>
      </c>
      <c r="M34" s="92">
        <f t="shared" si="5"/>
        <v>0</v>
      </c>
      <c r="N34" s="121">
        <f t="shared" si="2"/>
        <v>78.94736842105263</v>
      </c>
      <c r="O34" s="91">
        <v>43.7</v>
      </c>
      <c r="P34" s="92"/>
      <c r="Q34" s="92"/>
      <c r="R34" s="93">
        <f t="shared" si="1"/>
        <v>43.7</v>
      </c>
      <c r="S34" s="173">
        <v>4</v>
      </c>
      <c r="T34" s="839"/>
      <c r="U34" s="852"/>
      <c r="V34" s="82" t="s">
        <v>947</v>
      </c>
      <c r="W34" s="173" t="s">
        <v>328</v>
      </c>
      <c r="X34" s="173" t="s">
        <v>11</v>
      </c>
      <c r="Y34" s="83">
        <v>43.7</v>
      </c>
      <c r="AD34" s="82"/>
      <c r="AG34" s="83"/>
      <c r="AL34" s="82"/>
      <c r="AO34" s="83"/>
      <c r="AP34" s="82"/>
      <c r="AS34" s="83"/>
      <c r="AW34" s="83"/>
      <c r="BA34" s="84"/>
    </row>
    <row r="35" spans="1:53" s="292" customFormat="1">
      <c r="A35" s="292">
        <v>2001</v>
      </c>
      <c r="B35" s="836">
        <v>37183</v>
      </c>
      <c r="C35" s="916" t="s">
        <v>949</v>
      </c>
      <c r="D35" s="916"/>
      <c r="E35" s="292">
        <f xml:space="preserve"> 365-E34-E33-E32</f>
        <v>74</v>
      </c>
      <c r="F35" s="292">
        <v>1</v>
      </c>
      <c r="G35" s="366"/>
      <c r="I35" s="292">
        <v>13</v>
      </c>
      <c r="J35" s="377">
        <v>15</v>
      </c>
      <c r="K35" s="336">
        <f t="shared" si="3"/>
        <v>0</v>
      </c>
      <c r="L35" s="336">
        <f t="shared" si="4"/>
        <v>0</v>
      </c>
      <c r="M35" s="336">
        <f t="shared" si="5"/>
        <v>86.666666666666671</v>
      </c>
      <c r="N35" s="368">
        <f t="shared" si="2"/>
        <v>86.666666666666671</v>
      </c>
      <c r="O35" s="335"/>
      <c r="P35" s="336"/>
      <c r="Q35" s="336">
        <v>56.1</v>
      </c>
      <c r="R35" s="337">
        <f t="shared" si="1"/>
        <v>56.1</v>
      </c>
      <c r="S35" s="292">
        <v>3</v>
      </c>
      <c r="T35" s="838">
        <v>37157</v>
      </c>
      <c r="U35" s="836">
        <v>37183</v>
      </c>
      <c r="V35" s="299" t="s">
        <v>943</v>
      </c>
      <c r="W35" s="292" t="s">
        <v>97</v>
      </c>
      <c r="X35" s="292" t="s">
        <v>12</v>
      </c>
      <c r="Y35" s="300">
        <v>43.5</v>
      </c>
      <c r="Z35" s="292" t="s">
        <v>950</v>
      </c>
      <c r="AA35" s="292" t="s">
        <v>307</v>
      </c>
      <c r="AB35" s="292" t="s">
        <v>12</v>
      </c>
      <c r="AC35" s="292">
        <v>3.5</v>
      </c>
      <c r="AD35" s="299" t="s">
        <v>942</v>
      </c>
      <c r="AE35" s="292" t="s">
        <v>872</v>
      </c>
      <c r="AF35" s="292" t="s">
        <v>12</v>
      </c>
      <c r="AG35" s="300">
        <v>9.1</v>
      </c>
      <c r="AL35" s="299"/>
      <c r="AO35" s="300"/>
      <c r="AP35" s="299"/>
      <c r="AS35" s="300"/>
      <c r="AW35" s="300"/>
      <c r="BA35" s="301"/>
    </row>
    <row r="36" spans="1:53" s="292" customFormat="1">
      <c r="A36" s="292">
        <v>2002</v>
      </c>
      <c r="B36" s="836"/>
      <c r="C36" s="916" t="s">
        <v>949</v>
      </c>
      <c r="D36" s="916"/>
      <c r="E36" s="292">
        <v>0</v>
      </c>
      <c r="G36" s="366"/>
      <c r="I36" s="292">
        <v>13</v>
      </c>
      <c r="J36" s="377">
        <v>15</v>
      </c>
      <c r="K36" s="336">
        <f t="shared" si="3"/>
        <v>0</v>
      </c>
      <c r="L36" s="336">
        <f t="shared" si="4"/>
        <v>0</v>
      </c>
      <c r="M36" s="336">
        <f t="shared" si="5"/>
        <v>86.666666666666671</v>
      </c>
      <c r="N36" s="368">
        <f t="shared" si="2"/>
        <v>86.666666666666671</v>
      </c>
      <c r="O36" s="335"/>
      <c r="P36" s="336"/>
      <c r="Q36" s="336">
        <v>56.1</v>
      </c>
      <c r="R36" s="337">
        <f t="shared" si="1"/>
        <v>56.1</v>
      </c>
      <c r="S36" s="292">
        <v>3</v>
      </c>
      <c r="T36" s="838"/>
      <c r="U36" s="836"/>
      <c r="V36" s="299" t="s">
        <v>943</v>
      </c>
      <c r="W36" s="292" t="s">
        <v>97</v>
      </c>
      <c r="X36" s="292" t="s">
        <v>12</v>
      </c>
      <c r="Y36" s="300">
        <v>43.5</v>
      </c>
      <c r="Z36" s="292" t="s">
        <v>950</v>
      </c>
      <c r="AA36" s="292" t="s">
        <v>307</v>
      </c>
      <c r="AB36" s="292" t="s">
        <v>12</v>
      </c>
      <c r="AC36" s="292">
        <v>3.5</v>
      </c>
      <c r="AD36" s="299" t="s">
        <v>942</v>
      </c>
      <c r="AE36" s="292" t="s">
        <v>872</v>
      </c>
      <c r="AF36" s="292" t="s">
        <v>12</v>
      </c>
      <c r="AG36" s="300">
        <v>9.1</v>
      </c>
      <c r="AL36" s="299"/>
      <c r="AO36" s="300"/>
      <c r="AP36" s="299"/>
      <c r="AS36" s="300"/>
      <c r="AW36" s="300"/>
      <c r="BA36" s="301"/>
    </row>
    <row r="37" spans="1:53" s="292" customFormat="1">
      <c r="A37" s="292">
        <v>2002</v>
      </c>
      <c r="B37" s="836"/>
      <c r="C37" s="916" t="s">
        <v>949</v>
      </c>
      <c r="D37" s="916"/>
      <c r="E37" s="292">
        <v>365</v>
      </c>
      <c r="G37" s="366"/>
      <c r="I37" s="292">
        <v>13</v>
      </c>
      <c r="J37" s="377">
        <v>15</v>
      </c>
      <c r="K37" s="336">
        <f t="shared" si="3"/>
        <v>0</v>
      </c>
      <c r="L37" s="336">
        <f t="shared" si="4"/>
        <v>0</v>
      </c>
      <c r="M37" s="336">
        <f t="shared" si="5"/>
        <v>86.666666666666671</v>
      </c>
      <c r="N37" s="368">
        <f t="shared" si="2"/>
        <v>86.666666666666671</v>
      </c>
      <c r="O37" s="335"/>
      <c r="P37" s="336"/>
      <c r="Q37" s="336">
        <v>56.1</v>
      </c>
      <c r="R37" s="337">
        <f t="shared" si="1"/>
        <v>56.1</v>
      </c>
      <c r="S37" s="292">
        <v>3</v>
      </c>
      <c r="T37" s="838"/>
      <c r="U37" s="836"/>
      <c r="V37" s="299" t="s">
        <v>943</v>
      </c>
      <c r="W37" s="292" t="s">
        <v>97</v>
      </c>
      <c r="X37" s="292" t="s">
        <v>12</v>
      </c>
      <c r="Y37" s="300">
        <v>43.5</v>
      </c>
      <c r="Z37" s="292" t="s">
        <v>950</v>
      </c>
      <c r="AA37" s="292" t="s">
        <v>307</v>
      </c>
      <c r="AB37" s="292" t="s">
        <v>12</v>
      </c>
      <c r="AC37" s="292">
        <v>3.5</v>
      </c>
      <c r="AD37" s="299" t="s">
        <v>942</v>
      </c>
      <c r="AE37" s="292" t="s">
        <v>872</v>
      </c>
      <c r="AF37" s="292" t="s">
        <v>12</v>
      </c>
      <c r="AG37" s="300">
        <v>9.1</v>
      </c>
      <c r="AL37" s="299"/>
      <c r="AO37" s="300"/>
      <c r="AP37" s="299"/>
      <c r="AS37" s="300"/>
      <c r="AW37" s="300"/>
      <c r="BA37" s="301"/>
    </row>
    <row r="38" spans="1:53" s="292" customFormat="1">
      <c r="A38" s="292">
        <v>2003</v>
      </c>
      <c r="B38" s="836"/>
      <c r="C38" s="916" t="s">
        <v>949</v>
      </c>
      <c r="D38" s="916"/>
      <c r="E38" s="292">
        <v>6</v>
      </c>
      <c r="G38" s="366"/>
      <c r="I38" s="292">
        <v>13</v>
      </c>
      <c r="J38" s="377">
        <v>15</v>
      </c>
      <c r="K38" s="336">
        <f t="shared" si="3"/>
        <v>0</v>
      </c>
      <c r="L38" s="336">
        <f t="shared" si="4"/>
        <v>0</v>
      </c>
      <c r="M38" s="336">
        <f t="shared" si="5"/>
        <v>86.666666666666671</v>
      </c>
      <c r="N38" s="368">
        <f t="shared" si="2"/>
        <v>86.666666666666671</v>
      </c>
      <c r="O38" s="335"/>
      <c r="P38" s="336"/>
      <c r="Q38" s="336">
        <v>56.1</v>
      </c>
      <c r="R38" s="337">
        <f t="shared" si="1"/>
        <v>56.1</v>
      </c>
      <c r="S38" s="292">
        <v>3</v>
      </c>
      <c r="T38" s="838"/>
      <c r="U38" s="836"/>
      <c r="V38" s="299" t="s">
        <v>943</v>
      </c>
      <c r="W38" s="292" t="s">
        <v>97</v>
      </c>
      <c r="X38" s="292" t="s">
        <v>12</v>
      </c>
      <c r="Y38" s="300">
        <v>43.5</v>
      </c>
      <c r="Z38" s="292" t="s">
        <v>950</v>
      </c>
      <c r="AA38" s="292" t="s">
        <v>307</v>
      </c>
      <c r="AB38" s="292" t="s">
        <v>12</v>
      </c>
      <c r="AC38" s="292">
        <v>3.5</v>
      </c>
      <c r="AD38" s="299" t="s">
        <v>942</v>
      </c>
      <c r="AE38" s="292" t="s">
        <v>872</v>
      </c>
      <c r="AF38" s="292" t="s">
        <v>12</v>
      </c>
      <c r="AG38" s="300">
        <v>9.1</v>
      </c>
      <c r="AL38" s="299"/>
      <c r="AO38" s="300"/>
      <c r="AP38" s="299"/>
      <c r="AS38" s="300"/>
      <c r="AW38" s="300"/>
      <c r="BA38" s="301"/>
    </row>
    <row r="39" spans="1:53" s="292" customFormat="1">
      <c r="A39" s="292">
        <v>2003</v>
      </c>
      <c r="B39" s="872">
        <v>37628</v>
      </c>
      <c r="C39" s="916" t="s">
        <v>949</v>
      </c>
      <c r="D39" s="916"/>
      <c r="E39" s="292">
        <v>55</v>
      </c>
      <c r="F39" s="389">
        <v>0</v>
      </c>
      <c r="G39" s="366"/>
      <c r="I39" s="292">
        <v>13</v>
      </c>
      <c r="J39" s="377">
        <v>16</v>
      </c>
      <c r="K39" s="336">
        <f t="shared" si="3"/>
        <v>0</v>
      </c>
      <c r="L39" s="336">
        <f t="shared" si="4"/>
        <v>0</v>
      </c>
      <c r="M39" s="336">
        <f t="shared" si="5"/>
        <v>81.25</v>
      </c>
      <c r="N39" s="368">
        <f t="shared" si="2"/>
        <v>81.25</v>
      </c>
      <c r="O39" s="335"/>
      <c r="P39" s="336"/>
      <c r="Q39" s="336">
        <v>56.1</v>
      </c>
      <c r="R39" s="337">
        <f t="shared" si="1"/>
        <v>56.1</v>
      </c>
      <c r="S39" s="292">
        <v>3</v>
      </c>
      <c r="T39" s="838"/>
      <c r="U39" s="836"/>
      <c r="V39" s="299" t="s">
        <v>943</v>
      </c>
      <c r="W39" s="292" t="s">
        <v>97</v>
      </c>
      <c r="X39" s="292" t="s">
        <v>12</v>
      </c>
      <c r="Y39" s="300">
        <v>43.5</v>
      </c>
      <c r="Z39" s="292" t="s">
        <v>950</v>
      </c>
      <c r="AA39" s="292" t="s">
        <v>307</v>
      </c>
      <c r="AB39" s="292" t="s">
        <v>12</v>
      </c>
      <c r="AC39" s="292">
        <v>3.5</v>
      </c>
      <c r="AD39" s="299" t="s">
        <v>942</v>
      </c>
      <c r="AE39" s="292" t="s">
        <v>872</v>
      </c>
      <c r="AF39" s="292" t="s">
        <v>12</v>
      </c>
      <c r="AG39" s="300">
        <v>9.1</v>
      </c>
      <c r="AL39" s="299"/>
      <c r="AO39" s="300"/>
      <c r="AP39" s="299"/>
      <c r="AS39" s="300"/>
      <c r="AW39" s="300"/>
      <c r="BA39" s="301"/>
    </row>
    <row r="40" spans="1:53" s="173" customFormat="1">
      <c r="A40" s="173">
        <v>2003</v>
      </c>
      <c r="B40" s="852">
        <v>37683</v>
      </c>
      <c r="C40" s="917" t="s">
        <v>951</v>
      </c>
      <c r="D40" s="917"/>
      <c r="E40" s="173">
        <v>30</v>
      </c>
      <c r="F40" s="173">
        <v>4</v>
      </c>
      <c r="G40" s="119"/>
      <c r="I40" s="173">
        <v>12</v>
      </c>
      <c r="J40" s="126">
        <v>16</v>
      </c>
      <c r="K40" s="92">
        <f t="shared" si="3"/>
        <v>0</v>
      </c>
      <c r="L40" s="92">
        <f t="shared" si="4"/>
        <v>0</v>
      </c>
      <c r="M40" s="92">
        <f t="shared" si="5"/>
        <v>75</v>
      </c>
      <c r="N40" s="121">
        <f t="shared" si="2"/>
        <v>75</v>
      </c>
      <c r="O40" s="91"/>
      <c r="P40" s="92"/>
      <c r="Q40" s="92">
        <v>47</v>
      </c>
      <c r="R40" s="93">
        <f t="shared" si="1"/>
        <v>47</v>
      </c>
      <c r="S40" s="173">
        <v>5</v>
      </c>
      <c r="T40" s="839"/>
      <c r="U40" s="852">
        <v>37683</v>
      </c>
      <c r="V40" s="82" t="s">
        <v>943</v>
      </c>
      <c r="W40" s="173" t="s">
        <v>97</v>
      </c>
      <c r="X40" s="173" t="s">
        <v>12</v>
      </c>
      <c r="Y40" s="83">
        <v>43.5</v>
      </c>
      <c r="Z40" s="173" t="s">
        <v>950</v>
      </c>
      <c r="AA40" s="173" t="s">
        <v>307</v>
      </c>
      <c r="AB40" s="173" t="s">
        <v>12</v>
      </c>
      <c r="AC40" s="184">
        <v>3.5</v>
      </c>
      <c r="AD40" s="82"/>
      <c r="AG40" s="83"/>
      <c r="AL40" s="82"/>
      <c r="AO40" s="83"/>
      <c r="AP40" s="82"/>
      <c r="AS40" s="83"/>
      <c r="AW40" s="83"/>
      <c r="BA40" s="84"/>
    </row>
    <row r="41" spans="1:53" s="173" customFormat="1">
      <c r="A41" s="173">
        <v>2003</v>
      </c>
      <c r="B41" s="866">
        <v>37713</v>
      </c>
      <c r="C41" s="917" t="s">
        <v>951</v>
      </c>
      <c r="D41" s="917"/>
      <c r="E41" s="173">
        <v>75</v>
      </c>
      <c r="F41" s="190">
        <v>0</v>
      </c>
      <c r="G41" s="119"/>
      <c r="I41" s="173">
        <v>11</v>
      </c>
      <c r="J41" s="126">
        <v>16</v>
      </c>
      <c r="K41" s="92">
        <f t="shared" si="3"/>
        <v>0</v>
      </c>
      <c r="L41" s="92">
        <f t="shared" si="4"/>
        <v>0</v>
      </c>
      <c r="M41" s="92">
        <f t="shared" si="5"/>
        <v>68.75</v>
      </c>
      <c r="N41" s="121">
        <f t="shared" si="2"/>
        <v>68.75</v>
      </c>
      <c r="O41" s="91"/>
      <c r="P41" s="92"/>
      <c r="Q41" s="92">
        <v>47</v>
      </c>
      <c r="R41" s="93">
        <f t="shared" si="1"/>
        <v>47</v>
      </c>
      <c r="S41" s="173">
        <v>5</v>
      </c>
      <c r="T41" s="839"/>
      <c r="U41" s="852"/>
      <c r="V41" s="82" t="s">
        <v>943</v>
      </c>
      <c r="W41" s="173" t="s">
        <v>97</v>
      </c>
      <c r="X41" s="173" t="s">
        <v>12</v>
      </c>
      <c r="Y41" s="83">
        <v>43.5</v>
      </c>
      <c r="Z41" s="173" t="s">
        <v>950</v>
      </c>
      <c r="AA41" s="173" t="s">
        <v>307</v>
      </c>
      <c r="AB41" s="173" t="s">
        <v>12</v>
      </c>
      <c r="AC41" s="184">
        <v>3.5</v>
      </c>
      <c r="AD41" s="82"/>
      <c r="AG41" s="83"/>
      <c r="AL41" s="82"/>
      <c r="AO41" s="83"/>
      <c r="AP41" s="82"/>
      <c r="AS41" s="83"/>
      <c r="AW41" s="83"/>
      <c r="BA41" s="84"/>
    </row>
    <row r="42" spans="1:53" s="185" customFormat="1">
      <c r="A42" s="185">
        <v>2003</v>
      </c>
      <c r="B42" s="866">
        <v>37788</v>
      </c>
      <c r="C42" s="917" t="s">
        <v>951</v>
      </c>
      <c r="D42" s="917"/>
      <c r="E42" s="185">
        <v>16</v>
      </c>
      <c r="F42" s="190">
        <v>0</v>
      </c>
      <c r="G42" s="119"/>
      <c r="I42" s="185">
        <v>11</v>
      </c>
      <c r="J42" s="126">
        <v>17</v>
      </c>
      <c r="K42" s="92">
        <f>G42/J42*100</f>
        <v>0</v>
      </c>
      <c r="L42" s="92">
        <f>H42/J42*100</f>
        <v>0</v>
      </c>
      <c r="M42" s="92">
        <f>I42/J42*100</f>
        <v>64.705882352941174</v>
      </c>
      <c r="N42" s="121">
        <f>SUM(K42:M42)</f>
        <v>64.705882352941174</v>
      </c>
      <c r="O42" s="91"/>
      <c r="P42" s="92"/>
      <c r="Q42" s="92">
        <v>47</v>
      </c>
      <c r="R42" s="93">
        <f>SUM(O42:Q42)</f>
        <v>47</v>
      </c>
      <c r="S42" s="185">
        <v>5</v>
      </c>
      <c r="T42" s="839"/>
      <c r="U42" s="852"/>
      <c r="V42" s="82" t="s">
        <v>943</v>
      </c>
      <c r="W42" s="185" t="s">
        <v>97</v>
      </c>
      <c r="X42" s="185" t="s">
        <v>12</v>
      </c>
      <c r="Y42" s="83">
        <v>43.5</v>
      </c>
      <c r="Z42" s="185" t="s">
        <v>950</v>
      </c>
      <c r="AA42" s="185" t="s">
        <v>307</v>
      </c>
      <c r="AB42" s="185" t="s">
        <v>12</v>
      </c>
      <c r="AC42" s="185">
        <v>3.5</v>
      </c>
      <c r="AD42" s="82"/>
      <c r="AG42" s="83"/>
      <c r="AL42" s="82"/>
      <c r="AO42" s="83"/>
      <c r="AP42" s="82"/>
      <c r="AS42" s="83"/>
      <c r="AW42" s="83"/>
      <c r="BA42" s="84"/>
    </row>
    <row r="43" spans="1:53" s="173" customFormat="1">
      <c r="A43" s="173">
        <v>2003</v>
      </c>
      <c r="B43" s="866">
        <v>37804</v>
      </c>
      <c r="C43" s="917" t="s">
        <v>951</v>
      </c>
      <c r="D43" s="917"/>
      <c r="E43" s="173">
        <v>14</v>
      </c>
      <c r="F43" s="190">
        <v>0</v>
      </c>
      <c r="G43" s="119"/>
      <c r="I43" s="173">
        <v>12</v>
      </c>
      <c r="J43" s="126">
        <v>17</v>
      </c>
      <c r="K43" s="92">
        <f t="shared" si="3"/>
        <v>0</v>
      </c>
      <c r="L43" s="92">
        <f t="shared" si="4"/>
        <v>0</v>
      </c>
      <c r="M43" s="92">
        <f t="shared" si="5"/>
        <v>70.588235294117652</v>
      </c>
      <c r="N43" s="121">
        <f t="shared" si="2"/>
        <v>70.588235294117652</v>
      </c>
      <c r="O43" s="91"/>
      <c r="P43" s="92"/>
      <c r="Q43" s="92">
        <v>47</v>
      </c>
      <c r="R43" s="93">
        <f t="shared" si="1"/>
        <v>47</v>
      </c>
      <c r="S43" s="173">
        <v>5</v>
      </c>
      <c r="T43" s="839"/>
      <c r="U43" s="852"/>
      <c r="V43" s="82" t="s">
        <v>943</v>
      </c>
      <c r="W43" s="173" t="s">
        <v>97</v>
      </c>
      <c r="X43" s="173" t="s">
        <v>12</v>
      </c>
      <c r="Y43" s="83">
        <v>43.5</v>
      </c>
      <c r="Z43" s="173" t="s">
        <v>950</v>
      </c>
      <c r="AA43" s="173" t="s">
        <v>307</v>
      </c>
      <c r="AB43" s="173" t="s">
        <v>12</v>
      </c>
      <c r="AC43" s="184">
        <v>3.5</v>
      </c>
      <c r="AD43" s="82"/>
      <c r="AG43" s="83"/>
      <c r="AL43" s="82"/>
      <c r="AO43" s="83"/>
      <c r="AP43" s="82"/>
      <c r="AS43" s="83"/>
      <c r="AW43" s="83"/>
      <c r="BA43" s="84"/>
    </row>
    <row r="44" spans="1:53" s="173" customFormat="1">
      <c r="A44" s="173">
        <v>2003</v>
      </c>
      <c r="B44" s="866">
        <v>37818</v>
      </c>
      <c r="C44" s="917" t="s">
        <v>951</v>
      </c>
      <c r="D44" s="917"/>
      <c r="E44" s="173">
        <v>169</v>
      </c>
      <c r="F44" s="190">
        <v>0</v>
      </c>
      <c r="G44" s="119"/>
      <c r="I44" s="173">
        <v>11</v>
      </c>
      <c r="J44" s="126">
        <v>17</v>
      </c>
      <c r="K44" s="92">
        <f t="shared" si="3"/>
        <v>0</v>
      </c>
      <c r="L44" s="92">
        <f t="shared" si="4"/>
        <v>0</v>
      </c>
      <c r="M44" s="92">
        <f t="shared" si="5"/>
        <v>64.705882352941174</v>
      </c>
      <c r="N44" s="121">
        <f t="shared" si="2"/>
        <v>64.705882352941174</v>
      </c>
      <c r="O44" s="91"/>
      <c r="P44" s="92"/>
      <c r="Q44" s="92">
        <v>47</v>
      </c>
      <c r="R44" s="93">
        <f t="shared" si="1"/>
        <v>47</v>
      </c>
      <c r="S44" s="173">
        <v>5</v>
      </c>
      <c r="T44" s="839"/>
      <c r="U44" s="852"/>
      <c r="V44" s="82" t="s">
        <v>943</v>
      </c>
      <c r="W44" s="173" t="s">
        <v>97</v>
      </c>
      <c r="X44" s="173" t="s">
        <v>12</v>
      </c>
      <c r="Y44" s="83">
        <v>43.5</v>
      </c>
      <c r="Z44" s="173" t="s">
        <v>950</v>
      </c>
      <c r="AA44" s="173" t="s">
        <v>307</v>
      </c>
      <c r="AB44" s="173" t="s">
        <v>12</v>
      </c>
      <c r="AC44" s="184">
        <v>3.5</v>
      </c>
      <c r="AD44" s="82"/>
      <c r="AG44" s="83"/>
      <c r="AL44" s="82"/>
      <c r="AO44" s="83"/>
      <c r="AP44" s="82"/>
      <c r="AS44" s="83"/>
      <c r="AW44" s="83"/>
      <c r="BA44" s="84"/>
    </row>
    <row r="45" spans="1:53" s="173" customFormat="1">
      <c r="A45" s="173">
        <v>2004</v>
      </c>
      <c r="B45" s="866"/>
      <c r="C45" s="917" t="s">
        <v>951</v>
      </c>
      <c r="D45" s="917"/>
      <c r="E45" s="173">
        <v>27</v>
      </c>
      <c r="F45" s="190"/>
      <c r="G45" s="119"/>
      <c r="I45" s="173">
        <v>11</v>
      </c>
      <c r="J45" s="126">
        <v>17</v>
      </c>
      <c r="K45" s="92">
        <f t="shared" si="3"/>
        <v>0</v>
      </c>
      <c r="L45" s="92">
        <f t="shared" si="4"/>
        <v>0</v>
      </c>
      <c r="M45" s="92">
        <f t="shared" si="5"/>
        <v>64.705882352941174</v>
      </c>
      <c r="N45" s="121">
        <f t="shared" si="2"/>
        <v>64.705882352941174</v>
      </c>
      <c r="O45" s="91"/>
      <c r="P45" s="92"/>
      <c r="Q45" s="92">
        <v>47</v>
      </c>
      <c r="R45" s="93">
        <f t="shared" si="1"/>
        <v>47</v>
      </c>
      <c r="S45" s="173">
        <v>5</v>
      </c>
      <c r="T45" s="839"/>
      <c r="U45" s="852"/>
      <c r="V45" s="82" t="s">
        <v>943</v>
      </c>
      <c r="W45" s="173" t="s">
        <v>97</v>
      </c>
      <c r="X45" s="173" t="s">
        <v>12</v>
      </c>
      <c r="Y45" s="83">
        <v>43.5</v>
      </c>
      <c r="Z45" s="173" t="s">
        <v>950</v>
      </c>
      <c r="AA45" s="173" t="s">
        <v>307</v>
      </c>
      <c r="AB45" s="173" t="s">
        <v>12</v>
      </c>
      <c r="AC45" s="184">
        <v>3.5</v>
      </c>
      <c r="AD45" s="82"/>
      <c r="AG45" s="83"/>
      <c r="AL45" s="82"/>
      <c r="AO45" s="83"/>
      <c r="AP45" s="82"/>
      <c r="AS45" s="83"/>
      <c r="AW45" s="83"/>
      <c r="BA45" s="84"/>
    </row>
    <row r="46" spans="1:53" s="173" customFormat="1">
      <c r="A46" s="173">
        <v>2004</v>
      </c>
      <c r="B46" s="866">
        <v>38014</v>
      </c>
      <c r="C46" s="917" t="s">
        <v>951</v>
      </c>
      <c r="D46" s="917"/>
      <c r="E46" s="173">
        <v>95</v>
      </c>
      <c r="F46" s="190">
        <v>0</v>
      </c>
      <c r="G46" s="119"/>
      <c r="I46" s="173">
        <v>10</v>
      </c>
      <c r="J46" s="126">
        <v>17</v>
      </c>
      <c r="K46" s="92">
        <f t="shared" si="3"/>
        <v>0</v>
      </c>
      <c r="L46" s="92">
        <f t="shared" si="4"/>
        <v>0</v>
      </c>
      <c r="M46" s="92">
        <f t="shared" si="5"/>
        <v>58.82352941176471</v>
      </c>
      <c r="N46" s="121">
        <f t="shared" si="2"/>
        <v>58.82352941176471</v>
      </c>
      <c r="O46" s="91"/>
      <c r="P46" s="92"/>
      <c r="Q46" s="92">
        <v>47</v>
      </c>
      <c r="R46" s="93">
        <f t="shared" si="1"/>
        <v>47</v>
      </c>
      <c r="S46" s="173">
        <v>5</v>
      </c>
      <c r="T46" s="839"/>
      <c r="U46" s="852"/>
      <c r="V46" s="82" t="s">
        <v>943</v>
      </c>
      <c r="W46" s="173" t="s">
        <v>97</v>
      </c>
      <c r="X46" s="173" t="s">
        <v>12</v>
      </c>
      <c r="Y46" s="83">
        <v>43.5</v>
      </c>
      <c r="Z46" s="173" t="s">
        <v>950</v>
      </c>
      <c r="AA46" s="173" t="s">
        <v>307</v>
      </c>
      <c r="AB46" s="173" t="s">
        <v>12</v>
      </c>
      <c r="AC46" s="173">
        <v>3.5</v>
      </c>
      <c r="AD46" s="82"/>
      <c r="AG46" s="83"/>
      <c r="AL46" s="82"/>
      <c r="AO46" s="83"/>
      <c r="AP46" s="82"/>
      <c r="AS46" s="83"/>
      <c r="AW46" s="83"/>
      <c r="BA46" s="84"/>
    </row>
    <row r="47" spans="1:53" s="292" customFormat="1">
      <c r="A47" s="292">
        <v>2004</v>
      </c>
      <c r="B47" s="836">
        <v>38109</v>
      </c>
      <c r="C47" s="916" t="s">
        <v>952</v>
      </c>
      <c r="D47" s="916"/>
      <c r="E47" s="292">
        <v>40</v>
      </c>
      <c r="F47" s="292">
        <v>2</v>
      </c>
      <c r="G47" s="366"/>
      <c r="I47" s="292">
        <v>10</v>
      </c>
      <c r="J47" s="377">
        <v>18</v>
      </c>
      <c r="K47" s="336">
        <f t="shared" si="3"/>
        <v>0</v>
      </c>
      <c r="L47" s="336">
        <f t="shared" si="4"/>
        <v>0</v>
      </c>
      <c r="M47" s="336">
        <f t="shared" si="5"/>
        <v>55.555555555555557</v>
      </c>
      <c r="N47" s="368">
        <f t="shared" si="2"/>
        <v>55.555555555555557</v>
      </c>
      <c r="O47" s="335"/>
      <c r="P47" s="336"/>
      <c r="Q47" s="336">
        <v>56.1</v>
      </c>
      <c r="R47" s="337">
        <f t="shared" si="1"/>
        <v>56.1</v>
      </c>
      <c r="S47" s="292">
        <v>3</v>
      </c>
      <c r="T47" s="838"/>
      <c r="U47" s="836">
        <v>38109</v>
      </c>
      <c r="V47" s="299" t="s">
        <v>943</v>
      </c>
      <c r="W47" s="292" t="s">
        <v>97</v>
      </c>
      <c r="X47" s="292" t="s">
        <v>12</v>
      </c>
      <c r="Y47" s="300">
        <v>43.5</v>
      </c>
      <c r="Z47" s="292" t="s">
        <v>950</v>
      </c>
      <c r="AA47" s="292" t="s">
        <v>307</v>
      </c>
      <c r="AB47" s="292" t="s">
        <v>12</v>
      </c>
      <c r="AC47" s="292">
        <v>3.5</v>
      </c>
      <c r="AD47" s="299" t="s">
        <v>942</v>
      </c>
      <c r="AE47" s="292" t="s">
        <v>872</v>
      </c>
      <c r="AF47" s="292" t="s">
        <v>12</v>
      </c>
      <c r="AG47" s="300">
        <v>9.1</v>
      </c>
      <c r="AL47" s="299"/>
      <c r="AO47" s="300"/>
      <c r="AP47" s="299"/>
      <c r="AS47" s="300"/>
      <c r="AW47" s="300"/>
      <c r="BA47" s="301"/>
    </row>
    <row r="48" spans="1:53" s="185" customFormat="1">
      <c r="A48" s="185">
        <v>2004</v>
      </c>
      <c r="B48" s="852">
        <v>38149</v>
      </c>
      <c r="C48" s="917" t="s">
        <v>953</v>
      </c>
      <c r="D48" s="917"/>
      <c r="E48" s="185">
        <v>34</v>
      </c>
      <c r="F48" s="185">
        <v>4</v>
      </c>
      <c r="G48" s="119"/>
      <c r="I48" s="185">
        <v>9</v>
      </c>
      <c r="J48" s="126">
        <v>18</v>
      </c>
      <c r="K48" s="92">
        <f t="shared" si="3"/>
        <v>0</v>
      </c>
      <c r="L48" s="92">
        <f t="shared" si="4"/>
        <v>0</v>
      </c>
      <c r="M48" s="92">
        <f t="shared" si="5"/>
        <v>50</v>
      </c>
      <c r="N48" s="121">
        <f t="shared" si="2"/>
        <v>50</v>
      </c>
      <c r="O48" s="91"/>
      <c r="P48" s="92"/>
      <c r="Q48" s="92">
        <v>47</v>
      </c>
      <c r="R48" s="93">
        <f t="shared" si="1"/>
        <v>47</v>
      </c>
      <c r="S48" s="185">
        <v>5</v>
      </c>
      <c r="T48" s="839"/>
      <c r="U48" s="852"/>
      <c r="V48" s="82" t="s">
        <v>943</v>
      </c>
      <c r="W48" s="185" t="s">
        <v>97</v>
      </c>
      <c r="X48" s="185" t="s">
        <v>12</v>
      </c>
      <c r="Y48" s="83">
        <v>43.5</v>
      </c>
      <c r="Z48" s="185" t="s">
        <v>950</v>
      </c>
      <c r="AA48" s="185" t="s">
        <v>307</v>
      </c>
      <c r="AB48" s="185" t="s">
        <v>12</v>
      </c>
      <c r="AC48" s="185">
        <v>3.5</v>
      </c>
      <c r="AD48" s="82"/>
      <c r="AG48" s="83"/>
      <c r="AL48" s="82"/>
      <c r="AO48" s="83"/>
      <c r="AP48" s="82"/>
      <c r="AS48" s="83"/>
      <c r="AW48" s="83"/>
      <c r="BA48" s="84"/>
    </row>
    <row r="49" spans="1:53" s="185" customFormat="1">
      <c r="A49" s="185">
        <v>2004</v>
      </c>
      <c r="B49" s="866">
        <v>38183</v>
      </c>
      <c r="C49" s="917" t="s">
        <v>953</v>
      </c>
      <c r="D49" s="917"/>
      <c r="E49" s="185">
        <v>132</v>
      </c>
      <c r="F49" s="190">
        <v>0</v>
      </c>
      <c r="G49" s="119"/>
      <c r="I49" s="185">
        <v>10</v>
      </c>
      <c r="J49" s="126">
        <v>18</v>
      </c>
      <c r="K49" s="92">
        <f t="shared" si="3"/>
        <v>0</v>
      </c>
      <c r="L49" s="92">
        <f t="shared" si="4"/>
        <v>0</v>
      </c>
      <c r="M49" s="92">
        <f t="shared" si="5"/>
        <v>55.555555555555557</v>
      </c>
      <c r="N49" s="121">
        <f t="shared" si="2"/>
        <v>55.555555555555557</v>
      </c>
      <c r="O49" s="91"/>
      <c r="P49" s="92"/>
      <c r="Q49" s="92">
        <v>47</v>
      </c>
      <c r="R49" s="93">
        <f>SUM(O49:Q49)</f>
        <v>47</v>
      </c>
      <c r="S49" s="185">
        <v>5</v>
      </c>
      <c r="T49" s="839"/>
      <c r="U49" s="860">
        <v>38183</v>
      </c>
      <c r="V49" s="82" t="s">
        <v>943</v>
      </c>
      <c r="W49" s="185" t="s">
        <v>97</v>
      </c>
      <c r="X49" s="185" t="s">
        <v>12</v>
      </c>
      <c r="Y49" s="83">
        <v>43.5</v>
      </c>
      <c r="Z49" s="185" t="s">
        <v>950</v>
      </c>
      <c r="AA49" s="185" t="s">
        <v>307</v>
      </c>
      <c r="AB49" s="185" t="s">
        <v>12</v>
      </c>
      <c r="AC49" s="185">
        <v>3.5</v>
      </c>
      <c r="AD49" s="82" t="s">
        <v>954</v>
      </c>
      <c r="AE49" s="185" t="s">
        <v>1036</v>
      </c>
      <c r="AF49" s="185" t="s">
        <v>12</v>
      </c>
      <c r="AG49" s="83">
        <v>0</v>
      </c>
      <c r="AL49" s="82"/>
      <c r="AO49" s="83"/>
      <c r="AP49" s="82"/>
      <c r="AS49" s="83"/>
      <c r="AW49" s="83"/>
      <c r="BA49" s="84"/>
    </row>
    <row r="50" spans="1:53" s="185" customFormat="1">
      <c r="A50" s="185">
        <v>2004</v>
      </c>
      <c r="B50" s="866">
        <v>38315</v>
      </c>
      <c r="C50" s="917" t="s">
        <v>953</v>
      </c>
      <c r="D50" s="917"/>
      <c r="E50" s="185">
        <v>38</v>
      </c>
      <c r="F50" s="190">
        <v>0</v>
      </c>
      <c r="G50" s="119"/>
      <c r="I50" s="185">
        <v>9</v>
      </c>
      <c r="J50" s="126">
        <v>17</v>
      </c>
      <c r="K50" s="92">
        <f t="shared" si="3"/>
        <v>0</v>
      </c>
      <c r="L50" s="92">
        <f t="shared" si="4"/>
        <v>0</v>
      </c>
      <c r="M50" s="92">
        <f t="shared" si="5"/>
        <v>52.941176470588239</v>
      </c>
      <c r="N50" s="121">
        <f t="shared" si="2"/>
        <v>52.941176470588239</v>
      </c>
      <c r="O50" s="91"/>
      <c r="P50" s="92"/>
      <c r="Q50" s="92">
        <v>47</v>
      </c>
      <c r="R50" s="93">
        <f>SUM(O50:Q50)</f>
        <v>47</v>
      </c>
      <c r="S50" s="185">
        <v>5</v>
      </c>
      <c r="T50" s="839"/>
      <c r="U50" s="852"/>
      <c r="V50" s="82" t="s">
        <v>943</v>
      </c>
      <c r="W50" s="185" t="s">
        <v>97</v>
      </c>
      <c r="X50" s="185" t="s">
        <v>12</v>
      </c>
      <c r="Y50" s="83">
        <v>43.5</v>
      </c>
      <c r="Z50" s="185" t="s">
        <v>950</v>
      </c>
      <c r="AA50" s="185" t="s">
        <v>307</v>
      </c>
      <c r="AB50" s="185" t="s">
        <v>12</v>
      </c>
      <c r="AC50" s="185">
        <v>3.5</v>
      </c>
      <c r="AD50" s="82" t="s">
        <v>954</v>
      </c>
      <c r="AE50" s="185" t="s">
        <v>1036</v>
      </c>
      <c r="AF50" s="185" t="s">
        <v>12</v>
      </c>
      <c r="AG50" s="83">
        <v>0</v>
      </c>
      <c r="AL50" s="82"/>
      <c r="AO50" s="83"/>
      <c r="AP50" s="82"/>
      <c r="AS50" s="83"/>
      <c r="AW50" s="83"/>
      <c r="BA50" s="84"/>
    </row>
    <row r="51" spans="1:53" s="185" customFormat="1">
      <c r="A51" s="185">
        <v>2005</v>
      </c>
      <c r="B51" s="880"/>
      <c r="C51" s="917" t="s">
        <v>953</v>
      </c>
      <c r="D51" s="917"/>
      <c r="E51" s="185">
        <v>4</v>
      </c>
      <c r="F51" s="190"/>
      <c r="G51" s="119"/>
      <c r="I51" s="185">
        <v>9</v>
      </c>
      <c r="J51" s="126">
        <v>17</v>
      </c>
      <c r="K51" s="92">
        <f t="shared" si="3"/>
        <v>0</v>
      </c>
      <c r="L51" s="92">
        <f t="shared" si="4"/>
        <v>0</v>
      </c>
      <c r="M51" s="92">
        <f t="shared" si="5"/>
        <v>52.941176470588239</v>
      </c>
      <c r="N51" s="121">
        <f t="shared" si="2"/>
        <v>52.941176470588239</v>
      </c>
      <c r="O51" s="91"/>
      <c r="P51" s="92"/>
      <c r="Q51" s="92">
        <v>47</v>
      </c>
      <c r="R51" s="93">
        <f>SUM(O51:Q51)</f>
        <v>47</v>
      </c>
      <c r="S51" s="185">
        <v>5</v>
      </c>
      <c r="T51" s="839"/>
      <c r="U51" s="852"/>
      <c r="V51" s="82" t="s">
        <v>943</v>
      </c>
      <c r="W51" s="185" t="s">
        <v>97</v>
      </c>
      <c r="X51" s="185" t="s">
        <v>12</v>
      </c>
      <c r="Y51" s="83">
        <v>43.5</v>
      </c>
      <c r="Z51" s="185" t="s">
        <v>950</v>
      </c>
      <c r="AA51" s="185" t="s">
        <v>307</v>
      </c>
      <c r="AB51" s="185" t="s">
        <v>12</v>
      </c>
      <c r="AC51" s="185">
        <v>3.5</v>
      </c>
      <c r="AD51" s="82" t="s">
        <v>954</v>
      </c>
      <c r="AE51" s="185" t="s">
        <v>1036</v>
      </c>
      <c r="AF51" s="185" t="s">
        <v>12</v>
      </c>
      <c r="AG51" s="83">
        <v>0</v>
      </c>
      <c r="AL51" s="82"/>
      <c r="AO51" s="83"/>
      <c r="AP51" s="82"/>
      <c r="AS51" s="83"/>
      <c r="AW51" s="83"/>
      <c r="BA51" s="84"/>
    </row>
    <row r="52" spans="1:53" s="185" customFormat="1">
      <c r="A52" s="185">
        <v>2005</v>
      </c>
      <c r="B52" s="866">
        <v>38357</v>
      </c>
      <c r="C52" s="917" t="s">
        <v>953</v>
      </c>
      <c r="D52" s="917"/>
      <c r="E52" s="185">
        <v>309</v>
      </c>
      <c r="F52" s="190">
        <v>0</v>
      </c>
      <c r="G52" s="119"/>
      <c r="I52" s="185">
        <v>8</v>
      </c>
      <c r="J52" s="126">
        <v>17</v>
      </c>
      <c r="K52" s="92">
        <f t="shared" si="3"/>
        <v>0</v>
      </c>
      <c r="L52" s="92">
        <f t="shared" si="4"/>
        <v>0</v>
      </c>
      <c r="M52" s="92">
        <f t="shared" si="5"/>
        <v>47.058823529411761</v>
      </c>
      <c r="N52" s="121">
        <f t="shared" si="2"/>
        <v>47.058823529411761</v>
      </c>
      <c r="O52" s="91"/>
      <c r="P52" s="92"/>
      <c r="Q52" s="92">
        <v>47</v>
      </c>
      <c r="R52" s="93">
        <f>SUM(O52:Q52)</f>
        <v>47</v>
      </c>
      <c r="S52" s="185">
        <v>5</v>
      </c>
      <c r="T52" s="839"/>
      <c r="U52" s="852"/>
      <c r="V52" s="82" t="s">
        <v>943</v>
      </c>
      <c r="W52" s="185" t="s">
        <v>97</v>
      </c>
      <c r="X52" s="185" t="s">
        <v>12</v>
      </c>
      <c r="Y52" s="83">
        <v>43.5</v>
      </c>
      <c r="Z52" s="185" t="s">
        <v>950</v>
      </c>
      <c r="AA52" s="185" t="s">
        <v>307</v>
      </c>
      <c r="AB52" s="185" t="s">
        <v>12</v>
      </c>
      <c r="AC52" s="185">
        <v>3.5</v>
      </c>
      <c r="AD52" s="82" t="s">
        <v>954</v>
      </c>
      <c r="AE52" s="185" t="s">
        <v>1036</v>
      </c>
      <c r="AF52" s="185" t="s">
        <v>12</v>
      </c>
      <c r="AG52" s="83">
        <v>0</v>
      </c>
      <c r="AL52" s="82"/>
      <c r="AO52" s="83"/>
      <c r="AP52" s="82"/>
      <c r="AS52" s="83"/>
      <c r="AW52" s="83"/>
      <c r="BA52" s="84"/>
    </row>
    <row r="53" spans="1:53" s="292" customFormat="1">
      <c r="A53" s="292">
        <v>2005</v>
      </c>
      <c r="B53" s="863">
        <v>38666</v>
      </c>
      <c r="C53" s="916" t="s">
        <v>956</v>
      </c>
      <c r="D53" s="916"/>
      <c r="E53" s="292">
        <f xml:space="preserve"> 365-E52-E51</f>
        <v>52</v>
      </c>
      <c r="F53" s="292">
        <v>1</v>
      </c>
      <c r="G53" s="366">
        <v>11</v>
      </c>
      <c r="J53" s="377">
        <v>18</v>
      </c>
      <c r="K53" s="336">
        <f t="shared" si="3"/>
        <v>61.111111111111114</v>
      </c>
      <c r="L53" s="336">
        <f t="shared" si="4"/>
        <v>0</v>
      </c>
      <c r="M53" s="336">
        <f t="shared" si="5"/>
        <v>0</v>
      </c>
      <c r="N53" s="368">
        <f t="shared" si="2"/>
        <v>61.111111111111114</v>
      </c>
      <c r="O53" s="335">
        <v>33.700000000000003</v>
      </c>
      <c r="P53" s="336"/>
      <c r="Q53" s="336"/>
      <c r="R53" s="337">
        <f t="shared" si="1"/>
        <v>33.700000000000003</v>
      </c>
      <c r="S53" s="292">
        <v>4</v>
      </c>
      <c r="T53" s="838">
        <v>38620</v>
      </c>
      <c r="U53" s="863">
        <v>38666</v>
      </c>
      <c r="V53" s="299" t="s">
        <v>955</v>
      </c>
      <c r="W53" s="292" t="s">
        <v>1140</v>
      </c>
      <c r="X53" s="292" t="s">
        <v>11</v>
      </c>
      <c r="Y53" s="300">
        <v>33.700000000000003</v>
      </c>
      <c r="AD53" s="299"/>
      <c r="AG53" s="300"/>
      <c r="AL53" s="299"/>
      <c r="AO53" s="300"/>
      <c r="AP53" s="299"/>
      <c r="AS53" s="300"/>
      <c r="AW53" s="300"/>
      <c r="BA53" s="301"/>
    </row>
    <row r="54" spans="1:53" s="292" customFormat="1">
      <c r="A54" s="292">
        <v>2006</v>
      </c>
      <c r="B54" s="863"/>
      <c r="C54" s="916" t="s">
        <v>956</v>
      </c>
      <c r="D54" s="916"/>
      <c r="E54" s="292">
        <v>45</v>
      </c>
      <c r="G54" s="366">
        <v>11</v>
      </c>
      <c r="J54" s="377">
        <v>18</v>
      </c>
      <c r="K54" s="336">
        <f t="shared" si="3"/>
        <v>61.111111111111114</v>
      </c>
      <c r="L54" s="336">
        <f t="shared" si="4"/>
        <v>0</v>
      </c>
      <c r="M54" s="336">
        <f t="shared" si="5"/>
        <v>0</v>
      </c>
      <c r="N54" s="368">
        <f t="shared" si="2"/>
        <v>61.111111111111114</v>
      </c>
      <c r="O54" s="335">
        <v>33.700000000000003</v>
      </c>
      <c r="P54" s="336"/>
      <c r="Q54" s="336"/>
      <c r="R54" s="337">
        <f t="shared" si="1"/>
        <v>33.700000000000003</v>
      </c>
      <c r="S54" s="292">
        <v>4</v>
      </c>
      <c r="T54" s="838"/>
      <c r="U54" s="836"/>
      <c r="V54" s="299" t="s">
        <v>955</v>
      </c>
      <c r="W54" s="292" t="s">
        <v>1140</v>
      </c>
      <c r="X54" s="292" t="s">
        <v>11</v>
      </c>
      <c r="Y54" s="300">
        <v>33.700000000000003</v>
      </c>
      <c r="AD54" s="299"/>
      <c r="AG54" s="300"/>
      <c r="AL54" s="299"/>
      <c r="AO54" s="300"/>
      <c r="AP54" s="299"/>
      <c r="AS54" s="300"/>
      <c r="AW54" s="300"/>
      <c r="BA54" s="301"/>
    </row>
    <row r="55" spans="1:53" s="292" customFormat="1">
      <c r="A55" s="292">
        <v>2006</v>
      </c>
      <c r="B55" s="881">
        <v>38763</v>
      </c>
      <c r="C55" s="916" t="s">
        <v>956</v>
      </c>
      <c r="D55" s="916"/>
      <c r="E55" s="292">
        <v>79</v>
      </c>
      <c r="F55" s="389">
        <v>0</v>
      </c>
      <c r="G55" s="366">
        <v>12</v>
      </c>
      <c r="J55" s="377">
        <v>18</v>
      </c>
      <c r="K55" s="336">
        <f t="shared" si="3"/>
        <v>66.666666666666657</v>
      </c>
      <c r="L55" s="336">
        <f t="shared" si="4"/>
        <v>0</v>
      </c>
      <c r="M55" s="336">
        <f t="shared" si="5"/>
        <v>0</v>
      </c>
      <c r="N55" s="368">
        <f t="shared" si="2"/>
        <v>66.666666666666657</v>
      </c>
      <c r="O55" s="335">
        <v>33.700000000000003</v>
      </c>
      <c r="P55" s="336"/>
      <c r="Q55" s="336"/>
      <c r="R55" s="337">
        <f t="shared" si="1"/>
        <v>33.700000000000003</v>
      </c>
      <c r="S55" s="292">
        <v>4</v>
      </c>
      <c r="T55" s="838"/>
      <c r="U55" s="836"/>
      <c r="V55" s="299" t="s">
        <v>955</v>
      </c>
      <c r="W55" s="292" t="s">
        <v>1140</v>
      </c>
      <c r="X55" s="292" t="s">
        <v>11</v>
      </c>
      <c r="Y55" s="300">
        <v>33.700000000000003</v>
      </c>
      <c r="AD55" s="299"/>
      <c r="AG55" s="300"/>
      <c r="AL55" s="299"/>
      <c r="AO55" s="300"/>
      <c r="AP55" s="299"/>
      <c r="AS55" s="300"/>
      <c r="AW55" s="300"/>
      <c r="BA55" s="301"/>
    </row>
    <row r="56" spans="1:53" s="185" customFormat="1">
      <c r="A56" s="185">
        <v>2006</v>
      </c>
      <c r="B56" s="851">
        <v>38842</v>
      </c>
      <c r="C56" s="917" t="s">
        <v>957</v>
      </c>
      <c r="D56" s="917"/>
      <c r="E56" s="185">
        <v>70</v>
      </c>
      <c r="F56" s="185">
        <v>7</v>
      </c>
      <c r="G56" s="119">
        <v>12</v>
      </c>
      <c r="I56" s="185">
        <v>3</v>
      </c>
      <c r="J56" s="126">
        <v>21</v>
      </c>
      <c r="K56" s="92">
        <f t="shared" si="3"/>
        <v>57.142857142857139</v>
      </c>
      <c r="L56" s="92">
        <f t="shared" si="4"/>
        <v>0</v>
      </c>
      <c r="M56" s="92">
        <f t="shared" si="5"/>
        <v>14.285714285714285</v>
      </c>
      <c r="N56" s="121">
        <f t="shared" si="2"/>
        <v>71.428571428571416</v>
      </c>
      <c r="O56" s="91">
        <v>41.1</v>
      </c>
      <c r="P56" s="92"/>
      <c r="Q56" s="92">
        <v>12.2</v>
      </c>
      <c r="R56" s="93">
        <f t="shared" si="1"/>
        <v>53.3</v>
      </c>
      <c r="S56" s="185">
        <v>2</v>
      </c>
      <c r="T56" s="839"/>
      <c r="U56" s="851">
        <v>38842</v>
      </c>
      <c r="V56" s="82" t="s">
        <v>955</v>
      </c>
      <c r="W56" s="185" t="s">
        <v>1140</v>
      </c>
      <c r="X56" s="185" t="s">
        <v>11</v>
      </c>
      <c r="Y56" s="83">
        <v>33.700000000000003</v>
      </c>
      <c r="Z56" s="185" t="s">
        <v>958</v>
      </c>
      <c r="AA56" s="185" t="s">
        <v>959</v>
      </c>
      <c r="AB56" s="185" t="s">
        <v>12</v>
      </c>
      <c r="AC56" s="185">
        <v>12.2</v>
      </c>
      <c r="AD56" s="82" t="s">
        <v>960</v>
      </c>
      <c r="AE56" s="185" t="s">
        <v>329</v>
      </c>
      <c r="AF56" s="185" t="s">
        <v>11</v>
      </c>
      <c r="AG56" s="83">
        <v>7.4</v>
      </c>
      <c r="AL56" s="82"/>
      <c r="AO56" s="83"/>
      <c r="AP56" s="82"/>
      <c r="AS56" s="83"/>
      <c r="AW56" s="83"/>
      <c r="BA56" s="84"/>
    </row>
    <row r="57" spans="1:53" s="292" customFormat="1">
      <c r="A57" s="292">
        <v>2006</v>
      </c>
      <c r="B57" s="863">
        <v>38912</v>
      </c>
      <c r="C57" s="916" t="s">
        <v>1161</v>
      </c>
      <c r="D57" s="916"/>
      <c r="E57" s="292">
        <v>70</v>
      </c>
      <c r="F57" s="292">
        <v>2</v>
      </c>
      <c r="G57" s="366">
        <v>15</v>
      </c>
      <c r="I57" s="292">
        <v>3</v>
      </c>
      <c r="J57" s="377">
        <v>22</v>
      </c>
      <c r="K57" s="336">
        <f t="shared" si="3"/>
        <v>68.181818181818173</v>
      </c>
      <c r="L57" s="336">
        <f t="shared" si="4"/>
        <v>0</v>
      </c>
      <c r="M57" s="336">
        <f t="shared" si="5"/>
        <v>13.636363636363635</v>
      </c>
      <c r="N57" s="368">
        <f t="shared" si="2"/>
        <v>81.818181818181813</v>
      </c>
      <c r="O57" s="335">
        <v>41.1</v>
      </c>
      <c r="P57" s="336"/>
      <c r="Q57" s="336">
        <v>12.2</v>
      </c>
      <c r="R57" s="337">
        <f t="shared" si="1"/>
        <v>53.3</v>
      </c>
      <c r="S57" s="292">
        <v>2</v>
      </c>
      <c r="T57" s="838"/>
      <c r="U57" s="863">
        <v>38912</v>
      </c>
      <c r="V57" s="299" t="s">
        <v>955</v>
      </c>
      <c r="W57" s="292" t="s">
        <v>1140</v>
      </c>
      <c r="X57" s="292" t="s">
        <v>11</v>
      </c>
      <c r="Y57" s="300">
        <v>33.700000000000003</v>
      </c>
      <c r="Z57" s="292" t="s">
        <v>958</v>
      </c>
      <c r="AA57" s="292" t="s">
        <v>959</v>
      </c>
      <c r="AB57" s="292" t="s">
        <v>12</v>
      </c>
      <c r="AC57" s="292">
        <v>12.2</v>
      </c>
      <c r="AD57" s="299" t="s">
        <v>960</v>
      </c>
      <c r="AE57" s="292" t="s">
        <v>329</v>
      </c>
      <c r="AF57" s="292" t="s">
        <v>11</v>
      </c>
      <c r="AG57" s="300">
        <v>7.4</v>
      </c>
      <c r="AL57" s="299"/>
      <c r="AO57" s="300"/>
      <c r="AP57" s="299"/>
      <c r="AS57" s="300"/>
      <c r="AW57" s="300"/>
      <c r="BA57" s="301"/>
    </row>
    <row r="58" spans="1:53" s="292" customFormat="1">
      <c r="A58" s="292">
        <v>2006</v>
      </c>
      <c r="B58" s="881">
        <v>38982</v>
      </c>
      <c r="C58" s="916" t="s">
        <v>1161</v>
      </c>
      <c r="D58" s="916"/>
      <c r="E58" s="292">
        <v>101</v>
      </c>
      <c r="F58" s="389">
        <v>0</v>
      </c>
      <c r="G58" s="366">
        <v>14</v>
      </c>
      <c r="I58" s="292">
        <v>3</v>
      </c>
      <c r="J58" s="377">
        <v>22</v>
      </c>
      <c r="K58" s="336">
        <f t="shared" si="3"/>
        <v>63.636363636363633</v>
      </c>
      <c r="L58" s="336">
        <f t="shared" si="4"/>
        <v>0</v>
      </c>
      <c r="M58" s="336">
        <f t="shared" si="5"/>
        <v>13.636363636363635</v>
      </c>
      <c r="N58" s="368">
        <f t="shared" si="2"/>
        <v>77.272727272727266</v>
      </c>
      <c r="O58" s="335">
        <v>41.1</v>
      </c>
      <c r="P58" s="336"/>
      <c r="Q58" s="336">
        <v>12.2</v>
      </c>
      <c r="R58" s="337">
        <f t="shared" si="1"/>
        <v>53.3</v>
      </c>
      <c r="S58" s="292">
        <v>2</v>
      </c>
      <c r="T58" s="838"/>
      <c r="U58" s="836"/>
      <c r="V58" s="299" t="s">
        <v>955</v>
      </c>
      <c r="W58" s="292" t="s">
        <v>1140</v>
      </c>
      <c r="X58" s="292" t="s">
        <v>11</v>
      </c>
      <c r="Y58" s="300">
        <v>33.700000000000003</v>
      </c>
      <c r="Z58" s="292" t="s">
        <v>958</v>
      </c>
      <c r="AA58" s="292" t="s">
        <v>959</v>
      </c>
      <c r="AB58" s="292" t="s">
        <v>12</v>
      </c>
      <c r="AC58" s="292">
        <v>12.2</v>
      </c>
      <c r="AD58" s="299" t="s">
        <v>960</v>
      </c>
      <c r="AE58" s="292" t="s">
        <v>329</v>
      </c>
      <c r="AF58" s="292" t="s">
        <v>11</v>
      </c>
      <c r="AG58" s="300">
        <v>7.4</v>
      </c>
      <c r="AL58" s="299"/>
      <c r="AO58" s="300"/>
      <c r="AP58" s="299"/>
      <c r="AS58" s="300"/>
      <c r="AW58" s="300"/>
      <c r="BA58" s="301"/>
    </row>
    <row r="59" spans="1:53" s="292" customFormat="1">
      <c r="A59" s="292">
        <v>2007</v>
      </c>
      <c r="B59" s="881"/>
      <c r="C59" s="916" t="s">
        <v>1161</v>
      </c>
      <c r="D59" s="916"/>
      <c r="E59" s="292">
        <v>38</v>
      </c>
      <c r="F59" s="389"/>
      <c r="G59" s="366">
        <v>14</v>
      </c>
      <c r="I59" s="292">
        <v>3</v>
      </c>
      <c r="J59" s="377">
        <v>22</v>
      </c>
      <c r="K59" s="336">
        <f t="shared" si="3"/>
        <v>63.636363636363633</v>
      </c>
      <c r="L59" s="336">
        <f t="shared" si="4"/>
        <v>0</v>
      </c>
      <c r="M59" s="336">
        <f t="shared" si="5"/>
        <v>13.636363636363635</v>
      </c>
      <c r="N59" s="368">
        <f t="shared" si="2"/>
        <v>77.272727272727266</v>
      </c>
      <c r="O59" s="335">
        <v>41.1</v>
      </c>
      <c r="P59" s="336"/>
      <c r="Q59" s="336">
        <v>12.2</v>
      </c>
      <c r="R59" s="337">
        <f t="shared" si="1"/>
        <v>53.3</v>
      </c>
      <c r="S59" s="292">
        <v>2</v>
      </c>
      <c r="T59" s="838"/>
      <c r="U59" s="836"/>
      <c r="V59" s="299" t="s">
        <v>955</v>
      </c>
      <c r="W59" s="292" t="s">
        <v>1140</v>
      </c>
      <c r="X59" s="292" t="s">
        <v>11</v>
      </c>
      <c r="Y59" s="300">
        <v>33.700000000000003</v>
      </c>
      <c r="Z59" s="292" t="s">
        <v>958</v>
      </c>
      <c r="AA59" s="292" t="s">
        <v>959</v>
      </c>
      <c r="AB59" s="292" t="s">
        <v>12</v>
      </c>
      <c r="AC59" s="292">
        <v>12.2</v>
      </c>
      <c r="AD59" s="299" t="s">
        <v>960</v>
      </c>
      <c r="AE59" s="292" t="s">
        <v>329</v>
      </c>
      <c r="AF59" s="292" t="s">
        <v>11</v>
      </c>
      <c r="AG59" s="300">
        <v>7.4</v>
      </c>
      <c r="AL59" s="299"/>
      <c r="AO59" s="300"/>
      <c r="AP59" s="299"/>
      <c r="AS59" s="300"/>
      <c r="AW59" s="300"/>
      <c r="BA59" s="301"/>
    </row>
    <row r="60" spans="1:53" s="292" customFormat="1">
      <c r="A60" s="292">
        <v>2007</v>
      </c>
      <c r="B60" s="881">
        <v>39121</v>
      </c>
      <c r="C60" s="916" t="s">
        <v>1161</v>
      </c>
      <c r="D60" s="916"/>
      <c r="E60" s="292">
        <v>47</v>
      </c>
      <c r="F60" s="389">
        <v>0</v>
      </c>
      <c r="G60" s="366">
        <v>14</v>
      </c>
      <c r="I60" s="292">
        <v>3</v>
      </c>
      <c r="J60" s="377">
        <v>23</v>
      </c>
      <c r="K60" s="336">
        <f>G60/J60*100</f>
        <v>60.869565217391312</v>
      </c>
      <c r="L60" s="336">
        <f>H60/J60*100</f>
        <v>0</v>
      </c>
      <c r="M60" s="336">
        <f>I60/J60*100</f>
        <v>13.043478260869565</v>
      </c>
      <c r="N60" s="368">
        <f>SUM(K60:M60)</f>
        <v>73.913043478260875</v>
      </c>
      <c r="O60" s="335">
        <v>41.1</v>
      </c>
      <c r="P60" s="336"/>
      <c r="Q60" s="336">
        <v>12.2</v>
      </c>
      <c r="R60" s="337">
        <f>SUM(O60:Q60)</f>
        <v>53.3</v>
      </c>
      <c r="S60" s="292">
        <v>2</v>
      </c>
      <c r="T60" s="838"/>
      <c r="U60" s="836"/>
      <c r="V60" s="299" t="s">
        <v>955</v>
      </c>
      <c r="W60" s="292" t="s">
        <v>1140</v>
      </c>
      <c r="X60" s="292" t="s">
        <v>11</v>
      </c>
      <c r="Y60" s="300">
        <v>33.700000000000003</v>
      </c>
      <c r="Z60" s="292" t="s">
        <v>958</v>
      </c>
      <c r="AA60" s="292" t="s">
        <v>959</v>
      </c>
      <c r="AB60" s="292" t="s">
        <v>12</v>
      </c>
      <c r="AC60" s="292">
        <v>12.2</v>
      </c>
      <c r="AD60" s="299" t="s">
        <v>960</v>
      </c>
      <c r="AE60" s="292" t="s">
        <v>329</v>
      </c>
      <c r="AF60" s="292" t="s">
        <v>11</v>
      </c>
      <c r="AG60" s="300">
        <v>7.4</v>
      </c>
      <c r="AL60" s="299"/>
      <c r="AO60" s="300"/>
      <c r="AP60" s="299"/>
      <c r="AS60" s="300"/>
      <c r="AW60" s="300"/>
      <c r="BA60" s="301"/>
    </row>
    <row r="61" spans="1:53" s="292" customFormat="1">
      <c r="A61" s="292">
        <v>2007</v>
      </c>
      <c r="B61" s="881">
        <v>39168</v>
      </c>
      <c r="C61" s="916" t="s">
        <v>1161</v>
      </c>
      <c r="D61" s="916"/>
      <c r="E61" s="292">
        <v>17</v>
      </c>
      <c r="F61" s="389">
        <v>0</v>
      </c>
      <c r="G61" s="366">
        <v>15</v>
      </c>
      <c r="I61" s="292">
        <v>3</v>
      </c>
      <c r="J61" s="377">
        <v>24</v>
      </c>
      <c r="K61" s="336">
        <f t="shared" si="3"/>
        <v>62.5</v>
      </c>
      <c r="L61" s="336">
        <f t="shared" si="4"/>
        <v>0</v>
      </c>
      <c r="M61" s="336">
        <f t="shared" si="5"/>
        <v>12.5</v>
      </c>
      <c r="N61" s="368">
        <f t="shared" si="2"/>
        <v>75</v>
      </c>
      <c r="O61" s="335">
        <v>41.1</v>
      </c>
      <c r="P61" s="336"/>
      <c r="Q61" s="336">
        <v>12.2</v>
      </c>
      <c r="R61" s="337">
        <f t="shared" si="1"/>
        <v>53.3</v>
      </c>
      <c r="S61" s="292">
        <v>2</v>
      </c>
      <c r="T61" s="838"/>
      <c r="U61" s="836"/>
      <c r="V61" s="299" t="s">
        <v>955</v>
      </c>
      <c r="W61" s="292" t="s">
        <v>1140</v>
      </c>
      <c r="X61" s="292" t="s">
        <v>11</v>
      </c>
      <c r="Y61" s="300">
        <v>33.700000000000003</v>
      </c>
      <c r="Z61" s="292" t="s">
        <v>958</v>
      </c>
      <c r="AA61" s="292" t="s">
        <v>959</v>
      </c>
      <c r="AB61" s="292" t="s">
        <v>12</v>
      </c>
      <c r="AC61" s="292">
        <v>12.2</v>
      </c>
      <c r="AD61" s="299" t="s">
        <v>960</v>
      </c>
      <c r="AE61" s="292" t="s">
        <v>329</v>
      </c>
      <c r="AF61" s="292" t="s">
        <v>11</v>
      </c>
      <c r="AG61" s="300">
        <v>7.4</v>
      </c>
      <c r="AL61" s="299"/>
      <c r="AO61" s="300"/>
      <c r="AP61" s="299"/>
      <c r="AS61" s="300"/>
      <c r="AW61" s="300"/>
      <c r="BA61" s="301"/>
    </row>
    <row r="62" spans="1:53" s="292" customFormat="1">
      <c r="A62" s="292">
        <v>2007</v>
      </c>
      <c r="B62" s="881">
        <v>39185</v>
      </c>
      <c r="C62" s="916" t="s">
        <v>1161</v>
      </c>
      <c r="D62" s="916"/>
      <c r="E62" s="292">
        <v>87</v>
      </c>
      <c r="F62" s="389">
        <v>0</v>
      </c>
      <c r="G62" s="366">
        <v>14</v>
      </c>
      <c r="I62" s="292">
        <v>3</v>
      </c>
      <c r="J62" s="377">
        <v>23</v>
      </c>
      <c r="K62" s="336">
        <f t="shared" si="3"/>
        <v>60.869565217391312</v>
      </c>
      <c r="L62" s="336">
        <f t="shared" si="4"/>
        <v>0</v>
      </c>
      <c r="M62" s="336">
        <f t="shared" si="5"/>
        <v>13.043478260869565</v>
      </c>
      <c r="N62" s="368">
        <f t="shared" si="2"/>
        <v>73.913043478260875</v>
      </c>
      <c r="O62" s="335">
        <v>41.1</v>
      </c>
      <c r="P62" s="336"/>
      <c r="Q62" s="336">
        <v>12.2</v>
      </c>
      <c r="R62" s="337">
        <f t="shared" si="1"/>
        <v>53.3</v>
      </c>
      <c r="S62" s="292">
        <v>2</v>
      </c>
      <c r="T62" s="838"/>
      <c r="U62" s="836"/>
      <c r="V62" s="299" t="s">
        <v>955</v>
      </c>
      <c r="W62" s="292" t="s">
        <v>1140</v>
      </c>
      <c r="X62" s="292" t="s">
        <v>11</v>
      </c>
      <c r="Y62" s="300">
        <v>33.700000000000003</v>
      </c>
      <c r="Z62" s="292" t="s">
        <v>958</v>
      </c>
      <c r="AA62" s="292" t="s">
        <v>959</v>
      </c>
      <c r="AB62" s="292" t="s">
        <v>12</v>
      </c>
      <c r="AC62" s="292">
        <v>12.2</v>
      </c>
      <c r="AD62" s="299" t="s">
        <v>960</v>
      </c>
      <c r="AE62" s="292" t="s">
        <v>329</v>
      </c>
      <c r="AF62" s="292" t="s">
        <v>11</v>
      </c>
      <c r="AG62" s="300">
        <v>7.4</v>
      </c>
      <c r="AL62" s="299"/>
      <c r="AO62" s="300"/>
      <c r="AP62" s="299"/>
      <c r="AS62" s="300"/>
      <c r="AW62" s="300"/>
      <c r="BA62" s="301"/>
    </row>
    <row r="63" spans="1:53" s="292" customFormat="1">
      <c r="A63" s="292">
        <v>2007</v>
      </c>
      <c r="B63" s="881">
        <v>39272</v>
      </c>
      <c r="C63" s="916" t="s">
        <v>1161</v>
      </c>
      <c r="D63" s="916"/>
      <c r="E63" s="292">
        <v>14</v>
      </c>
      <c r="F63" s="389">
        <v>0</v>
      </c>
      <c r="G63" s="366">
        <v>14</v>
      </c>
      <c r="I63" s="292">
        <v>2</v>
      </c>
      <c r="J63" s="377">
        <v>21</v>
      </c>
      <c r="K63" s="336">
        <f t="shared" si="3"/>
        <v>66.666666666666657</v>
      </c>
      <c r="L63" s="336">
        <f t="shared" si="4"/>
        <v>0</v>
      </c>
      <c r="M63" s="336">
        <f t="shared" si="5"/>
        <v>9.5238095238095237</v>
      </c>
      <c r="N63" s="368">
        <f t="shared" si="2"/>
        <v>76.190476190476176</v>
      </c>
      <c r="O63" s="335">
        <v>41.1</v>
      </c>
      <c r="P63" s="336"/>
      <c r="Q63" s="336">
        <v>12.2</v>
      </c>
      <c r="R63" s="337">
        <f t="shared" si="1"/>
        <v>53.3</v>
      </c>
      <c r="S63" s="292">
        <v>2</v>
      </c>
      <c r="T63" s="838"/>
      <c r="U63" s="836"/>
      <c r="V63" s="299" t="s">
        <v>955</v>
      </c>
      <c r="W63" s="292" t="s">
        <v>1140</v>
      </c>
      <c r="X63" s="292" t="s">
        <v>11</v>
      </c>
      <c r="Y63" s="300">
        <v>33.700000000000003</v>
      </c>
      <c r="Z63" s="292" t="s">
        <v>958</v>
      </c>
      <c r="AA63" s="292" t="s">
        <v>959</v>
      </c>
      <c r="AB63" s="292" t="s">
        <v>12</v>
      </c>
      <c r="AC63" s="292">
        <v>12.2</v>
      </c>
      <c r="AD63" s="299" t="s">
        <v>960</v>
      </c>
      <c r="AE63" s="292" t="s">
        <v>329</v>
      </c>
      <c r="AF63" s="292" t="s">
        <v>11</v>
      </c>
      <c r="AG63" s="300">
        <v>7.4</v>
      </c>
      <c r="AL63" s="299"/>
      <c r="AO63" s="300"/>
      <c r="AP63" s="299"/>
      <c r="AS63" s="300"/>
      <c r="AW63" s="300"/>
      <c r="BA63" s="301"/>
    </row>
    <row r="64" spans="1:53" s="292" customFormat="1">
      <c r="A64" s="292">
        <v>2007</v>
      </c>
      <c r="B64" s="881">
        <v>39286</v>
      </c>
      <c r="C64" s="916" t="s">
        <v>1161</v>
      </c>
      <c r="D64" s="916"/>
      <c r="E64" s="292">
        <v>8</v>
      </c>
      <c r="F64" s="389">
        <v>0</v>
      </c>
      <c r="G64" s="366">
        <v>15</v>
      </c>
      <c r="I64" s="292">
        <v>2</v>
      </c>
      <c r="J64" s="377">
        <v>22</v>
      </c>
      <c r="K64" s="336">
        <f t="shared" si="3"/>
        <v>68.181818181818173</v>
      </c>
      <c r="L64" s="336">
        <f t="shared" si="4"/>
        <v>0</v>
      </c>
      <c r="M64" s="336">
        <f t="shared" si="5"/>
        <v>9.0909090909090917</v>
      </c>
      <c r="N64" s="368">
        <f t="shared" si="2"/>
        <v>77.272727272727266</v>
      </c>
      <c r="O64" s="335">
        <v>41.1</v>
      </c>
      <c r="P64" s="336"/>
      <c r="Q64" s="336">
        <v>12.2</v>
      </c>
      <c r="R64" s="337">
        <f t="shared" si="1"/>
        <v>53.3</v>
      </c>
      <c r="S64" s="292">
        <v>2</v>
      </c>
      <c r="T64" s="838"/>
      <c r="U64" s="836"/>
      <c r="V64" s="299" t="s">
        <v>955</v>
      </c>
      <c r="W64" s="292" t="s">
        <v>1140</v>
      </c>
      <c r="X64" s="292" t="s">
        <v>11</v>
      </c>
      <c r="Y64" s="300">
        <v>33.700000000000003</v>
      </c>
      <c r="Z64" s="292" t="s">
        <v>958</v>
      </c>
      <c r="AA64" s="292" t="s">
        <v>959</v>
      </c>
      <c r="AB64" s="292" t="s">
        <v>12</v>
      </c>
      <c r="AC64" s="292">
        <v>12.2</v>
      </c>
      <c r="AD64" s="299" t="s">
        <v>960</v>
      </c>
      <c r="AE64" s="292" t="s">
        <v>329</v>
      </c>
      <c r="AF64" s="292" t="s">
        <v>11</v>
      </c>
      <c r="AG64" s="300">
        <v>7.4</v>
      </c>
      <c r="AL64" s="299"/>
      <c r="AO64" s="300"/>
      <c r="AP64" s="299"/>
      <c r="AS64" s="300"/>
      <c r="AW64" s="300"/>
      <c r="BA64" s="301"/>
    </row>
    <row r="65" spans="1:53" s="292" customFormat="1">
      <c r="A65" s="292">
        <v>2007</v>
      </c>
      <c r="B65" s="881">
        <v>39294</v>
      </c>
      <c r="C65" s="916" t="s">
        <v>1161</v>
      </c>
      <c r="D65" s="916"/>
      <c r="E65" s="292">
        <v>13</v>
      </c>
      <c r="F65" s="389">
        <v>0</v>
      </c>
      <c r="G65" s="366">
        <v>16</v>
      </c>
      <c r="I65" s="292">
        <v>2</v>
      </c>
      <c r="J65" s="377">
        <v>23</v>
      </c>
      <c r="K65" s="336">
        <f t="shared" si="3"/>
        <v>69.565217391304344</v>
      </c>
      <c r="L65" s="336">
        <f t="shared" si="4"/>
        <v>0</v>
      </c>
      <c r="M65" s="336">
        <f t="shared" si="5"/>
        <v>8.695652173913043</v>
      </c>
      <c r="N65" s="368">
        <f t="shared" si="2"/>
        <v>78.260869565217391</v>
      </c>
      <c r="O65" s="335">
        <v>41.1</v>
      </c>
      <c r="P65" s="336"/>
      <c r="Q65" s="336">
        <v>12.2</v>
      </c>
      <c r="R65" s="337">
        <f t="shared" si="1"/>
        <v>53.3</v>
      </c>
      <c r="S65" s="292">
        <v>2</v>
      </c>
      <c r="T65" s="838"/>
      <c r="U65" s="836"/>
      <c r="V65" s="299" t="s">
        <v>955</v>
      </c>
      <c r="W65" s="292" t="s">
        <v>1140</v>
      </c>
      <c r="X65" s="292" t="s">
        <v>11</v>
      </c>
      <c r="Y65" s="300">
        <v>33.700000000000003</v>
      </c>
      <c r="Z65" s="292" t="s">
        <v>958</v>
      </c>
      <c r="AA65" s="292" t="s">
        <v>959</v>
      </c>
      <c r="AB65" s="292" t="s">
        <v>12</v>
      </c>
      <c r="AC65" s="292">
        <v>12.2</v>
      </c>
      <c r="AD65" s="299" t="s">
        <v>960</v>
      </c>
      <c r="AE65" s="292" t="s">
        <v>329</v>
      </c>
      <c r="AF65" s="292" t="s">
        <v>11</v>
      </c>
      <c r="AG65" s="300">
        <v>7.4</v>
      </c>
      <c r="AL65" s="299"/>
      <c r="AO65" s="300"/>
      <c r="AP65" s="299"/>
      <c r="AS65" s="300"/>
      <c r="AW65" s="300"/>
      <c r="BA65" s="301"/>
    </row>
    <row r="66" spans="1:53" s="185" customFormat="1">
      <c r="A66" s="185">
        <v>2007</v>
      </c>
      <c r="B66" s="830">
        <v>39307</v>
      </c>
      <c r="C66" s="917" t="s">
        <v>1162</v>
      </c>
      <c r="D66" s="917"/>
      <c r="E66" s="185">
        <v>103</v>
      </c>
      <c r="F66" s="185">
        <v>4</v>
      </c>
      <c r="G66" s="119">
        <v>15</v>
      </c>
      <c r="J66" s="126">
        <v>23</v>
      </c>
      <c r="K66" s="92">
        <f t="shared" si="3"/>
        <v>65.217391304347828</v>
      </c>
      <c r="L66" s="92">
        <f t="shared" si="4"/>
        <v>0</v>
      </c>
      <c r="M66" s="92">
        <f t="shared" si="5"/>
        <v>0</v>
      </c>
      <c r="N66" s="121">
        <f t="shared" si="2"/>
        <v>65.217391304347828</v>
      </c>
      <c r="O66" s="91">
        <v>33.700000000000003</v>
      </c>
      <c r="P66" s="92"/>
      <c r="Q66" s="92"/>
      <c r="R66" s="93">
        <f t="shared" si="1"/>
        <v>33.700000000000003</v>
      </c>
      <c r="S66" s="185">
        <v>4</v>
      </c>
      <c r="T66" s="839"/>
      <c r="U66" s="830">
        <v>39307</v>
      </c>
      <c r="V66" s="82" t="s">
        <v>955</v>
      </c>
      <c r="W66" s="185" t="s">
        <v>1140</v>
      </c>
      <c r="X66" s="185" t="s">
        <v>11</v>
      </c>
      <c r="Y66" s="83">
        <v>33.700000000000003</v>
      </c>
      <c r="Z66" s="82"/>
      <c r="AC66" s="83"/>
      <c r="AG66" s="83"/>
      <c r="AL66" s="82"/>
      <c r="AO66" s="83"/>
      <c r="AP66" s="82"/>
      <c r="AS66" s="83"/>
      <c r="AW66" s="83"/>
      <c r="BA66" s="84"/>
    </row>
    <row r="67" spans="1:53" s="292" customFormat="1">
      <c r="A67" s="292">
        <v>2007</v>
      </c>
      <c r="B67" s="863">
        <v>39410</v>
      </c>
      <c r="C67" s="916" t="s">
        <v>961</v>
      </c>
      <c r="D67" s="916"/>
      <c r="E67" s="292">
        <v>38</v>
      </c>
      <c r="F67" s="292">
        <v>1</v>
      </c>
      <c r="G67" s="366">
        <v>10</v>
      </c>
      <c r="I67" s="292">
        <v>3</v>
      </c>
      <c r="J67" s="377">
        <v>19</v>
      </c>
      <c r="K67" s="336">
        <f t="shared" si="3"/>
        <v>52.631578947368418</v>
      </c>
      <c r="L67" s="336">
        <f t="shared" si="4"/>
        <v>0</v>
      </c>
      <c r="M67" s="336">
        <f t="shared" si="5"/>
        <v>15.789473684210526</v>
      </c>
      <c r="N67" s="368">
        <f t="shared" si="2"/>
        <v>68.421052631578945</v>
      </c>
      <c r="O67" s="335">
        <v>45.4</v>
      </c>
      <c r="P67" s="336"/>
      <c r="Q67" s="336">
        <v>6.7</v>
      </c>
      <c r="R67" s="337">
        <f t="shared" si="1"/>
        <v>52.1</v>
      </c>
      <c r="S67" s="292">
        <v>2</v>
      </c>
      <c r="T67" s="838">
        <v>39376</v>
      </c>
      <c r="U67" s="863">
        <v>39410</v>
      </c>
      <c r="V67" s="299" t="s">
        <v>962</v>
      </c>
      <c r="W67" s="292" t="s">
        <v>309</v>
      </c>
      <c r="X67" s="292" t="s">
        <v>11</v>
      </c>
      <c r="Y67" s="300">
        <v>45.4</v>
      </c>
      <c r="Z67" s="299" t="s">
        <v>942</v>
      </c>
      <c r="AA67" s="292" t="s">
        <v>872</v>
      </c>
      <c r="AB67" s="292" t="s">
        <v>12</v>
      </c>
      <c r="AC67" s="292">
        <v>6.7</v>
      </c>
      <c r="AD67" s="299"/>
      <c r="AG67" s="300"/>
      <c r="AL67" s="299"/>
      <c r="AO67" s="300"/>
      <c r="AP67" s="299"/>
      <c r="AS67" s="300"/>
      <c r="AW67" s="300"/>
      <c r="BA67" s="301"/>
    </row>
    <row r="68" spans="1:53" s="292" customFormat="1">
      <c r="A68" s="292">
        <v>2008</v>
      </c>
      <c r="B68" s="863"/>
      <c r="C68" s="916" t="s">
        <v>961</v>
      </c>
      <c r="D68" s="916"/>
      <c r="E68" s="292">
        <v>0</v>
      </c>
      <c r="G68" s="366">
        <v>10</v>
      </c>
      <c r="I68" s="292">
        <v>3</v>
      </c>
      <c r="J68" s="377">
        <v>19</v>
      </c>
      <c r="K68" s="336">
        <f t="shared" si="3"/>
        <v>52.631578947368418</v>
      </c>
      <c r="L68" s="336">
        <f t="shared" si="4"/>
        <v>0</v>
      </c>
      <c r="M68" s="336">
        <f t="shared" si="5"/>
        <v>15.789473684210526</v>
      </c>
      <c r="N68" s="368">
        <f t="shared" si="2"/>
        <v>68.421052631578945</v>
      </c>
      <c r="O68" s="335">
        <v>45.4</v>
      </c>
      <c r="P68" s="336"/>
      <c r="Q68" s="336">
        <v>6.7</v>
      </c>
      <c r="R68" s="337">
        <f t="shared" si="1"/>
        <v>52.1</v>
      </c>
      <c r="S68" s="292">
        <v>2</v>
      </c>
      <c r="T68" s="838"/>
      <c r="U68" s="836"/>
      <c r="V68" s="299" t="s">
        <v>962</v>
      </c>
      <c r="W68" s="292" t="s">
        <v>309</v>
      </c>
      <c r="X68" s="292" t="s">
        <v>11</v>
      </c>
      <c r="Y68" s="300">
        <v>45.4</v>
      </c>
      <c r="Z68" s="299" t="s">
        <v>942</v>
      </c>
      <c r="AA68" s="292" t="s">
        <v>872</v>
      </c>
      <c r="AB68" s="292" t="s">
        <v>12</v>
      </c>
      <c r="AC68" s="292">
        <v>6.7</v>
      </c>
      <c r="AD68" s="299"/>
      <c r="AG68" s="300"/>
      <c r="AL68" s="299"/>
      <c r="AO68" s="300"/>
      <c r="AP68" s="299"/>
      <c r="AS68" s="300"/>
      <c r="AW68" s="300"/>
      <c r="BA68" s="301"/>
    </row>
    <row r="69" spans="1:53" s="292" customFormat="1">
      <c r="A69" s="292">
        <v>2008</v>
      </c>
      <c r="B69" s="863"/>
      <c r="C69" s="916" t="s">
        <v>961</v>
      </c>
      <c r="D69" s="916"/>
      <c r="E69" s="292">
        <v>366</v>
      </c>
      <c r="G69" s="366">
        <v>10</v>
      </c>
      <c r="I69" s="292">
        <v>3</v>
      </c>
      <c r="J69" s="377">
        <v>19</v>
      </c>
      <c r="K69" s="336">
        <f t="shared" si="3"/>
        <v>52.631578947368418</v>
      </c>
      <c r="L69" s="336">
        <f t="shared" si="4"/>
        <v>0</v>
      </c>
      <c r="M69" s="336">
        <f t="shared" si="5"/>
        <v>15.789473684210526</v>
      </c>
      <c r="N69" s="368">
        <f t="shared" si="2"/>
        <v>68.421052631578945</v>
      </c>
      <c r="O69" s="335">
        <v>45.4</v>
      </c>
      <c r="P69" s="336"/>
      <c r="Q69" s="336">
        <v>6.7</v>
      </c>
      <c r="R69" s="337">
        <f t="shared" si="1"/>
        <v>52.1</v>
      </c>
      <c r="S69" s="292">
        <v>2</v>
      </c>
      <c r="T69" s="838"/>
      <c r="U69" s="836"/>
      <c r="V69" s="299" t="s">
        <v>962</v>
      </c>
      <c r="W69" s="292" t="s">
        <v>309</v>
      </c>
      <c r="X69" s="292" t="s">
        <v>11</v>
      </c>
      <c r="Y69" s="300">
        <v>45.4</v>
      </c>
      <c r="Z69" s="299" t="s">
        <v>942</v>
      </c>
      <c r="AA69" s="292" t="s">
        <v>872</v>
      </c>
      <c r="AB69" s="292" t="s">
        <v>12</v>
      </c>
      <c r="AC69" s="292">
        <v>6.7</v>
      </c>
      <c r="AD69" s="299"/>
      <c r="AG69" s="300"/>
      <c r="AL69" s="299"/>
      <c r="AO69" s="300"/>
      <c r="AP69" s="299"/>
      <c r="AS69" s="300"/>
      <c r="AW69" s="300"/>
      <c r="BA69" s="301"/>
    </row>
    <row r="70" spans="1:53" s="292" customFormat="1">
      <c r="A70" s="292">
        <v>2009</v>
      </c>
      <c r="B70" s="863"/>
      <c r="C70" s="916" t="s">
        <v>961</v>
      </c>
      <c r="D70" s="916"/>
      <c r="E70" s="292">
        <v>14</v>
      </c>
      <c r="G70" s="366">
        <v>10</v>
      </c>
      <c r="I70" s="292">
        <v>3</v>
      </c>
      <c r="J70" s="377">
        <v>19</v>
      </c>
      <c r="K70" s="336">
        <f t="shared" si="3"/>
        <v>52.631578947368418</v>
      </c>
      <c r="L70" s="336">
        <f t="shared" si="4"/>
        <v>0</v>
      </c>
      <c r="M70" s="336">
        <f t="shared" si="5"/>
        <v>15.789473684210526</v>
      </c>
      <c r="N70" s="368">
        <f t="shared" si="2"/>
        <v>68.421052631578945</v>
      </c>
      <c r="O70" s="335">
        <v>45.4</v>
      </c>
      <c r="P70" s="336"/>
      <c r="Q70" s="336">
        <v>6.7</v>
      </c>
      <c r="R70" s="337">
        <f t="shared" si="1"/>
        <v>52.1</v>
      </c>
      <c r="S70" s="292">
        <v>2</v>
      </c>
      <c r="T70" s="838"/>
      <c r="U70" s="836"/>
      <c r="V70" s="299" t="s">
        <v>962</v>
      </c>
      <c r="W70" s="292" t="s">
        <v>309</v>
      </c>
      <c r="X70" s="292" t="s">
        <v>11</v>
      </c>
      <c r="Y70" s="300">
        <v>45.4</v>
      </c>
      <c r="Z70" s="299" t="s">
        <v>942</v>
      </c>
      <c r="AA70" s="292" t="s">
        <v>872</v>
      </c>
      <c r="AB70" s="292" t="s">
        <v>12</v>
      </c>
      <c r="AC70" s="292">
        <v>6.7</v>
      </c>
      <c r="AD70" s="299"/>
      <c r="AG70" s="300"/>
      <c r="AL70" s="299"/>
      <c r="AO70" s="300"/>
      <c r="AP70" s="299"/>
      <c r="AS70" s="300"/>
      <c r="AW70" s="300"/>
      <c r="BA70" s="301"/>
    </row>
    <row r="71" spans="1:53" s="292" customFormat="1">
      <c r="A71" s="292">
        <v>2009</v>
      </c>
      <c r="B71" s="881">
        <v>39828</v>
      </c>
      <c r="C71" s="916" t="s">
        <v>961</v>
      </c>
      <c r="D71" s="916"/>
      <c r="E71" s="292">
        <v>8</v>
      </c>
      <c r="F71" s="389">
        <v>0</v>
      </c>
      <c r="G71" s="366">
        <v>11</v>
      </c>
      <c r="I71" s="292">
        <v>3</v>
      </c>
      <c r="J71" s="377">
        <v>19</v>
      </c>
      <c r="K71" s="336">
        <f t="shared" si="3"/>
        <v>57.894736842105267</v>
      </c>
      <c r="L71" s="336">
        <f t="shared" si="4"/>
        <v>0</v>
      </c>
      <c r="M71" s="336">
        <f t="shared" si="5"/>
        <v>15.789473684210526</v>
      </c>
      <c r="N71" s="368">
        <f t="shared" si="2"/>
        <v>73.684210526315795</v>
      </c>
      <c r="O71" s="335">
        <v>45.4</v>
      </c>
      <c r="P71" s="336"/>
      <c r="Q71" s="336">
        <v>6.7</v>
      </c>
      <c r="R71" s="337">
        <f t="shared" si="1"/>
        <v>52.1</v>
      </c>
      <c r="S71" s="292">
        <v>2</v>
      </c>
      <c r="T71" s="838"/>
      <c r="U71" s="836"/>
      <c r="V71" s="299" t="s">
        <v>962</v>
      </c>
      <c r="W71" s="292" t="s">
        <v>309</v>
      </c>
      <c r="X71" s="292" t="s">
        <v>11</v>
      </c>
      <c r="Y71" s="300">
        <v>45.4</v>
      </c>
      <c r="Z71" s="299" t="s">
        <v>942</v>
      </c>
      <c r="AA71" s="292" t="s">
        <v>872</v>
      </c>
      <c r="AB71" s="292" t="s">
        <v>12</v>
      </c>
      <c r="AC71" s="292">
        <v>6.7</v>
      </c>
      <c r="AD71" s="299"/>
      <c r="AG71" s="300"/>
      <c r="AL71" s="299"/>
      <c r="AO71" s="300"/>
      <c r="AP71" s="299"/>
      <c r="AS71" s="300"/>
      <c r="AW71" s="300"/>
      <c r="BA71" s="301"/>
    </row>
    <row r="72" spans="1:53" s="292" customFormat="1">
      <c r="A72" s="292">
        <v>2009</v>
      </c>
      <c r="B72" s="881">
        <v>39836</v>
      </c>
      <c r="C72" s="916" t="s">
        <v>961</v>
      </c>
      <c r="D72" s="916"/>
      <c r="E72" s="292">
        <v>264</v>
      </c>
      <c r="F72" s="389">
        <v>0</v>
      </c>
      <c r="G72" s="366">
        <v>12</v>
      </c>
      <c r="I72" s="292">
        <v>3</v>
      </c>
      <c r="J72" s="377">
        <v>19</v>
      </c>
      <c r="K72" s="336">
        <f t="shared" si="3"/>
        <v>63.157894736842103</v>
      </c>
      <c r="L72" s="336">
        <f t="shared" si="4"/>
        <v>0</v>
      </c>
      <c r="M72" s="336">
        <f t="shared" si="5"/>
        <v>15.789473684210526</v>
      </c>
      <c r="N72" s="368">
        <f t="shared" si="2"/>
        <v>78.94736842105263</v>
      </c>
      <c r="O72" s="335">
        <v>45.4</v>
      </c>
      <c r="P72" s="336"/>
      <c r="Q72" s="336">
        <v>6.7</v>
      </c>
      <c r="R72" s="337">
        <f t="shared" si="1"/>
        <v>52.1</v>
      </c>
      <c r="S72" s="292">
        <v>2</v>
      </c>
      <c r="T72" s="838"/>
      <c r="U72" s="836"/>
      <c r="V72" s="299" t="s">
        <v>962</v>
      </c>
      <c r="W72" s="292" t="s">
        <v>309</v>
      </c>
      <c r="X72" s="292" t="s">
        <v>11</v>
      </c>
      <c r="Y72" s="300">
        <v>45.4</v>
      </c>
      <c r="Z72" s="299" t="s">
        <v>942</v>
      </c>
      <c r="AA72" s="292" t="s">
        <v>872</v>
      </c>
      <c r="AB72" s="292" t="s">
        <v>12</v>
      </c>
      <c r="AC72" s="292">
        <v>6.7</v>
      </c>
      <c r="AD72" s="299"/>
      <c r="AG72" s="300"/>
      <c r="AL72" s="299"/>
      <c r="AO72" s="300"/>
      <c r="AP72" s="299"/>
      <c r="AS72" s="300"/>
      <c r="AW72" s="300"/>
      <c r="BA72" s="301"/>
    </row>
    <row r="73" spans="1:53" s="292" customFormat="1">
      <c r="A73" s="292">
        <v>2009</v>
      </c>
      <c r="B73" s="881">
        <v>40100</v>
      </c>
      <c r="C73" s="916" t="s">
        <v>961</v>
      </c>
      <c r="D73" s="916"/>
      <c r="E73" s="292">
        <v>79</v>
      </c>
      <c r="F73" s="389">
        <v>0</v>
      </c>
      <c r="G73" s="366">
        <v>10</v>
      </c>
      <c r="I73" s="292">
        <v>3</v>
      </c>
      <c r="J73" s="377">
        <v>19</v>
      </c>
      <c r="K73" s="336">
        <f t="shared" si="3"/>
        <v>52.631578947368418</v>
      </c>
      <c r="L73" s="336">
        <f t="shared" si="4"/>
        <v>0</v>
      </c>
      <c r="M73" s="336">
        <f t="shared" si="5"/>
        <v>15.789473684210526</v>
      </c>
      <c r="N73" s="368">
        <f t="shared" si="2"/>
        <v>68.421052631578945</v>
      </c>
      <c r="O73" s="335">
        <v>45.4</v>
      </c>
      <c r="P73" s="336"/>
      <c r="Q73" s="336">
        <v>6.7</v>
      </c>
      <c r="R73" s="337">
        <f t="shared" si="1"/>
        <v>52.1</v>
      </c>
      <c r="S73" s="292">
        <v>2</v>
      </c>
      <c r="T73" s="838"/>
      <c r="U73" s="836"/>
      <c r="V73" s="299" t="s">
        <v>962</v>
      </c>
      <c r="W73" s="292" t="s">
        <v>309</v>
      </c>
      <c r="X73" s="292" t="s">
        <v>11</v>
      </c>
      <c r="Y73" s="300">
        <v>45.4</v>
      </c>
      <c r="Z73" s="299" t="s">
        <v>942</v>
      </c>
      <c r="AA73" s="292" t="s">
        <v>872</v>
      </c>
      <c r="AB73" s="292" t="s">
        <v>12</v>
      </c>
      <c r="AC73" s="292">
        <v>6.7</v>
      </c>
      <c r="AD73" s="299"/>
      <c r="AG73" s="300"/>
      <c r="AL73" s="299"/>
      <c r="AO73" s="300"/>
      <c r="AP73" s="299"/>
      <c r="AS73" s="300"/>
      <c r="AW73" s="300"/>
      <c r="BA73" s="301"/>
    </row>
    <row r="74" spans="1:53" s="292" customFormat="1">
      <c r="A74" s="292">
        <v>2010</v>
      </c>
      <c r="B74" s="863"/>
      <c r="C74" s="916" t="s">
        <v>961</v>
      </c>
      <c r="D74" s="916"/>
      <c r="E74" s="292">
        <v>0</v>
      </c>
      <c r="G74" s="366">
        <v>10</v>
      </c>
      <c r="I74" s="292">
        <v>3</v>
      </c>
      <c r="J74" s="377">
        <v>19</v>
      </c>
      <c r="K74" s="336">
        <f t="shared" si="3"/>
        <v>52.631578947368418</v>
      </c>
      <c r="L74" s="336">
        <f t="shared" si="4"/>
        <v>0</v>
      </c>
      <c r="M74" s="336">
        <f t="shared" si="5"/>
        <v>15.789473684210526</v>
      </c>
      <c r="N74" s="368">
        <f t="shared" si="2"/>
        <v>68.421052631578945</v>
      </c>
      <c r="O74" s="335">
        <v>45.4</v>
      </c>
      <c r="P74" s="336"/>
      <c r="Q74" s="336">
        <v>6.7</v>
      </c>
      <c r="R74" s="337">
        <f t="shared" si="1"/>
        <v>52.1</v>
      </c>
      <c r="S74" s="292">
        <v>2</v>
      </c>
      <c r="T74" s="838"/>
      <c r="U74" s="836"/>
      <c r="V74" s="299" t="s">
        <v>962</v>
      </c>
      <c r="W74" s="292" t="s">
        <v>309</v>
      </c>
      <c r="X74" s="292" t="s">
        <v>11</v>
      </c>
      <c r="Y74" s="300">
        <v>45.4</v>
      </c>
      <c r="Z74" s="299" t="s">
        <v>942</v>
      </c>
      <c r="AA74" s="292" t="s">
        <v>872</v>
      </c>
      <c r="AB74" s="292" t="s">
        <v>12</v>
      </c>
      <c r="AC74" s="292">
        <v>6.7</v>
      </c>
      <c r="AD74" s="299"/>
      <c r="AG74" s="300"/>
      <c r="AL74" s="299"/>
      <c r="AO74" s="300"/>
      <c r="AP74" s="299"/>
      <c r="AS74" s="300"/>
      <c r="AW74" s="300"/>
      <c r="BA74" s="301"/>
    </row>
    <row r="75" spans="1:53" s="292" customFormat="1">
      <c r="A75" s="292">
        <v>2010</v>
      </c>
      <c r="B75" s="863"/>
      <c r="C75" s="916" t="s">
        <v>961</v>
      </c>
      <c r="D75" s="916"/>
      <c r="E75" s="292">
        <v>365</v>
      </c>
      <c r="G75" s="366">
        <v>10</v>
      </c>
      <c r="I75" s="292">
        <v>3</v>
      </c>
      <c r="J75" s="377">
        <v>19</v>
      </c>
      <c r="K75" s="336">
        <f t="shared" si="3"/>
        <v>52.631578947368418</v>
      </c>
      <c r="L75" s="336">
        <f t="shared" si="4"/>
        <v>0</v>
      </c>
      <c r="M75" s="336">
        <f t="shared" si="5"/>
        <v>15.789473684210526</v>
      </c>
      <c r="N75" s="368">
        <f t="shared" si="2"/>
        <v>68.421052631578945</v>
      </c>
      <c r="O75" s="335">
        <v>45.4</v>
      </c>
      <c r="P75" s="336"/>
      <c r="Q75" s="336">
        <v>6.7</v>
      </c>
      <c r="R75" s="337">
        <f t="shared" si="1"/>
        <v>52.1</v>
      </c>
      <c r="S75" s="292">
        <v>2</v>
      </c>
      <c r="T75" s="838"/>
      <c r="U75" s="836"/>
      <c r="V75" s="299" t="s">
        <v>962</v>
      </c>
      <c r="W75" s="292" t="s">
        <v>309</v>
      </c>
      <c r="X75" s="292" t="s">
        <v>11</v>
      </c>
      <c r="Y75" s="300">
        <v>45.4</v>
      </c>
      <c r="Z75" s="299" t="s">
        <v>942</v>
      </c>
      <c r="AA75" s="292" t="s">
        <v>872</v>
      </c>
      <c r="AB75" s="292" t="s">
        <v>12</v>
      </c>
      <c r="AC75" s="292">
        <v>6.7</v>
      </c>
      <c r="AD75" s="299"/>
      <c r="AG75" s="300"/>
      <c r="AL75" s="299"/>
      <c r="AO75" s="300"/>
      <c r="AP75" s="299"/>
      <c r="AS75" s="300"/>
      <c r="AW75" s="300"/>
      <c r="BA75" s="301"/>
    </row>
    <row r="76" spans="1:53" s="292" customFormat="1">
      <c r="A76" s="292">
        <v>2011</v>
      </c>
      <c r="B76" s="863"/>
      <c r="C76" s="916" t="s">
        <v>961</v>
      </c>
      <c r="D76" s="916"/>
      <c r="E76" s="292">
        <v>310</v>
      </c>
      <c r="G76" s="366">
        <v>10</v>
      </c>
      <c r="I76" s="292">
        <v>3</v>
      </c>
      <c r="J76" s="377">
        <v>19</v>
      </c>
      <c r="K76" s="336">
        <f t="shared" ref="K76:K84" si="6">G76/J76*100</f>
        <v>52.631578947368418</v>
      </c>
      <c r="L76" s="336">
        <f t="shared" ref="L76:L84" si="7">H76/J76*100</f>
        <v>0</v>
      </c>
      <c r="M76" s="336">
        <f t="shared" ref="M76:M84" si="8">I76/J76*100</f>
        <v>15.789473684210526</v>
      </c>
      <c r="N76" s="368">
        <f t="shared" si="2"/>
        <v>68.421052631578945</v>
      </c>
      <c r="O76" s="335">
        <v>45.4</v>
      </c>
      <c r="P76" s="336"/>
      <c r="Q76" s="336">
        <v>6.7</v>
      </c>
      <c r="R76" s="337">
        <f t="shared" si="1"/>
        <v>52.1</v>
      </c>
      <c r="S76" s="292">
        <v>2</v>
      </c>
      <c r="T76" s="838"/>
      <c r="U76" s="836"/>
      <c r="V76" s="299" t="s">
        <v>962</v>
      </c>
      <c r="W76" s="292" t="s">
        <v>309</v>
      </c>
      <c r="X76" s="292" t="s">
        <v>11</v>
      </c>
      <c r="Y76" s="300">
        <v>45.4</v>
      </c>
      <c r="Z76" s="299" t="s">
        <v>942</v>
      </c>
      <c r="AA76" s="292" t="s">
        <v>872</v>
      </c>
      <c r="AB76" s="292" t="s">
        <v>12</v>
      </c>
      <c r="AC76" s="292">
        <v>6.7</v>
      </c>
      <c r="AD76" s="299"/>
      <c r="AG76" s="300"/>
      <c r="AL76" s="299"/>
      <c r="AO76" s="300"/>
      <c r="AP76" s="299"/>
      <c r="AS76" s="300"/>
      <c r="AW76" s="300"/>
      <c r="BA76" s="301"/>
    </row>
    <row r="77" spans="1:53" s="292" customFormat="1">
      <c r="A77" s="292">
        <v>2011</v>
      </c>
      <c r="B77" s="881">
        <v>40854</v>
      </c>
      <c r="C77" s="916" t="s">
        <v>961</v>
      </c>
      <c r="D77" s="916"/>
      <c r="E77" s="292">
        <v>11</v>
      </c>
      <c r="F77" s="389">
        <v>0</v>
      </c>
      <c r="G77" s="366">
        <v>8</v>
      </c>
      <c r="I77" s="292">
        <v>3</v>
      </c>
      <c r="J77" s="377">
        <v>17</v>
      </c>
      <c r="K77" s="336">
        <f t="shared" si="6"/>
        <v>47.058823529411761</v>
      </c>
      <c r="L77" s="336">
        <f t="shared" si="7"/>
        <v>0</v>
      </c>
      <c r="M77" s="336">
        <f t="shared" si="8"/>
        <v>17.647058823529413</v>
      </c>
      <c r="N77" s="368">
        <f t="shared" si="2"/>
        <v>64.705882352941174</v>
      </c>
      <c r="O77" s="335">
        <v>45.4</v>
      </c>
      <c r="P77" s="336"/>
      <c r="Q77" s="336">
        <v>6.7</v>
      </c>
      <c r="R77" s="337">
        <f t="shared" si="1"/>
        <v>52.1</v>
      </c>
      <c r="S77" s="292">
        <v>2</v>
      </c>
      <c r="T77" s="838"/>
      <c r="U77" s="836"/>
      <c r="V77" s="299" t="s">
        <v>962</v>
      </c>
      <c r="W77" s="292" t="s">
        <v>309</v>
      </c>
      <c r="X77" s="292" t="s">
        <v>11</v>
      </c>
      <c r="Y77" s="300">
        <v>45.4</v>
      </c>
      <c r="Z77" s="299" t="s">
        <v>942</v>
      </c>
      <c r="AA77" s="292" t="s">
        <v>872</v>
      </c>
      <c r="AB77" s="292" t="s">
        <v>12</v>
      </c>
      <c r="AC77" s="292">
        <v>6.7</v>
      </c>
      <c r="AD77" s="299"/>
      <c r="AG77" s="300"/>
      <c r="AL77" s="299"/>
      <c r="AO77" s="300"/>
      <c r="AP77" s="299"/>
      <c r="AS77" s="300"/>
      <c r="AW77" s="300"/>
      <c r="BA77" s="301"/>
    </row>
    <row r="78" spans="1:53" s="185" customFormat="1">
      <c r="A78" s="185">
        <v>2011</v>
      </c>
      <c r="B78" s="851">
        <v>40865</v>
      </c>
      <c r="C78" s="917" t="s">
        <v>963</v>
      </c>
      <c r="D78" s="917"/>
      <c r="E78" s="185">
        <f xml:space="preserve"> 365-E77-E76</f>
        <v>44</v>
      </c>
      <c r="F78" s="185">
        <v>1</v>
      </c>
      <c r="G78" s="119">
        <v>12</v>
      </c>
      <c r="I78" s="185">
        <v>3</v>
      </c>
      <c r="J78" s="126">
        <v>20</v>
      </c>
      <c r="K78" s="92">
        <f t="shared" si="6"/>
        <v>60</v>
      </c>
      <c r="L78" s="92">
        <f t="shared" si="7"/>
        <v>0</v>
      </c>
      <c r="M78" s="92">
        <f t="shared" si="8"/>
        <v>15</v>
      </c>
      <c r="N78" s="121">
        <f t="shared" si="2"/>
        <v>75</v>
      </c>
      <c r="O78" s="91">
        <v>45</v>
      </c>
      <c r="P78" s="92"/>
      <c r="Q78" s="92">
        <v>6.1</v>
      </c>
      <c r="R78" s="93">
        <f t="shared" si="1"/>
        <v>51.1</v>
      </c>
      <c r="S78" s="185">
        <v>2</v>
      </c>
      <c r="T78" s="839">
        <v>40825</v>
      </c>
      <c r="U78" s="851">
        <v>40865</v>
      </c>
      <c r="V78" s="82" t="s">
        <v>962</v>
      </c>
      <c r="W78" s="185" t="s">
        <v>309</v>
      </c>
      <c r="X78" s="185" t="s">
        <v>11</v>
      </c>
      <c r="Y78" s="83">
        <v>45</v>
      </c>
      <c r="Z78" s="82" t="s">
        <v>942</v>
      </c>
      <c r="AA78" s="185" t="s">
        <v>872</v>
      </c>
      <c r="AB78" s="185" t="s">
        <v>12</v>
      </c>
      <c r="AC78" s="185">
        <v>6.1</v>
      </c>
      <c r="AD78" s="82"/>
      <c r="AG78" s="83"/>
      <c r="AL78" s="82"/>
      <c r="AO78" s="83"/>
      <c r="AP78" s="82"/>
      <c r="AS78" s="83"/>
      <c r="AW78" s="83"/>
      <c r="BA78" s="84"/>
    </row>
    <row r="79" spans="1:53" s="185" customFormat="1">
      <c r="A79" s="185">
        <v>2012</v>
      </c>
      <c r="B79" s="830"/>
      <c r="C79" s="917" t="s">
        <v>963</v>
      </c>
      <c r="D79" s="917"/>
      <c r="E79" s="185">
        <v>0</v>
      </c>
      <c r="G79" s="119">
        <v>12</v>
      </c>
      <c r="I79" s="185">
        <v>3</v>
      </c>
      <c r="J79" s="126">
        <v>20</v>
      </c>
      <c r="K79" s="92">
        <f t="shared" si="6"/>
        <v>60</v>
      </c>
      <c r="L79" s="92">
        <f t="shared" si="7"/>
        <v>0</v>
      </c>
      <c r="M79" s="92">
        <f t="shared" si="8"/>
        <v>15</v>
      </c>
      <c r="N79" s="121">
        <f t="shared" si="2"/>
        <v>75</v>
      </c>
      <c r="O79" s="91">
        <v>45</v>
      </c>
      <c r="P79" s="92"/>
      <c r="Q79" s="92">
        <v>6.1</v>
      </c>
      <c r="R79" s="93">
        <f t="shared" si="1"/>
        <v>51.1</v>
      </c>
      <c r="S79" s="185">
        <v>2</v>
      </c>
      <c r="T79" s="839"/>
      <c r="U79" s="852"/>
      <c r="V79" s="82" t="s">
        <v>962</v>
      </c>
      <c r="W79" s="185" t="s">
        <v>309</v>
      </c>
      <c r="X79" s="185" t="s">
        <v>11</v>
      </c>
      <c r="Y79" s="83">
        <v>45</v>
      </c>
      <c r="Z79" s="185" t="s">
        <v>942</v>
      </c>
      <c r="AA79" s="185" t="s">
        <v>872</v>
      </c>
      <c r="AB79" s="185" t="s">
        <v>12</v>
      </c>
      <c r="AC79" s="185">
        <v>6.1</v>
      </c>
      <c r="AD79" s="82"/>
      <c r="AG79" s="83"/>
      <c r="AL79" s="82"/>
      <c r="AO79" s="83"/>
      <c r="AP79" s="82"/>
      <c r="AS79" s="83"/>
      <c r="AW79" s="83"/>
      <c r="BA79" s="84"/>
    </row>
    <row r="80" spans="1:53" s="185" customFormat="1">
      <c r="A80" s="185">
        <v>2012</v>
      </c>
      <c r="B80" s="830"/>
      <c r="C80" s="917" t="s">
        <v>963</v>
      </c>
      <c r="D80" s="917"/>
      <c r="E80" s="185">
        <v>366</v>
      </c>
      <c r="G80" s="119">
        <v>12</v>
      </c>
      <c r="I80" s="185">
        <v>3</v>
      </c>
      <c r="J80" s="126">
        <v>20</v>
      </c>
      <c r="K80" s="92">
        <f t="shared" si="6"/>
        <v>60</v>
      </c>
      <c r="L80" s="92">
        <f t="shared" si="7"/>
        <v>0</v>
      </c>
      <c r="M80" s="92">
        <f t="shared" si="8"/>
        <v>15</v>
      </c>
      <c r="N80" s="121">
        <f t="shared" si="2"/>
        <v>75</v>
      </c>
      <c r="O80" s="91">
        <v>45</v>
      </c>
      <c r="P80" s="92"/>
      <c r="Q80" s="92">
        <v>6.1</v>
      </c>
      <c r="R80" s="93">
        <f t="shared" si="1"/>
        <v>51.1</v>
      </c>
      <c r="S80" s="185">
        <v>2</v>
      </c>
      <c r="T80" s="839"/>
      <c r="U80" s="852"/>
      <c r="V80" s="82" t="s">
        <v>962</v>
      </c>
      <c r="W80" s="185" t="s">
        <v>309</v>
      </c>
      <c r="X80" s="185" t="s">
        <v>11</v>
      </c>
      <c r="Y80" s="83">
        <v>45</v>
      </c>
      <c r="Z80" s="185" t="s">
        <v>942</v>
      </c>
      <c r="AA80" s="185" t="s">
        <v>872</v>
      </c>
      <c r="AB80" s="185" t="s">
        <v>12</v>
      </c>
      <c r="AC80" s="185">
        <v>6.1</v>
      </c>
      <c r="AD80" s="82"/>
      <c r="AG80" s="83"/>
      <c r="AL80" s="82"/>
      <c r="AO80" s="83"/>
      <c r="AP80" s="82"/>
      <c r="AS80" s="83"/>
      <c r="AW80" s="83"/>
      <c r="BA80" s="84"/>
    </row>
    <row r="81" spans="1:53" s="278" customFormat="1">
      <c r="A81" s="278">
        <v>2013</v>
      </c>
      <c r="B81" s="830"/>
      <c r="C81" s="917" t="s">
        <v>963</v>
      </c>
      <c r="D81" s="917"/>
      <c r="E81" s="278">
        <v>55</v>
      </c>
      <c r="G81" s="119">
        <v>12</v>
      </c>
      <c r="I81" s="278">
        <v>3</v>
      </c>
      <c r="J81" s="126">
        <v>20</v>
      </c>
      <c r="K81" s="92">
        <f t="shared" si="6"/>
        <v>60</v>
      </c>
      <c r="L81" s="92">
        <f t="shared" si="7"/>
        <v>0</v>
      </c>
      <c r="M81" s="92">
        <f t="shared" si="8"/>
        <v>15</v>
      </c>
      <c r="N81" s="121">
        <f>SUM(K81:M81)</f>
        <v>75</v>
      </c>
      <c r="O81" s="91">
        <v>45</v>
      </c>
      <c r="P81" s="92"/>
      <c r="Q81" s="92">
        <v>6.1</v>
      </c>
      <c r="R81" s="93">
        <f t="shared" ref="R81:R87" si="9">SUM(O81:Q81)</f>
        <v>51.1</v>
      </c>
      <c r="S81" s="278">
        <v>2</v>
      </c>
      <c r="T81" s="839"/>
      <c r="U81" s="852"/>
      <c r="V81" s="82" t="s">
        <v>962</v>
      </c>
      <c r="W81" s="278" t="s">
        <v>309</v>
      </c>
      <c r="X81" s="278" t="s">
        <v>11</v>
      </c>
      <c r="Y81" s="83">
        <v>45</v>
      </c>
      <c r="Z81" s="278" t="s">
        <v>942</v>
      </c>
      <c r="AA81" s="278" t="s">
        <v>872</v>
      </c>
      <c r="AB81" s="278" t="s">
        <v>12</v>
      </c>
      <c r="AC81" s="278">
        <v>6.1</v>
      </c>
      <c r="AD81" s="82"/>
      <c r="AG81" s="83"/>
      <c r="AL81" s="82"/>
      <c r="AO81" s="83"/>
      <c r="AP81" s="82"/>
      <c r="AS81" s="83"/>
      <c r="AW81" s="83"/>
      <c r="BA81" s="84"/>
    </row>
    <row r="82" spans="1:53" s="548" customFormat="1">
      <c r="A82" s="548">
        <v>2013</v>
      </c>
      <c r="B82" s="860">
        <v>41330</v>
      </c>
      <c r="C82" s="917" t="s">
        <v>963</v>
      </c>
      <c r="D82" s="917"/>
      <c r="E82" s="548">
        <v>58</v>
      </c>
      <c r="F82" s="502">
        <v>0</v>
      </c>
      <c r="G82" s="498">
        <v>11</v>
      </c>
      <c r="I82" s="548">
        <v>3</v>
      </c>
      <c r="J82" s="500">
        <v>20</v>
      </c>
      <c r="K82" s="496">
        <f t="shared" si="6"/>
        <v>55.000000000000007</v>
      </c>
      <c r="L82" s="496">
        <f t="shared" si="7"/>
        <v>0</v>
      </c>
      <c r="M82" s="496">
        <f t="shared" si="8"/>
        <v>15</v>
      </c>
      <c r="N82" s="499">
        <f>SUM(K82:M82)</f>
        <v>70</v>
      </c>
      <c r="O82" s="495">
        <v>45</v>
      </c>
      <c r="P82" s="496"/>
      <c r="Q82" s="496">
        <v>6.1</v>
      </c>
      <c r="R82" s="497">
        <f t="shared" si="9"/>
        <v>51.1</v>
      </c>
      <c r="S82" s="548">
        <v>2</v>
      </c>
      <c r="T82" s="839"/>
      <c r="U82" s="852"/>
      <c r="V82" s="492" t="s">
        <v>962</v>
      </c>
      <c r="W82" s="548" t="s">
        <v>309</v>
      </c>
      <c r="X82" s="548" t="s">
        <v>11</v>
      </c>
      <c r="Y82" s="493">
        <v>45</v>
      </c>
      <c r="Z82" s="548" t="s">
        <v>942</v>
      </c>
      <c r="AA82" s="548" t="s">
        <v>872</v>
      </c>
      <c r="AB82" s="548" t="s">
        <v>12</v>
      </c>
      <c r="AC82" s="548">
        <v>6.1</v>
      </c>
      <c r="AD82" s="492"/>
      <c r="AG82" s="493"/>
      <c r="AL82" s="492"/>
      <c r="AO82" s="493"/>
      <c r="AP82" s="492"/>
      <c r="AS82" s="493"/>
      <c r="AW82" s="493"/>
      <c r="BA82" s="494"/>
    </row>
    <row r="83" spans="1:53" s="281" customFormat="1">
      <c r="A83" s="281">
        <v>2013</v>
      </c>
      <c r="B83" s="860">
        <v>41388</v>
      </c>
      <c r="C83" s="917" t="s">
        <v>963</v>
      </c>
      <c r="D83" s="917"/>
      <c r="E83" s="281">
        <v>217</v>
      </c>
      <c r="F83" s="139">
        <v>0</v>
      </c>
      <c r="G83" s="119">
        <v>12</v>
      </c>
      <c r="I83" s="281">
        <v>3</v>
      </c>
      <c r="J83" s="126">
        <v>20</v>
      </c>
      <c r="K83" s="92">
        <f t="shared" si="6"/>
        <v>60</v>
      </c>
      <c r="L83" s="92">
        <f t="shared" si="7"/>
        <v>0</v>
      </c>
      <c r="M83" s="92">
        <f t="shared" si="8"/>
        <v>15</v>
      </c>
      <c r="N83" s="121">
        <f>SUM(K83:M83)</f>
        <v>75</v>
      </c>
      <c r="O83" s="91">
        <v>45</v>
      </c>
      <c r="P83" s="92"/>
      <c r="Q83" s="92">
        <v>6.1</v>
      </c>
      <c r="R83" s="93">
        <f t="shared" si="9"/>
        <v>51.1</v>
      </c>
      <c r="S83" s="281">
        <v>2</v>
      </c>
      <c r="T83" s="839"/>
      <c r="U83" s="852"/>
      <c r="V83" s="82" t="s">
        <v>962</v>
      </c>
      <c r="W83" s="281" t="s">
        <v>309</v>
      </c>
      <c r="X83" s="281" t="s">
        <v>11</v>
      </c>
      <c r="Y83" s="83">
        <v>45</v>
      </c>
      <c r="Z83" s="281" t="s">
        <v>942</v>
      </c>
      <c r="AA83" s="281" t="s">
        <v>872</v>
      </c>
      <c r="AB83" s="281" t="s">
        <v>12</v>
      </c>
      <c r="AC83" s="281">
        <v>6.1</v>
      </c>
      <c r="AD83" s="82"/>
      <c r="AG83" s="83"/>
      <c r="AL83" s="82"/>
      <c r="AO83" s="83"/>
      <c r="AP83" s="82"/>
      <c r="AS83" s="83"/>
      <c r="AW83" s="83"/>
      <c r="BA83" s="84"/>
    </row>
    <row r="84" spans="1:53" s="278" customFormat="1">
      <c r="A84" s="278">
        <v>2013</v>
      </c>
      <c r="B84" s="860">
        <v>41605</v>
      </c>
      <c r="C84" s="917" t="s">
        <v>963</v>
      </c>
      <c r="D84" s="917"/>
      <c r="E84" s="278">
        <f>365-E83-E82-E81</f>
        <v>35</v>
      </c>
      <c r="F84" s="139">
        <v>0</v>
      </c>
      <c r="G84" s="119">
        <v>11</v>
      </c>
      <c r="I84" s="278">
        <v>3</v>
      </c>
      <c r="J84" s="126">
        <v>19</v>
      </c>
      <c r="K84" s="92">
        <f t="shared" si="6"/>
        <v>57.894736842105267</v>
      </c>
      <c r="L84" s="92">
        <f t="shared" si="7"/>
        <v>0</v>
      </c>
      <c r="M84" s="92">
        <f t="shared" si="8"/>
        <v>15.789473684210526</v>
      </c>
      <c r="N84" s="121">
        <f t="shared" si="2"/>
        <v>73.684210526315795</v>
      </c>
      <c r="O84" s="91">
        <v>45</v>
      </c>
      <c r="P84" s="92"/>
      <c r="Q84" s="92">
        <v>6.1</v>
      </c>
      <c r="R84" s="93">
        <f t="shared" si="9"/>
        <v>51.1</v>
      </c>
      <c r="S84" s="281">
        <v>2</v>
      </c>
      <c r="T84" s="839"/>
      <c r="U84" s="852"/>
      <c r="V84" s="82" t="s">
        <v>962</v>
      </c>
      <c r="W84" s="278" t="s">
        <v>309</v>
      </c>
      <c r="X84" s="278" t="s">
        <v>11</v>
      </c>
      <c r="Y84" s="83">
        <v>45</v>
      </c>
      <c r="Z84" s="278" t="s">
        <v>942</v>
      </c>
      <c r="AA84" s="278" t="s">
        <v>872</v>
      </c>
      <c r="AB84" s="278" t="s">
        <v>12</v>
      </c>
      <c r="AC84" s="278">
        <v>6.1</v>
      </c>
      <c r="AD84" s="82"/>
      <c r="AG84" s="83"/>
      <c r="AL84" s="82"/>
      <c r="AO84" s="83"/>
      <c r="AP84" s="82"/>
      <c r="AS84" s="83"/>
      <c r="AW84" s="83"/>
      <c r="BA84" s="84"/>
    </row>
    <row r="85" spans="1:53" s="548" customFormat="1">
      <c r="A85" s="548">
        <v>2014</v>
      </c>
      <c r="B85" s="860"/>
      <c r="C85" s="917" t="s">
        <v>963</v>
      </c>
      <c r="D85" s="917"/>
      <c r="E85" s="548">
        <v>167</v>
      </c>
      <c r="F85" s="502"/>
      <c r="G85" s="498">
        <v>11</v>
      </c>
      <c r="I85" s="548">
        <v>3</v>
      </c>
      <c r="J85" s="500">
        <v>19</v>
      </c>
      <c r="K85" s="496">
        <f>G85/J85*100</f>
        <v>57.894736842105267</v>
      </c>
      <c r="L85" s="496">
        <f>H85/J85*100</f>
        <v>0</v>
      </c>
      <c r="M85" s="496">
        <f>I85/J85*100</f>
        <v>15.789473684210526</v>
      </c>
      <c r="N85" s="499">
        <f>SUM(K85:M85)</f>
        <v>73.684210526315795</v>
      </c>
      <c r="O85" s="495">
        <v>45</v>
      </c>
      <c r="P85" s="496"/>
      <c r="Q85" s="496">
        <v>6.1</v>
      </c>
      <c r="R85" s="497">
        <f t="shared" si="9"/>
        <v>51.1</v>
      </c>
      <c r="S85" s="548">
        <v>2</v>
      </c>
      <c r="T85" s="839"/>
      <c r="U85" s="852"/>
      <c r="V85" s="492" t="s">
        <v>962</v>
      </c>
      <c r="W85" s="548" t="s">
        <v>309</v>
      </c>
      <c r="X85" s="548" t="s">
        <v>11</v>
      </c>
      <c r="Y85" s="493">
        <v>45</v>
      </c>
      <c r="Z85" s="548" t="s">
        <v>942</v>
      </c>
      <c r="AA85" s="548" t="s">
        <v>872</v>
      </c>
      <c r="AB85" s="548" t="s">
        <v>12</v>
      </c>
      <c r="AC85" s="548">
        <v>6.1</v>
      </c>
      <c r="AD85" s="492"/>
      <c r="AG85" s="493"/>
      <c r="AL85" s="492"/>
      <c r="AO85" s="493"/>
      <c r="AP85" s="492"/>
      <c r="AS85" s="493"/>
      <c r="AW85" s="493"/>
      <c r="BA85" s="494"/>
    </row>
    <row r="86" spans="1:53" s="548" customFormat="1">
      <c r="A86" s="548">
        <v>2014</v>
      </c>
      <c r="B86" s="860">
        <v>41807</v>
      </c>
      <c r="C86" s="917" t="s">
        <v>963</v>
      </c>
      <c r="D86" s="917"/>
      <c r="E86" s="548">
        <v>97</v>
      </c>
      <c r="F86" s="502">
        <v>0</v>
      </c>
      <c r="G86" s="498">
        <v>10</v>
      </c>
      <c r="I86" s="548">
        <v>3</v>
      </c>
      <c r="J86" s="500">
        <v>19</v>
      </c>
      <c r="K86" s="496">
        <f>G86/J86*100</f>
        <v>52.631578947368418</v>
      </c>
      <c r="L86" s="496">
        <f>H86/J86*100</f>
        <v>0</v>
      </c>
      <c r="M86" s="496">
        <f>I86/J86*100</f>
        <v>15.789473684210526</v>
      </c>
      <c r="N86" s="499">
        <f>SUM(K86:M86)</f>
        <v>68.421052631578945</v>
      </c>
      <c r="O86" s="495">
        <v>45</v>
      </c>
      <c r="P86" s="496"/>
      <c r="Q86" s="496">
        <v>6.1</v>
      </c>
      <c r="R86" s="497">
        <f t="shared" si="9"/>
        <v>51.1</v>
      </c>
      <c r="S86" s="548">
        <v>2</v>
      </c>
      <c r="T86" s="839"/>
      <c r="U86" s="852"/>
      <c r="V86" s="492" t="s">
        <v>962</v>
      </c>
      <c r="W86" s="548" t="s">
        <v>309</v>
      </c>
      <c r="X86" s="548" t="s">
        <v>11</v>
      </c>
      <c r="Y86" s="493">
        <v>45</v>
      </c>
      <c r="Z86" s="548" t="s">
        <v>942</v>
      </c>
      <c r="AA86" s="548" t="s">
        <v>872</v>
      </c>
      <c r="AB86" s="548" t="s">
        <v>12</v>
      </c>
      <c r="AC86" s="548">
        <v>6.1</v>
      </c>
      <c r="AD86" s="492"/>
      <c r="AG86" s="493"/>
      <c r="AL86" s="492"/>
      <c r="AO86" s="493"/>
      <c r="AP86" s="492"/>
      <c r="AS86" s="493"/>
      <c r="AW86" s="493"/>
      <c r="BA86" s="494"/>
    </row>
    <row r="87" spans="1:53" s="549" customFormat="1">
      <c r="A87" s="549">
        <v>2014</v>
      </c>
      <c r="B87" s="863">
        <v>41904</v>
      </c>
      <c r="C87" s="916" t="s">
        <v>1305</v>
      </c>
      <c r="D87" s="916"/>
      <c r="E87" s="549">
        <v>101</v>
      </c>
      <c r="F87" s="549">
        <v>2</v>
      </c>
      <c r="G87" s="539">
        <v>11</v>
      </c>
      <c r="I87" s="549">
        <v>3</v>
      </c>
      <c r="J87" s="541">
        <v>19</v>
      </c>
      <c r="K87" s="537">
        <f>G87/J87*100</f>
        <v>57.894736842105267</v>
      </c>
      <c r="L87" s="537">
        <f>H87/J87*100</f>
        <v>0</v>
      </c>
      <c r="M87" s="537">
        <f>I87/J87*100</f>
        <v>15.789473684210526</v>
      </c>
      <c r="N87" s="540">
        <f>SUM(K87:M87)</f>
        <v>73.684210526315795</v>
      </c>
      <c r="O87" s="536">
        <v>44</v>
      </c>
      <c r="P87" s="537"/>
      <c r="Q87" s="537">
        <v>7</v>
      </c>
      <c r="R87" s="538">
        <f t="shared" si="9"/>
        <v>51</v>
      </c>
      <c r="S87" s="549">
        <v>2</v>
      </c>
      <c r="T87" s="838"/>
      <c r="U87" s="863">
        <v>41904</v>
      </c>
      <c r="V87" s="532" t="s">
        <v>962</v>
      </c>
      <c r="W87" s="549" t="s">
        <v>309</v>
      </c>
      <c r="X87" s="549" t="s">
        <v>11</v>
      </c>
      <c r="Y87" s="533">
        <v>44</v>
      </c>
      <c r="Z87" s="532" t="s">
        <v>942</v>
      </c>
      <c r="AA87" s="549" t="s">
        <v>872</v>
      </c>
      <c r="AB87" s="549" t="s">
        <v>12</v>
      </c>
      <c r="AC87" s="549">
        <v>7</v>
      </c>
      <c r="AD87" s="532"/>
      <c r="AG87" s="533"/>
      <c r="AL87" s="532"/>
      <c r="AO87" s="533"/>
      <c r="AP87" s="532"/>
      <c r="AS87" s="533"/>
      <c r="AW87" s="533"/>
      <c r="BA87" s="534"/>
    </row>
    <row r="88" spans="1:53" s="616" customFormat="1">
      <c r="A88" s="616">
        <v>2015</v>
      </c>
      <c r="B88" s="863"/>
      <c r="C88" s="916" t="s">
        <v>1305</v>
      </c>
      <c r="D88" s="916"/>
      <c r="E88" s="616">
        <v>166</v>
      </c>
      <c r="G88" s="539">
        <v>11</v>
      </c>
      <c r="I88" s="616">
        <v>3</v>
      </c>
      <c r="J88" s="541">
        <v>19</v>
      </c>
      <c r="K88" s="537">
        <f t="shared" ref="K88:K93" si="10">G88/J88*100</f>
        <v>57.894736842105267</v>
      </c>
      <c r="L88" s="537">
        <f t="shared" ref="L88:L93" si="11">H88/J88*100</f>
        <v>0</v>
      </c>
      <c r="M88" s="537">
        <f t="shared" ref="M88:M93" si="12">I88/J88*100</f>
        <v>15.789473684210526</v>
      </c>
      <c r="N88" s="540">
        <f t="shared" ref="N88:N93" si="13">SUM(K88:M88)</f>
        <v>73.684210526315795</v>
      </c>
      <c r="O88" s="536">
        <v>44</v>
      </c>
      <c r="P88" s="537"/>
      <c r="Q88" s="537">
        <v>7</v>
      </c>
      <c r="R88" s="538">
        <f t="shared" ref="R88:R89" si="14">SUM(O88:Q88)</f>
        <v>51</v>
      </c>
      <c r="S88" s="616">
        <v>2</v>
      </c>
      <c r="T88" s="838"/>
      <c r="U88" s="863"/>
      <c r="V88" s="532" t="s">
        <v>962</v>
      </c>
      <c r="W88" s="616" t="s">
        <v>309</v>
      </c>
      <c r="X88" s="616" t="s">
        <v>11</v>
      </c>
      <c r="Y88" s="533">
        <v>44</v>
      </c>
      <c r="Z88" s="532" t="s">
        <v>942</v>
      </c>
      <c r="AA88" s="616" t="s">
        <v>872</v>
      </c>
      <c r="AB88" s="616" t="s">
        <v>12</v>
      </c>
      <c r="AC88" s="616">
        <v>7</v>
      </c>
      <c r="AD88" s="532"/>
      <c r="AG88" s="533"/>
      <c r="AL88" s="532"/>
      <c r="AO88" s="533"/>
      <c r="AP88" s="532"/>
      <c r="AS88" s="533"/>
      <c r="AW88" s="533"/>
      <c r="BA88" s="534"/>
    </row>
    <row r="89" spans="1:53" s="616" customFormat="1">
      <c r="A89" s="616">
        <v>2015</v>
      </c>
      <c r="B89" s="862">
        <v>42171</v>
      </c>
      <c r="C89" s="916" t="s">
        <v>1305</v>
      </c>
      <c r="D89" s="916"/>
      <c r="E89" s="616">
        <v>153</v>
      </c>
      <c r="F89" s="428">
        <v>0</v>
      </c>
      <c r="G89" s="539">
        <v>9</v>
      </c>
      <c r="I89" s="616">
        <v>3</v>
      </c>
      <c r="J89" s="541">
        <v>19</v>
      </c>
      <c r="K89" s="537">
        <f t="shared" si="10"/>
        <v>47.368421052631575</v>
      </c>
      <c r="L89" s="537">
        <f t="shared" si="11"/>
        <v>0</v>
      </c>
      <c r="M89" s="537">
        <f t="shared" si="12"/>
        <v>15.789473684210526</v>
      </c>
      <c r="N89" s="540">
        <f t="shared" si="13"/>
        <v>63.157894736842103</v>
      </c>
      <c r="O89" s="536">
        <v>44</v>
      </c>
      <c r="P89" s="537"/>
      <c r="Q89" s="537">
        <v>7</v>
      </c>
      <c r="R89" s="538">
        <f t="shared" si="14"/>
        <v>51</v>
      </c>
      <c r="S89" s="616">
        <v>2</v>
      </c>
      <c r="T89" s="838"/>
      <c r="U89" s="863"/>
      <c r="V89" s="532" t="s">
        <v>962</v>
      </c>
      <c r="W89" s="616" t="s">
        <v>309</v>
      </c>
      <c r="X89" s="616" t="s">
        <v>11</v>
      </c>
      <c r="Y89" s="533">
        <v>44</v>
      </c>
      <c r="Z89" s="532" t="s">
        <v>942</v>
      </c>
      <c r="AA89" s="616" t="s">
        <v>872</v>
      </c>
      <c r="AB89" s="616" t="s">
        <v>12</v>
      </c>
      <c r="AC89" s="616">
        <v>7</v>
      </c>
      <c r="AD89" s="532"/>
      <c r="AG89" s="533"/>
      <c r="AL89" s="532"/>
      <c r="AO89" s="533"/>
      <c r="AP89" s="532"/>
      <c r="AS89" s="533"/>
      <c r="AW89" s="533"/>
      <c r="BA89" s="534"/>
    </row>
    <row r="90" spans="1:53" s="615" customFormat="1">
      <c r="A90" s="615">
        <v>2015</v>
      </c>
      <c r="B90" s="851">
        <v>42324</v>
      </c>
      <c r="C90" s="917" t="s">
        <v>1329</v>
      </c>
      <c r="D90" s="917"/>
      <c r="E90" s="615">
        <v>46</v>
      </c>
      <c r="F90" s="615">
        <v>1</v>
      </c>
      <c r="G90" s="498">
        <v>18</v>
      </c>
      <c r="J90" s="500">
        <v>24</v>
      </c>
      <c r="K90" s="496">
        <f t="shared" si="10"/>
        <v>75</v>
      </c>
      <c r="L90" s="496">
        <f t="shared" si="11"/>
        <v>0</v>
      </c>
      <c r="M90" s="496">
        <f t="shared" si="12"/>
        <v>0</v>
      </c>
      <c r="N90" s="499">
        <f t="shared" si="13"/>
        <v>75</v>
      </c>
      <c r="O90" s="495">
        <v>51.1</v>
      </c>
      <c r="P90" s="496"/>
      <c r="Q90" s="496"/>
      <c r="R90" s="497">
        <v>51.1</v>
      </c>
      <c r="S90" s="633">
        <v>1</v>
      </c>
      <c r="T90" s="839">
        <v>42302</v>
      </c>
      <c r="U90" s="851">
        <v>42324</v>
      </c>
      <c r="V90" s="492" t="s">
        <v>1330</v>
      </c>
      <c r="W90" s="615" t="s">
        <v>1140</v>
      </c>
      <c r="X90" s="615" t="s">
        <v>11</v>
      </c>
      <c r="Y90" s="493">
        <v>51.1</v>
      </c>
      <c r="Z90" s="492"/>
      <c r="AD90" s="492"/>
      <c r="AG90" s="493"/>
      <c r="AL90" s="492"/>
      <c r="AO90" s="493"/>
      <c r="AP90" s="492"/>
      <c r="AS90" s="493"/>
      <c r="AW90" s="493"/>
      <c r="BA90" s="494"/>
    </row>
    <row r="91" spans="1:53" s="686" customFormat="1">
      <c r="A91" s="686">
        <v>2016</v>
      </c>
      <c r="B91" s="851"/>
      <c r="C91" s="917" t="s">
        <v>1329</v>
      </c>
      <c r="D91" s="917"/>
      <c r="E91" s="686">
        <v>258</v>
      </c>
      <c r="G91" s="498">
        <v>18</v>
      </c>
      <c r="J91" s="500">
        <v>24</v>
      </c>
      <c r="K91" s="496">
        <f t="shared" si="10"/>
        <v>75</v>
      </c>
      <c r="L91" s="496">
        <f t="shared" si="11"/>
        <v>0</v>
      </c>
      <c r="M91" s="496">
        <f t="shared" si="12"/>
        <v>0</v>
      </c>
      <c r="N91" s="499">
        <f t="shared" si="13"/>
        <v>75</v>
      </c>
      <c r="O91" s="495">
        <v>51.1</v>
      </c>
      <c r="P91" s="496"/>
      <c r="Q91" s="496"/>
      <c r="R91" s="497">
        <v>51.1</v>
      </c>
      <c r="S91" s="686">
        <v>1</v>
      </c>
      <c r="T91" s="839"/>
      <c r="U91" s="851"/>
      <c r="V91" s="492" t="s">
        <v>1330</v>
      </c>
      <c r="W91" s="686" t="s">
        <v>1140</v>
      </c>
      <c r="X91" s="686" t="s">
        <v>11</v>
      </c>
      <c r="Y91" s="493">
        <v>51.1</v>
      </c>
      <c r="Z91" s="492"/>
      <c r="AD91" s="492"/>
      <c r="AG91" s="493"/>
      <c r="AL91" s="492"/>
      <c r="AO91" s="493"/>
      <c r="AP91" s="492"/>
      <c r="AS91" s="493"/>
      <c r="AW91" s="493"/>
      <c r="BA91" s="494"/>
    </row>
    <row r="92" spans="1:53" s="686" customFormat="1">
      <c r="A92" s="686">
        <v>2016</v>
      </c>
      <c r="B92" s="880">
        <v>42628</v>
      </c>
      <c r="C92" s="917" t="s">
        <v>1329</v>
      </c>
      <c r="D92" s="917"/>
      <c r="E92" s="686">
        <v>13</v>
      </c>
      <c r="F92" s="190">
        <v>0</v>
      </c>
      <c r="G92" s="498">
        <v>17</v>
      </c>
      <c r="J92" s="500">
        <v>23</v>
      </c>
      <c r="K92" s="496">
        <f t="shared" si="10"/>
        <v>73.91304347826086</v>
      </c>
      <c r="L92" s="496">
        <f t="shared" si="11"/>
        <v>0</v>
      </c>
      <c r="M92" s="496">
        <f t="shared" si="12"/>
        <v>0</v>
      </c>
      <c r="N92" s="499">
        <f t="shared" si="13"/>
        <v>73.91304347826086</v>
      </c>
      <c r="O92" s="495">
        <v>51.1</v>
      </c>
      <c r="P92" s="496"/>
      <c r="Q92" s="496"/>
      <c r="R92" s="497">
        <v>51.1</v>
      </c>
      <c r="S92" s="686">
        <v>1</v>
      </c>
      <c r="T92" s="839"/>
      <c r="U92" s="851"/>
      <c r="V92" s="492" t="s">
        <v>1330</v>
      </c>
      <c r="W92" s="686" t="s">
        <v>1140</v>
      </c>
      <c r="X92" s="686" t="s">
        <v>11</v>
      </c>
      <c r="Y92" s="493">
        <v>51.1</v>
      </c>
      <c r="Z92" s="492"/>
      <c r="AD92" s="492"/>
      <c r="AG92" s="493"/>
      <c r="AL92" s="492"/>
      <c r="AO92" s="493"/>
      <c r="AP92" s="492"/>
      <c r="AS92" s="493"/>
      <c r="AW92" s="493"/>
      <c r="BA92" s="494"/>
    </row>
    <row r="93" spans="1:53" s="686" customFormat="1">
      <c r="A93" s="686">
        <v>2016</v>
      </c>
      <c r="B93" s="880">
        <v>42641</v>
      </c>
      <c r="C93" s="917" t="s">
        <v>1329</v>
      </c>
      <c r="D93" s="917"/>
      <c r="E93" s="686">
        <v>95</v>
      </c>
      <c r="F93" s="190">
        <v>0</v>
      </c>
      <c r="G93" s="498">
        <v>17</v>
      </c>
      <c r="J93" s="500">
        <v>22</v>
      </c>
      <c r="K93" s="496">
        <f t="shared" si="10"/>
        <v>77.272727272727266</v>
      </c>
      <c r="L93" s="496">
        <f t="shared" si="11"/>
        <v>0</v>
      </c>
      <c r="M93" s="496">
        <f t="shared" si="12"/>
        <v>0</v>
      </c>
      <c r="N93" s="499">
        <f t="shared" si="13"/>
        <v>77.272727272727266</v>
      </c>
      <c r="O93" s="495">
        <v>51.1</v>
      </c>
      <c r="P93" s="496"/>
      <c r="Q93" s="496"/>
      <c r="R93" s="497">
        <v>51.1</v>
      </c>
      <c r="S93" s="686">
        <v>1</v>
      </c>
      <c r="T93" s="839"/>
      <c r="U93" s="851"/>
      <c r="V93" s="492" t="s">
        <v>1330</v>
      </c>
      <c r="W93" s="686" t="s">
        <v>1140</v>
      </c>
      <c r="X93" s="686" t="s">
        <v>11</v>
      </c>
      <c r="Y93" s="493">
        <v>51.1</v>
      </c>
      <c r="Z93" s="492"/>
      <c r="AD93" s="492"/>
      <c r="AG93" s="493"/>
      <c r="AL93" s="492"/>
      <c r="AO93" s="493"/>
      <c r="AP93" s="492"/>
      <c r="AS93" s="493"/>
      <c r="AW93" s="493"/>
      <c r="BA93" s="494"/>
    </row>
    <row r="94" spans="1:53" s="727" customFormat="1">
      <c r="A94" s="727">
        <v>2017</v>
      </c>
      <c r="B94" s="880"/>
      <c r="C94" s="917" t="s">
        <v>1329</v>
      </c>
      <c r="D94" s="917"/>
      <c r="E94" s="727">
        <v>344</v>
      </c>
      <c r="F94" s="190"/>
      <c r="G94" s="498">
        <v>17</v>
      </c>
      <c r="J94" s="500">
        <v>22</v>
      </c>
      <c r="K94" s="496">
        <f t="shared" ref="K94:K97" si="15">G94/J94*100</f>
        <v>77.272727272727266</v>
      </c>
      <c r="L94" s="496">
        <f t="shared" ref="L94:L97" si="16">H94/J94*100</f>
        <v>0</v>
      </c>
      <c r="M94" s="496">
        <f t="shared" ref="M94:M97" si="17">I94/J94*100</f>
        <v>0</v>
      </c>
      <c r="N94" s="499">
        <f t="shared" ref="N94:N97" si="18">SUM(K94:M94)</f>
        <v>77.272727272727266</v>
      </c>
      <c r="O94" s="495">
        <v>51.1</v>
      </c>
      <c r="P94" s="496"/>
      <c r="Q94" s="496"/>
      <c r="R94" s="497">
        <v>51.1</v>
      </c>
      <c r="S94" s="727">
        <v>1</v>
      </c>
      <c r="T94" s="839"/>
      <c r="U94" s="851"/>
      <c r="V94" s="492" t="s">
        <v>1330</v>
      </c>
      <c r="W94" s="727" t="s">
        <v>1140</v>
      </c>
      <c r="X94" s="727" t="s">
        <v>11</v>
      </c>
      <c r="Y94" s="493">
        <v>51.1</v>
      </c>
      <c r="Z94" s="492"/>
      <c r="AD94" s="492"/>
      <c r="AG94" s="493"/>
      <c r="AL94" s="492"/>
      <c r="AO94" s="493"/>
      <c r="AP94" s="492"/>
      <c r="AS94" s="493"/>
      <c r="AW94" s="493"/>
      <c r="BA94" s="494"/>
    </row>
    <row r="95" spans="1:53" s="726" customFormat="1">
      <c r="A95" s="726">
        <v>2017</v>
      </c>
      <c r="B95" s="850">
        <v>43080</v>
      </c>
      <c r="C95" s="916" t="s">
        <v>1386</v>
      </c>
      <c r="D95" s="916"/>
      <c r="E95" s="726">
        <v>21</v>
      </c>
      <c r="F95" s="726">
        <v>2</v>
      </c>
      <c r="G95" s="539">
        <v>17</v>
      </c>
      <c r="J95" s="541">
        <v>22</v>
      </c>
      <c r="K95" s="537">
        <f t="shared" si="15"/>
        <v>77.272727272727266</v>
      </c>
      <c r="L95" s="537">
        <f t="shared" si="16"/>
        <v>0</v>
      </c>
      <c r="M95" s="537">
        <f t="shared" si="17"/>
        <v>0</v>
      </c>
      <c r="N95" s="540">
        <f t="shared" si="18"/>
        <v>77.272727272727266</v>
      </c>
      <c r="O95" s="536">
        <v>51.5</v>
      </c>
      <c r="P95" s="537"/>
      <c r="Q95" s="537"/>
      <c r="R95" s="538">
        <v>51.5</v>
      </c>
      <c r="S95" s="726">
        <v>1</v>
      </c>
      <c r="T95" s="838"/>
      <c r="U95" s="850">
        <v>43080</v>
      </c>
      <c r="V95" s="532" t="s">
        <v>1330</v>
      </c>
      <c r="W95" s="726" t="s">
        <v>1140</v>
      </c>
      <c r="X95" s="726" t="s">
        <v>11</v>
      </c>
      <c r="Y95" s="533">
        <v>51.1</v>
      </c>
      <c r="Z95" s="532"/>
      <c r="AD95" s="532"/>
      <c r="AG95" s="533"/>
      <c r="AL95" s="532"/>
      <c r="AO95" s="533"/>
      <c r="AP95" s="532"/>
      <c r="AS95" s="533"/>
      <c r="AW95" s="533"/>
      <c r="BA95" s="534"/>
    </row>
    <row r="96" spans="1:53" s="770" customFormat="1">
      <c r="A96" s="770">
        <v>2018</v>
      </c>
      <c r="B96" s="850"/>
      <c r="C96" s="916" t="s">
        <v>1386</v>
      </c>
      <c r="D96" s="916"/>
      <c r="E96" s="770">
        <v>8</v>
      </c>
      <c r="G96" s="539">
        <v>17</v>
      </c>
      <c r="J96" s="541">
        <v>22</v>
      </c>
      <c r="K96" s="537">
        <f t="shared" si="15"/>
        <v>77.272727272727266</v>
      </c>
      <c r="L96" s="537">
        <f t="shared" si="16"/>
        <v>0</v>
      </c>
      <c r="M96" s="537">
        <f t="shared" si="17"/>
        <v>0</v>
      </c>
      <c r="N96" s="540">
        <f t="shared" si="18"/>
        <v>77.272727272727266</v>
      </c>
      <c r="O96" s="536">
        <v>51.5</v>
      </c>
      <c r="P96" s="537"/>
      <c r="Q96" s="537"/>
      <c r="R96" s="538">
        <v>51.5</v>
      </c>
      <c r="S96" s="770">
        <v>1</v>
      </c>
      <c r="T96" s="838"/>
      <c r="U96" s="850"/>
      <c r="V96" s="532" t="s">
        <v>1330</v>
      </c>
      <c r="W96" s="770" t="s">
        <v>1140</v>
      </c>
      <c r="X96" s="770" t="s">
        <v>11</v>
      </c>
      <c r="Y96" s="533">
        <v>51.1</v>
      </c>
      <c r="Z96" s="532"/>
      <c r="AD96" s="532"/>
      <c r="AG96" s="533"/>
      <c r="AL96" s="532"/>
      <c r="AO96" s="533"/>
      <c r="AP96" s="532"/>
      <c r="AS96" s="533"/>
      <c r="AW96" s="533"/>
      <c r="BA96" s="534"/>
    </row>
    <row r="97" spans="1:53" s="770" customFormat="1">
      <c r="A97" s="770">
        <v>2018</v>
      </c>
      <c r="B97" s="881">
        <v>43109</v>
      </c>
      <c r="C97" s="916" t="s">
        <v>1386</v>
      </c>
      <c r="D97" s="916"/>
      <c r="E97" s="770">
        <v>357</v>
      </c>
      <c r="F97" s="389">
        <v>0</v>
      </c>
      <c r="G97" s="539">
        <v>16</v>
      </c>
      <c r="J97" s="541">
        <v>23</v>
      </c>
      <c r="K97" s="537">
        <f t="shared" si="15"/>
        <v>69.565217391304344</v>
      </c>
      <c r="L97" s="537">
        <f t="shared" si="16"/>
        <v>0</v>
      </c>
      <c r="M97" s="537">
        <f t="shared" si="17"/>
        <v>0</v>
      </c>
      <c r="N97" s="540">
        <f t="shared" si="18"/>
        <v>69.565217391304344</v>
      </c>
      <c r="O97" s="536">
        <v>51.5</v>
      </c>
      <c r="P97" s="537"/>
      <c r="Q97" s="537"/>
      <c r="R97" s="538">
        <v>51.5</v>
      </c>
      <c r="S97" s="770">
        <v>1</v>
      </c>
      <c r="T97" s="838"/>
      <c r="U97" s="836"/>
      <c r="V97" s="532" t="s">
        <v>1330</v>
      </c>
      <c r="W97" s="770" t="s">
        <v>1140</v>
      </c>
      <c r="X97" s="770" t="s">
        <v>11</v>
      </c>
      <c r="Y97" s="533">
        <v>51.1</v>
      </c>
      <c r="Z97" s="532"/>
      <c r="AD97" s="532"/>
      <c r="AG97" s="533"/>
      <c r="AL97" s="532"/>
      <c r="AO97" s="533"/>
      <c r="AP97" s="532"/>
      <c r="AS97" s="533"/>
      <c r="AW97" s="533"/>
      <c r="BA97" s="534"/>
    </row>
    <row r="98" spans="1:53" s="803" customFormat="1">
      <c r="A98" s="803">
        <v>2019</v>
      </c>
      <c r="B98" s="881"/>
      <c r="C98" s="916" t="s">
        <v>1386</v>
      </c>
      <c r="D98" s="916"/>
      <c r="E98" s="803">
        <v>153</v>
      </c>
      <c r="F98" s="389"/>
      <c r="G98" s="539">
        <v>16</v>
      </c>
      <c r="J98" s="541">
        <v>23</v>
      </c>
      <c r="K98" s="537">
        <f t="shared" ref="K98:K101" si="19">G98/J98*100</f>
        <v>69.565217391304344</v>
      </c>
      <c r="L98" s="537">
        <f t="shared" ref="L98:L101" si="20">H98/J98*100</f>
        <v>0</v>
      </c>
      <c r="M98" s="537">
        <f t="shared" ref="M98:M101" si="21">I98/J98*100</f>
        <v>0</v>
      </c>
      <c r="N98" s="540">
        <f t="shared" ref="N98:N101" si="22">SUM(K98:M98)</f>
        <v>69.565217391304344</v>
      </c>
      <c r="O98" s="536">
        <v>51.5</v>
      </c>
      <c r="P98" s="537"/>
      <c r="Q98" s="537"/>
      <c r="R98" s="538">
        <v>51.5</v>
      </c>
      <c r="S98" s="803">
        <v>1</v>
      </c>
      <c r="T98" s="838"/>
      <c r="U98" s="836"/>
      <c r="V98" s="532" t="s">
        <v>1330</v>
      </c>
      <c r="W98" s="803" t="s">
        <v>1140</v>
      </c>
      <c r="X98" s="803" t="s">
        <v>11</v>
      </c>
      <c r="Y98" s="533">
        <v>51.1</v>
      </c>
      <c r="Z98" s="532"/>
    </row>
    <row r="99" spans="1:53" s="803" customFormat="1">
      <c r="A99" s="803">
        <v>2019</v>
      </c>
      <c r="B99" s="881">
        <v>43619</v>
      </c>
      <c r="C99" s="916" t="s">
        <v>1386</v>
      </c>
      <c r="D99" s="916"/>
      <c r="E99" s="803">
        <v>88</v>
      </c>
      <c r="F99" s="389">
        <v>0</v>
      </c>
      <c r="G99" s="539">
        <v>15</v>
      </c>
      <c r="J99" s="541">
        <v>22</v>
      </c>
      <c r="K99" s="537">
        <f t="shared" ref="K99" si="23">G99/J99*100</f>
        <v>68.181818181818173</v>
      </c>
      <c r="L99" s="537">
        <f t="shared" ref="L99" si="24">H99/J99*100</f>
        <v>0</v>
      </c>
      <c r="M99" s="537">
        <f t="shared" ref="M99" si="25">I99/J99*100</f>
        <v>0</v>
      </c>
      <c r="N99" s="540">
        <f t="shared" ref="N99" si="26">SUM(K99:M99)</f>
        <v>68.181818181818173</v>
      </c>
      <c r="O99" s="536">
        <v>51.5</v>
      </c>
      <c r="P99" s="537"/>
      <c r="Q99" s="537"/>
      <c r="R99" s="538">
        <v>51.5</v>
      </c>
      <c r="S99" s="803">
        <v>1</v>
      </c>
      <c r="T99" s="838"/>
      <c r="U99" s="836"/>
      <c r="V99" s="532" t="s">
        <v>1330</v>
      </c>
      <c r="W99" s="803" t="s">
        <v>1140</v>
      </c>
      <c r="X99" s="803" t="s">
        <v>11</v>
      </c>
      <c r="Y99" s="533">
        <v>51.1</v>
      </c>
      <c r="Z99" s="532"/>
    </row>
    <row r="100" spans="1:53" s="803" customFormat="1">
      <c r="A100" s="803">
        <v>2019</v>
      </c>
      <c r="B100" s="881">
        <v>43707</v>
      </c>
      <c r="C100" s="916" t="s">
        <v>1386</v>
      </c>
      <c r="D100" s="916"/>
      <c r="E100" s="803">
        <v>77</v>
      </c>
      <c r="F100" s="389">
        <v>0</v>
      </c>
      <c r="G100" s="539">
        <v>15</v>
      </c>
      <c r="J100" s="541">
        <v>21</v>
      </c>
      <c r="K100" s="537">
        <f t="shared" si="19"/>
        <v>71.428571428571431</v>
      </c>
      <c r="L100" s="537">
        <f t="shared" si="20"/>
        <v>0</v>
      </c>
      <c r="M100" s="537">
        <f t="shared" si="21"/>
        <v>0</v>
      </c>
      <c r="N100" s="540">
        <f t="shared" si="22"/>
        <v>71.428571428571431</v>
      </c>
      <c r="O100" s="536">
        <v>51.5</v>
      </c>
      <c r="P100" s="537"/>
      <c r="Q100" s="537"/>
      <c r="R100" s="538">
        <v>51.5</v>
      </c>
      <c r="S100" s="803">
        <v>1</v>
      </c>
      <c r="T100" s="838"/>
      <c r="U100" s="836"/>
      <c r="V100" s="532" t="s">
        <v>1330</v>
      </c>
      <c r="W100" s="803" t="s">
        <v>1140</v>
      </c>
      <c r="X100" s="803" t="s">
        <v>11</v>
      </c>
      <c r="Y100" s="533">
        <v>51.1</v>
      </c>
      <c r="Z100" s="532"/>
    </row>
    <row r="101" spans="1:53" s="804" customFormat="1">
      <c r="A101" s="804">
        <v>2019</v>
      </c>
      <c r="B101" s="851">
        <v>43784</v>
      </c>
      <c r="C101" s="917" t="s">
        <v>1432</v>
      </c>
      <c r="D101" s="917"/>
      <c r="E101" s="804">
        <v>47</v>
      </c>
      <c r="F101" s="804">
        <v>1</v>
      </c>
      <c r="G101" s="498">
        <v>17</v>
      </c>
      <c r="J101" s="500">
        <v>23</v>
      </c>
      <c r="K101" s="496">
        <f t="shared" si="19"/>
        <v>73.91304347826086</v>
      </c>
      <c r="L101" s="496">
        <f t="shared" si="20"/>
        <v>0</v>
      </c>
      <c r="M101" s="496">
        <f t="shared" si="21"/>
        <v>0</v>
      </c>
      <c r="N101" s="499">
        <f t="shared" si="22"/>
        <v>73.91304347826086</v>
      </c>
      <c r="O101" s="495">
        <v>51.5</v>
      </c>
      <c r="P101" s="496"/>
      <c r="Q101" s="496"/>
      <c r="R101" s="497">
        <f>SUM(O101:Q101)</f>
        <v>51.5</v>
      </c>
      <c r="S101" s="804">
        <v>1</v>
      </c>
      <c r="T101" s="839">
        <v>43751</v>
      </c>
      <c r="U101" s="851">
        <v>43784</v>
      </c>
      <c r="V101" s="492" t="s">
        <v>1330</v>
      </c>
      <c r="W101" s="804" t="s">
        <v>1140</v>
      </c>
      <c r="X101" s="804" t="s">
        <v>11</v>
      </c>
      <c r="Y101" s="493">
        <v>51.1</v>
      </c>
      <c r="Z101" s="492"/>
      <c r="AD101" s="492"/>
      <c r="AG101" s="493"/>
      <c r="AL101" s="492"/>
      <c r="AO101" s="493"/>
      <c r="AP101" s="492"/>
      <c r="AS101" s="493"/>
      <c r="AW101" s="493"/>
      <c r="BA101" s="494"/>
    </row>
    <row r="102" spans="1:53" s="690" customFormat="1">
      <c r="L102" s="18"/>
      <c r="S102" s="686"/>
    </row>
    <row r="103" spans="1:53">
      <c r="B103" s="2"/>
      <c r="C103" s="2"/>
      <c r="D103" s="2"/>
      <c r="E103" s="2"/>
      <c r="F103" s="2"/>
      <c r="G103" s="2"/>
      <c r="H103" s="2"/>
      <c r="I103" s="2"/>
      <c r="J103" s="2"/>
      <c r="K103" s="2"/>
      <c r="L103" s="2"/>
      <c r="M103" s="2"/>
      <c r="N103" s="2"/>
    </row>
    <row r="104" spans="1:53" s="2" customFormat="1" ht="18" customHeight="1">
      <c r="B104" s="22" t="s">
        <v>1269</v>
      </c>
    </row>
    <row r="105" spans="1:53" s="2" customFormat="1" ht="9" customHeight="1"/>
    <row r="106" spans="1:53" s="317" customFormat="1" ht="9" customHeight="1">
      <c r="A106" s="315"/>
      <c r="B106" s="316" t="s">
        <v>1220</v>
      </c>
      <c r="C106" s="316"/>
      <c r="D106" s="316"/>
      <c r="E106" s="316"/>
      <c r="F106" s="316"/>
      <c r="G106" s="316" t="s">
        <v>1221</v>
      </c>
      <c r="H106" s="316"/>
      <c r="I106" s="316"/>
      <c r="J106" s="316"/>
      <c r="K106" s="316"/>
      <c r="L106" s="316"/>
      <c r="M106" s="316"/>
      <c r="N106" s="316"/>
      <c r="R106" s="895" t="s">
        <v>1222</v>
      </c>
      <c r="S106" s="895"/>
      <c r="T106" s="895"/>
      <c r="U106" s="895"/>
      <c r="V106" s="895"/>
      <c r="W106" s="895"/>
      <c r="X106" s="318"/>
      <c r="Y106" s="318"/>
      <c r="AA106" s="318"/>
      <c r="AB106" s="318"/>
      <c r="AC106" s="318"/>
      <c r="AD106" s="318"/>
    </row>
    <row r="107" spans="1:53" s="322" customFormat="1" ht="9" customHeight="1">
      <c r="A107" s="319"/>
      <c r="B107" s="320" t="s">
        <v>1224</v>
      </c>
      <c r="C107" s="321"/>
      <c r="D107" s="321"/>
      <c r="E107" s="321"/>
      <c r="F107" s="321"/>
      <c r="G107" s="320" t="s">
        <v>1223</v>
      </c>
      <c r="H107" s="321"/>
      <c r="I107" s="321"/>
      <c r="J107" s="321"/>
      <c r="K107" s="321"/>
      <c r="L107" s="321"/>
      <c r="M107" s="321"/>
      <c r="N107" s="321"/>
      <c r="R107" s="323" t="s">
        <v>1225</v>
      </c>
      <c r="S107" s="324"/>
      <c r="T107" s="325"/>
      <c r="U107" s="325"/>
      <c r="V107" s="325"/>
      <c r="W107" s="323" t="s">
        <v>1226</v>
      </c>
      <c r="X107" s="325"/>
      <c r="Y107" s="325"/>
      <c r="AA107" s="325"/>
      <c r="AB107" s="325"/>
      <c r="AC107" s="325"/>
      <c r="AD107" s="325"/>
    </row>
    <row r="108" spans="1:53" s="307" customFormat="1" ht="12" customHeight="1">
      <c r="A108" s="326" t="s">
        <v>3</v>
      </c>
      <c r="B108" s="327" t="s">
        <v>8</v>
      </c>
      <c r="C108" s="327" t="s">
        <v>9</v>
      </c>
      <c r="D108" s="327" t="s">
        <v>10</v>
      </c>
      <c r="E108" s="328" t="s">
        <v>1200</v>
      </c>
      <c r="F108" s="327"/>
      <c r="G108" s="307" t="s">
        <v>3</v>
      </c>
      <c r="H108" s="896" t="s">
        <v>0</v>
      </c>
      <c r="I108" s="896"/>
      <c r="J108" s="896" t="s">
        <v>1</v>
      </c>
      <c r="K108" s="896"/>
      <c r="L108" s="896" t="s">
        <v>2</v>
      </c>
      <c r="M108" s="896"/>
      <c r="N108" s="897" t="s">
        <v>1200</v>
      </c>
      <c r="O108" s="897"/>
      <c r="P108" s="329"/>
      <c r="Q108" s="329"/>
      <c r="R108" s="330" t="s">
        <v>3</v>
      </c>
      <c r="S108" s="331" t="s">
        <v>136</v>
      </c>
      <c r="T108" s="329" t="s">
        <v>134</v>
      </c>
      <c r="U108" s="327" t="s">
        <v>135</v>
      </c>
      <c r="V108" s="329"/>
      <c r="W108" s="332" t="s">
        <v>26</v>
      </c>
    </row>
    <row r="109" spans="1:53" s="16" customFormat="1" ht="9" customHeight="1">
      <c r="A109" s="44">
        <v>1990</v>
      </c>
      <c r="B109" s="175"/>
      <c r="C109" s="175"/>
      <c r="D109" s="175"/>
      <c r="E109" s="187"/>
      <c r="F109" s="175"/>
      <c r="G109" s="16">
        <v>1990</v>
      </c>
      <c r="H109" s="175"/>
      <c r="I109" s="175"/>
      <c r="J109" s="175"/>
      <c r="K109" s="175"/>
      <c r="L109" s="175"/>
      <c r="M109" s="175"/>
      <c r="N109" s="187"/>
      <c r="O109" s="187"/>
      <c r="P109" s="176"/>
      <c r="Q109" s="176"/>
      <c r="R109" s="182">
        <v>1990</v>
      </c>
      <c r="S109" s="176"/>
      <c r="T109" s="176"/>
      <c r="U109" s="175"/>
      <c r="V109" s="176"/>
      <c r="W109" s="177"/>
    </row>
    <row r="110" spans="1:53" ht="9" customHeight="1">
      <c r="A110" s="1">
        <v>1991</v>
      </c>
      <c r="B110" s="8">
        <f xml:space="preserve"> (K7*($E7/9))</f>
        <v>13.043478260869565</v>
      </c>
      <c r="C110" s="8">
        <f xml:space="preserve"> (L7*($E7/9))</f>
        <v>53.666666666666671</v>
      </c>
      <c r="D110" s="8">
        <f xml:space="preserve"> (M7*($E7/9))</f>
        <v>0</v>
      </c>
      <c r="E110" s="52">
        <f>B110+C110+D110</f>
        <v>66.710144927536234</v>
      </c>
      <c r="G110" s="1">
        <v>1991</v>
      </c>
      <c r="H110" s="928">
        <f>(O7/$R7*100*($E7/9))</f>
        <v>36.363636363636367</v>
      </c>
      <c r="I110" s="928"/>
      <c r="J110" s="928">
        <f>(P7/$R7*100*($E7/9))</f>
        <v>63.636363636363647</v>
      </c>
      <c r="K110" s="928"/>
      <c r="L110" s="928">
        <f>(Q7/$R7*100*($E7/9))</f>
        <v>0</v>
      </c>
      <c r="M110" s="928"/>
      <c r="N110" s="939">
        <f t="shared" ref="N110:N131" si="27">H110+J110+L110</f>
        <v>100.00000000000001</v>
      </c>
      <c r="O110" s="939"/>
      <c r="P110" s="12"/>
      <c r="Q110" s="12"/>
      <c r="R110" s="1">
        <v>1991</v>
      </c>
      <c r="S110" s="8">
        <f xml:space="preserve"> (O7*($E7/9))</f>
        <v>9.6</v>
      </c>
      <c r="T110" s="8">
        <f xml:space="preserve"> (P7*($E7/9))</f>
        <v>16.8</v>
      </c>
      <c r="U110" s="8">
        <f xml:space="preserve"> (Q7*($E7/9))</f>
        <v>0</v>
      </c>
      <c r="V110" s="12"/>
      <c r="W110" s="7">
        <f>S110+T110+U110</f>
        <v>26.4</v>
      </c>
      <c r="X110" s="68"/>
      <c r="Y110" s="71" t="s">
        <v>1160</v>
      </c>
      <c r="Z110" s="68"/>
      <c r="AA110" s="68"/>
    </row>
    <row r="111" spans="1:53" ht="9" customHeight="1">
      <c r="A111" s="1">
        <v>1992</v>
      </c>
      <c r="B111" s="8">
        <f xml:space="preserve"> (K8*($E8/366))+(K9*($E9/366))+(K10*($E10/366))</f>
        <v>23.110252466519107</v>
      </c>
      <c r="C111" s="8">
        <f xml:space="preserve"> (L8*($E8/366))+(L9*($E9/366))+(L10*($E10/366))</f>
        <v>34.634530314858182</v>
      </c>
      <c r="D111" s="8">
        <f xml:space="preserve"> (M8*($E8/366))+(M9*($E9/366))+(M10*($E10/366))</f>
        <v>0</v>
      </c>
      <c r="E111" s="52">
        <f t="shared" ref="E111:E131" si="28">B111+C111+D111</f>
        <v>57.744782781377289</v>
      </c>
      <c r="G111" s="1">
        <v>1992</v>
      </c>
      <c r="H111" s="928">
        <f>(O8/$R8*100*($E8/366))+(O10/$R10*100*($E10/366))</f>
        <v>41.541023953439691</v>
      </c>
      <c r="I111" s="928"/>
      <c r="J111" s="928">
        <f>(P8/$R8*100*($E8/366))+(P10/$R10*100*($E10/366))</f>
        <v>48.896134516505654</v>
      </c>
      <c r="K111" s="928"/>
      <c r="L111" s="928">
        <f>(Q8/$R8*100*($E8/366))+(Q10/$R10*100*($E10/366))</f>
        <v>0</v>
      </c>
      <c r="M111" s="928"/>
      <c r="N111" s="939">
        <f t="shared" si="27"/>
        <v>90.437158469945345</v>
      </c>
      <c r="O111" s="939"/>
      <c r="P111" s="12"/>
      <c r="Q111" s="12"/>
      <c r="R111" s="1">
        <v>1992</v>
      </c>
      <c r="S111" s="8">
        <f xml:space="preserve"> (O8*($E8/366))+(O9*($E9/366))+(O10*($E10/366))</f>
        <v>14.339344262295082</v>
      </c>
      <c r="T111" s="8">
        <f xml:space="preserve"> (P8*($E8/366))+(P9*($E9/366))+(P10*($E10/366))</f>
        <v>15.716393442622948</v>
      </c>
      <c r="U111" s="8">
        <f xml:space="preserve"> (Q8*($E8/366))+(Q9*($E9/366))+(Q10*($E10/366))</f>
        <v>0</v>
      </c>
      <c r="V111" s="12"/>
      <c r="W111" s="7">
        <f t="shared" ref="W111:W130" si="29">S111+T111+U111</f>
        <v>30.05573770491803</v>
      </c>
    </row>
    <row r="112" spans="1:53" ht="9" customHeight="1">
      <c r="A112" s="1">
        <v>1993</v>
      </c>
      <c r="B112" s="8">
        <f xml:space="preserve"> (K11*($E11/365))+(K12*($E12/365))</f>
        <v>30.079307858687812</v>
      </c>
      <c r="C112" s="8">
        <f xml:space="preserve"> (L11*($E11/365))+(L12*($E12/365))</f>
        <v>19.944422700587086</v>
      </c>
      <c r="D112" s="8">
        <f xml:space="preserve"> (M11*($E11/365))+(M12*($E12/365))</f>
        <v>11.931506849315069</v>
      </c>
      <c r="E112" s="52">
        <f t="shared" si="28"/>
        <v>61.955237408589966</v>
      </c>
      <c r="G112" s="1">
        <v>1993</v>
      </c>
      <c r="H112" s="928">
        <f>(O11/$R11*100*($E11/365))+(O12/$R12*100*($E12/365))</f>
        <v>44.551839232320418</v>
      </c>
      <c r="I112" s="928"/>
      <c r="J112" s="928">
        <f>(P11/$R11*100*($E11/365))+(P12/$R12*100*($E12/365))</f>
        <v>37.091996384117934</v>
      </c>
      <c r="K112" s="928"/>
      <c r="L112" s="928">
        <f>(Q11/$R11*100*($E11/365))+(Q12/$R12*100*($E12/365))</f>
        <v>18.356164383561644</v>
      </c>
      <c r="M112" s="928"/>
      <c r="N112" s="939">
        <f t="shared" si="27"/>
        <v>100</v>
      </c>
      <c r="O112" s="939"/>
      <c r="P112" s="12"/>
      <c r="Q112" s="12"/>
      <c r="R112" s="1">
        <v>1993</v>
      </c>
      <c r="S112" s="8">
        <f xml:space="preserve"> (O11*($E11/365))+(O12*($E12/365))</f>
        <v>17.553424657534247</v>
      </c>
      <c r="T112" s="8">
        <f xml:space="preserve"> (P11*($E11/365))+(P12*($E12/365))</f>
        <v>14.614246575342465</v>
      </c>
      <c r="U112" s="8">
        <f xml:space="preserve"> (Q11*($E11/365))+(Q12*($E12/365))</f>
        <v>12.096712328767124</v>
      </c>
      <c r="V112" s="12"/>
      <c r="W112" s="7">
        <f t="shared" si="29"/>
        <v>44.264383561643839</v>
      </c>
    </row>
    <row r="113" spans="1:23" ht="9" customHeight="1">
      <c r="A113" s="1">
        <v>1994</v>
      </c>
      <c r="B113" s="8">
        <f xml:space="preserve"> (K13*($E13/365))+(K14*($E14/365))</f>
        <v>0</v>
      </c>
      <c r="C113" s="8">
        <f xml:space="preserve"> (L13*($E13/365))+(L14*($E14/365))</f>
        <v>0</v>
      </c>
      <c r="D113" s="8">
        <f xml:space="preserve"> (M13*($E13/365))+(M14*($E14/365))</f>
        <v>65</v>
      </c>
      <c r="E113" s="52">
        <f t="shared" si="28"/>
        <v>65</v>
      </c>
      <c r="G113" s="1">
        <v>1994</v>
      </c>
      <c r="H113" s="928">
        <f>(O13/$R13*100*($E13/365))+(O14/$R14*100*($E14/365))</f>
        <v>0</v>
      </c>
      <c r="I113" s="928"/>
      <c r="J113" s="928">
        <f>(P13/$R13*100*($E13/365))+(P14/$R14*100*($E14/365))</f>
        <v>0</v>
      </c>
      <c r="K113" s="928"/>
      <c r="L113" s="928">
        <f>(Q13/$R13*100*($E13/365))+(Q14/$R14*100*($E14/365))</f>
        <v>100</v>
      </c>
      <c r="M113" s="928"/>
      <c r="N113" s="939">
        <f t="shared" si="27"/>
        <v>100</v>
      </c>
      <c r="O113" s="939"/>
      <c r="P113" s="12"/>
      <c r="Q113" s="12"/>
      <c r="R113" s="1">
        <v>1994</v>
      </c>
      <c r="S113" s="8">
        <f xml:space="preserve"> (O13*($E13/365))+(O14*($E14/365))</f>
        <v>0</v>
      </c>
      <c r="T113" s="8">
        <f xml:space="preserve"> (P13*($E13/365))+(P14*($E14/365))</f>
        <v>0</v>
      </c>
      <c r="U113" s="8">
        <f xml:space="preserve"> (Q13*($E13/365))+(Q14*($E14/365))</f>
        <v>65.900000000000006</v>
      </c>
      <c r="V113" s="12"/>
      <c r="W113" s="7">
        <f t="shared" si="29"/>
        <v>65.900000000000006</v>
      </c>
    </row>
    <row r="114" spans="1:23" ht="9" customHeight="1">
      <c r="A114" s="1">
        <v>1995</v>
      </c>
      <c r="B114" s="8">
        <f xml:space="preserve"> (K15*($E15/365))+(K16*($E16/365))</f>
        <v>0</v>
      </c>
      <c r="C114" s="8">
        <f xml:space="preserve"> (L15*($E15/365))+(L16*($E16/365))</f>
        <v>0</v>
      </c>
      <c r="D114" s="8">
        <f xml:space="preserve"> (M15*($E15/365))+(M16*($E16/365))</f>
        <v>82.082191780821915</v>
      </c>
      <c r="E114" s="52">
        <f t="shared" si="28"/>
        <v>82.082191780821915</v>
      </c>
      <c r="G114" s="1">
        <v>1995</v>
      </c>
      <c r="H114" s="928">
        <f>(O15/$R15*100*($E15/365))+(O16/$R16*100*($E16/365))</f>
        <v>0</v>
      </c>
      <c r="I114" s="928"/>
      <c r="J114" s="928">
        <f>(P15/$R15*100*($E15/365))+(P16/$R16*100*($E16/365))</f>
        <v>0</v>
      </c>
      <c r="K114" s="928"/>
      <c r="L114" s="928">
        <f>(Q15/$R15*100*($E15/365))+(Q16/$R16*100*($E16/365))</f>
        <v>100</v>
      </c>
      <c r="M114" s="928"/>
      <c r="N114" s="939">
        <f t="shared" si="27"/>
        <v>100</v>
      </c>
      <c r="O114" s="939"/>
      <c r="P114" s="12"/>
      <c r="Q114" s="12"/>
      <c r="R114" s="1">
        <v>1995</v>
      </c>
      <c r="S114" s="8">
        <f xml:space="preserve"> (O15*($E15/365))+(O16*($E16/365))</f>
        <v>0</v>
      </c>
      <c r="T114" s="8">
        <f xml:space="preserve"> (P15*($E15/365))+(P16*($E16/365))</f>
        <v>0</v>
      </c>
      <c r="U114" s="8">
        <f xml:space="preserve"> (Q15*($E15/365))+(Q16*($E16/365))</f>
        <v>65.900000000000006</v>
      </c>
      <c r="V114" s="12"/>
      <c r="W114" s="7">
        <f t="shared" si="29"/>
        <v>65.900000000000006</v>
      </c>
    </row>
    <row r="115" spans="1:23" ht="9" customHeight="1">
      <c r="A115" s="1">
        <v>1996</v>
      </c>
      <c r="B115" s="8">
        <f xml:space="preserve"> (K17*($E17/366))+(K18*($E18/366))+(K19*($E19/366))</f>
        <v>0</v>
      </c>
      <c r="C115" s="8">
        <f xml:space="preserve"> (L17*($E17/366))+(L18*($E18/366))+(L19*($E19/366))</f>
        <v>0</v>
      </c>
      <c r="D115" s="8">
        <f xml:space="preserve"> (M17*($E17/366))+(M18*($E18/366))+(M19*($E19/366))</f>
        <v>68.173302107728347</v>
      </c>
      <c r="E115" s="52">
        <f t="shared" si="28"/>
        <v>68.173302107728347</v>
      </c>
      <c r="G115" s="1">
        <v>1996</v>
      </c>
      <c r="H115" s="928">
        <f>(O17/$R17*100*($E17/366))+(O18/$R18*100*($E18/366))+(O19/$R19*100*($E19/366))</f>
        <v>0</v>
      </c>
      <c r="I115" s="928"/>
      <c r="J115" s="928">
        <f>(P17/$R17*100*($E17/366))+(P18/$R18*100*($E18/366))+(P19/$R19*100*($E19/366))</f>
        <v>0</v>
      </c>
      <c r="K115" s="928"/>
      <c r="L115" s="928">
        <f>(Q17/$R17*100*($E17/366))+(Q18/$R18*100*($E18/366))+(Q19/$R19*100*($E19/366))</f>
        <v>100.00000000000001</v>
      </c>
      <c r="M115" s="928"/>
      <c r="N115" s="939">
        <f t="shared" si="27"/>
        <v>100.00000000000001</v>
      </c>
      <c r="O115" s="939"/>
      <c r="P115" s="12"/>
      <c r="Q115" s="12"/>
      <c r="R115" s="1">
        <v>1996</v>
      </c>
      <c r="S115" s="8">
        <f xml:space="preserve"> (O17*($E17/366))+(O18*($E18/366))+(O19*($E19/366))</f>
        <v>0</v>
      </c>
      <c r="T115" s="8">
        <f xml:space="preserve"> (P17*($E17/366))+(P18*($E18/366))+(P19*($E19/366))</f>
        <v>0</v>
      </c>
      <c r="U115" s="8">
        <f xml:space="preserve"> (Q17*($E17/366))+(Q18*($E18/366))+(Q19*($E19/366))</f>
        <v>65.900000000000006</v>
      </c>
      <c r="V115" s="12"/>
      <c r="W115" s="7">
        <f t="shared" si="29"/>
        <v>65.900000000000006</v>
      </c>
    </row>
    <row r="116" spans="1:23" ht="9" customHeight="1">
      <c r="A116" s="1">
        <v>1997</v>
      </c>
      <c r="B116" s="8">
        <f xml:space="preserve"> (K20*($E20/365))+(K21*($E21/365))+(K22*($E22/365))</f>
        <v>16.247766527695056</v>
      </c>
      <c r="C116" s="8">
        <f xml:space="preserve"> (L20*($E20/365))+(L21*($E21/365))+(L22*($E22/365))</f>
        <v>0</v>
      </c>
      <c r="D116" s="8">
        <f xml:space="preserve"> (M20*($E20/365))+(M21*($E21/365))+(M22*($E22/365))</f>
        <v>55.794280221100685</v>
      </c>
      <c r="E116" s="52">
        <f t="shared" si="28"/>
        <v>72.042046748795741</v>
      </c>
      <c r="G116" s="1">
        <v>1997</v>
      </c>
      <c r="H116" s="928">
        <f>(O20/$R20*100*($E20/365))+(O21/$R21*100*($E21/365))+(O22/$R22*100*($E22/365))</f>
        <v>16.986301369863014</v>
      </c>
      <c r="I116" s="928"/>
      <c r="J116" s="928">
        <f>(P20/$R20*100*($E20/365))+(P21/$R21*100*($E21/365))+(P22/$R22*100*($E22/365))</f>
        <v>0</v>
      </c>
      <c r="K116" s="928"/>
      <c r="L116" s="928">
        <f>(Q20/$R20*100*($E20/365))+(Q21/$R21*100*($E21/365))+(Q22/$R22*100*($E22/365))</f>
        <v>83.013698630136986</v>
      </c>
      <c r="M116" s="928"/>
      <c r="N116" s="939">
        <f t="shared" si="27"/>
        <v>100</v>
      </c>
      <c r="O116" s="939"/>
      <c r="P116" s="12"/>
      <c r="Q116" s="12"/>
      <c r="R116" s="1">
        <v>1997</v>
      </c>
      <c r="S116" s="8">
        <f xml:space="preserve"> (O20*($E20/365))+(O21*($E21/365))+(O22*($E22/365))</f>
        <v>9.6312328767123283</v>
      </c>
      <c r="T116" s="8">
        <f xml:space="preserve"> (P20*($E20/365))+(P21*($E21/365))+(P22*($E22/365))</f>
        <v>0</v>
      </c>
      <c r="U116" s="8">
        <f xml:space="preserve"> (Q20*($E20/365))+(Q21*($E21/365))+(Q22*($E22/365))</f>
        <v>54.706027397260279</v>
      </c>
      <c r="V116" s="12"/>
      <c r="W116" s="7">
        <f t="shared" si="29"/>
        <v>64.337260273972603</v>
      </c>
    </row>
    <row r="117" spans="1:23" ht="9" customHeight="1">
      <c r="A117" s="1">
        <v>1998</v>
      </c>
      <c r="B117" s="8">
        <f xml:space="preserve"> (K23*($E23/365))+(K24*($E24/365))+(K25*($E25/365))</f>
        <v>96.014943960149452</v>
      </c>
      <c r="C117" s="8">
        <f xml:space="preserve"> (L23*($E23/365))+(L24*($E24/365))+(L25*($E25/365))</f>
        <v>0</v>
      </c>
      <c r="D117" s="8">
        <f xml:space="preserve"> (M23*($E23/365))+(M24*($E24/365))+(M25*($E25/365))</f>
        <v>0</v>
      </c>
      <c r="E117" s="52">
        <f t="shared" si="28"/>
        <v>96.014943960149452</v>
      </c>
      <c r="G117" s="1">
        <v>1998</v>
      </c>
      <c r="H117" s="928">
        <f>(O23/$R23*100*($E23/365))+(O24/$R24*100*($E24/365))+(O25/$R25*100*($E25/365))</f>
        <v>100</v>
      </c>
      <c r="I117" s="928"/>
      <c r="J117" s="928">
        <f>(P23/$R23*100*($E23/365))+(P24/$R24*100*($E24/365))+(P25/$R25*100*($E25/365))</f>
        <v>0</v>
      </c>
      <c r="K117" s="928"/>
      <c r="L117" s="928">
        <f>(Q23/$R23*100*($E23/365))+(Q24/$R24*100*($E24/365))+(Q25/$R25*100*($E25/365))</f>
        <v>0</v>
      </c>
      <c r="M117" s="928"/>
      <c r="N117" s="939">
        <f t="shared" si="27"/>
        <v>100</v>
      </c>
      <c r="O117" s="939"/>
      <c r="P117" s="12"/>
      <c r="Q117" s="12"/>
      <c r="R117" s="1">
        <v>1998</v>
      </c>
      <c r="S117" s="8">
        <f xml:space="preserve"> (O23*($E23/365))+(O24*($E24/365))+(O25*($E25/365))</f>
        <v>56.7</v>
      </c>
      <c r="T117" s="8">
        <f xml:space="preserve"> (P23*($E23/365))+(P24*($E24/365))+(P25*($E25/365))</f>
        <v>0</v>
      </c>
      <c r="U117" s="8">
        <f xml:space="preserve"> (Q23*($E23/365))+(Q24*($E24/365))+(Q25*($E25/365))</f>
        <v>0</v>
      </c>
      <c r="V117" s="12"/>
      <c r="W117" s="7">
        <f t="shared" si="29"/>
        <v>56.7</v>
      </c>
    </row>
    <row r="118" spans="1:23" ht="9" customHeight="1">
      <c r="A118" s="1">
        <v>1999</v>
      </c>
      <c r="B118" s="8">
        <f xml:space="preserve"> (K26*($E26/365))+(K27*($E27/365))</f>
        <v>100</v>
      </c>
      <c r="C118" s="8">
        <f xml:space="preserve"> (L26*($E26/365))+(L27*($E27/365))</f>
        <v>0</v>
      </c>
      <c r="D118" s="8">
        <f xml:space="preserve"> (M26*($E26/365))+(M27*($E27/365))</f>
        <v>0</v>
      </c>
      <c r="E118" s="52">
        <f t="shared" si="28"/>
        <v>100</v>
      </c>
      <c r="G118" s="1">
        <v>1999</v>
      </c>
      <c r="H118" s="928">
        <f>(O26/$R26*100*($E26/365))+(O27/$R27*100*($E27/365))</f>
        <v>100</v>
      </c>
      <c r="I118" s="928"/>
      <c r="J118" s="928">
        <f>(P26/$R26*100*($E26/365))+(P27/$R27*100*($E27/365))</f>
        <v>0</v>
      </c>
      <c r="K118" s="928"/>
      <c r="L118" s="928">
        <f>(Q26/$R26*100*($E26/365))+(Q27/$R27*100*($E27/365))</f>
        <v>0</v>
      </c>
      <c r="M118" s="928"/>
      <c r="N118" s="939">
        <f t="shared" si="27"/>
        <v>100</v>
      </c>
      <c r="O118" s="939"/>
      <c r="P118" s="12"/>
      <c r="Q118" s="12"/>
      <c r="R118" s="1">
        <v>1999</v>
      </c>
      <c r="S118" s="8">
        <f xml:space="preserve"> (O26*($E26/365))+(O27*($E27/365))</f>
        <v>56.7</v>
      </c>
      <c r="T118" s="8">
        <f xml:space="preserve"> (P26*($E26/365))+(P27*($E27/365))</f>
        <v>0</v>
      </c>
      <c r="U118" s="8">
        <f xml:space="preserve"> (Q26*($E26/365))+(Q27*($E27/365))</f>
        <v>0</v>
      </c>
      <c r="V118" s="12"/>
      <c r="W118" s="7">
        <f t="shared" si="29"/>
        <v>56.7</v>
      </c>
    </row>
    <row r="119" spans="1:23" ht="9" customHeight="1">
      <c r="A119" s="1">
        <v>2000</v>
      </c>
      <c r="B119" s="8">
        <f xml:space="preserve"> (K28*($E28/366))+(K29*($E29/366))+(K30*($E30/366))+(K31*($E31/366))</f>
        <v>89.502444636180613</v>
      </c>
      <c r="C119" s="8">
        <f xml:space="preserve"> (L28*($E28/366))+(L29*($E29/366))+(L30*($E30/366))+(L31*($E31/366))</f>
        <v>0</v>
      </c>
      <c r="D119" s="8">
        <f xml:space="preserve"> (M28*($E28/366))+(M29*($E29/366))+(M30*($E30/366))+(M31*($E31/366))</f>
        <v>0</v>
      </c>
      <c r="E119" s="52">
        <f t="shared" si="28"/>
        <v>89.502444636180613</v>
      </c>
      <c r="G119" s="1">
        <v>2000</v>
      </c>
      <c r="H119" s="928">
        <f>(O28/$R28*100*($E28/366))+(O29/$R29*100*($E29/366))+(O30/$R30*100*($E30/366))+(O31/$R31*100*($E31/366))</f>
        <v>100</v>
      </c>
      <c r="I119" s="928"/>
      <c r="J119" s="928">
        <f>(P28/$R28*100*($E28/366))+(P29/$R29*100*($E29/366))+(P30/$R30*100*($E30/366))+(P31/$R31*100*($E31/366))</f>
        <v>0</v>
      </c>
      <c r="K119" s="928"/>
      <c r="L119" s="928">
        <f>(Q28/$R28*100*($E28/366))+(Q29/$R29*100*($E29/366))+(Q30/$R30*100*($E30/366))+(Q31/$R31*100*($E31/366))</f>
        <v>0</v>
      </c>
      <c r="M119" s="928"/>
      <c r="N119" s="939">
        <f t="shared" si="27"/>
        <v>100</v>
      </c>
      <c r="O119" s="939"/>
      <c r="P119" s="12"/>
      <c r="Q119" s="12"/>
      <c r="R119" s="1">
        <v>2000</v>
      </c>
      <c r="S119" s="8">
        <f xml:space="preserve"> (O28*($E28/366))+(O29*($E29/366))+(O30*($E30/366))+(O31*($E31/366))</f>
        <v>50.093442622950825</v>
      </c>
      <c r="T119" s="8">
        <f xml:space="preserve"> (P28*($E28/366))+(P29*($E29/366))+(P30*($E30/366))+(P31*($E31/366))</f>
        <v>0</v>
      </c>
      <c r="U119" s="8">
        <f xml:space="preserve"> (Q28*($E28/366))+(Q29*($E29/366))+(Q30*($E30/366))+(Q31*($E31/366))</f>
        <v>0</v>
      </c>
      <c r="V119" s="12"/>
      <c r="W119" s="7">
        <f t="shared" si="29"/>
        <v>50.093442622950825</v>
      </c>
    </row>
    <row r="120" spans="1:23" ht="9" customHeight="1">
      <c r="A120" s="1">
        <v>2001</v>
      </c>
      <c r="B120" s="8">
        <f xml:space="preserve"> (K32*($E32/365))+(K33*($E33/365))+(K34*($E34/365))+(K35*($E35/365))</f>
        <v>61.110310021629417</v>
      </c>
      <c r="C120" s="8">
        <f xml:space="preserve"> (L32*($E32/365))+(L33*($E33/365))+(L34*($E34/365))+(L35*($E35/365))</f>
        <v>0</v>
      </c>
      <c r="D120" s="8">
        <f xml:space="preserve"> (M32*($E32/365))+(M33*($E33/365))+(M34*($E34/365))+(M35*($E35/365))</f>
        <v>17.570776255707763</v>
      </c>
      <c r="E120" s="52">
        <f t="shared" si="28"/>
        <v>78.681086277337187</v>
      </c>
      <c r="G120" s="1">
        <v>2001</v>
      </c>
      <c r="H120" s="928">
        <f>(O32/$R32*100*($E32/365))+(O33/$R33*100*($E33/365))+(O34/$R34*100*($E34/365))+(O35/$R35*100*($E35/365))</f>
        <v>79.726027397260282</v>
      </c>
      <c r="I120" s="928"/>
      <c r="J120" s="928">
        <f>(P32/$R32*100*($E32/365))+(P33/$R33*100*($E33/365))+(P34/$R34*100*($E34/365))+(P35/$R35*100*($E35/365))</f>
        <v>0</v>
      </c>
      <c r="K120" s="928"/>
      <c r="L120" s="928">
        <f>(Q32/$R32*100*($E32/365))+(Q33/$R33*100*($E33/365))+(Q34/$R34*100*($E34/365))+(Q35/$R35*100*($E35/365))</f>
        <v>20.273972602739725</v>
      </c>
      <c r="M120" s="928"/>
      <c r="N120" s="939">
        <f t="shared" si="27"/>
        <v>100</v>
      </c>
      <c r="O120" s="939"/>
      <c r="P120" s="12"/>
      <c r="Q120" s="12"/>
      <c r="R120" s="1">
        <v>2001</v>
      </c>
      <c r="S120" s="8">
        <f xml:space="preserve"> (O32*($E32/365))+(O33*($E33/365))+(O34*($E34/365))+(O35*($E35/365))</f>
        <v>34.840273972602745</v>
      </c>
      <c r="T120" s="8">
        <f xml:space="preserve"> (P32*($E32/365))+(P33*($E33/365))+(P34*($E34/365))+(P35*($E35/365))</f>
        <v>0</v>
      </c>
      <c r="U120" s="8">
        <f xml:space="preserve"> (Q32*($E32/365))+(Q33*($E33/365))+(Q34*($E34/365))+(Q35*($E35/365))</f>
        <v>11.373698630136987</v>
      </c>
      <c r="V120" s="12"/>
      <c r="W120" s="7">
        <f t="shared" si="29"/>
        <v>46.21397260273973</v>
      </c>
    </row>
    <row r="121" spans="1:23" ht="9" customHeight="1">
      <c r="A121" s="1">
        <v>2002</v>
      </c>
      <c r="B121" s="8">
        <f xml:space="preserve"> (K36*($E36/365))+(K37*($E37/365))</f>
        <v>0</v>
      </c>
      <c r="C121" s="8">
        <f xml:space="preserve"> (L36*($E36/365))+(L37*($E37/365))</f>
        <v>0</v>
      </c>
      <c r="D121" s="8">
        <f xml:space="preserve"> (M36*($E36/365))+(M37*($E37/365))</f>
        <v>86.666666666666671</v>
      </c>
      <c r="E121" s="52">
        <f t="shared" si="28"/>
        <v>86.666666666666671</v>
      </c>
      <c r="G121" s="1">
        <v>2002</v>
      </c>
      <c r="H121" s="928">
        <f>(O36/$R36*100*($E36/365))+(O37/$R37*100*($E37/365))</f>
        <v>0</v>
      </c>
      <c r="I121" s="928"/>
      <c r="J121" s="928">
        <f>(P36/$R36*100*($E36/365))+(P37/$R37*100*($E37/365))</f>
        <v>0</v>
      </c>
      <c r="K121" s="928"/>
      <c r="L121" s="928">
        <f>(Q36/$R36*100*($E36/365))+(Q37/$R37*100*($E37/365))</f>
        <v>100</v>
      </c>
      <c r="M121" s="928"/>
      <c r="N121" s="939">
        <f t="shared" si="27"/>
        <v>100</v>
      </c>
      <c r="O121" s="939"/>
      <c r="P121" s="12"/>
      <c r="Q121" s="12"/>
      <c r="R121" s="1">
        <v>2002</v>
      </c>
      <c r="S121" s="8">
        <f xml:space="preserve"> (O36*($E36/365))+(O37*($E37/365))</f>
        <v>0</v>
      </c>
      <c r="T121" s="8">
        <f xml:space="preserve"> (P36*($E36/365))+(P37*($E37/365))</f>
        <v>0</v>
      </c>
      <c r="U121" s="8">
        <f xml:space="preserve"> (Q36*($E36/365))+(Q37*($E37/365))</f>
        <v>56.1</v>
      </c>
      <c r="V121" s="12"/>
      <c r="W121" s="7">
        <f t="shared" si="29"/>
        <v>56.1</v>
      </c>
    </row>
    <row r="122" spans="1:23" ht="9" customHeight="1">
      <c r="A122" s="1">
        <v>2003</v>
      </c>
      <c r="B122" s="8">
        <f xml:space="preserve"> (K38*($E38/365))+(K39*($E39/365))+(K40*($E40/365))+(K41*($E41/365))+(K42*($E42/365))+(K43*($E43/365))+(K44*($E44/365))</f>
        <v>0</v>
      </c>
      <c r="C122" s="8">
        <f xml:space="preserve"> (L38*($E38/365))+(L39*($E39/365))+(L40*($E40/365))+(L41*($E41/365))+(L42*($E42/365))+(L43*($E43/365))+(L44*($E44/365))</f>
        <v>0</v>
      </c>
      <c r="D122" s="8">
        <f xml:space="preserve"> (M38*($E38/365))+(M39*($E39/365))+(M40*($E40/365))+(M41*($E41/365))+(M42*($E42/365))+(M43*($E43/365))+(M44*($E44/365))</f>
        <v>69.462530217566467</v>
      </c>
      <c r="E122" s="52">
        <f t="shared" si="28"/>
        <v>69.462530217566467</v>
      </c>
      <c r="G122" s="1">
        <v>2003</v>
      </c>
      <c r="H122" s="928">
        <f>(O38/$R38*100*($E38/365))+(O39/$R39*100*($E39/365))+(O40/$R40*100*($E40/365))+(O41/$R41*100*($E41/365))+(O42/$R42*100*($E42/365))+(O43/$R43*100*($E43/365))+(O44/$R44*100*($E44/365))</f>
        <v>0</v>
      </c>
      <c r="I122" s="928"/>
      <c r="J122" s="928">
        <f>(P38/$R38*100*($E38/365))+(P39/$R39*100*($E39/365))+(P40/$R40*100*($E40/365))+(P41/$R41*100*($E41/365))+(P42/$R42*100*($E42/365))+(P43/$R43*100*($E43/365))+(P44/$R44*100*($E44/365))</f>
        <v>0</v>
      </c>
      <c r="K122" s="928"/>
      <c r="L122" s="928">
        <f>(Q38/$R38*100*($E38/365))+(Q39/$R39*100*($E39/365))+(Q40/$R40*100*($E40/365))+(Q41/$R41*100*($E41/365))+(Q42/$R42*100*($E42/365))+(Q43/$R43*100*($E43/365))+(Q44/$R44*100*($E44/365))</f>
        <v>100</v>
      </c>
      <c r="M122" s="928"/>
      <c r="N122" s="939">
        <f t="shared" si="27"/>
        <v>100</v>
      </c>
      <c r="O122" s="939"/>
      <c r="P122" s="12"/>
      <c r="Q122" s="12"/>
      <c r="R122" s="1">
        <v>2003</v>
      </c>
      <c r="S122" s="8">
        <f xml:space="preserve"> (O38*($E38/365))+(O39*($E39/365))+(O40*($E40/365))+(O41*($E41/365))+(O42*($E42/365))+(O43*($E43/365))+(O44*($E44/365))</f>
        <v>0</v>
      </c>
      <c r="T122" s="8">
        <f xml:space="preserve"> (P38*($E38/365))+(P39*($E39/365))+(P40*($E40/365))+(P41*($E41/365))+(P42*($E42/365))+(P43*($E43/365))+(P44*($E44/365))</f>
        <v>0</v>
      </c>
      <c r="U122" s="8">
        <f xml:space="preserve"> (Q38*($E38/365))+(Q39*($E39/365))+(Q40*($E40/365))+(Q41*($E41/365))+(Q42*($E42/365))+(Q43*($E43/365))+(Q44*($E44/365))</f>
        <v>48.52082191780822</v>
      </c>
      <c r="V122" s="12"/>
      <c r="W122" s="7">
        <f t="shared" si="29"/>
        <v>48.52082191780822</v>
      </c>
    </row>
    <row r="123" spans="1:23" ht="9" customHeight="1">
      <c r="A123" s="1">
        <v>2004</v>
      </c>
      <c r="B123" s="8">
        <f xml:space="preserve"> (K45*($E45/366))+(K46*($E46/366))+(K47*($E47/366))+(K48*($E48/366))+(K49*($E49/366))+(K50*($E50/366))</f>
        <v>0</v>
      </c>
      <c r="C123" s="8">
        <f xml:space="preserve"> (L45*($E45/366))+(L46*($E46/366))+(L47*($E47/366))+(L48*($E48/366))+(L49*($E49/366))+(L50*($E50/366))</f>
        <v>0</v>
      </c>
      <c r="D123" s="8">
        <f xml:space="preserve"> (M45*($E45/366))+(M46*($E46/366))+(M47*($E47/366))+(M48*($E48/366))+(M49*($E49/366))+(M50*($E50/366))</f>
        <v>56.291296117718488</v>
      </c>
      <c r="E123" s="52">
        <f t="shared" si="28"/>
        <v>56.291296117718488</v>
      </c>
      <c r="G123" s="1">
        <v>2004</v>
      </c>
      <c r="H123" s="928">
        <f>(O45/$R45*100*($E45/366))+(O46/$R46*100*($E46/366))+(O47/$R47*100*($E47/366))+(O48/$R48*100*($E48/366))+(O49/$R49*100*($E49/366))+(O50/$R50*100*($E50/366))</f>
        <v>0</v>
      </c>
      <c r="I123" s="928"/>
      <c r="J123" s="928">
        <f>(P45/$R45*100*($E45/366))+(P46/$R46*100*($E46/366))+(P47/$R47*100*($E47/366))+(P48/$R48*100*($E48/366))+(P49/$R49*100*($E49/366))+(P50/$R50*100*($E50/366))</f>
        <v>0</v>
      </c>
      <c r="K123" s="928"/>
      <c r="L123" s="928">
        <f>(Q45/$R45*100*($E45/366))+(Q46/$R46*100*($E46/366))+(Q47/$R47*100*($E47/366))+(Q48/$R48*100*($E48/366))+(Q49/$R49*100*($E49/366))+(Q50/$R50*100*($E50/366))</f>
        <v>100</v>
      </c>
      <c r="M123" s="928"/>
      <c r="N123" s="939">
        <f t="shared" si="27"/>
        <v>100</v>
      </c>
      <c r="O123" s="939"/>
      <c r="P123" s="12"/>
      <c r="Q123" s="12"/>
      <c r="R123" s="1">
        <v>2004</v>
      </c>
      <c r="S123" s="8">
        <f xml:space="preserve"> (O45*($E45/366))+(O46*($E46/366))+(O47*($E47/366))+(O48*($E48/366))+(O49*($E49/366))+(O50*($E50/366))</f>
        <v>0</v>
      </c>
      <c r="T123" s="8">
        <f xml:space="preserve"> (P45*($E45/366))+(P46*($E46/366))+(P47*($E47/366))+(P48*($E48/366))+(P49*($E49/366))+(P50*($E50/366))</f>
        <v>0</v>
      </c>
      <c r="U123" s="8">
        <f xml:space="preserve"> (Q45*($E45/366))+(Q46*($E46/366))+(Q47*($E47/366))+(Q48*($E48/366))+(Q49*($E49/366))+(Q50*($E50/366))</f>
        <v>47.994535519125684</v>
      </c>
      <c r="V123" s="12"/>
      <c r="W123" s="7">
        <f t="shared" si="29"/>
        <v>47.994535519125684</v>
      </c>
    </row>
    <row r="124" spans="1:23" ht="9" customHeight="1">
      <c r="A124" s="1">
        <v>2005</v>
      </c>
      <c r="B124" s="8">
        <f xml:space="preserve"> (K51*($E51/365))+(K52*($E52/365))+(K53*($E53/365))</f>
        <v>8.7062404870624057</v>
      </c>
      <c r="C124" s="8">
        <f xml:space="preserve"> (L51*($E51/365))+(L52*($E52/365))+(L53*($E53/365))</f>
        <v>0</v>
      </c>
      <c r="D124" s="8">
        <f xml:space="preserve"> (M51*($E51/365))+(M52*($E52/365))+(M53*($E53/365))</f>
        <v>40.419016921837226</v>
      </c>
      <c r="E124" s="52">
        <f t="shared" si="28"/>
        <v>49.125257408899628</v>
      </c>
      <c r="G124" s="1">
        <v>2005</v>
      </c>
      <c r="H124" s="928">
        <f>(O51/$R51*100*($E51/365))+(O52/$R52*100*($E52/365))+(O53/$R53*100*($E53/365))</f>
        <v>14.246575342465754</v>
      </c>
      <c r="I124" s="928"/>
      <c r="J124" s="928">
        <f>(P51/$R51*100*($E51/365))+(P52/$R52*100*($E52/365))+(P53/$R53*100*($E53/365))</f>
        <v>0</v>
      </c>
      <c r="K124" s="928"/>
      <c r="L124" s="928">
        <f>(Q51/$R51*100*($E51/365))+(Q52/$R52*100*($E52/365))+(Q53/$R53*100*($E53/365))</f>
        <v>85.753424657534239</v>
      </c>
      <c r="M124" s="928"/>
      <c r="N124" s="939">
        <f t="shared" si="27"/>
        <v>100</v>
      </c>
      <c r="O124" s="939"/>
      <c r="P124" s="12"/>
      <c r="Q124" s="12"/>
      <c r="R124" s="1">
        <v>2005</v>
      </c>
      <c r="S124" s="8">
        <f xml:space="preserve"> (O51*($E51/365))+(O52*($E52/365))+(O53*($E53/365))</f>
        <v>4.8010958904109593</v>
      </c>
      <c r="T124" s="8">
        <f xml:space="preserve"> (P51*($E51/365))+(P52*($E52/365))+(P53*($E53/365))</f>
        <v>0</v>
      </c>
      <c r="U124" s="8">
        <f xml:space="preserve"> (Q51*($E51/365))+(Q52*($E52/365))+(Q53*($E53/365))</f>
        <v>40.304109589041097</v>
      </c>
      <c r="V124" s="12"/>
      <c r="W124" s="7">
        <f t="shared" si="29"/>
        <v>45.105205479452053</v>
      </c>
    </row>
    <row r="125" spans="1:23" ht="9" customHeight="1">
      <c r="A125" s="1">
        <v>2006</v>
      </c>
      <c r="B125" s="8">
        <f xml:space="preserve"> (K54*($E54/365))+(K55*($E55/365)) +(K56*($E56/365))+(K57*($E57/365))+(K58*($E58/365))</f>
        <v>63.607305936073054</v>
      </c>
      <c r="C125" s="8">
        <f xml:space="preserve"> (L54*($E54/365))+(L55*($E55/365)) +(L56*($E56/365))+(L57*($E57/365))+(L58*($E58/365))</f>
        <v>0</v>
      </c>
      <c r="D125" s="8">
        <f xml:space="preserve"> (M54*($E54/365))+(M55*($E55/365)) +(M56*($E56/365))+(M57*($E57/365))+(M58*($E58/365))</f>
        <v>9.1282689912826882</v>
      </c>
      <c r="E125" s="52">
        <f t="shared" si="28"/>
        <v>72.735574927355742</v>
      </c>
      <c r="G125" s="1">
        <v>2006</v>
      </c>
      <c r="H125" s="928">
        <f>(O54/$R54*100*($E54/365))+(O55/$R55*100*($E55/365))+(O56/$R56*100*($E56/365))+(O57/$R57*100*($E57/365))+(O58/$R58*100*($E58/365))</f>
        <v>84.886787118661502</v>
      </c>
      <c r="I125" s="928"/>
      <c r="J125" s="928">
        <f>(P54/$R54*100*($E54/365))+(P55/$R55*100*($E55/365))+(P56/$R56*100*($E56/365))+(P57/$R57*100*($E57/365))+(P58/$R58*100*($E58/365))</f>
        <v>0</v>
      </c>
      <c r="K125" s="928"/>
      <c r="L125" s="928">
        <f>(Q54/$R54*100*($E54/365))+(Q55/$R55*100*($E55/365))+(Q56/$R56*100*($E56/365))+(Q57/$R57*100*($E57/365))+(Q58/$R58*100*($E58/365))</f>
        <v>15.113212881338505</v>
      </c>
      <c r="M125" s="928"/>
      <c r="N125" s="939">
        <f t="shared" si="27"/>
        <v>100</v>
      </c>
      <c r="O125" s="939"/>
      <c r="P125" s="12"/>
      <c r="Q125" s="12"/>
      <c r="R125" s="1">
        <v>2006</v>
      </c>
      <c r="S125" s="8">
        <f xml:space="preserve"> (O54*($E54/365))+(O55*($E55/365)) +(O56*($E56/365))+(O57*($E57/365))+(O58*($E58/365))</f>
        <v>38.586027397260274</v>
      </c>
      <c r="T125" s="8">
        <f xml:space="preserve"> (P54*($E54/365))+(P55*($E55/365)) +(P56*($E56/365))+(P57*($E57/365))+(P58*($E58/365))</f>
        <v>0</v>
      </c>
      <c r="U125" s="8">
        <f xml:space="preserve"> (Q54*($E54/365))+(Q55*($E55/365)) +(Q56*($E56/365))+(Q57*($E57/365))+(Q58*($E58/365))</f>
        <v>8.0553424657534229</v>
      </c>
      <c r="V125" s="12"/>
      <c r="W125" s="7">
        <f t="shared" si="29"/>
        <v>46.641369863013693</v>
      </c>
    </row>
    <row r="126" spans="1:23" ht="9" customHeight="1">
      <c r="A126" s="1">
        <v>2007</v>
      </c>
      <c r="B126" s="8">
        <f xml:space="preserve"> (K59*($E59/365))+(K60*($E60/365))+(K61*($E61/365))+(K62*($E62/365)) +(K63*($E63/365))+(K64*($E64/365))+(K65*($E65/365))+(K66*($E66/365))+(K67*($E67/365))</f>
        <v>62.295152237081957</v>
      </c>
      <c r="C126" s="8">
        <f xml:space="preserve"> (L59*($E59/365))+(L60*($E60/365))+(L61*($E61/365))+(L62*($E62/365)) +(L63*($E63/365))+(L64*($E64/365))+(L65*($E65/365))+(L66*($E66/365))+(L67*($E67/365))</f>
        <v>0</v>
      </c>
      <c r="D126" s="8">
        <f xml:space="preserve"> (M59*($E59/365))+(M60*($E60/365))+(M61*($E61/365))+(M62*($E62/365)) +(M63*($E63/365))+(M64*($E64/365))+(M65*($E65/365))+(M66*($E66/365))+(M67*($E67/365))</f>
        <v>9.308525998520043</v>
      </c>
      <c r="E126" s="52">
        <f t="shared" si="28"/>
        <v>71.603678235602004</v>
      </c>
      <c r="G126" s="1">
        <v>2007</v>
      </c>
      <c r="H126" s="928">
        <f>(O59/$R59*100*($E59/365))+(O60/$R60*100*($E60/365))+(O61/$R61*100*($E61/365))+(O62/$R62*100*($E62/365))+(O63/$R63*100*($E63/365))+(O64/$R64*100*($E64/365))+(O65/$R65*100*($E65/365))+(O66/$R66*100*($E66/365))+(O67/$R67*100*($E67/365))</f>
        <v>84.614027050370836</v>
      </c>
      <c r="I126" s="928"/>
      <c r="J126" s="928">
        <f>(P59/$R59*100*($E59/365))+(P60/$R60*100*($E60/365))+(P61/$R61*100*($E61/365))+(P62/$R62*100*($E62/365))+(P63/$R63*100*($E63/365))+(P64/$R64*100*($E64/365))+(P65/$R65*100*($E65/365))+(P66/$R66*100*($E66/365))+(P67/$R67*100*($E67/365))</f>
        <v>0</v>
      </c>
      <c r="K126" s="928"/>
      <c r="L126" s="928">
        <f>(Q59/$R59*100*($E59/365))+(Q60/$R60*100*($E60/365))+(Q61/$R61*100*($E61/365))+(Q62/$R62*100*($E62/365))+(Q63/$R63*100*($E63/365))+(Q64/$R64*100*($E64/365))+(Q65/$R65*100*($E65/365))+(Q66/$R66*100*($E66/365))+(Q67/$R67*100*($E67/365))</f>
        <v>15.385972949629156</v>
      </c>
      <c r="M126" s="928"/>
      <c r="N126" s="939">
        <f t="shared" si="27"/>
        <v>100</v>
      </c>
      <c r="O126" s="939"/>
      <c r="P126" s="12"/>
      <c r="Q126" s="12"/>
      <c r="R126" s="1">
        <v>2007</v>
      </c>
      <c r="S126" s="8">
        <f xml:space="preserve"> (O59*($E59/365))+(O60*($E60/365))+(O61*($E61/365))+(O62*($E62/365)) +(O63*($E63/365))+(O64*($E64/365))+(O65*($E65/365))+(O66*($E66/365))+(O67*($E67/365))</f>
        <v>39.459452054794518</v>
      </c>
      <c r="T126" s="8">
        <f xml:space="preserve"> (P59*($E59/365))+(P60*($E60/365))+(P61*($E61/365))+(P62*($E62/365)) +(P63*($E63/365))+(P64*($E64/365))+(P65*($E65/365))+(P66*($E66/365))+(P67*($E67/365))</f>
        <v>0</v>
      </c>
      <c r="U126" s="8">
        <f xml:space="preserve"> (Q59*($E59/365))+(Q60*($E60/365))+(Q61*($E61/365))+(Q62*($E62/365)) +(Q63*($E63/365))+(Q64*($E64/365))+(Q65*($E65/365))+(Q66*($E66/365))+(Q67*($E67/365))</f>
        <v>8.1846575342465755</v>
      </c>
      <c r="V126" s="12"/>
      <c r="W126" s="7">
        <f t="shared" si="29"/>
        <v>47.644109589041093</v>
      </c>
    </row>
    <row r="127" spans="1:23" ht="9" customHeight="1">
      <c r="A127" s="1">
        <v>2008</v>
      </c>
      <c r="B127" s="8">
        <f xml:space="preserve"> (K68*($E68/366))+(K69*($E69/366))</f>
        <v>52.631578947368418</v>
      </c>
      <c r="C127" s="8">
        <f xml:space="preserve"> (L68*($E68/366))+(L69*($E69/366))</f>
        <v>0</v>
      </c>
      <c r="D127" s="8">
        <f xml:space="preserve"> (M68*($E68/366))+(M69*($E69/366))</f>
        <v>15.789473684210526</v>
      </c>
      <c r="E127" s="52">
        <f t="shared" si="28"/>
        <v>68.421052631578945</v>
      </c>
      <c r="G127" s="1">
        <v>2008</v>
      </c>
      <c r="H127" s="928">
        <f>(O68/$R68*100*($E68/366))+(O69/$R69*100*($E69/366))</f>
        <v>87.140115163147797</v>
      </c>
      <c r="I127" s="928"/>
      <c r="J127" s="928">
        <f>(P68/$R68*100*($E68/366))+(P69/$R69*100*($E69/366))</f>
        <v>0</v>
      </c>
      <c r="K127" s="928"/>
      <c r="L127" s="928">
        <f>(Q68/$R68*100*($E68/366))+(Q69/$R69*100*($E69/366))</f>
        <v>12.859884836852206</v>
      </c>
      <c r="M127" s="928"/>
      <c r="N127" s="939">
        <f t="shared" si="27"/>
        <v>100</v>
      </c>
      <c r="O127" s="939"/>
      <c r="P127" s="12"/>
      <c r="Q127" s="12"/>
      <c r="R127" s="1">
        <v>2008</v>
      </c>
      <c r="S127" s="8">
        <f xml:space="preserve"> (O68*($E68/366))+(O69*($E69/366))</f>
        <v>45.4</v>
      </c>
      <c r="T127" s="8">
        <f xml:space="preserve"> (P68*($E68/366))+(P69*($E69/366))</f>
        <v>0</v>
      </c>
      <c r="U127" s="8">
        <f xml:space="preserve"> (Q68*($E68/366))+(Q69*($E69/366))</f>
        <v>6.7</v>
      </c>
      <c r="V127" s="12"/>
      <c r="W127" s="7">
        <f t="shared" si="29"/>
        <v>52.1</v>
      </c>
    </row>
    <row r="128" spans="1:23" ht="9" customHeight="1">
      <c r="A128" s="1">
        <v>2009</v>
      </c>
      <c r="B128" s="8">
        <f xml:space="preserve"> (K70*($E70/365))+(K71*($E71/365))+(K72*($E72/365))+(K73*($E73/365))</f>
        <v>60.360490266762795</v>
      </c>
      <c r="C128" s="8">
        <f xml:space="preserve"> (L70*($E70/365))+(L71*($E71/365))+(L72*($E72/365))+(L73*($E73/365))</f>
        <v>0</v>
      </c>
      <c r="D128" s="8">
        <f xml:space="preserve"> (M70*($E70/365))+(M71*($E71/365))+(M72*($E72/365))+(M73*($E73/365))</f>
        <v>15.789473684210526</v>
      </c>
      <c r="E128" s="52">
        <f t="shared" si="28"/>
        <v>76.149963950973316</v>
      </c>
      <c r="G128" s="1">
        <v>2009</v>
      </c>
      <c r="H128" s="928">
        <f>(O70/$R70*100*($E70/365))+(O71/$R71*100*($E71/365))+(O72/$R72*100*($E72/365))+(O73/$R73*100*($E73/365))</f>
        <v>87.140115163147797</v>
      </c>
      <c r="I128" s="928"/>
      <c r="J128" s="928">
        <f>(P70/$R70*100*($E70/365))+(P71/$R71*100*($E71/365))+(P72/$R72*100*($E72/365))+(P73/$R73*100*($E73/365))</f>
        <v>0</v>
      </c>
      <c r="K128" s="928"/>
      <c r="L128" s="928">
        <f>(Q70/$R70*100*($E70/365))+(Q71/$R71*100*($E71/365))+(Q72/$R72*100*($E72/365))+(Q73/$R73*100*($E73/365))</f>
        <v>12.859884836852208</v>
      </c>
      <c r="M128" s="928"/>
      <c r="N128" s="939">
        <f t="shared" si="27"/>
        <v>100</v>
      </c>
      <c r="O128" s="939"/>
      <c r="P128" s="12"/>
      <c r="Q128" s="12"/>
      <c r="R128" s="1">
        <v>2009</v>
      </c>
      <c r="S128" s="8">
        <f xml:space="preserve"> (O70*($E70/365))+(O71*($E71/365))+(O72*($E72/365))+(O73*($E73/365))</f>
        <v>45.400000000000006</v>
      </c>
      <c r="T128" s="8">
        <f xml:space="preserve"> (P70*($E70/365))+(P71*($E71/365))+(P72*($E72/365))+(P73*($E73/365))</f>
        <v>0</v>
      </c>
      <c r="U128" s="8">
        <f xml:space="preserve"> (Q70*($E70/365))+(Q71*($E71/365))+(Q72*($E72/365))+(Q73*($E73/365))</f>
        <v>6.7</v>
      </c>
      <c r="V128" s="12"/>
      <c r="W128" s="7">
        <f t="shared" si="29"/>
        <v>52.100000000000009</v>
      </c>
    </row>
    <row r="129" spans="1:23" ht="9" customHeight="1">
      <c r="A129" s="1">
        <v>2010</v>
      </c>
      <c r="B129" s="8">
        <f xml:space="preserve"> (K74*($E74/365)) +(K75*($E75/365))</f>
        <v>52.631578947368418</v>
      </c>
      <c r="C129" s="8">
        <f xml:space="preserve"> (L74*($E74/365)) +(L75*($E75/365))</f>
        <v>0</v>
      </c>
      <c r="D129" s="8">
        <f xml:space="preserve"> (M74*($E74/365)) +(M75*($E75/365))</f>
        <v>15.789473684210526</v>
      </c>
      <c r="E129" s="52">
        <f t="shared" si="28"/>
        <v>68.421052631578945</v>
      </c>
      <c r="G129" s="1">
        <v>2010</v>
      </c>
      <c r="H129" s="928">
        <f>(O74/$R74*100*($E74/365))+(O75/$R75*100*($E75/365))</f>
        <v>87.140115163147797</v>
      </c>
      <c r="I129" s="928"/>
      <c r="J129" s="928">
        <f>(P74/$R74*100*($E74/365))+(P75/$R75*100*($E75/365))</f>
        <v>0</v>
      </c>
      <c r="K129" s="928"/>
      <c r="L129" s="928">
        <f>(Q74/$R74*100*($E74/365))+(Q75/$R75*100*($E75/365))</f>
        <v>12.859884836852206</v>
      </c>
      <c r="M129" s="928"/>
      <c r="N129" s="939">
        <f t="shared" si="27"/>
        <v>100</v>
      </c>
      <c r="O129" s="939"/>
      <c r="P129" s="12"/>
      <c r="Q129" s="12"/>
      <c r="R129" s="1">
        <v>2010</v>
      </c>
      <c r="S129" s="8">
        <f xml:space="preserve"> (O74*($E74/365)) +(O75*($E75/365))</f>
        <v>45.4</v>
      </c>
      <c r="T129" s="8">
        <f xml:space="preserve"> (P74*($E74/365)) +(P75*($E75/365))</f>
        <v>0</v>
      </c>
      <c r="U129" s="8">
        <f xml:space="preserve"> (Q74*($E74/365)) +(Q75*($E75/365))</f>
        <v>6.7</v>
      </c>
      <c r="V129" s="12"/>
      <c r="W129" s="7">
        <f t="shared" si="29"/>
        <v>52.1</v>
      </c>
    </row>
    <row r="130" spans="1:23" ht="9" customHeight="1">
      <c r="A130" s="1">
        <v>2011</v>
      </c>
      <c r="B130" s="8">
        <f xml:space="preserve"> (K76*($E76/365)) +(K77*($E77/365))+(K78*($E78/365))</f>
        <v>53.3518809109801</v>
      </c>
      <c r="C130" s="8">
        <f xml:space="preserve"> (L76*($E76/365)) +(L77*($E77/365))+(L78*($E78/365))</f>
        <v>0</v>
      </c>
      <c r="D130" s="8">
        <f xml:space="preserve"> (M76*($E76/365)) +(M77*($E77/365))+(M78*($E78/365))</f>
        <v>15.750286271682429</v>
      </c>
      <c r="E130" s="52">
        <f t="shared" si="28"/>
        <v>69.102167182662527</v>
      </c>
      <c r="G130" s="1">
        <v>2011</v>
      </c>
      <c r="H130" s="928">
        <f>(O76/$R76*100*($E76/365))+(O77/$R77*100*($E77/365))+(O78/$R78*100*($E78/365))</f>
        <v>87.251321504041485</v>
      </c>
      <c r="I130" s="928"/>
      <c r="J130" s="928">
        <f>(P76/$R76*100*($E76/365))+(P77/$R77*100*($E77/365))+(P78/$R78*100*($E78/365))</f>
        <v>0</v>
      </c>
      <c r="K130" s="928"/>
      <c r="L130" s="928">
        <f>(Q76/$R76*100*($E76/365))+(Q77/$R77*100*($E77/365))+(Q78/$R78*100*($E78/365))</f>
        <v>12.748678495958526</v>
      </c>
      <c r="M130" s="928"/>
      <c r="N130" s="939">
        <f t="shared" si="27"/>
        <v>100.00000000000001</v>
      </c>
      <c r="O130" s="939"/>
      <c r="P130" s="12"/>
      <c r="Q130" s="12"/>
      <c r="R130" s="1">
        <v>2011</v>
      </c>
      <c r="S130" s="8">
        <f xml:space="preserve"> (O76*($E76/365)) +(O77*($E77/365))+(O78*($E78/365))</f>
        <v>45.351780821917806</v>
      </c>
      <c r="T130" s="8">
        <f xml:space="preserve"> (P76*($E76/365)) +(P77*($E77/365))+(P78*($E78/365))</f>
        <v>0</v>
      </c>
      <c r="U130" s="8">
        <f xml:space="preserve"> (Q76*($E76/365)) +(Q77*($E77/365))+(Q78*($E78/365))</f>
        <v>6.627671232876712</v>
      </c>
      <c r="V130" s="12"/>
      <c r="W130" s="7">
        <f t="shared" si="29"/>
        <v>51.979452054794521</v>
      </c>
    </row>
    <row r="131" spans="1:23" ht="9" customHeight="1">
      <c r="A131" s="1">
        <v>2012</v>
      </c>
      <c r="B131" s="8">
        <f xml:space="preserve"> (K79*($E79/366)) +(K80*($E80/366))</f>
        <v>60</v>
      </c>
      <c r="C131" s="8">
        <f xml:space="preserve"> (L79*($E79/366)) +(L80*($E80/366))</f>
        <v>0</v>
      </c>
      <c r="D131" s="8">
        <f xml:space="preserve"> (M79*($E79/366)) +(M80*($E80/366))</f>
        <v>15</v>
      </c>
      <c r="E131" s="52">
        <f t="shared" si="28"/>
        <v>75</v>
      </c>
      <c r="G131" s="1">
        <v>2012</v>
      </c>
      <c r="H131" s="928">
        <f>(O79/$R79*100*($E79/366))+(O80/$R80*100*($E80/366))</f>
        <v>88.06262230919765</v>
      </c>
      <c r="I131" s="928"/>
      <c r="J131" s="928">
        <f>(P79/$R79*100*($E79/366))+(P80/$R80*100*($E80/366))</f>
        <v>0</v>
      </c>
      <c r="K131" s="928"/>
      <c r="L131" s="928">
        <f>(Q79/$R79*100*($E79/366))+(Q80/$R80*100*($E80/366))</f>
        <v>11.937377690802348</v>
      </c>
      <c r="M131" s="928"/>
      <c r="N131" s="939">
        <f t="shared" si="27"/>
        <v>100</v>
      </c>
      <c r="O131" s="939"/>
      <c r="P131" s="12"/>
      <c r="Q131" s="12"/>
      <c r="R131" s="1">
        <v>2012</v>
      </c>
      <c r="S131" s="8">
        <f xml:space="preserve"> (O79*($E79/366)) +(O80*($E80/366))</f>
        <v>45</v>
      </c>
      <c r="T131" s="8">
        <f xml:space="preserve"> (P79*($E79/366)) +(P80*($E80/366))</f>
        <v>0</v>
      </c>
      <c r="U131" s="8">
        <f xml:space="preserve"> (Q79*($E79/366)) +(Q80*($E80/366))</f>
        <v>6.1</v>
      </c>
      <c r="V131" s="12"/>
      <c r="W131" s="7">
        <f t="shared" ref="W131:W136" si="30">S131+T131+U131</f>
        <v>51.1</v>
      </c>
    </row>
    <row r="132" spans="1:23" ht="9" customHeight="1">
      <c r="A132" s="1">
        <v>2013</v>
      </c>
      <c r="B132" s="8">
        <f xml:space="preserve"> (K81*($E81/365))+(K82*($E82/365))+(K83*($E83/365)) +(K84*($E84/365))</f>
        <v>59.003604902667632</v>
      </c>
      <c r="C132" s="8">
        <f xml:space="preserve"> (L81*($E81/365)) +(L82*($E82/365))+(L83*($E83/365)) +(L84*($E84/365))</f>
        <v>0</v>
      </c>
      <c r="D132" s="8">
        <f xml:space="preserve"> (M81*($E81/365)) +(M82*($E82/365))+(M83*($E83/365)) +(M84*($E84/365))</f>
        <v>15.075702956020187</v>
      </c>
      <c r="E132" s="52">
        <f>B132+C132+D132</f>
        <v>74.079307858687827</v>
      </c>
      <c r="G132" s="1">
        <v>2013</v>
      </c>
      <c r="H132" s="928">
        <f>(O81/$R81*100*($E81/365))+(O82/$R82*100*($E82/365))+(O83/$R83*100*($E83/365))+(O84/$R84*100*($E84/365))</f>
        <v>88.06262230919765</v>
      </c>
      <c r="I132" s="928"/>
      <c r="J132" s="928">
        <f>(P81/$R81*100*($E81/365))+(P82/$R82*100*($E82/365))+(P83/$R83*100*($E83/365))+(P84/$R84*100*($E84/365))</f>
        <v>0</v>
      </c>
      <c r="K132" s="928"/>
      <c r="L132" s="928">
        <f>(Q81/$R81*100*($E81/365))+(Q82/$R82*100*($E82/365))+(Q83/$R83*100*($E83/365))+(Q84/$R84*100*($E84/365))</f>
        <v>11.937377690802348</v>
      </c>
      <c r="M132" s="928"/>
      <c r="N132" s="939">
        <f>H132+J132+L132</f>
        <v>100</v>
      </c>
      <c r="O132" s="939"/>
      <c r="R132" s="1">
        <v>2013</v>
      </c>
      <c r="S132" s="8">
        <f xml:space="preserve"> (O81*($E81/365))+(O82*($E82/365)) +(O83*($E83/365)) +(O84*($E84/365))</f>
        <v>45</v>
      </c>
      <c r="T132" s="8">
        <f xml:space="preserve"> (P81*($E81/365)) +(P82*($E82/365))+(P83*($E83/365)) +(P84*($E84/365))</f>
        <v>0</v>
      </c>
      <c r="U132" s="8">
        <f xml:space="preserve"> (Q81*($E81/365)) +(Q82*($E82/365))+(Q83*($E83/365)) +(Q84*($E84/365))</f>
        <v>6.1</v>
      </c>
      <c r="V132" s="12"/>
      <c r="W132" s="7">
        <f t="shared" si="30"/>
        <v>51.1</v>
      </c>
    </row>
    <row r="133" spans="1:23" ht="9" customHeight="1">
      <c r="A133" s="1">
        <v>2014</v>
      </c>
      <c r="B133" s="8">
        <f xml:space="preserve"> (K85*($E85/365))+(K86*($E86/365)) +(K87*($E87/365))</f>
        <v>56.49603460706561</v>
      </c>
      <c r="C133" s="8">
        <f xml:space="preserve"> (L85*($E85/365))+(L86*($E86/365)) +(L87*($E87/365))</f>
        <v>0</v>
      </c>
      <c r="D133" s="8">
        <f xml:space="preserve"> (M85*($E85/365))+(M86*($E86/365)) +(M87*($E87/365))</f>
        <v>15.789473684210527</v>
      </c>
      <c r="E133" s="52">
        <f>B133+C133+D133</f>
        <v>72.28550829127613</v>
      </c>
      <c r="G133" s="1">
        <v>2014</v>
      </c>
      <c r="H133" s="928">
        <f>(O85/$R85*100*($E85/365))+(O86/$R86*100*($E86/365))+(O87/$R87*100*($E87/365))</f>
        <v>87.567829533765092</v>
      </c>
      <c r="I133" s="928"/>
      <c r="J133" s="928">
        <f>(P85/$R85*100*($E85/365))+(P86/$R86*100*($E86/365))+(P87/$R87*100*($E87/365))</f>
        <v>0</v>
      </c>
      <c r="K133" s="928"/>
      <c r="L133" s="928">
        <f>(Q85/$R85*100*($E85/365))+(Q86/$R86*100*($E86/365))+(Q87/$R87*100*($E87/365))</f>
        <v>12.432170466234908</v>
      </c>
      <c r="M133" s="928"/>
      <c r="N133" s="939">
        <f>H133+J133+L133</f>
        <v>100</v>
      </c>
      <c r="O133" s="939"/>
      <c r="R133" s="1">
        <v>2014</v>
      </c>
      <c r="S133" s="8">
        <f>(O85*($E85/365)) +(O86*($E86/365))+(O87*($E87/365))</f>
        <v>44.723287671232875</v>
      </c>
      <c r="T133" s="8">
        <f>(P85*($E85/365)) +(P86*($E86/365))+ (P87*($E87/365))</f>
        <v>0</v>
      </c>
      <c r="U133" s="8">
        <f>(Q85*($E85/365)) +(Q86*($E86/365))+ (Q87*($E87/365))</f>
        <v>6.34904109589041</v>
      </c>
      <c r="V133" s="12"/>
      <c r="W133" s="7">
        <f t="shared" si="30"/>
        <v>51.072328767123281</v>
      </c>
    </row>
    <row r="134" spans="1:23" s="618" customFormat="1" ht="9" customHeight="1">
      <c r="A134" s="618">
        <v>2015</v>
      </c>
      <c r="B134" s="613">
        <f xml:space="preserve"> (K88*($E88/365))+(K89*($E89/365)) +(K90*($E90/365))</f>
        <v>55.638067772170153</v>
      </c>
      <c r="C134" s="613">
        <f xml:space="preserve"> (L88*($E88/365))+(L89*($E89/365)) +(L90*($E90/365))</f>
        <v>0</v>
      </c>
      <c r="D134" s="613">
        <f xml:space="preserve"> (M88*($E88/365))+(M89*($E89/365)) +(M90*($E90/365))</f>
        <v>13.799567411679885</v>
      </c>
      <c r="E134" s="52">
        <f>B134+C134+D134</f>
        <v>69.437635183850034</v>
      </c>
      <c r="G134" s="618">
        <v>2015</v>
      </c>
      <c r="H134" s="928">
        <f>(O88/$R88*100*($E88/365))+(O89/$R89*100*($E89/365))+(O90/$R90*100*($E90/365))</f>
        <v>88.004297609454753</v>
      </c>
      <c r="I134" s="928"/>
      <c r="J134" s="928">
        <f>(P88/$R88*100*($E88/365))+(P89/$R89*100*($E89/365))+(P90/$R90*100*($E90/365))</f>
        <v>0</v>
      </c>
      <c r="K134" s="928"/>
      <c r="L134" s="928">
        <f>(Q88/$R88*100*($E88/365))+(Q89/$R89*100*($E89/365))+(Q90/$R90*100*($E90/365))</f>
        <v>11.995702390545262</v>
      </c>
      <c r="M134" s="928"/>
      <c r="N134" s="939">
        <f>H134+J134+L134</f>
        <v>100.00000000000001</v>
      </c>
      <c r="O134" s="939"/>
      <c r="R134" s="618">
        <v>2015</v>
      </c>
      <c r="S134" s="613">
        <f>(O88*($E88/365)) +(O89*($E89/365))+(O90*($E90/365))</f>
        <v>44.894794520547947</v>
      </c>
      <c r="T134" s="613">
        <f>(P88*($E88/365)) +(P89*($E89/365))+ (P90*($E90/365))</f>
        <v>0</v>
      </c>
      <c r="U134" s="613">
        <f>(Q88*($E88/365)) +(Q89*($E89/365))+ (Q90*($E90/365))</f>
        <v>6.117808219178082</v>
      </c>
      <c r="V134" s="12"/>
      <c r="W134" s="617">
        <f t="shared" si="30"/>
        <v>51.012602739726027</v>
      </c>
    </row>
    <row r="135" spans="1:23" s="618" customFormat="1" ht="9" customHeight="1">
      <c r="A135" s="618">
        <v>2016</v>
      </c>
      <c r="B135" s="684">
        <f xml:space="preserve"> (K91*($E91/366))+(K92*($E92/366)) +(K93*($E93/366))</f>
        <v>75.551307803624269</v>
      </c>
      <c r="C135" s="684">
        <f xml:space="preserve"> (L91*($E91/366))+(L92*($E92/366)) +(L93*($E93/366))</f>
        <v>0</v>
      </c>
      <c r="D135" s="684">
        <f xml:space="preserve"> (M91*($E91/366))+(M92*($E92/366)) +(M93*($E93/366))</f>
        <v>0</v>
      </c>
      <c r="E135" s="52">
        <f>B135+C135+D135</f>
        <v>75.551307803624269</v>
      </c>
      <c r="G135" s="618">
        <v>2016</v>
      </c>
      <c r="H135" s="928">
        <f>(O91/$R91*100*($E91/366))+(O92/$R92*100*($E92/366))+(O93/$R93*100*($E93/366))</f>
        <v>100</v>
      </c>
      <c r="I135" s="928"/>
      <c r="J135" s="928">
        <f>(P91/$R91*100*($E91/366))+(P92/$R92*100*($E92/366))+(P93/$R93*100*($E93/366))</f>
        <v>0</v>
      </c>
      <c r="K135" s="928"/>
      <c r="L135" s="928">
        <f>(Q91/$R91*100*($E91/366))+(Q92/$R92*100*($E92/366))+(Q93/$R93*100*($E93/366))</f>
        <v>0</v>
      </c>
      <c r="M135" s="928"/>
      <c r="N135" s="939">
        <f>H135+J135+L135</f>
        <v>100</v>
      </c>
      <c r="O135" s="939"/>
      <c r="R135" s="618">
        <v>2016</v>
      </c>
      <c r="S135" s="684">
        <f>(O91*($E91/366)) +(O92*($E92/366))+(O93*($E93/366))</f>
        <v>51.1</v>
      </c>
      <c r="T135" s="684">
        <f>(P91*($E91/366)) +(P92*($E92/366))+ (P93*($E93/366))</f>
        <v>0</v>
      </c>
      <c r="U135" s="684">
        <f>(Q91*($E91/366)) +(Q92*($E92/366))+ (Q93*($E93/366))</f>
        <v>0</v>
      </c>
      <c r="V135" s="12"/>
      <c r="W135" s="688">
        <f t="shared" si="30"/>
        <v>51.1</v>
      </c>
    </row>
    <row r="136" spans="1:23" s="749" customFormat="1" ht="9" customHeight="1">
      <c r="A136" s="749">
        <v>2017</v>
      </c>
      <c r="B136" s="744">
        <f xml:space="preserve"> (K94*($E94/365)) +(K95*($E95/365))</f>
        <v>77.272727272727266</v>
      </c>
      <c r="C136" s="744">
        <f t="shared" ref="C136:D136" si="31" xml:space="preserve"> (L94*($E94/365)) +(L95*($E95/365))</f>
        <v>0</v>
      </c>
      <c r="D136" s="744">
        <f t="shared" si="31"/>
        <v>0</v>
      </c>
      <c r="E136" s="52">
        <f>B136+C136+D136</f>
        <v>77.272727272727266</v>
      </c>
      <c r="G136" s="749">
        <v>2017</v>
      </c>
      <c r="H136" s="928">
        <f>(O94/$R94*100*($E94/365))+(O95/$R95*100*($E95/365))</f>
        <v>100</v>
      </c>
      <c r="I136" s="928"/>
      <c r="J136" s="928">
        <f>(P94/$R94*100*($E94/365))+(P95/$R95*100*($E95/365))</f>
        <v>0</v>
      </c>
      <c r="K136" s="928"/>
      <c r="L136" s="928">
        <f>(Q94/$R94*100*($E94/365))+(Q95/$R95*100*($E95/365))</f>
        <v>0</v>
      </c>
      <c r="M136" s="928"/>
      <c r="N136" s="939">
        <f>H136+J136+L136</f>
        <v>100</v>
      </c>
      <c r="O136" s="939"/>
      <c r="R136" s="749">
        <v>2017</v>
      </c>
      <c r="S136" s="744">
        <f>(O94*($E94/365))+(O95*($E95/365))</f>
        <v>51.123013698630139</v>
      </c>
      <c r="T136" s="744">
        <f t="shared" ref="T136:U136" si="32">(P94*($E94/365))+(P95*($E95/365))</f>
        <v>0</v>
      </c>
      <c r="U136" s="744">
        <f t="shared" si="32"/>
        <v>0</v>
      </c>
      <c r="V136" s="12"/>
      <c r="W136" s="746">
        <f t="shared" si="30"/>
        <v>51.123013698630139</v>
      </c>
    </row>
    <row r="137" spans="1:23">
      <c r="A137" s="775">
        <v>2018</v>
      </c>
      <c r="B137" s="772">
        <f xml:space="preserve"> (K96*($E96/365)) +(K97*($E97/365))</f>
        <v>69.734149114732787</v>
      </c>
      <c r="C137" s="772">
        <f xml:space="preserve"> (L96*($E96/365)) +(L97*($E97/365))</f>
        <v>0</v>
      </c>
      <c r="D137" s="772">
        <f xml:space="preserve"> (M96*($E96/365)) +(M97*($E97/365))</f>
        <v>0</v>
      </c>
      <c r="E137" s="52">
        <f t="shared" ref="E137" si="33">B137+C137+D137</f>
        <v>69.734149114732787</v>
      </c>
      <c r="F137" s="775"/>
      <c r="G137" s="775">
        <v>2018</v>
      </c>
      <c r="H137" s="928">
        <f>(O96/$R96*100*($E96/365))+(O97/$R97*100*($E97/365))</f>
        <v>99.999999999999986</v>
      </c>
      <c r="I137" s="928"/>
      <c r="J137" s="928">
        <f>(P96/$R96*100*($E96/365))+(P97/$R97*100*($E97/365))</f>
        <v>0</v>
      </c>
      <c r="K137" s="928"/>
      <c r="L137" s="928">
        <f>(Q96/$R96*100*($E96/365))+(Q97/$R97*100*($E97/365))</f>
        <v>0</v>
      </c>
      <c r="M137" s="928"/>
      <c r="N137" s="939">
        <f t="shared" ref="N137" si="34">H137+J137+L137</f>
        <v>99.999999999999986</v>
      </c>
      <c r="O137" s="939"/>
      <c r="P137" s="775"/>
      <c r="Q137" s="775"/>
      <c r="R137" s="775">
        <v>2018</v>
      </c>
      <c r="S137" s="772">
        <f>(O96*($E96/365))+(O97*($E97/365))</f>
        <v>51.5</v>
      </c>
      <c r="T137" s="772">
        <f>(P96*($E96/365))+(P97*($E97/365))</f>
        <v>0</v>
      </c>
      <c r="U137" s="772">
        <f>(Q96*($E96/365))+(Q97*($E97/365))</f>
        <v>0</v>
      </c>
      <c r="V137" s="12"/>
      <c r="W137" s="774">
        <f t="shared" ref="W137" si="35">S137+T137+U137</f>
        <v>51.5</v>
      </c>
    </row>
    <row r="138" spans="1:23">
      <c r="A138" s="808">
        <v>2019</v>
      </c>
      <c r="B138" s="805">
        <f xml:space="preserve"> (K98*($E98/365)) +(K99*($E99/365))+(K100*(E100/365))+(K101*(E101/365))</f>
        <v>70.184633710541974</v>
      </c>
      <c r="C138" s="805">
        <f xml:space="preserve"> (L98*($E98/365)) +(L99*($E99/365))+(L100*(E100/365))+(L101*(E101/365))</f>
        <v>0</v>
      </c>
      <c r="D138" s="805">
        <f xml:space="preserve"> (M98*($E98/365)) +(M99*($E99/365))+(M100*(E100/365))+(M101*(E101/365))</f>
        <v>0</v>
      </c>
      <c r="E138" s="52">
        <f t="shared" ref="E138" si="36">B138+C138+D138</f>
        <v>70.184633710541974</v>
      </c>
      <c r="F138" s="808"/>
      <c r="G138" s="808">
        <v>2019</v>
      </c>
      <c r="H138" s="928">
        <f>(O98/$R98*100*($E98/365))+(O99/$R99*100*($E99/365))+(O100/R100*100*(E100/365))+(O101/R101*100*(E101/365))</f>
        <v>100</v>
      </c>
      <c r="I138" s="928"/>
      <c r="J138" s="928">
        <f>(P98/$R98*100*($E98/365))+(P99/$R99*100*($E99/365))+(P100/R100*100*(E100/365))+(P101/R101*100*(E101/365))</f>
        <v>0</v>
      </c>
      <c r="K138" s="928"/>
      <c r="L138" s="928">
        <f>(Q98/$R98*100*($E98/365))+(Q99/$R99*100*($E99/365))+(Q100/R100*100*(E100/365))+(Q101/R101*100*(E101/365))</f>
        <v>0</v>
      </c>
      <c r="M138" s="928"/>
      <c r="N138" s="939">
        <f t="shared" ref="N138" si="37">H138+J138+L138</f>
        <v>100</v>
      </c>
      <c r="O138" s="939"/>
      <c r="P138" s="808"/>
      <c r="Q138" s="808"/>
      <c r="R138" s="808">
        <v>2019</v>
      </c>
      <c r="S138" s="805">
        <f>(O98*($E98/365))+(O99*($E99/365))+(O100*(E100/365))+(O101*(E101/365))</f>
        <v>51.499999999999993</v>
      </c>
      <c r="T138" s="805">
        <f>(P98*($E98/365))+(P99*($E99/365))+(P100*(E100/365))+(P101*(E101/365))</f>
        <v>0</v>
      </c>
      <c r="U138" s="805">
        <f>(Q98*($E98/365))+(Q99*($E99/365))+(Q100*(E100/365))+(Q101*(E101/365))</f>
        <v>0</v>
      </c>
      <c r="V138" s="12"/>
      <c r="W138" s="807">
        <f t="shared" ref="W138" si="38">S138+T138+U138</f>
        <v>51.499999999999993</v>
      </c>
    </row>
  </sheetData>
  <mergeCells count="239">
    <mergeCell ref="C94:D94"/>
    <mergeCell ref="C95:D95"/>
    <mergeCell ref="N133:O133"/>
    <mergeCell ref="V9:AC9"/>
    <mergeCell ref="C20:D20"/>
    <mergeCell ref="L131:M131"/>
    <mergeCell ref="C19:D19"/>
    <mergeCell ref="C27:D27"/>
    <mergeCell ref="N131:O131"/>
    <mergeCell ref="H113:I113"/>
    <mergeCell ref="H114:I114"/>
    <mergeCell ref="H128:I128"/>
    <mergeCell ref="H133:I133"/>
    <mergeCell ref="J133:K133"/>
    <mergeCell ref="L133:M133"/>
    <mergeCell ref="H115:I115"/>
    <mergeCell ref="H116:I116"/>
    <mergeCell ref="H117:I117"/>
    <mergeCell ref="H118:I118"/>
    <mergeCell ref="H131:I131"/>
    <mergeCell ref="J123:K123"/>
    <mergeCell ref="J124:K124"/>
    <mergeCell ref="N121:O121"/>
    <mergeCell ref="H129:I129"/>
    <mergeCell ref="H121:I121"/>
    <mergeCell ref="H122:I122"/>
    <mergeCell ref="H123:I123"/>
    <mergeCell ref="N119:O119"/>
    <mergeCell ref="N129:O129"/>
    <mergeCell ref="N125:O125"/>
    <mergeCell ref="N126:O126"/>
    <mergeCell ref="H126:I126"/>
    <mergeCell ref="H127:I127"/>
    <mergeCell ref="J127:K127"/>
    <mergeCell ref="L126:M126"/>
    <mergeCell ref="L128:M128"/>
    <mergeCell ref="J125:K125"/>
    <mergeCell ref="J121:K121"/>
    <mergeCell ref="J119:K119"/>
    <mergeCell ref="N122:O122"/>
    <mergeCell ref="L124:M124"/>
    <mergeCell ref="H124:I124"/>
    <mergeCell ref="H125:I125"/>
    <mergeCell ref="R106:W106"/>
    <mergeCell ref="H108:I108"/>
    <mergeCell ref="J108:K108"/>
    <mergeCell ref="L108:M108"/>
    <mergeCell ref="N108:O108"/>
    <mergeCell ref="L110:M110"/>
    <mergeCell ref="L121:M121"/>
    <mergeCell ref="N111:O111"/>
    <mergeCell ref="N112:O112"/>
    <mergeCell ref="N116:O116"/>
    <mergeCell ref="N113:O113"/>
    <mergeCell ref="N120:O120"/>
    <mergeCell ref="N117:O117"/>
    <mergeCell ref="N118:O118"/>
    <mergeCell ref="N114:O114"/>
    <mergeCell ref="N115:O115"/>
    <mergeCell ref="L114:M114"/>
    <mergeCell ref="J110:K110"/>
    <mergeCell ref="J111:K111"/>
    <mergeCell ref="L117:M117"/>
    <mergeCell ref="L118:M118"/>
    <mergeCell ref="L119:M119"/>
    <mergeCell ref="J112:K112"/>
    <mergeCell ref="J114:K114"/>
    <mergeCell ref="C62:D62"/>
    <mergeCell ref="C56:D56"/>
    <mergeCell ref="C70:D70"/>
    <mergeCell ref="C71:D71"/>
    <mergeCell ref="C72:D72"/>
    <mergeCell ref="C73:D73"/>
    <mergeCell ref="C74:D74"/>
    <mergeCell ref="L111:M111"/>
    <mergeCell ref="L112:M112"/>
    <mergeCell ref="C81:D81"/>
    <mergeCell ref="C82:D82"/>
    <mergeCell ref="C87:D87"/>
    <mergeCell ref="C86:D86"/>
    <mergeCell ref="C85:D85"/>
    <mergeCell ref="C83:D83"/>
    <mergeCell ref="H110:I110"/>
    <mergeCell ref="H111:I111"/>
    <mergeCell ref="H112:I112"/>
    <mergeCell ref="C88:D88"/>
    <mergeCell ref="C89:D89"/>
    <mergeCell ref="C90:D90"/>
    <mergeCell ref="C91:D91"/>
    <mergeCell ref="C92:D92"/>
    <mergeCell ref="C93:D93"/>
    <mergeCell ref="C53:D53"/>
    <mergeCell ref="C54:D54"/>
    <mergeCell ref="C60:D60"/>
    <mergeCell ref="C57:D57"/>
    <mergeCell ref="C58:D58"/>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55:D55"/>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A4:A5"/>
    <mergeCell ref="B4:B5"/>
    <mergeCell ref="C4:D5"/>
    <mergeCell ref="C6:D6"/>
    <mergeCell ref="E4:E5"/>
    <mergeCell ref="C14:D14"/>
    <mergeCell ref="C15:D15"/>
    <mergeCell ref="C16:D16"/>
    <mergeCell ref="C17:D17"/>
    <mergeCell ref="C7:D7"/>
    <mergeCell ref="C8:D8"/>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C65:D65"/>
    <mergeCell ref="N132:O132"/>
    <mergeCell ref="C84:D84"/>
    <mergeCell ref="N110:O110"/>
    <mergeCell ref="L127:M127"/>
    <mergeCell ref="C67:D67"/>
    <mergeCell ref="C66:D66"/>
    <mergeCell ref="L115:M115"/>
    <mergeCell ref="C79:D79"/>
    <mergeCell ref="C75:D75"/>
    <mergeCell ref="C76:D76"/>
    <mergeCell ref="C77:D77"/>
    <mergeCell ref="C80:D80"/>
    <mergeCell ref="L113:M113"/>
    <mergeCell ref="J113:K113"/>
    <mergeCell ref="J131:K131"/>
    <mergeCell ref="N130:O130"/>
    <mergeCell ref="N127:O127"/>
    <mergeCell ref="N128:O128"/>
    <mergeCell ref="J128:K128"/>
    <mergeCell ref="L123:M123"/>
    <mergeCell ref="J126:K126"/>
    <mergeCell ref="L120:M120"/>
    <mergeCell ref="J129:K129"/>
    <mergeCell ref="L134:M134"/>
    <mergeCell ref="N134:O134"/>
    <mergeCell ref="H132:I132"/>
    <mergeCell ref="J132:K132"/>
    <mergeCell ref="L132:M132"/>
    <mergeCell ref="L130:M130"/>
    <mergeCell ref="J115:K115"/>
    <mergeCell ref="L116:M116"/>
    <mergeCell ref="C68:D68"/>
    <mergeCell ref="C69:D69"/>
    <mergeCell ref="J130:K130"/>
    <mergeCell ref="L122:M122"/>
    <mergeCell ref="L129:M129"/>
    <mergeCell ref="J122:K122"/>
    <mergeCell ref="L125:M125"/>
    <mergeCell ref="J120:K120"/>
    <mergeCell ref="J116:K116"/>
    <mergeCell ref="J117:K117"/>
    <mergeCell ref="J118:K118"/>
    <mergeCell ref="H130:I130"/>
    <mergeCell ref="N123:O123"/>
    <mergeCell ref="N124:O124"/>
    <mergeCell ref="H119:I119"/>
    <mergeCell ref="H120:I120"/>
    <mergeCell ref="C98:D98"/>
    <mergeCell ref="C100:D100"/>
    <mergeCell ref="C101:D101"/>
    <mergeCell ref="C99:D99"/>
    <mergeCell ref="J138:K138"/>
    <mergeCell ref="L138:M138"/>
    <mergeCell ref="H138:I138"/>
    <mergeCell ref="N138:O138"/>
    <mergeCell ref="C96:D96"/>
    <mergeCell ref="C97:D97"/>
    <mergeCell ref="H137:I137"/>
    <mergeCell ref="J137:K137"/>
    <mergeCell ref="L137:M137"/>
    <mergeCell ref="N137:O137"/>
    <mergeCell ref="H136:I136"/>
    <mergeCell ref="J136:K136"/>
    <mergeCell ref="L136:M136"/>
    <mergeCell ref="N136:O136"/>
    <mergeCell ref="H135:I135"/>
    <mergeCell ref="J135:K135"/>
    <mergeCell ref="L135:M135"/>
    <mergeCell ref="N135:O135"/>
    <mergeCell ref="H134:I134"/>
    <mergeCell ref="J134:K134"/>
  </mergeCells>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A167"/>
  <sheetViews>
    <sheetView zoomScale="187" zoomScaleNormal="120" workbookViewId="0">
      <pane xSplit="1" ySplit="5" topLeftCell="B74" activePane="bottomRight" state="frozen"/>
      <selection pane="topRight" activeCell="B1" sqref="B1"/>
      <selection pane="bottomLeft" activeCell="A6" sqref="A6"/>
      <selection pane="bottomRight" activeCell="T6" sqref="T6:U9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66</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85" customFormat="1">
      <c r="A6" s="101">
        <v>1976</v>
      </c>
      <c r="B6" s="852"/>
      <c r="C6" s="935" t="s">
        <v>1268</v>
      </c>
      <c r="D6" s="935"/>
      <c r="E6" s="185">
        <v>204</v>
      </c>
      <c r="G6" s="119"/>
      <c r="J6" s="126"/>
      <c r="K6" s="92"/>
      <c r="L6" s="92"/>
      <c r="M6" s="92"/>
      <c r="N6" s="121"/>
      <c r="O6" s="91"/>
      <c r="P6" s="92"/>
      <c r="Q6" s="92"/>
      <c r="R6" s="93"/>
      <c r="T6" s="839"/>
      <c r="U6" s="852"/>
      <c r="V6" s="82"/>
      <c r="Y6" s="83"/>
      <c r="AD6" s="82"/>
      <c r="AG6" s="83"/>
      <c r="AL6" s="82"/>
      <c r="AO6" s="83"/>
      <c r="AP6" s="82"/>
      <c r="AS6" s="83"/>
      <c r="AW6" s="83"/>
      <c r="BA6" s="84"/>
    </row>
    <row r="7" spans="1:53" s="292" customFormat="1">
      <c r="A7" s="338">
        <v>1976</v>
      </c>
      <c r="B7" s="836">
        <v>27964</v>
      </c>
      <c r="C7" s="916" t="s">
        <v>610</v>
      </c>
      <c r="D7" s="916"/>
      <c r="E7" s="292">
        <f>366-E6</f>
        <v>162</v>
      </c>
      <c r="F7" s="292" t="s">
        <v>338</v>
      </c>
      <c r="G7" s="366"/>
      <c r="I7" s="292">
        <v>12</v>
      </c>
      <c r="J7" s="377">
        <v>17</v>
      </c>
      <c r="K7" s="336">
        <f>G7/$J7*100</f>
        <v>0</v>
      </c>
      <c r="L7" s="336">
        <f t="shared" ref="L7:M22" si="0">H7/$J7*100</f>
        <v>0</v>
      </c>
      <c r="M7" s="336">
        <f t="shared" si="0"/>
        <v>70.588235294117652</v>
      </c>
      <c r="N7" s="368">
        <f>K7+L7+M7</f>
        <v>70.588235294117652</v>
      </c>
      <c r="O7" s="335"/>
      <c r="P7" s="336"/>
      <c r="Q7" s="336">
        <v>40.700000000000003</v>
      </c>
      <c r="R7" s="337">
        <f>O7+P7+Q7</f>
        <v>40.700000000000003</v>
      </c>
      <c r="S7" s="292">
        <v>4</v>
      </c>
      <c r="T7" s="838">
        <v>27875</v>
      </c>
      <c r="U7" s="836">
        <v>27964</v>
      </c>
      <c r="V7" s="299" t="s">
        <v>96</v>
      </c>
      <c r="W7" s="292" t="s">
        <v>20</v>
      </c>
      <c r="X7" s="292" t="s">
        <v>12</v>
      </c>
      <c r="Y7" s="300">
        <v>40.700000000000003</v>
      </c>
      <c r="AD7" s="299"/>
      <c r="AG7" s="300"/>
      <c r="AL7" s="299"/>
      <c r="AO7" s="300"/>
      <c r="AP7" s="299"/>
      <c r="AS7" s="300"/>
      <c r="AW7" s="300"/>
      <c r="BA7" s="301"/>
    </row>
    <row r="8" spans="1:53" s="292" customFormat="1">
      <c r="A8" s="338">
        <v>1977</v>
      </c>
      <c r="B8" s="836"/>
      <c r="C8" s="916" t="s">
        <v>610</v>
      </c>
      <c r="D8" s="916"/>
      <c r="E8" s="292">
        <v>0</v>
      </c>
      <c r="G8" s="366"/>
      <c r="I8" s="292">
        <v>12</v>
      </c>
      <c r="J8" s="377">
        <v>17</v>
      </c>
      <c r="K8" s="336">
        <f t="shared" ref="K8:M71" si="1">G8/$J8*100</f>
        <v>0</v>
      </c>
      <c r="L8" s="336">
        <f t="shared" si="0"/>
        <v>0</v>
      </c>
      <c r="M8" s="336">
        <f t="shared" si="0"/>
        <v>70.588235294117652</v>
      </c>
      <c r="N8" s="368">
        <f t="shared" ref="N8:N71" si="2">K8+L8+M8</f>
        <v>70.588235294117652</v>
      </c>
      <c r="O8" s="335"/>
      <c r="P8" s="336"/>
      <c r="Q8" s="336">
        <v>40.700000000000003</v>
      </c>
      <c r="R8" s="337">
        <f t="shared" ref="R8:R71" si="3">O8+P8+Q8</f>
        <v>40.700000000000003</v>
      </c>
      <c r="S8" s="292">
        <v>4</v>
      </c>
      <c r="T8" s="838"/>
      <c r="U8" s="836"/>
      <c r="V8" s="299" t="s">
        <v>96</v>
      </c>
      <c r="W8" s="292" t="s">
        <v>20</v>
      </c>
      <c r="X8" s="292" t="s">
        <v>12</v>
      </c>
      <c r="Y8" s="300">
        <v>40.700000000000003</v>
      </c>
      <c r="AD8" s="299"/>
      <c r="AG8" s="300"/>
      <c r="AL8" s="299"/>
      <c r="AO8" s="300"/>
      <c r="AP8" s="299"/>
      <c r="AS8" s="300"/>
      <c r="AW8" s="300"/>
      <c r="BA8" s="301"/>
    </row>
    <row r="9" spans="1:53" s="292" customFormat="1">
      <c r="A9" s="338">
        <v>1977</v>
      </c>
      <c r="B9" s="836"/>
      <c r="C9" s="916" t="s">
        <v>610</v>
      </c>
      <c r="D9" s="916"/>
      <c r="E9" s="292">
        <v>365</v>
      </c>
      <c r="G9" s="366"/>
      <c r="I9" s="292">
        <v>12</v>
      </c>
      <c r="J9" s="377">
        <v>17</v>
      </c>
      <c r="K9" s="336">
        <f t="shared" si="1"/>
        <v>0</v>
      </c>
      <c r="L9" s="336">
        <f t="shared" si="0"/>
        <v>0</v>
      </c>
      <c r="M9" s="336">
        <f t="shared" si="0"/>
        <v>70.588235294117652</v>
      </c>
      <c r="N9" s="368">
        <f t="shared" si="2"/>
        <v>70.588235294117652</v>
      </c>
      <c r="O9" s="335"/>
      <c r="P9" s="336"/>
      <c r="Q9" s="336">
        <v>40.700000000000003</v>
      </c>
      <c r="R9" s="337">
        <f t="shared" si="3"/>
        <v>40.700000000000003</v>
      </c>
      <c r="S9" s="292">
        <v>4</v>
      </c>
      <c r="T9" s="838"/>
      <c r="U9" s="836"/>
      <c r="V9" s="299" t="s">
        <v>96</v>
      </c>
      <c r="W9" s="292" t="s">
        <v>20</v>
      </c>
      <c r="X9" s="292" t="s">
        <v>12</v>
      </c>
      <c r="Y9" s="300">
        <v>40.700000000000003</v>
      </c>
      <c r="AD9" s="299"/>
      <c r="AG9" s="300"/>
      <c r="AL9" s="299"/>
      <c r="AO9" s="300"/>
      <c r="AP9" s="299"/>
      <c r="AS9" s="300"/>
      <c r="AW9" s="300"/>
      <c r="BA9" s="301"/>
    </row>
    <row r="10" spans="1:53" s="292" customFormat="1">
      <c r="A10" s="338">
        <v>1978</v>
      </c>
      <c r="B10" s="836"/>
      <c r="C10" s="916" t="s">
        <v>610</v>
      </c>
      <c r="D10" s="916"/>
      <c r="E10" s="292">
        <v>29</v>
      </c>
      <c r="G10" s="366"/>
      <c r="I10" s="292">
        <v>12</v>
      </c>
      <c r="J10" s="377">
        <v>17</v>
      </c>
      <c r="K10" s="336">
        <f t="shared" si="1"/>
        <v>0</v>
      </c>
      <c r="L10" s="336">
        <f t="shared" si="0"/>
        <v>0</v>
      </c>
      <c r="M10" s="336">
        <f t="shared" si="0"/>
        <v>70.588235294117652</v>
      </c>
      <c r="N10" s="368">
        <f t="shared" si="2"/>
        <v>70.588235294117652</v>
      </c>
      <c r="O10" s="335"/>
      <c r="P10" s="336"/>
      <c r="Q10" s="336">
        <v>40.700000000000003</v>
      </c>
      <c r="R10" s="337">
        <f t="shared" si="3"/>
        <v>40.700000000000003</v>
      </c>
      <c r="S10" s="292">
        <v>4</v>
      </c>
      <c r="T10" s="838"/>
      <c r="U10" s="836"/>
      <c r="V10" s="299" t="s">
        <v>96</v>
      </c>
      <c r="W10" s="292" t="s">
        <v>20</v>
      </c>
      <c r="X10" s="292" t="s">
        <v>12</v>
      </c>
      <c r="Y10" s="300">
        <v>40.700000000000003</v>
      </c>
      <c r="AD10" s="299"/>
      <c r="AG10" s="300"/>
      <c r="AL10" s="299"/>
      <c r="AO10" s="300"/>
      <c r="AP10" s="299"/>
      <c r="AS10" s="300"/>
      <c r="AW10" s="300"/>
      <c r="BA10" s="301"/>
    </row>
    <row r="11" spans="1:53" s="185" customFormat="1">
      <c r="A11" s="101">
        <v>1978</v>
      </c>
      <c r="B11" s="852">
        <v>28520</v>
      </c>
      <c r="C11" s="917" t="s">
        <v>611</v>
      </c>
      <c r="D11" s="917"/>
      <c r="E11" s="185">
        <v>211</v>
      </c>
      <c r="F11" s="185">
        <v>5</v>
      </c>
      <c r="G11" s="119">
        <v>3</v>
      </c>
      <c r="I11" s="185">
        <v>8</v>
      </c>
      <c r="J11" s="126">
        <v>16</v>
      </c>
      <c r="K11" s="92">
        <f t="shared" si="1"/>
        <v>18.75</v>
      </c>
      <c r="L11" s="92">
        <f t="shared" si="0"/>
        <v>0</v>
      </c>
      <c r="M11" s="92">
        <f t="shared" si="0"/>
        <v>50</v>
      </c>
      <c r="N11" s="121">
        <f t="shared" si="2"/>
        <v>68.75</v>
      </c>
      <c r="O11" s="91">
        <v>16</v>
      </c>
      <c r="P11" s="92"/>
      <c r="Q11" s="92">
        <v>40.700000000000003</v>
      </c>
      <c r="R11" s="93">
        <f t="shared" si="3"/>
        <v>56.7</v>
      </c>
      <c r="S11" s="185">
        <v>2</v>
      </c>
      <c r="T11" s="839"/>
      <c r="U11" s="852">
        <v>28520</v>
      </c>
      <c r="V11" s="82" t="s">
        <v>96</v>
      </c>
      <c r="W11" s="185" t="s">
        <v>20</v>
      </c>
      <c r="X11" s="185" t="s">
        <v>12</v>
      </c>
      <c r="Y11" s="83">
        <v>40.700000000000003</v>
      </c>
      <c r="Z11" s="185" t="s">
        <v>482</v>
      </c>
      <c r="AA11" s="185" t="s">
        <v>17</v>
      </c>
      <c r="AB11" s="185" t="s">
        <v>11</v>
      </c>
      <c r="AC11" s="185">
        <v>16</v>
      </c>
      <c r="AD11" s="82"/>
      <c r="AG11" s="83"/>
      <c r="AL11" s="82"/>
      <c r="AO11" s="83"/>
      <c r="AP11" s="82"/>
      <c r="AS11" s="83"/>
      <c r="AW11" s="83"/>
      <c r="BA11" s="84"/>
    </row>
    <row r="12" spans="1:53" s="292" customFormat="1">
      <c r="A12" s="338">
        <v>1978</v>
      </c>
      <c r="B12" s="836">
        <v>28731</v>
      </c>
      <c r="C12" s="916" t="s">
        <v>839</v>
      </c>
      <c r="D12" s="916"/>
      <c r="E12" s="292">
        <v>85</v>
      </c>
      <c r="F12" s="292">
        <v>4</v>
      </c>
      <c r="G12" s="366">
        <v>0</v>
      </c>
      <c r="H12" s="292">
        <v>0</v>
      </c>
      <c r="I12" s="292">
        <v>0</v>
      </c>
      <c r="J12" s="377">
        <v>15</v>
      </c>
      <c r="K12" s="336">
        <f t="shared" si="1"/>
        <v>0</v>
      </c>
      <c r="L12" s="336">
        <f t="shared" si="0"/>
        <v>0</v>
      </c>
      <c r="M12" s="336">
        <f t="shared" si="0"/>
        <v>0</v>
      </c>
      <c r="N12" s="368">
        <f t="shared" si="2"/>
        <v>0</v>
      </c>
      <c r="O12" s="335">
        <v>0</v>
      </c>
      <c r="P12" s="336">
        <v>0</v>
      </c>
      <c r="Q12" s="336">
        <v>0</v>
      </c>
      <c r="R12" s="337">
        <f t="shared" si="3"/>
        <v>0</v>
      </c>
      <c r="S12" s="292">
        <v>6</v>
      </c>
      <c r="T12" s="838"/>
      <c r="U12" s="836">
        <v>28731</v>
      </c>
      <c r="V12" s="379" t="s">
        <v>802</v>
      </c>
      <c r="Y12" s="300"/>
      <c r="AD12" s="299"/>
      <c r="AG12" s="300"/>
      <c r="AL12" s="299"/>
      <c r="AO12" s="300"/>
      <c r="AP12" s="299"/>
      <c r="AS12" s="300"/>
      <c r="AW12" s="300"/>
      <c r="BA12" s="301"/>
    </row>
    <row r="13" spans="1:53" s="185" customFormat="1">
      <c r="A13" s="101">
        <v>1978</v>
      </c>
      <c r="B13" s="852">
        <v>28816</v>
      </c>
      <c r="C13" s="917" t="s">
        <v>825</v>
      </c>
      <c r="D13" s="917"/>
      <c r="E13" s="185">
        <f>365-E10-E11-E12</f>
        <v>40</v>
      </c>
      <c r="F13" s="185">
        <v>5</v>
      </c>
      <c r="G13" s="119">
        <v>0</v>
      </c>
      <c r="H13" s="185">
        <v>0</v>
      </c>
      <c r="I13" s="185">
        <v>0</v>
      </c>
      <c r="J13" s="126">
        <v>16</v>
      </c>
      <c r="K13" s="92">
        <f t="shared" si="1"/>
        <v>0</v>
      </c>
      <c r="L13" s="92">
        <f t="shared" si="0"/>
        <v>0</v>
      </c>
      <c r="M13" s="92">
        <f t="shared" si="0"/>
        <v>0</v>
      </c>
      <c r="N13" s="121">
        <f t="shared" si="2"/>
        <v>0</v>
      </c>
      <c r="O13" s="91">
        <v>0</v>
      </c>
      <c r="P13" s="92">
        <v>0</v>
      </c>
      <c r="Q13" s="92">
        <v>0</v>
      </c>
      <c r="R13" s="93">
        <f t="shared" si="3"/>
        <v>0</v>
      </c>
      <c r="S13" s="185">
        <v>6</v>
      </c>
      <c r="T13" s="839"/>
      <c r="U13" s="852">
        <v>28816</v>
      </c>
      <c r="V13" s="189" t="s">
        <v>802</v>
      </c>
      <c r="Y13" s="83"/>
      <c r="AD13" s="82"/>
      <c r="AG13" s="83"/>
      <c r="AL13" s="82"/>
      <c r="AO13" s="83"/>
      <c r="AP13" s="82"/>
      <c r="AS13" s="83"/>
      <c r="AW13" s="83"/>
      <c r="BA13" s="84"/>
    </row>
    <row r="14" spans="1:53" s="185" customFormat="1">
      <c r="A14" s="101">
        <v>1979</v>
      </c>
      <c r="B14" s="852"/>
      <c r="C14" s="917" t="s">
        <v>825</v>
      </c>
      <c r="D14" s="917"/>
      <c r="E14" s="185">
        <v>212</v>
      </c>
      <c r="G14" s="119">
        <v>0</v>
      </c>
      <c r="H14" s="185">
        <v>0</v>
      </c>
      <c r="I14" s="185">
        <v>0</v>
      </c>
      <c r="J14" s="126">
        <v>16</v>
      </c>
      <c r="K14" s="92">
        <f t="shared" si="1"/>
        <v>0</v>
      </c>
      <c r="L14" s="92">
        <f t="shared" si="0"/>
        <v>0</v>
      </c>
      <c r="M14" s="92">
        <f t="shared" si="0"/>
        <v>0</v>
      </c>
      <c r="N14" s="121">
        <f t="shared" si="2"/>
        <v>0</v>
      </c>
      <c r="O14" s="91">
        <v>0</v>
      </c>
      <c r="P14" s="92">
        <v>0</v>
      </c>
      <c r="Q14" s="92">
        <v>0</v>
      </c>
      <c r="R14" s="93">
        <f t="shared" si="3"/>
        <v>0</v>
      </c>
      <c r="S14" s="185">
        <v>6</v>
      </c>
      <c r="T14" s="839"/>
      <c r="U14" s="852"/>
      <c r="V14" s="189" t="s">
        <v>802</v>
      </c>
      <c r="Y14" s="83"/>
      <c r="AD14" s="82"/>
      <c r="AG14" s="83"/>
      <c r="AL14" s="82"/>
      <c r="AO14" s="83"/>
      <c r="AP14" s="82"/>
      <c r="AS14" s="83"/>
      <c r="AW14" s="83"/>
      <c r="BA14" s="84"/>
    </row>
    <row r="15" spans="1:53" s="292" customFormat="1">
      <c r="A15" s="338">
        <v>1979</v>
      </c>
      <c r="B15" s="836">
        <v>29068</v>
      </c>
      <c r="C15" s="916" t="s">
        <v>826</v>
      </c>
      <c r="D15" s="916"/>
      <c r="E15" s="292">
        <f>365-E14</f>
        <v>153</v>
      </c>
      <c r="F15" s="292">
        <v>5</v>
      </c>
      <c r="G15" s="366">
        <v>0</v>
      </c>
      <c r="H15" s="292">
        <v>0</v>
      </c>
      <c r="I15" s="292">
        <v>0</v>
      </c>
      <c r="J15" s="377">
        <v>17</v>
      </c>
      <c r="K15" s="336">
        <f t="shared" si="1"/>
        <v>0</v>
      </c>
      <c r="L15" s="336">
        <f t="shared" si="0"/>
        <v>0</v>
      </c>
      <c r="M15" s="336">
        <f t="shared" si="0"/>
        <v>0</v>
      </c>
      <c r="N15" s="368">
        <f t="shared" si="2"/>
        <v>0</v>
      </c>
      <c r="O15" s="335">
        <v>0</v>
      </c>
      <c r="P15" s="336">
        <v>0</v>
      </c>
      <c r="Q15" s="336">
        <v>0</v>
      </c>
      <c r="R15" s="337">
        <f t="shared" si="3"/>
        <v>0</v>
      </c>
      <c r="S15" s="292">
        <v>6</v>
      </c>
      <c r="T15" s="838">
        <v>29133</v>
      </c>
      <c r="U15" s="836">
        <v>29068</v>
      </c>
      <c r="V15" s="379" t="s">
        <v>802</v>
      </c>
      <c r="Y15" s="300"/>
      <c r="AD15" s="299"/>
      <c r="AG15" s="300"/>
      <c r="AL15" s="299"/>
      <c r="AO15" s="300"/>
      <c r="AP15" s="299"/>
      <c r="AS15" s="300"/>
      <c r="AW15" s="300"/>
      <c r="BA15" s="301"/>
    </row>
    <row r="16" spans="1:53" s="292" customFormat="1">
      <c r="A16" s="338">
        <v>1980</v>
      </c>
      <c r="B16" s="836"/>
      <c r="C16" s="916" t="s">
        <v>826</v>
      </c>
      <c r="D16" s="916"/>
      <c r="E16" s="292">
        <v>2</v>
      </c>
      <c r="G16" s="366">
        <v>0</v>
      </c>
      <c r="H16" s="292">
        <v>0</v>
      </c>
      <c r="I16" s="292">
        <v>0</v>
      </c>
      <c r="J16" s="377">
        <v>17</v>
      </c>
      <c r="K16" s="336">
        <f t="shared" si="1"/>
        <v>0</v>
      </c>
      <c r="L16" s="336">
        <f t="shared" si="0"/>
        <v>0</v>
      </c>
      <c r="M16" s="336">
        <f t="shared" si="0"/>
        <v>0</v>
      </c>
      <c r="N16" s="368">
        <f t="shared" si="2"/>
        <v>0</v>
      </c>
      <c r="O16" s="335">
        <v>0</v>
      </c>
      <c r="P16" s="336">
        <v>0</v>
      </c>
      <c r="Q16" s="336">
        <v>0</v>
      </c>
      <c r="R16" s="337">
        <f t="shared" si="3"/>
        <v>0</v>
      </c>
      <c r="S16" s="292">
        <v>6</v>
      </c>
      <c r="T16" s="838"/>
      <c r="U16" s="836"/>
      <c r="V16" s="379" t="s">
        <v>802</v>
      </c>
      <c r="Y16" s="300"/>
      <c r="AD16" s="299"/>
      <c r="AG16" s="300"/>
      <c r="AL16" s="299"/>
      <c r="AO16" s="300"/>
      <c r="AP16" s="299"/>
      <c r="AS16" s="300"/>
      <c r="AW16" s="300"/>
      <c r="BA16" s="301"/>
    </row>
    <row r="17" spans="1:53" s="185" customFormat="1">
      <c r="A17" s="101">
        <v>1980</v>
      </c>
      <c r="B17" s="852">
        <v>29223</v>
      </c>
      <c r="C17" s="917" t="s">
        <v>827</v>
      </c>
      <c r="D17" s="917"/>
      <c r="E17" s="185">
        <f>366-E16</f>
        <v>364</v>
      </c>
      <c r="F17" s="185">
        <v>1</v>
      </c>
      <c r="G17" s="119">
        <v>13</v>
      </c>
      <c r="J17" s="126">
        <v>15</v>
      </c>
      <c r="K17" s="92">
        <f t="shared" si="1"/>
        <v>86.666666666666671</v>
      </c>
      <c r="L17" s="92">
        <f t="shared" si="0"/>
        <v>0</v>
      </c>
      <c r="M17" s="92">
        <f t="shared" si="0"/>
        <v>0</v>
      </c>
      <c r="N17" s="121">
        <f t="shared" si="2"/>
        <v>86.666666666666671</v>
      </c>
      <c r="O17" s="91">
        <v>52.6</v>
      </c>
      <c r="P17" s="92"/>
      <c r="Q17" s="92"/>
      <c r="R17" s="93">
        <f t="shared" si="3"/>
        <v>52.6</v>
      </c>
      <c r="S17" s="185">
        <v>1</v>
      </c>
      <c r="T17" s="839">
        <v>29499</v>
      </c>
      <c r="U17" s="852">
        <v>29223</v>
      </c>
      <c r="V17" s="82" t="s">
        <v>480</v>
      </c>
      <c r="W17" s="185" t="s">
        <v>22</v>
      </c>
      <c r="X17" s="185" t="s">
        <v>11</v>
      </c>
      <c r="Y17" s="83">
        <v>52.6</v>
      </c>
      <c r="Z17" s="185" t="s">
        <v>482</v>
      </c>
      <c r="AA17" s="185" t="s">
        <v>17</v>
      </c>
      <c r="AB17" s="185" t="s">
        <v>11</v>
      </c>
      <c r="AC17" s="139">
        <v>52.6</v>
      </c>
      <c r="AD17" s="82" t="s">
        <v>481</v>
      </c>
      <c r="AE17" s="185" t="s">
        <v>330</v>
      </c>
      <c r="AF17" s="185" t="s">
        <v>11</v>
      </c>
      <c r="AG17" s="194">
        <v>52.6</v>
      </c>
      <c r="AL17" s="82"/>
      <c r="AO17" s="83"/>
      <c r="AP17" s="82"/>
      <c r="AS17" s="83"/>
      <c r="AW17" s="83"/>
      <c r="BA17" s="84"/>
    </row>
    <row r="18" spans="1:53" s="185" customFormat="1">
      <c r="A18" s="101">
        <v>1981</v>
      </c>
      <c r="B18" s="852"/>
      <c r="C18" s="917" t="s">
        <v>827</v>
      </c>
      <c r="D18" s="917"/>
      <c r="E18" s="185">
        <v>8</v>
      </c>
      <c r="G18" s="119">
        <v>13</v>
      </c>
      <c r="J18" s="126">
        <v>15</v>
      </c>
      <c r="K18" s="92">
        <f t="shared" si="1"/>
        <v>86.666666666666671</v>
      </c>
      <c r="L18" s="92">
        <f t="shared" si="0"/>
        <v>0</v>
      </c>
      <c r="M18" s="92">
        <f t="shared" si="0"/>
        <v>0</v>
      </c>
      <c r="N18" s="121">
        <f t="shared" si="2"/>
        <v>86.666666666666671</v>
      </c>
      <c r="O18" s="91">
        <v>52.6</v>
      </c>
      <c r="P18" s="92"/>
      <c r="Q18" s="92"/>
      <c r="R18" s="93">
        <f t="shared" si="3"/>
        <v>52.6</v>
      </c>
      <c r="S18" s="185">
        <v>1</v>
      </c>
      <c r="T18" s="839"/>
      <c r="U18" s="852"/>
      <c r="V18" s="82" t="s">
        <v>480</v>
      </c>
      <c r="W18" s="185" t="s">
        <v>22</v>
      </c>
      <c r="X18" s="185" t="s">
        <v>11</v>
      </c>
      <c r="Y18" s="83">
        <v>52.6</v>
      </c>
      <c r="Z18" s="185" t="s">
        <v>482</v>
      </c>
      <c r="AA18" s="185" t="s">
        <v>17</v>
      </c>
      <c r="AB18" s="185" t="s">
        <v>11</v>
      </c>
      <c r="AC18" s="139">
        <v>52.6</v>
      </c>
      <c r="AD18" s="82" t="s">
        <v>481</v>
      </c>
      <c r="AE18" s="185" t="s">
        <v>330</v>
      </c>
      <c r="AF18" s="185" t="s">
        <v>11</v>
      </c>
      <c r="AG18" s="194">
        <v>52.6</v>
      </c>
      <c r="AL18" s="82"/>
      <c r="AO18" s="83"/>
      <c r="AP18" s="82"/>
      <c r="AS18" s="83"/>
      <c r="AW18" s="83"/>
      <c r="BA18" s="84"/>
    </row>
    <row r="19" spans="1:53" s="292" customFormat="1">
      <c r="A19" s="338">
        <v>1981</v>
      </c>
      <c r="B19" s="836">
        <v>29595</v>
      </c>
      <c r="C19" s="916" t="s">
        <v>828</v>
      </c>
      <c r="D19" s="916"/>
      <c r="E19" s="292">
        <v>238</v>
      </c>
      <c r="F19" s="292" t="s">
        <v>338</v>
      </c>
      <c r="G19" s="366">
        <v>15</v>
      </c>
      <c r="J19" s="377">
        <v>18</v>
      </c>
      <c r="K19" s="336">
        <f t="shared" si="1"/>
        <v>83.333333333333343</v>
      </c>
      <c r="L19" s="336">
        <f t="shared" si="0"/>
        <v>0</v>
      </c>
      <c r="M19" s="336">
        <f t="shared" si="0"/>
        <v>0</v>
      </c>
      <c r="N19" s="368">
        <f t="shared" si="2"/>
        <v>83.333333333333343</v>
      </c>
      <c r="O19" s="335">
        <v>52.6</v>
      </c>
      <c r="P19" s="336"/>
      <c r="Q19" s="336"/>
      <c r="R19" s="337">
        <f t="shared" si="3"/>
        <v>52.6</v>
      </c>
      <c r="S19" s="292">
        <v>1</v>
      </c>
      <c r="T19" s="838"/>
      <c r="U19" s="836">
        <v>29595</v>
      </c>
      <c r="V19" s="299" t="s">
        <v>480</v>
      </c>
      <c r="W19" s="292" t="s">
        <v>22</v>
      </c>
      <c r="X19" s="292" t="s">
        <v>11</v>
      </c>
      <c r="Y19" s="300">
        <v>52.6</v>
      </c>
      <c r="Z19" s="292" t="s">
        <v>482</v>
      </c>
      <c r="AA19" s="292" t="s">
        <v>17</v>
      </c>
      <c r="AB19" s="292" t="s">
        <v>11</v>
      </c>
      <c r="AC19" s="381">
        <v>52.6</v>
      </c>
      <c r="AD19" s="299" t="s">
        <v>481</v>
      </c>
      <c r="AE19" s="292" t="s">
        <v>330</v>
      </c>
      <c r="AF19" s="292" t="s">
        <v>11</v>
      </c>
      <c r="AG19" s="393">
        <v>52.6</v>
      </c>
      <c r="AL19" s="299"/>
      <c r="AO19" s="300"/>
      <c r="AP19" s="299"/>
      <c r="AS19" s="300"/>
      <c r="AW19" s="300"/>
      <c r="BA19" s="301"/>
    </row>
    <row r="20" spans="1:53" s="185" customFormat="1">
      <c r="A20" s="101">
        <v>1981</v>
      </c>
      <c r="B20" s="852">
        <v>29833</v>
      </c>
      <c r="C20" s="917" t="s">
        <v>829</v>
      </c>
      <c r="D20" s="917"/>
      <c r="E20" s="185">
        <f>365-E19-E18</f>
        <v>119</v>
      </c>
      <c r="F20" s="185">
        <v>2</v>
      </c>
      <c r="G20" s="119">
        <v>14</v>
      </c>
      <c r="J20" s="126">
        <v>15</v>
      </c>
      <c r="K20" s="92">
        <f t="shared" si="1"/>
        <v>93.333333333333329</v>
      </c>
      <c r="L20" s="92">
        <f t="shared" si="0"/>
        <v>0</v>
      </c>
      <c r="M20" s="92">
        <f t="shared" si="0"/>
        <v>0</v>
      </c>
      <c r="N20" s="121">
        <f t="shared" si="2"/>
        <v>93.333333333333329</v>
      </c>
      <c r="O20" s="91">
        <v>52.6</v>
      </c>
      <c r="P20" s="92"/>
      <c r="Q20" s="92"/>
      <c r="R20" s="93">
        <f t="shared" si="3"/>
        <v>52.6</v>
      </c>
      <c r="S20" s="185">
        <v>1</v>
      </c>
      <c r="T20" s="839"/>
      <c r="U20" s="852">
        <v>29833</v>
      </c>
      <c r="V20" s="82" t="s">
        <v>480</v>
      </c>
      <c r="W20" s="185" t="s">
        <v>22</v>
      </c>
      <c r="X20" s="185" t="s">
        <v>11</v>
      </c>
      <c r="Y20" s="83">
        <v>52.6</v>
      </c>
      <c r="Z20" s="185" t="s">
        <v>482</v>
      </c>
      <c r="AA20" s="185" t="s">
        <v>17</v>
      </c>
      <c r="AB20" s="185" t="s">
        <v>11</v>
      </c>
      <c r="AC20" s="139">
        <v>52.6</v>
      </c>
      <c r="AD20" s="82" t="s">
        <v>481</v>
      </c>
      <c r="AE20" s="185" t="s">
        <v>330</v>
      </c>
      <c r="AF20" s="185" t="s">
        <v>11</v>
      </c>
      <c r="AG20" s="194">
        <v>52.6</v>
      </c>
      <c r="AL20" s="82"/>
      <c r="AO20" s="83"/>
      <c r="AP20" s="82"/>
      <c r="AS20" s="83"/>
      <c r="AW20" s="83"/>
      <c r="BA20" s="84"/>
    </row>
    <row r="21" spans="1:53" s="185" customFormat="1">
      <c r="A21" s="101">
        <v>1982</v>
      </c>
      <c r="B21" s="852"/>
      <c r="C21" s="917" t="s">
        <v>829</v>
      </c>
      <c r="D21" s="917"/>
      <c r="E21" s="185">
        <v>0</v>
      </c>
      <c r="G21" s="119">
        <v>14</v>
      </c>
      <c r="J21" s="126">
        <v>15</v>
      </c>
      <c r="K21" s="92">
        <f t="shared" si="1"/>
        <v>93.333333333333329</v>
      </c>
      <c r="L21" s="92">
        <f t="shared" si="0"/>
        <v>0</v>
      </c>
      <c r="M21" s="92">
        <f t="shared" si="0"/>
        <v>0</v>
      </c>
      <c r="N21" s="121">
        <f t="shared" si="2"/>
        <v>93.333333333333329</v>
      </c>
      <c r="O21" s="91">
        <v>52.6</v>
      </c>
      <c r="P21" s="92"/>
      <c r="Q21" s="92"/>
      <c r="R21" s="93">
        <f t="shared" si="3"/>
        <v>52.6</v>
      </c>
      <c r="S21" s="185">
        <v>1</v>
      </c>
      <c r="T21" s="839"/>
      <c r="U21" s="852"/>
      <c r="V21" s="82" t="s">
        <v>480</v>
      </c>
      <c r="W21" s="185" t="s">
        <v>22</v>
      </c>
      <c r="X21" s="185" t="s">
        <v>11</v>
      </c>
      <c r="Y21" s="83">
        <v>52.6</v>
      </c>
      <c r="Z21" s="185" t="s">
        <v>482</v>
      </c>
      <c r="AA21" s="185" t="s">
        <v>17</v>
      </c>
      <c r="AB21" s="185" t="s">
        <v>11</v>
      </c>
      <c r="AC21" s="139">
        <v>52.6</v>
      </c>
      <c r="AD21" s="82" t="s">
        <v>481</v>
      </c>
      <c r="AE21" s="185" t="s">
        <v>330</v>
      </c>
      <c r="AF21" s="185" t="s">
        <v>11</v>
      </c>
      <c r="AG21" s="194">
        <v>52.6</v>
      </c>
      <c r="AL21" s="82"/>
      <c r="AO21" s="83"/>
      <c r="AP21" s="82"/>
      <c r="AS21" s="83"/>
      <c r="AW21" s="83"/>
      <c r="BA21" s="84"/>
    </row>
    <row r="22" spans="1:53" s="185" customFormat="1">
      <c r="A22" s="101">
        <v>1982</v>
      </c>
      <c r="B22" s="852"/>
      <c r="C22" s="917" t="s">
        <v>829</v>
      </c>
      <c r="D22" s="917"/>
      <c r="E22" s="185">
        <v>365</v>
      </c>
      <c r="G22" s="119">
        <v>14</v>
      </c>
      <c r="J22" s="126">
        <v>15</v>
      </c>
      <c r="K22" s="92">
        <f t="shared" si="1"/>
        <v>93.333333333333329</v>
      </c>
      <c r="L22" s="92">
        <f t="shared" si="0"/>
        <v>0</v>
      </c>
      <c r="M22" s="92">
        <f t="shared" si="0"/>
        <v>0</v>
      </c>
      <c r="N22" s="121">
        <f t="shared" si="2"/>
        <v>93.333333333333329</v>
      </c>
      <c r="O22" s="91">
        <v>52.6</v>
      </c>
      <c r="P22" s="92"/>
      <c r="Q22" s="92"/>
      <c r="R22" s="93">
        <f t="shared" si="3"/>
        <v>52.6</v>
      </c>
      <c r="S22" s="185">
        <v>1</v>
      </c>
      <c r="T22" s="839"/>
      <c r="U22" s="852"/>
      <c r="V22" s="82" t="s">
        <v>480</v>
      </c>
      <c r="W22" s="185" t="s">
        <v>22</v>
      </c>
      <c r="X22" s="185" t="s">
        <v>11</v>
      </c>
      <c r="Y22" s="83">
        <v>52.6</v>
      </c>
      <c r="Z22" s="185" t="s">
        <v>482</v>
      </c>
      <c r="AA22" s="185" t="s">
        <v>17</v>
      </c>
      <c r="AB22" s="185" t="s">
        <v>11</v>
      </c>
      <c r="AC22" s="139">
        <v>52.6</v>
      </c>
      <c r="AD22" s="82" t="s">
        <v>481</v>
      </c>
      <c r="AE22" s="185" t="s">
        <v>330</v>
      </c>
      <c r="AF22" s="185" t="s">
        <v>11</v>
      </c>
      <c r="AG22" s="194">
        <v>52.6</v>
      </c>
      <c r="AL22" s="82"/>
      <c r="AO22" s="83"/>
      <c r="AP22" s="82"/>
      <c r="AS22" s="83"/>
      <c r="AW22" s="83"/>
      <c r="BA22" s="84"/>
    </row>
    <row r="23" spans="1:53" s="185" customFormat="1">
      <c r="A23" s="101">
        <v>1983</v>
      </c>
      <c r="B23" s="852"/>
      <c r="C23" s="917" t="s">
        <v>829</v>
      </c>
      <c r="D23" s="917"/>
      <c r="E23" s="185">
        <v>159</v>
      </c>
      <c r="G23" s="119">
        <v>14</v>
      </c>
      <c r="J23" s="126">
        <v>15</v>
      </c>
      <c r="K23" s="92">
        <f t="shared" si="1"/>
        <v>93.333333333333329</v>
      </c>
      <c r="L23" s="92">
        <f t="shared" si="1"/>
        <v>0</v>
      </c>
      <c r="M23" s="92">
        <f t="shared" si="1"/>
        <v>0</v>
      </c>
      <c r="N23" s="121">
        <f t="shared" si="2"/>
        <v>93.333333333333329</v>
      </c>
      <c r="O23" s="91">
        <v>52.6</v>
      </c>
      <c r="P23" s="92"/>
      <c r="Q23" s="92"/>
      <c r="R23" s="93">
        <f t="shared" si="3"/>
        <v>52.6</v>
      </c>
      <c r="S23" s="185">
        <v>1</v>
      </c>
      <c r="T23" s="839"/>
      <c r="U23" s="852"/>
      <c r="V23" s="82" t="s">
        <v>480</v>
      </c>
      <c r="W23" s="185" t="s">
        <v>22</v>
      </c>
      <c r="X23" s="185" t="s">
        <v>11</v>
      </c>
      <c r="Y23" s="83">
        <v>52.6</v>
      </c>
      <c r="Z23" s="185" t="s">
        <v>482</v>
      </c>
      <c r="AA23" s="185" t="s">
        <v>17</v>
      </c>
      <c r="AB23" s="185" t="s">
        <v>11</v>
      </c>
      <c r="AC23" s="139">
        <v>52.6</v>
      </c>
      <c r="AD23" s="82" t="s">
        <v>481</v>
      </c>
      <c r="AE23" s="185" t="s">
        <v>330</v>
      </c>
      <c r="AF23" s="185" t="s">
        <v>11</v>
      </c>
      <c r="AG23" s="194">
        <v>52.6</v>
      </c>
      <c r="AL23" s="82"/>
      <c r="AO23" s="83"/>
      <c r="AP23" s="82"/>
      <c r="AS23" s="83"/>
      <c r="AW23" s="83"/>
      <c r="BA23" s="84"/>
    </row>
    <row r="24" spans="1:53" s="292" customFormat="1">
      <c r="A24" s="338">
        <v>1983</v>
      </c>
      <c r="B24" s="836">
        <v>30476</v>
      </c>
      <c r="C24" s="916" t="s">
        <v>612</v>
      </c>
      <c r="D24" s="916"/>
      <c r="E24" s="292">
        <f>365-E23</f>
        <v>206</v>
      </c>
      <c r="F24" s="292">
        <v>2</v>
      </c>
      <c r="G24" s="366">
        <v>6</v>
      </c>
      <c r="I24" s="292">
        <v>9</v>
      </c>
      <c r="J24" s="377">
        <v>17</v>
      </c>
      <c r="K24" s="336">
        <f t="shared" si="1"/>
        <v>35.294117647058826</v>
      </c>
      <c r="L24" s="336">
        <f t="shared" si="1"/>
        <v>0</v>
      </c>
      <c r="M24" s="336">
        <f t="shared" si="1"/>
        <v>52.941176470588239</v>
      </c>
      <c r="N24" s="368">
        <f t="shared" si="2"/>
        <v>88.235294117647072</v>
      </c>
      <c r="O24" s="335">
        <v>30</v>
      </c>
      <c r="P24" s="336"/>
      <c r="Q24" s="336">
        <v>40.4</v>
      </c>
      <c r="R24" s="337">
        <f t="shared" si="3"/>
        <v>70.400000000000006</v>
      </c>
      <c r="S24" s="292">
        <v>2</v>
      </c>
      <c r="T24" s="838">
        <v>30431</v>
      </c>
      <c r="U24" s="836">
        <v>30568</v>
      </c>
      <c r="V24" s="299" t="s">
        <v>96</v>
      </c>
      <c r="W24" s="292" t="s">
        <v>20</v>
      </c>
      <c r="X24" s="292" t="s">
        <v>12</v>
      </c>
      <c r="Y24" s="300">
        <v>40.4</v>
      </c>
      <c r="Z24" s="292" t="s">
        <v>480</v>
      </c>
      <c r="AA24" s="292" t="s">
        <v>22</v>
      </c>
      <c r="AB24" s="292" t="s">
        <v>11</v>
      </c>
      <c r="AC24" s="292">
        <v>30</v>
      </c>
      <c r="AD24" s="299"/>
      <c r="AG24" s="300"/>
      <c r="AL24" s="299"/>
      <c r="AO24" s="300"/>
      <c r="AP24" s="299"/>
      <c r="AS24" s="300"/>
      <c r="AW24" s="300"/>
      <c r="BA24" s="301"/>
    </row>
    <row r="25" spans="1:53" s="292" customFormat="1">
      <c r="A25" s="338">
        <v>1984</v>
      </c>
      <c r="B25" s="836"/>
      <c r="C25" s="916" t="s">
        <v>612</v>
      </c>
      <c r="D25" s="916"/>
      <c r="E25" s="292">
        <v>0</v>
      </c>
      <c r="G25" s="366">
        <v>6</v>
      </c>
      <c r="I25" s="292">
        <v>9</v>
      </c>
      <c r="J25" s="377">
        <v>17</v>
      </c>
      <c r="K25" s="336">
        <f t="shared" si="1"/>
        <v>35.294117647058826</v>
      </c>
      <c r="L25" s="336">
        <f t="shared" si="1"/>
        <v>0</v>
      </c>
      <c r="M25" s="336">
        <f t="shared" si="1"/>
        <v>52.941176470588239</v>
      </c>
      <c r="N25" s="368">
        <f t="shared" si="2"/>
        <v>88.235294117647072</v>
      </c>
      <c r="O25" s="335">
        <v>30</v>
      </c>
      <c r="P25" s="336"/>
      <c r="Q25" s="336">
        <v>40.4</v>
      </c>
      <c r="R25" s="337">
        <f t="shared" si="3"/>
        <v>70.400000000000006</v>
      </c>
      <c r="S25" s="292">
        <v>2</v>
      </c>
      <c r="T25" s="838"/>
      <c r="U25" s="836"/>
      <c r="V25" s="299" t="s">
        <v>96</v>
      </c>
      <c r="W25" s="292" t="s">
        <v>20</v>
      </c>
      <c r="X25" s="292" t="s">
        <v>12</v>
      </c>
      <c r="Y25" s="300">
        <v>40.4</v>
      </c>
      <c r="Z25" s="292" t="s">
        <v>480</v>
      </c>
      <c r="AA25" s="292" t="s">
        <v>22</v>
      </c>
      <c r="AB25" s="292" t="s">
        <v>11</v>
      </c>
      <c r="AC25" s="292">
        <v>30</v>
      </c>
      <c r="AD25" s="299"/>
      <c r="AG25" s="300"/>
      <c r="AL25" s="299"/>
      <c r="AO25" s="300"/>
      <c r="AP25" s="299"/>
      <c r="AS25" s="300"/>
      <c r="AW25" s="300"/>
      <c r="BA25" s="301"/>
    </row>
    <row r="26" spans="1:53" s="292" customFormat="1">
      <c r="A26" s="338">
        <v>1984</v>
      </c>
      <c r="B26" s="836"/>
      <c r="C26" s="916" t="s">
        <v>612</v>
      </c>
      <c r="D26" s="916"/>
      <c r="E26" s="292">
        <v>366</v>
      </c>
      <c r="G26" s="366">
        <v>6</v>
      </c>
      <c r="I26" s="292">
        <v>9</v>
      </c>
      <c r="J26" s="377">
        <v>17</v>
      </c>
      <c r="K26" s="336">
        <f t="shared" si="1"/>
        <v>35.294117647058826</v>
      </c>
      <c r="L26" s="336">
        <f t="shared" si="1"/>
        <v>0</v>
      </c>
      <c r="M26" s="336">
        <f t="shared" si="1"/>
        <v>52.941176470588239</v>
      </c>
      <c r="N26" s="368">
        <f t="shared" si="2"/>
        <v>88.235294117647072</v>
      </c>
      <c r="O26" s="335">
        <v>30</v>
      </c>
      <c r="P26" s="336"/>
      <c r="Q26" s="336">
        <v>40.4</v>
      </c>
      <c r="R26" s="337">
        <f t="shared" si="3"/>
        <v>70.400000000000006</v>
      </c>
      <c r="S26" s="292">
        <v>2</v>
      </c>
      <c r="T26" s="838"/>
      <c r="U26" s="836"/>
      <c r="V26" s="299" t="s">
        <v>96</v>
      </c>
      <c r="W26" s="292" t="s">
        <v>20</v>
      </c>
      <c r="X26" s="292" t="s">
        <v>12</v>
      </c>
      <c r="Y26" s="300">
        <v>40.4</v>
      </c>
      <c r="Z26" s="292" t="s">
        <v>480</v>
      </c>
      <c r="AA26" s="292" t="s">
        <v>22</v>
      </c>
      <c r="AB26" s="292" t="s">
        <v>11</v>
      </c>
      <c r="AC26" s="292">
        <v>30</v>
      </c>
      <c r="AD26" s="299"/>
      <c r="AG26" s="300"/>
      <c r="AL26" s="299"/>
      <c r="AO26" s="300"/>
      <c r="AP26" s="299"/>
      <c r="AS26" s="300"/>
      <c r="AW26" s="300"/>
      <c r="BA26" s="301"/>
    </row>
    <row r="27" spans="1:53" s="292" customFormat="1">
      <c r="A27" s="338">
        <v>1985</v>
      </c>
      <c r="B27" s="836"/>
      <c r="C27" s="916" t="s">
        <v>612</v>
      </c>
      <c r="D27" s="916"/>
      <c r="E27" s="292">
        <v>309</v>
      </c>
      <c r="G27" s="366">
        <v>6</v>
      </c>
      <c r="I27" s="292">
        <v>9</v>
      </c>
      <c r="J27" s="377">
        <v>17</v>
      </c>
      <c r="K27" s="336">
        <f t="shared" si="1"/>
        <v>35.294117647058826</v>
      </c>
      <c r="L27" s="336">
        <f t="shared" si="1"/>
        <v>0</v>
      </c>
      <c r="M27" s="336">
        <f t="shared" si="1"/>
        <v>52.941176470588239</v>
      </c>
      <c r="N27" s="368">
        <f t="shared" si="2"/>
        <v>88.235294117647072</v>
      </c>
      <c r="O27" s="335">
        <v>30</v>
      </c>
      <c r="P27" s="336"/>
      <c r="Q27" s="336">
        <v>40.4</v>
      </c>
      <c r="R27" s="337">
        <f t="shared" si="3"/>
        <v>70.400000000000006</v>
      </c>
      <c r="S27" s="292">
        <v>2</v>
      </c>
      <c r="T27" s="838"/>
      <c r="U27" s="836"/>
      <c r="V27" s="299" t="s">
        <v>96</v>
      </c>
      <c r="W27" s="292" t="s">
        <v>20</v>
      </c>
      <c r="X27" s="292" t="s">
        <v>12</v>
      </c>
      <c r="Y27" s="300">
        <v>40.4</v>
      </c>
      <c r="Z27" s="292" t="s">
        <v>480</v>
      </c>
      <c r="AA27" s="292" t="s">
        <v>22</v>
      </c>
      <c r="AB27" s="292" t="s">
        <v>11</v>
      </c>
      <c r="AC27" s="292">
        <v>30</v>
      </c>
      <c r="AD27" s="299"/>
      <c r="AG27" s="300"/>
      <c r="AL27" s="299"/>
      <c r="AO27" s="300"/>
      <c r="AP27" s="299"/>
      <c r="AS27" s="300"/>
      <c r="AW27" s="300"/>
      <c r="BA27" s="301"/>
    </row>
    <row r="28" spans="1:53" s="185" customFormat="1">
      <c r="A28" s="101">
        <v>1985</v>
      </c>
      <c r="B28" s="852">
        <v>31357</v>
      </c>
      <c r="C28" s="917" t="s">
        <v>830</v>
      </c>
      <c r="D28" s="917"/>
      <c r="E28" s="185">
        <f>365-E27</f>
        <v>56</v>
      </c>
      <c r="F28" s="185">
        <v>4</v>
      </c>
      <c r="G28" s="119">
        <v>12</v>
      </c>
      <c r="J28" s="126">
        <v>14</v>
      </c>
      <c r="K28" s="92">
        <f t="shared" si="1"/>
        <v>85.714285714285708</v>
      </c>
      <c r="L28" s="92">
        <f t="shared" si="1"/>
        <v>0</v>
      </c>
      <c r="M28" s="92">
        <f t="shared" si="1"/>
        <v>0</v>
      </c>
      <c r="N28" s="121">
        <f t="shared" si="2"/>
        <v>85.714285714285708</v>
      </c>
      <c r="O28" s="91">
        <v>35.200000000000003</v>
      </c>
      <c r="P28" s="92"/>
      <c r="Q28" s="92"/>
      <c r="R28" s="93">
        <f t="shared" si="3"/>
        <v>35.200000000000003</v>
      </c>
      <c r="S28" s="185">
        <v>4</v>
      </c>
      <c r="T28" s="839">
        <v>31326</v>
      </c>
      <c r="U28" s="852">
        <v>31357</v>
      </c>
      <c r="V28" s="82" t="s">
        <v>480</v>
      </c>
      <c r="W28" s="185" t="s">
        <v>22</v>
      </c>
      <c r="X28" s="185" t="s">
        <v>11</v>
      </c>
      <c r="Y28" s="83">
        <v>35.200000000000003</v>
      </c>
      <c r="AD28" s="82"/>
      <c r="AG28" s="83"/>
      <c r="AL28" s="82"/>
      <c r="AO28" s="83"/>
      <c r="AP28" s="82"/>
      <c r="AS28" s="83"/>
      <c r="AW28" s="83"/>
      <c r="BA28" s="84"/>
    </row>
    <row r="29" spans="1:53" s="185" customFormat="1">
      <c r="A29" s="101">
        <v>1986</v>
      </c>
      <c r="B29" s="852"/>
      <c r="C29" s="917" t="s">
        <v>830</v>
      </c>
      <c r="D29" s="917"/>
      <c r="E29" s="185">
        <v>0</v>
      </c>
      <c r="G29" s="119">
        <v>12</v>
      </c>
      <c r="J29" s="126">
        <v>14</v>
      </c>
      <c r="K29" s="92">
        <f t="shared" si="1"/>
        <v>85.714285714285708</v>
      </c>
      <c r="L29" s="92">
        <f t="shared" si="1"/>
        <v>0</v>
      </c>
      <c r="M29" s="92">
        <f t="shared" si="1"/>
        <v>0</v>
      </c>
      <c r="N29" s="121">
        <f t="shared" si="2"/>
        <v>85.714285714285708</v>
      </c>
      <c r="O29" s="91">
        <v>35.200000000000003</v>
      </c>
      <c r="P29" s="92"/>
      <c r="Q29" s="92"/>
      <c r="R29" s="93">
        <f t="shared" si="3"/>
        <v>35.200000000000003</v>
      </c>
      <c r="S29" s="185">
        <v>4</v>
      </c>
      <c r="T29" s="839"/>
      <c r="U29" s="852"/>
      <c r="V29" s="82" t="s">
        <v>480</v>
      </c>
      <c r="W29" s="185" t="s">
        <v>22</v>
      </c>
      <c r="X29" s="185" t="s">
        <v>11</v>
      </c>
      <c r="Y29" s="83">
        <v>35.200000000000003</v>
      </c>
      <c r="AD29" s="82"/>
      <c r="AG29" s="83"/>
      <c r="AL29" s="82"/>
      <c r="AO29" s="83"/>
      <c r="AP29" s="82"/>
      <c r="AS29" s="83"/>
      <c r="AW29" s="83"/>
      <c r="BA29" s="84"/>
    </row>
    <row r="30" spans="1:53" s="185" customFormat="1">
      <c r="A30" s="101">
        <v>1986</v>
      </c>
      <c r="B30" s="852"/>
      <c r="C30" s="917" t="s">
        <v>830</v>
      </c>
      <c r="D30" s="917"/>
      <c r="E30" s="185">
        <v>365</v>
      </c>
      <c r="G30" s="119">
        <v>12</v>
      </c>
      <c r="J30" s="126">
        <v>14</v>
      </c>
      <c r="K30" s="92">
        <f t="shared" si="1"/>
        <v>85.714285714285708</v>
      </c>
      <c r="L30" s="92">
        <f t="shared" si="1"/>
        <v>0</v>
      </c>
      <c r="M30" s="92">
        <f t="shared" si="1"/>
        <v>0</v>
      </c>
      <c r="N30" s="121">
        <f t="shared" si="2"/>
        <v>85.714285714285708</v>
      </c>
      <c r="O30" s="91">
        <v>35.200000000000003</v>
      </c>
      <c r="P30" s="92"/>
      <c r="Q30" s="92"/>
      <c r="R30" s="93">
        <f t="shared" si="3"/>
        <v>35.200000000000003</v>
      </c>
      <c r="S30" s="185">
        <v>4</v>
      </c>
      <c r="T30" s="839"/>
      <c r="U30" s="852"/>
      <c r="V30" s="82" t="s">
        <v>480</v>
      </c>
      <c r="W30" s="185" t="s">
        <v>22</v>
      </c>
      <c r="X30" s="185" t="s">
        <v>11</v>
      </c>
      <c r="Y30" s="83">
        <v>35.200000000000003</v>
      </c>
      <c r="AD30" s="82"/>
      <c r="AG30" s="83"/>
      <c r="AL30" s="82"/>
      <c r="AO30" s="83"/>
      <c r="AP30" s="82"/>
      <c r="AS30" s="83"/>
      <c r="AW30" s="83"/>
      <c r="BA30" s="84"/>
    </row>
    <row r="31" spans="1:53" s="185" customFormat="1">
      <c r="A31" s="101">
        <v>1987</v>
      </c>
      <c r="B31" s="852"/>
      <c r="C31" s="917" t="s">
        <v>830</v>
      </c>
      <c r="D31" s="917"/>
      <c r="E31" s="185">
        <v>228</v>
      </c>
      <c r="G31" s="119">
        <v>12</v>
      </c>
      <c r="J31" s="126">
        <v>14</v>
      </c>
      <c r="K31" s="92">
        <f t="shared" si="1"/>
        <v>85.714285714285708</v>
      </c>
      <c r="L31" s="92">
        <f t="shared" si="1"/>
        <v>0</v>
      </c>
      <c r="M31" s="92">
        <f t="shared" si="1"/>
        <v>0</v>
      </c>
      <c r="N31" s="121">
        <f t="shared" si="2"/>
        <v>85.714285714285708</v>
      </c>
      <c r="O31" s="91">
        <v>35.200000000000003</v>
      </c>
      <c r="P31" s="92"/>
      <c r="Q31" s="92"/>
      <c r="R31" s="93">
        <f t="shared" si="3"/>
        <v>35.200000000000003</v>
      </c>
      <c r="S31" s="185">
        <v>4</v>
      </c>
      <c r="T31" s="839"/>
      <c r="U31" s="852"/>
      <c r="V31" s="82" t="s">
        <v>480</v>
      </c>
      <c r="W31" s="185" t="s">
        <v>22</v>
      </c>
      <c r="X31" s="185" t="s">
        <v>11</v>
      </c>
      <c r="Y31" s="83">
        <v>35.200000000000003</v>
      </c>
      <c r="AD31" s="82"/>
      <c r="AG31" s="83"/>
      <c r="AL31" s="82"/>
      <c r="AO31" s="83"/>
      <c r="AP31" s="82"/>
      <c r="AS31" s="83"/>
      <c r="AW31" s="83"/>
      <c r="BA31" s="84"/>
    </row>
    <row r="32" spans="1:53" s="292" customFormat="1">
      <c r="A32" s="338">
        <v>1987</v>
      </c>
      <c r="B32" s="836">
        <v>32006</v>
      </c>
      <c r="C32" s="916" t="s">
        <v>831</v>
      </c>
      <c r="D32" s="916"/>
      <c r="E32" s="292">
        <f>365-E31</f>
        <v>137</v>
      </c>
      <c r="F32" s="292">
        <v>5</v>
      </c>
      <c r="G32" s="366">
        <v>16</v>
      </c>
      <c r="J32" s="377">
        <v>18</v>
      </c>
      <c r="K32" s="336">
        <f t="shared" si="1"/>
        <v>88.888888888888886</v>
      </c>
      <c r="L32" s="336">
        <f t="shared" si="1"/>
        <v>0</v>
      </c>
      <c r="M32" s="336">
        <f t="shared" si="1"/>
        <v>0</v>
      </c>
      <c r="N32" s="368">
        <f t="shared" si="2"/>
        <v>88.888888888888886</v>
      </c>
      <c r="O32" s="335">
        <v>59.2</v>
      </c>
      <c r="P32" s="336"/>
      <c r="Q32" s="336"/>
      <c r="R32" s="337">
        <f t="shared" si="3"/>
        <v>59.2</v>
      </c>
      <c r="S32" s="292">
        <v>1</v>
      </c>
      <c r="T32" s="838">
        <v>31977</v>
      </c>
      <c r="U32" s="836">
        <v>32006</v>
      </c>
      <c r="V32" s="299" t="s">
        <v>480</v>
      </c>
      <c r="W32" s="292" t="s">
        <v>22</v>
      </c>
      <c r="X32" s="292" t="s">
        <v>11</v>
      </c>
      <c r="Y32" s="300">
        <v>59.2</v>
      </c>
      <c r="AD32" s="299"/>
      <c r="AG32" s="300"/>
      <c r="AL32" s="299"/>
      <c r="AO32" s="300"/>
      <c r="AP32" s="299"/>
      <c r="AS32" s="300"/>
      <c r="AW32" s="300"/>
      <c r="BA32" s="301"/>
    </row>
    <row r="33" spans="1:53" s="292" customFormat="1">
      <c r="A33" s="338">
        <v>1988</v>
      </c>
      <c r="B33" s="836"/>
      <c r="C33" s="916" t="s">
        <v>831</v>
      </c>
      <c r="D33" s="916"/>
      <c r="E33" s="292">
        <v>0</v>
      </c>
      <c r="G33" s="366">
        <v>16</v>
      </c>
      <c r="J33" s="377">
        <v>18</v>
      </c>
      <c r="K33" s="336">
        <f t="shared" si="1"/>
        <v>88.888888888888886</v>
      </c>
      <c r="L33" s="336">
        <f t="shared" si="1"/>
        <v>0</v>
      </c>
      <c r="M33" s="336">
        <f t="shared" si="1"/>
        <v>0</v>
      </c>
      <c r="N33" s="368">
        <f t="shared" si="2"/>
        <v>88.888888888888886</v>
      </c>
      <c r="O33" s="335">
        <v>59.2</v>
      </c>
      <c r="P33" s="336"/>
      <c r="Q33" s="336"/>
      <c r="R33" s="337">
        <f t="shared" si="3"/>
        <v>59.2</v>
      </c>
      <c r="S33" s="292">
        <v>1</v>
      </c>
      <c r="T33" s="838"/>
      <c r="U33" s="836"/>
      <c r="V33" s="299" t="s">
        <v>480</v>
      </c>
      <c r="W33" s="292" t="s">
        <v>22</v>
      </c>
      <c r="X33" s="292" t="s">
        <v>11</v>
      </c>
      <c r="Y33" s="300">
        <v>59.2</v>
      </c>
      <c r="AD33" s="299"/>
      <c r="AG33" s="300"/>
      <c r="AL33" s="299"/>
      <c r="AO33" s="300"/>
      <c r="AP33" s="299"/>
      <c r="AS33" s="300"/>
      <c r="AW33" s="300"/>
      <c r="BA33" s="301"/>
    </row>
    <row r="34" spans="1:53" s="292" customFormat="1">
      <c r="A34" s="338">
        <v>1988</v>
      </c>
      <c r="B34" s="836"/>
      <c r="C34" s="916" t="s">
        <v>831</v>
      </c>
      <c r="D34" s="916"/>
      <c r="E34" s="292">
        <v>366</v>
      </c>
      <c r="G34" s="366">
        <v>16</v>
      </c>
      <c r="J34" s="377">
        <v>18</v>
      </c>
      <c r="K34" s="336">
        <f t="shared" si="1"/>
        <v>88.888888888888886</v>
      </c>
      <c r="L34" s="336">
        <f t="shared" si="1"/>
        <v>0</v>
      </c>
      <c r="M34" s="336">
        <f t="shared" si="1"/>
        <v>0</v>
      </c>
      <c r="N34" s="368">
        <f t="shared" si="2"/>
        <v>88.888888888888886</v>
      </c>
      <c r="O34" s="335">
        <v>59.2</v>
      </c>
      <c r="P34" s="336"/>
      <c r="Q34" s="336"/>
      <c r="R34" s="337">
        <f t="shared" si="3"/>
        <v>59.2</v>
      </c>
      <c r="S34" s="292">
        <v>1</v>
      </c>
      <c r="T34" s="838"/>
      <c r="U34" s="836"/>
      <c r="V34" s="299" t="s">
        <v>480</v>
      </c>
      <c r="W34" s="292" t="s">
        <v>22</v>
      </c>
      <c r="X34" s="292" t="s">
        <v>11</v>
      </c>
      <c r="Y34" s="300">
        <v>59.2</v>
      </c>
      <c r="AD34" s="299"/>
      <c r="AG34" s="300"/>
      <c r="AL34" s="299"/>
      <c r="AO34" s="300"/>
      <c r="AP34" s="299"/>
      <c r="AS34" s="300"/>
      <c r="AW34" s="300"/>
      <c r="BA34" s="301"/>
    </row>
    <row r="35" spans="1:53" s="292" customFormat="1">
      <c r="A35" s="338">
        <v>1989</v>
      </c>
      <c r="B35" s="836"/>
      <c r="C35" s="916" t="s">
        <v>831</v>
      </c>
      <c r="D35" s="916"/>
      <c r="E35" s="292">
        <v>0</v>
      </c>
      <c r="G35" s="366">
        <v>16</v>
      </c>
      <c r="J35" s="377">
        <v>18</v>
      </c>
      <c r="K35" s="336">
        <f t="shared" si="1"/>
        <v>88.888888888888886</v>
      </c>
      <c r="L35" s="336">
        <f t="shared" si="1"/>
        <v>0</v>
      </c>
      <c r="M35" s="336">
        <f t="shared" si="1"/>
        <v>0</v>
      </c>
      <c r="N35" s="368">
        <f t="shared" si="2"/>
        <v>88.888888888888886</v>
      </c>
      <c r="O35" s="335">
        <v>59.2</v>
      </c>
      <c r="P35" s="336"/>
      <c r="Q35" s="336"/>
      <c r="R35" s="337">
        <f t="shared" si="3"/>
        <v>59.2</v>
      </c>
      <c r="S35" s="292">
        <v>1</v>
      </c>
      <c r="T35" s="838"/>
      <c r="U35" s="836"/>
      <c r="V35" s="299" t="s">
        <v>480</v>
      </c>
      <c r="W35" s="292" t="s">
        <v>22</v>
      </c>
      <c r="X35" s="292" t="s">
        <v>11</v>
      </c>
      <c r="Y35" s="300">
        <v>59.2</v>
      </c>
      <c r="AD35" s="299"/>
      <c r="AG35" s="300"/>
      <c r="AL35" s="299"/>
      <c r="AO35" s="300"/>
      <c r="AP35" s="299"/>
      <c r="AS35" s="300"/>
      <c r="AW35" s="300"/>
      <c r="BA35" s="301"/>
    </row>
    <row r="36" spans="1:53" s="103" customFormat="1">
      <c r="A36" s="180">
        <v>1989</v>
      </c>
      <c r="B36" s="846"/>
      <c r="C36" s="923" t="s">
        <v>831</v>
      </c>
      <c r="D36" s="923"/>
      <c r="E36" s="103">
        <f>365-E35</f>
        <v>365</v>
      </c>
      <c r="G36" s="386">
        <v>16</v>
      </c>
      <c r="J36" s="387">
        <v>18</v>
      </c>
      <c r="K36" s="353">
        <f t="shared" si="1"/>
        <v>88.888888888888886</v>
      </c>
      <c r="L36" s="353">
        <f t="shared" si="1"/>
        <v>0</v>
      </c>
      <c r="M36" s="353">
        <f t="shared" si="1"/>
        <v>0</v>
      </c>
      <c r="N36" s="371">
        <f t="shared" si="2"/>
        <v>88.888888888888886</v>
      </c>
      <c r="O36" s="352">
        <v>59.2</v>
      </c>
      <c r="P36" s="353"/>
      <c r="Q36" s="353"/>
      <c r="R36" s="354">
        <f t="shared" si="3"/>
        <v>59.2</v>
      </c>
      <c r="S36" s="103">
        <v>1</v>
      </c>
      <c r="T36" s="840"/>
      <c r="U36" s="846"/>
      <c r="V36" s="104" t="s">
        <v>480</v>
      </c>
      <c r="W36" s="103" t="s">
        <v>22</v>
      </c>
      <c r="X36" s="103" t="s">
        <v>11</v>
      </c>
      <c r="Y36" s="105">
        <v>59.2</v>
      </c>
      <c r="AD36" s="104"/>
      <c r="AG36" s="105"/>
      <c r="AL36" s="104"/>
      <c r="AO36" s="105"/>
      <c r="AP36" s="104"/>
      <c r="AS36" s="105"/>
      <c r="AW36" s="105"/>
      <c r="BA36" s="106"/>
    </row>
    <row r="37" spans="1:53" s="292" customFormat="1">
      <c r="A37" s="292">
        <v>1990</v>
      </c>
      <c r="B37" s="836"/>
      <c r="C37" s="916" t="s">
        <v>831</v>
      </c>
      <c r="D37" s="916"/>
      <c r="E37" s="292">
        <v>0</v>
      </c>
      <c r="G37" s="366">
        <v>16</v>
      </c>
      <c r="J37" s="377">
        <v>18</v>
      </c>
      <c r="K37" s="335">
        <f t="shared" si="1"/>
        <v>88.888888888888886</v>
      </c>
      <c r="L37" s="336">
        <f t="shared" si="1"/>
        <v>0</v>
      </c>
      <c r="M37" s="336">
        <f t="shared" si="1"/>
        <v>0</v>
      </c>
      <c r="N37" s="337">
        <f t="shared" si="2"/>
        <v>88.888888888888886</v>
      </c>
      <c r="O37" s="335">
        <v>59.2</v>
      </c>
      <c r="P37" s="336"/>
      <c r="Q37" s="336"/>
      <c r="R37" s="337">
        <f t="shared" si="3"/>
        <v>59.2</v>
      </c>
      <c r="S37" s="292">
        <v>1</v>
      </c>
      <c r="T37" s="838"/>
      <c r="U37" s="836"/>
      <c r="V37" s="299" t="s">
        <v>480</v>
      </c>
      <c r="W37" s="292" t="s">
        <v>22</v>
      </c>
      <c r="X37" s="292" t="s">
        <v>11</v>
      </c>
      <c r="Y37" s="300">
        <v>59.2</v>
      </c>
      <c r="AD37" s="299"/>
      <c r="AG37" s="300"/>
      <c r="AL37" s="299"/>
      <c r="AO37" s="300"/>
      <c r="AP37" s="299"/>
      <c r="AS37" s="300"/>
      <c r="AW37" s="300"/>
      <c r="BA37" s="301"/>
    </row>
    <row r="38" spans="1:53" s="292" customFormat="1">
      <c r="A38" s="292">
        <v>1990</v>
      </c>
      <c r="B38" s="836"/>
      <c r="C38" s="916" t="s">
        <v>831</v>
      </c>
      <c r="D38" s="916"/>
      <c r="E38" s="292">
        <f>365-E37</f>
        <v>365</v>
      </c>
      <c r="G38" s="366">
        <v>16</v>
      </c>
      <c r="J38" s="377">
        <v>18</v>
      </c>
      <c r="K38" s="336">
        <f t="shared" si="1"/>
        <v>88.888888888888886</v>
      </c>
      <c r="L38" s="336">
        <f t="shared" si="1"/>
        <v>0</v>
      </c>
      <c r="M38" s="336">
        <f t="shared" si="1"/>
        <v>0</v>
      </c>
      <c r="N38" s="368">
        <f t="shared" si="2"/>
        <v>88.888888888888886</v>
      </c>
      <c r="O38" s="335">
        <v>59.2</v>
      </c>
      <c r="P38" s="336"/>
      <c r="Q38" s="336"/>
      <c r="R38" s="337">
        <f t="shared" si="3"/>
        <v>59.2</v>
      </c>
      <c r="S38" s="292">
        <v>1</v>
      </c>
      <c r="T38" s="838"/>
      <c r="U38" s="836"/>
      <c r="V38" s="299" t="s">
        <v>480</v>
      </c>
      <c r="W38" s="292" t="s">
        <v>22</v>
      </c>
      <c r="X38" s="292" t="s">
        <v>11</v>
      </c>
      <c r="Y38" s="300">
        <v>59.2</v>
      </c>
      <c r="AD38" s="299"/>
      <c r="AG38" s="300"/>
      <c r="AL38" s="299"/>
      <c r="AO38" s="300"/>
      <c r="AP38" s="299"/>
      <c r="AS38" s="300"/>
      <c r="AW38" s="300"/>
      <c r="BA38" s="301"/>
    </row>
    <row r="39" spans="1:53" s="292" customFormat="1">
      <c r="A39" s="292">
        <v>1991</v>
      </c>
      <c r="B39" s="836"/>
      <c r="C39" s="916" t="s">
        <v>831</v>
      </c>
      <c r="D39" s="916"/>
      <c r="E39" s="292">
        <v>303</v>
      </c>
      <c r="G39" s="366">
        <v>16</v>
      </c>
      <c r="J39" s="377">
        <v>18</v>
      </c>
      <c r="K39" s="336">
        <f t="shared" si="1"/>
        <v>88.888888888888886</v>
      </c>
      <c r="L39" s="336">
        <f t="shared" si="1"/>
        <v>0</v>
      </c>
      <c r="M39" s="336">
        <f t="shared" si="1"/>
        <v>0</v>
      </c>
      <c r="N39" s="368">
        <f t="shared" si="2"/>
        <v>88.888888888888886</v>
      </c>
      <c r="O39" s="335">
        <v>59.2</v>
      </c>
      <c r="P39" s="336"/>
      <c r="Q39" s="336"/>
      <c r="R39" s="337">
        <f t="shared" si="3"/>
        <v>59.2</v>
      </c>
      <c r="S39" s="292">
        <v>1</v>
      </c>
      <c r="T39" s="838"/>
      <c r="U39" s="836"/>
      <c r="V39" s="299" t="s">
        <v>480</v>
      </c>
      <c r="W39" s="292" t="s">
        <v>22</v>
      </c>
      <c r="X39" s="292" t="s">
        <v>11</v>
      </c>
      <c r="Y39" s="300">
        <v>59.2</v>
      </c>
      <c r="AD39" s="299"/>
      <c r="AG39" s="300"/>
      <c r="AL39" s="299"/>
      <c r="AO39" s="300"/>
      <c r="AP39" s="299"/>
      <c r="AS39" s="300"/>
      <c r="AW39" s="300"/>
      <c r="BA39" s="301"/>
    </row>
    <row r="40" spans="1:53" s="185" customFormat="1">
      <c r="A40" s="185">
        <v>1991</v>
      </c>
      <c r="B40" s="852">
        <v>33542</v>
      </c>
      <c r="C40" s="917" t="s">
        <v>832</v>
      </c>
      <c r="D40" s="917"/>
      <c r="E40" s="185">
        <f>365-E39</f>
        <v>62</v>
      </c>
      <c r="F40" s="185">
        <v>1</v>
      </c>
      <c r="G40" s="119">
        <v>17</v>
      </c>
      <c r="J40" s="126">
        <v>19</v>
      </c>
      <c r="K40" s="92">
        <f t="shared" si="1"/>
        <v>89.473684210526315</v>
      </c>
      <c r="L40" s="92">
        <f t="shared" si="1"/>
        <v>0</v>
      </c>
      <c r="M40" s="92">
        <f t="shared" si="1"/>
        <v>0</v>
      </c>
      <c r="N40" s="121">
        <f t="shared" si="2"/>
        <v>89.473684210526315</v>
      </c>
      <c r="O40" s="91">
        <v>58.4</v>
      </c>
      <c r="P40" s="92"/>
      <c r="Q40" s="92"/>
      <c r="R40" s="93">
        <f t="shared" si="3"/>
        <v>58.4</v>
      </c>
      <c r="S40" s="185">
        <v>1</v>
      </c>
      <c r="T40" s="839">
        <v>33517</v>
      </c>
      <c r="U40" s="852">
        <v>33542</v>
      </c>
      <c r="V40" s="82" t="s">
        <v>480</v>
      </c>
      <c r="W40" s="185" t="s">
        <v>22</v>
      </c>
      <c r="X40" s="185" t="s">
        <v>11</v>
      </c>
      <c r="Y40" s="83">
        <v>58.4</v>
      </c>
      <c r="AD40" s="82"/>
      <c r="AG40" s="83"/>
      <c r="AL40" s="82"/>
      <c r="AO40" s="83"/>
      <c r="AP40" s="82"/>
      <c r="AS40" s="83"/>
      <c r="AW40" s="83"/>
      <c r="BA40" s="84"/>
    </row>
    <row r="41" spans="1:53" s="185" customFormat="1">
      <c r="A41" s="185">
        <v>1992</v>
      </c>
      <c r="B41" s="852"/>
      <c r="C41" s="917" t="s">
        <v>832</v>
      </c>
      <c r="D41" s="917"/>
      <c r="E41" s="185">
        <v>0</v>
      </c>
      <c r="G41" s="119">
        <v>17</v>
      </c>
      <c r="J41" s="126">
        <v>19</v>
      </c>
      <c r="K41" s="92">
        <f t="shared" si="1"/>
        <v>89.473684210526315</v>
      </c>
      <c r="L41" s="92">
        <f t="shared" si="1"/>
        <v>0</v>
      </c>
      <c r="M41" s="92">
        <f t="shared" si="1"/>
        <v>0</v>
      </c>
      <c r="N41" s="121">
        <f t="shared" si="2"/>
        <v>89.473684210526315</v>
      </c>
      <c r="O41" s="91">
        <v>58.4</v>
      </c>
      <c r="P41" s="92"/>
      <c r="Q41" s="92"/>
      <c r="R41" s="93">
        <f t="shared" si="3"/>
        <v>58.4</v>
      </c>
      <c r="S41" s="185">
        <v>1</v>
      </c>
      <c r="T41" s="839"/>
      <c r="U41" s="852"/>
      <c r="V41" s="82" t="s">
        <v>480</v>
      </c>
      <c r="W41" s="185" t="s">
        <v>22</v>
      </c>
      <c r="X41" s="185" t="s">
        <v>11</v>
      </c>
      <c r="Y41" s="83">
        <v>58.4</v>
      </c>
      <c r="AD41" s="82"/>
      <c r="AG41" s="83"/>
      <c r="AL41" s="82"/>
      <c r="AO41" s="83"/>
      <c r="AP41" s="82"/>
      <c r="AS41" s="83"/>
      <c r="AW41" s="83"/>
      <c r="BA41" s="84"/>
    </row>
    <row r="42" spans="1:53" s="185" customFormat="1">
      <c r="A42" s="185">
        <v>1992</v>
      </c>
      <c r="B42" s="852"/>
      <c r="C42" s="917" t="s">
        <v>832</v>
      </c>
      <c r="D42" s="917"/>
      <c r="E42" s="185">
        <v>366</v>
      </c>
      <c r="G42" s="119">
        <v>17</v>
      </c>
      <c r="J42" s="126">
        <v>19</v>
      </c>
      <c r="K42" s="92">
        <f t="shared" si="1"/>
        <v>89.473684210526315</v>
      </c>
      <c r="L42" s="92">
        <f t="shared" si="1"/>
        <v>0</v>
      </c>
      <c r="M42" s="92">
        <f t="shared" si="1"/>
        <v>0</v>
      </c>
      <c r="N42" s="121">
        <f t="shared" si="2"/>
        <v>89.473684210526315</v>
      </c>
      <c r="O42" s="91">
        <v>58.4</v>
      </c>
      <c r="P42" s="92"/>
      <c r="Q42" s="92"/>
      <c r="R42" s="93">
        <f t="shared" si="3"/>
        <v>58.4</v>
      </c>
      <c r="S42" s="185">
        <v>1</v>
      </c>
      <c r="T42" s="839"/>
      <c r="U42" s="852"/>
      <c r="V42" s="82" t="s">
        <v>480</v>
      </c>
      <c r="W42" s="185" t="s">
        <v>22</v>
      </c>
      <c r="X42" s="185" t="s">
        <v>11</v>
      </c>
      <c r="Y42" s="83">
        <v>58.4</v>
      </c>
      <c r="AD42" s="82"/>
      <c r="AG42" s="83"/>
      <c r="AL42" s="82"/>
      <c r="AO42" s="83"/>
      <c r="AP42" s="82"/>
      <c r="AS42" s="83"/>
      <c r="AW42" s="83"/>
      <c r="BA42" s="84"/>
    </row>
    <row r="43" spans="1:53" s="185" customFormat="1">
      <c r="A43" s="185">
        <v>1993</v>
      </c>
      <c r="B43" s="852"/>
      <c r="C43" s="917" t="s">
        <v>832</v>
      </c>
      <c r="D43" s="917"/>
      <c r="E43" s="185">
        <v>0</v>
      </c>
      <c r="G43" s="119">
        <v>17</v>
      </c>
      <c r="J43" s="126">
        <v>19</v>
      </c>
      <c r="K43" s="92">
        <f t="shared" si="1"/>
        <v>89.473684210526315</v>
      </c>
      <c r="L43" s="92">
        <f t="shared" si="1"/>
        <v>0</v>
      </c>
      <c r="M43" s="92">
        <f t="shared" si="1"/>
        <v>0</v>
      </c>
      <c r="N43" s="121">
        <f t="shared" si="2"/>
        <v>89.473684210526315</v>
      </c>
      <c r="O43" s="91">
        <v>58.4</v>
      </c>
      <c r="P43" s="92"/>
      <c r="Q43" s="92"/>
      <c r="R43" s="93">
        <f t="shared" si="3"/>
        <v>58.4</v>
      </c>
      <c r="S43" s="185">
        <v>1</v>
      </c>
      <c r="T43" s="839"/>
      <c r="U43" s="852"/>
      <c r="V43" s="82" t="s">
        <v>480</v>
      </c>
      <c r="W43" s="185" t="s">
        <v>22</v>
      </c>
      <c r="X43" s="185" t="s">
        <v>11</v>
      </c>
      <c r="Y43" s="83">
        <v>58.4</v>
      </c>
      <c r="AD43" s="82"/>
      <c r="AG43" s="83"/>
      <c r="AL43" s="82"/>
      <c r="AO43" s="83"/>
      <c r="AP43" s="82"/>
      <c r="AS43" s="83"/>
      <c r="AW43" s="83"/>
      <c r="BA43" s="84"/>
    </row>
    <row r="44" spans="1:53" s="185" customFormat="1">
      <c r="A44" s="185">
        <v>1993</v>
      </c>
      <c r="B44" s="852"/>
      <c r="C44" s="917" t="s">
        <v>832</v>
      </c>
      <c r="D44" s="917"/>
      <c r="E44" s="185">
        <f>365-E43</f>
        <v>365</v>
      </c>
      <c r="G44" s="119">
        <v>17</v>
      </c>
      <c r="J44" s="126">
        <v>19</v>
      </c>
      <c r="K44" s="92">
        <f t="shared" si="1"/>
        <v>89.473684210526315</v>
      </c>
      <c r="L44" s="92">
        <f t="shared" si="1"/>
        <v>0</v>
      </c>
      <c r="M44" s="92">
        <f t="shared" si="1"/>
        <v>0</v>
      </c>
      <c r="N44" s="121">
        <f t="shared" si="2"/>
        <v>89.473684210526315</v>
      </c>
      <c r="O44" s="91">
        <v>58.4</v>
      </c>
      <c r="P44" s="92"/>
      <c r="Q44" s="92"/>
      <c r="R44" s="93">
        <f t="shared" si="3"/>
        <v>58.4</v>
      </c>
      <c r="S44" s="185">
        <v>1</v>
      </c>
      <c r="T44" s="839"/>
      <c r="U44" s="852"/>
      <c r="V44" s="82" t="s">
        <v>480</v>
      </c>
      <c r="W44" s="185" t="s">
        <v>22</v>
      </c>
      <c r="X44" s="185" t="s">
        <v>11</v>
      </c>
      <c r="Y44" s="83">
        <v>58.4</v>
      </c>
      <c r="AD44" s="82"/>
      <c r="AG44" s="83"/>
      <c r="AL44" s="82"/>
      <c r="AO44" s="83"/>
      <c r="AP44" s="82"/>
      <c r="AS44" s="83"/>
      <c r="AW44" s="83"/>
      <c r="BA44" s="84"/>
    </row>
    <row r="45" spans="1:53" s="185" customFormat="1">
      <c r="A45" s="185">
        <v>1994</v>
      </c>
      <c r="B45" s="852"/>
      <c r="C45" s="917" t="s">
        <v>832</v>
      </c>
      <c r="D45" s="917"/>
      <c r="E45" s="185">
        <v>0</v>
      </c>
      <c r="G45" s="119">
        <v>17</v>
      </c>
      <c r="J45" s="126">
        <v>19</v>
      </c>
      <c r="K45" s="92">
        <f t="shared" si="1"/>
        <v>89.473684210526315</v>
      </c>
      <c r="L45" s="92">
        <f t="shared" si="1"/>
        <v>0</v>
      </c>
      <c r="M45" s="92">
        <f t="shared" si="1"/>
        <v>0</v>
      </c>
      <c r="N45" s="121">
        <f t="shared" si="2"/>
        <v>89.473684210526315</v>
      </c>
      <c r="O45" s="91">
        <v>58.4</v>
      </c>
      <c r="P45" s="92"/>
      <c r="Q45" s="92"/>
      <c r="R45" s="93">
        <f t="shared" si="3"/>
        <v>58.4</v>
      </c>
      <c r="S45" s="185">
        <v>1</v>
      </c>
      <c r="T45" s="839"/>
      <c r="U45" s="852"/>
      <c r="V45" s="82" t="s">
        <v>480</v>
      </c>
      <c r="W45" s="185" t="s">
        <v>22</v>
      </c>
      <c r="X45" s="185" t="s">
        <v>11</v>
      </c>
      <c r="Y45" s="83">
        <v>58.4</v>
      </c>
      <c r="AD45" s="82"/>
      <c r="AG45" s="83"/>
      <c r="AL45" s="82"/>
      <c r="AO45" s="83"/>
      <c r="AP45" s="82"/>
      <c r="AS45" s="83"/>
      <c r="AW45" s="83"/>
      <c r="BA45" s="84"/>
    </row>
    <row r="46" spans="1:53" s="185" customFormat="1">
      <c r="A46" s="185">
        <v>1994</v>
      </c>
      <c r="B46" s="852"/>
      <c r="C46" s="917" t="s">
        <v>832</v>
      </c>
      <c r="D46" s="917"/>
      <c r="E46" s="185">
        <f>365-E45</f>
        <v>365</v>
      </c>
      <c r="G46" s="119">
        <v>17</v>
      </c>
      <c r="J46" s="126">
        <v>19</v>
      </c>
      <c r="K46" s="92">
        <f t="shared" si="1"/>
        <v>89.473684210526315</v>
      </c>
      <c r="L46" s="92">
        <f t="shared" si="1"/>
        <v>0</v>
      </c>
      <c r="M46" s="92">
        <f t="shared" si="1"/>
        <v>0</v>
      </c>
      <c r="N46" s="121">
        <f t="shared" si="2"/>
        <v>89.473684210526315</v>
      </c>
      <c r="O46" s="91">
        <v>58.4</v>
      </c>
      <c r="P46" s="92"/>
      <c r="Q46" s="92"/>
      <c r="R46" s="93">
        <f t="shared" si="3"/>
        <v>58.4</v>
      </c>
      <c r="S46" s="185">
        <v>1</v>
      </c>
      <c r="T46" s="839"/>
      <c r="U46" s="852"/>
      <c r="V46" s="82" t="s">
        <v>480</v>
      </c>
      <c r="W46" s="185" t="s">
        <v>22</v>
      </c>
      <c r="X46" s="185" t="s">
        <v>11</v>
      </c>
      <c r="Y46" s="83">
        <v>58.4</v>
      </c>
      <c r="AD46" s="82"/>
      <c r="AG46" s="83"/>
      <c r="AL46" s="82"/>
      <c r="AO46" s="83"/>
      <c r="AP46" s="82"/>
      <c r="AS46" s="83"/>
      <c r="AW46" s="83"/>
      <c r="BA46" s="84"/>
    </row>
    <row r="47" spans="1:53" s="185" customFormat="1">
      <c r="A47" s="185">
        <v>1995</v>
      </c>
      <c r="B47" s="852"/>
      <c r="C47" s="917" t="s">
        <v>832</v>
      </c>
      <c r="D47" s="917"/>
      <c r="E47" s="185">
        <v>300</v>
      </c>
      <c r="G47" s="119">
        <v>16</v>
      </c>
      <c r="J47" s="126">
        <v>18</v>
      </c>
      <c r="K47" s="92">
        <f t="shared" si="1"/>
        <v>88.888888888888886</v>
      </c>
      <c r="L47" s="92">
        <f t="shared" si="1"/>
        <v>0</v>
      </c>
      <c r="M47" s="92">
        <f t="shared" si="1"/>
        <v>0</v>
      </c>
      <c r="N47" s="121">
        <f t="shared" si="2"/>
        <v>88.888888888888886</v>
      </c>
      <c r="O47" s="91">
        <v>58.4</v>
      </c>
      <c r="P47" s="92"/>
      <c r="Q47" s="92"/>
      <c r="R47" s="93">
        <f t="shared" si="3"/>
        <v>58.4</v>
      </c>
      <c r="S47" s="185">
        <v>1</v>
      </c>
      <c r="T47" s="839"/>
      <c r="U47" s="852"/>
      <c r="V47" s="82" t="s">
        <v>480</v>
      </c>
      <c r="W47" s="185" t="s">
        <v>22</v>
      </c>
      <c r="X47" s="185" t="s">
        <v>11</v>
      </c>
      <c r="Y47" s="83">
        <v>58.4</v>
      </c>
      <c r="AD47" s="82"/>
      <c r="AG47" s="83"/>
      <c r="AL47" s="82"/>
      <c r="AO47" s="83"/>
      <c r="AP47" s="82"/>
      <c r="AS47" s="83"/>
      <c r="AW47" s="83"/>
      <c r="BA47" s="84"/>
    </row>
    <row r="48" spans="1:53" s="292" customFormat="1">
      <c r="A48" s="292">
        <v>1995</v>
      </c>
      <c r="B48" s="836">
        <v>35000</v>
      </c>
      <c r="C48" s="916" t="s">
        <v>833</v>
      </c>
      <c r="D48" s="916"/>
      <c r="E48" s="292">
        <f>365-E47</f>
        <v>65</v>
      </c>
      <c r="F48" s="292">
        <v>1</v>
      </c>
      <c r="G48" s="366"/>
      <c r="I48" s="292">
        <v>14</v>
      </c>
      <c r="J48" s="377">
        <v>18</v>
      </c>
      <c r="K48" s="336">
        <f t="shared" si="1"/>
        <v>0</v>
      </c>
      <c r="L48" s="336">
        <f t="shared" si="1"/>
        <v>0</v>
      </c>
      <c r="M48" s="336">
        <f t="shared" si="1"/>
        <v>77.777777777777786</v>
      </c>
      <c r="N48" s="368">
        <f t="shared" si="2"/>
        <v>77.777777777777786</v>
      </c>
      <c r="O48" s="335"/>
      <c r="P48" s="336"/>
      <c r="Q48" s="336">
        <v>48.7</v>
      </c>
      <c r="R48" s="337">
        <f t="shared" si="3"/>
        <v>48.7</v>
      </c>
      <c r="S48" s="292">
        <v>4</v>
      </c>
      <c r="T48" s="838">
        <v>34973</v>
      </c>
      <c r="U48" s="836">
        <v>35000</v>
      </c>
      <c r="V48" s="299" t="s">
        <v>96</v>
      </c>
      <c r="W48" s="292" t="s">
        <v>20</v>
      </c>
      <c r="X48" s="292" t="s">
        <v>12</v>
      </c>
      <c r="Y48" s="300">
        <v>48.7</v>
      </c>
      <c r="AD48" s="299"/>
      <c r="AG48" s="300"/>
      <c r="AL48" s="299"/>
      <c r="AO48" s="300"/>
      <c r="AP48" s="299"/>
      <c r="AS48" s="300"/>
      <c r="AW48" s="300"/>
      <c r="BA48" s="301"/>
    </row>
    <row r="49" spans="1:53" s="292" customFormat="1">
      <c r="A49" s="292">
        <v>1996</v>
      </c>
      <c r="B49" s="836"/>
      <c r="C49" s="916" t="s">
        <v>833</v>
      </c>
      <c r="D49" s="916"/>
      <c r="E49" s="292">
        <v>0</v>
      </c>
      <c r="G49" s="366"/>
      <c r="I49" s="292">
        <v>14</v>
      </c>
      <c r="J49" s="377">
        <v>18</v>
      </c>
      <c r="K49" s="336">
        <f t="shared" si="1"/>
        <v>0</v>
      </c>
      <c r="L49" s="336">
        <f t="shared" si="1"/>
        <v>0</v>
      </c>
      <c r="M49" s="336">
        <f t="shared" si="1"/>
        <v>77.777777777777786</v>
      </c>
      <c r="N49" s="368">
        <f t="shared" si="2"/>
        <v>77.777777777777786</v>
      </c>
      <c r="O49" s="335"/>
      <c r="P49" s="336"/>
      <c r="Q49" s="336">
        <v>48.7</v>
      </c>
      <c r="R49" s="337">
        <f t="shared" si="3"/>
        <v>48.7</v>
      </c>
      <c r="S49" s="292">
        <v>4</v>
      </c>
      <c r="T49" s="838"/>
      <c r="U49" s="836"/>
      <c r="V49" s="299" t="s">
        <v>96</v>
      </c>
      <c r="W49" s="292" t="s">
        <v>20</v>
      </c>
      <c r="X49" s="292" t="s">
        <v>12</v>
      </c>
      <c r="Y49" s="300">
        <v>48.7</v>
      </c>
      <c r="AD49" s="299"/>
      <c r="AG49" s="300"/>
      <c r="AL49" s="299"/>
      <c r="AO49" s="300"/>
      <c r="AP49" s="299"/>
      <c r="AS49" s="300"/>
      <c r="AW49" s="300"/>
      <c r="BA49" s="301"/>
    </row>
    <row r="50" spans="1:53" s="292" customFormat="1">
      <c r="A50" s="292">
        <v>1996</v>
      </c>
      <c r="B50" s="836"/>
      <c r="C50" s="916" t="s">
        <v>833</v>
      </c>
      <c r="D50" s="916"/>
      <c r="E50" s="292">
        <v>366</v>
      </c>
      <c r="G50" s="366"/>
      <c r="I50" s="292">
        <v>14</v>
      </c>
      <c r="J50" s="377">
        <v>18</v>
      </c>
      <c r="K50" s="336">
        <f t="shared" si="1"/>
        <v>0</v>
      </c>
      <c r="L50" s="336">
        <f t="shared" si="1"/>
        <v>0</v>
      </c>
      <c r="M50" s="336">
        <f t="shared" si="1"/>
        <v>77.777777777777786</v>
      </c>
      <c r="N50" s="368">
        <f t="shared" si="2"/>
        <v>77.777777777777786</v>
      </c>
      <c r="O50" s="335"/>
      <c r="P50" s="336"/>
      <c r="Q50" s="336">
        <v>48.7</v>
      </c>
      <c r="R50" s="337">
        <f t="shared" si="3"/>
        <v>48.7</v>
      </c>
      <c r="S50" s="292">
        <v>4</v>
      </c>
      <c r="T50" s="838"/>
      <c r="U50" s="836"/>
      <c r="V50" s="299" t="s">
        <v>96</v>
      </c>
      <c r="W50" s="292" t="s">
        <v>20</v>
      </c>
      <c r="X50" s="292" t="s">
        <v>12</v>
      </c>
      <c r="Y50" s="300">
        <v>48.7</v>
      </c>
      <c r="AD50" s="299"/>
      <c r="AG50" s="300"/>
      <c r="AL50" s="299"/>
      <c r="AO50" s="300"/>
      <c r="AP50" s="299"/>
      <c r="AS50" s="300"/>
      <c r="AW50" s="300"/>
      <c r="BA50" s="301"/>
    </row>
    <row r="51" spans="1:53" s="292" customFormat="1">
      <c r="A51" s="292">
        <v>1997</v>
      </c>
      <c r="B51" s="836"/>
      <c r="C51" s="916" t="s">
        <v>833</v>
      </c>
      <c r="D51" s="916"/>
      <c r="E51" s="292">
        <v>328</v>
      </c>
      <c r="G51" s="366"/>
      <c r="I51" s="292">
        <v>13</v>
      </c>
      <c r="J51" s="377">
        <v>17</v>
      </c>
      <c r="K51" s="336">
        <f t="shared" si="1"/>
        <v>0</v>
      </c>
      <c r="L51" s="336">
        <f t="shared" si="1"/>
        <v>0</v>
      </c>
      <c r="M51" s="336">
        <f t="shared" si="1"/>
        <v>76.470588235294116</v>
      </c>
      <c r="N51" s="368">
        <f t="shared" si="2"/>
        <v>76.470588235294116</v>
      </c>
      <c r="O51" s="335"/>
      <c r="P51" s="336"/>
      <c r="Q51" s="336">
        <v>48.7</v>
      </c>
      <c r="R51" s="337">
        <f t="shared" si="3"/>
        <v>48.7</v>
      </c>
      <c r="S51" s="292">
        <v>4</v>
      </c>
      <c r="T51" s="838"/>
      <c r="U51" s="836"/>
      <c r="V51" s="299" t="s">
        <v>96</v>
      </c>
      <c r="W51" s="292" t="s">
        <v>20</v>
      </c>
      <c r="X51" s="292" t="s">
        <v>12</v>
      </c>
      <c r="Y51" s="300">
        <v>48.7</v>
      </c>
      <c r="AD51" s="299"/>
      <c r="AG51" s="300"/>
      <c r="AL51" s="299"/>
      <c r="AO51" s="300"/>
      <c r="AP51" s="299"/>
      <c r="AS51" s="300"/>
      <c r="AW51" s="300"/>
      <c r="BA51" s="301"/>
    </row>
    <row r="52" spans="1:53" s="292" customFormat="1">
      <c r="A52" s="292">
        <v>1997</v>
      </c>
      <c r="B52" s="865">
        <v>35759</v>
      </c>
      <c r="C52" s="916" t="s">
        <v>833</v>
      </c>
      <c r="D52" s="916"/>
      <c r="E52" s="292">
        <f>365-E51</f>
        <v>37</v>
      </c>
      <c r="F52" s="381">
        <v>0</v>
      </c>
      <c r="G52" s="366"/>
      <c r="I52" s="292">
        <v>14</v>
      </c>
      <c r="J52" s="377">
        <v>17</v>
      </c>
      <c r="K52" s="336">
        <f t="shared" si="1"/>
        <v>0</v>
      </c>
      <c r="L52" s="336">
        <f t="shared" si="1"/>
        <v>0</v>
      </c>
      <c r="M52" s="336">
        <f t="shared" si="1"/>
        <v>82.35294117647058</v>
      </c>
      <c r="N52" s="368">
        <f t="shared" si="2"/>
        <v>82.35294117647058</v>
      </c>
      <c r="O52" s="335"/>
      <c r="P52" s="336"/>
      <c r="Q52" s="336">
        <v>48.7</v>
      </c>
      <c r="R52" s="337">
        <f t="shared" si="3"/>
        <v>48.7</v>
      </c>
      <c r="S52" s="292">
        <v>4</v>
      </c>
      <c r="T52" s="838"/>
      <c r="U52" s="836"/>
      <c r="V52" s="299" t="s">
        <v>96</v>
      </c>
      <c r="W52" s="292" t="s">
        <v>20</v>
      </c>
      <c r="X52" s="292" t="s">
        <v>12</v>
      </c>
      <c r="Y52" s="300">
        <v>48.7</v>
      </c>
      <c r="AD52" s="299"/>
      <c r="AG52" s="300"/>
      <c r="AL52" s="299"/>
      <c r="AO52" s="300"/>
      <c r="AP52" s="299"/>
      <c r="AS52" s="300"/>
      <c r="AW52" s="300"/>
      <c r="BA52" s="301"/>
    </row>
    <row r="53" spans="1:53" s="292" customFormat="1">
      <c r="A53" s="292">
        <v>1998</v>
      </c>
      <c r="B53" s="836"/>
      <c r="C53" s="916" t="s">
        <v>833</v>
      </c>
      <c r="D53" s="916"/>
      <c r="E53" s="292">
        <v>0</v>
      </c>
      <c r="G53" s="366"/>
      <c r="I53" s="292">
        <v>14</v>
      </c>
      <c r="J53" s="377">
        <v>17</v>
      </c>
      <c r="K53" s="336">
        <f t="shared" si="1"/>
        <v>0</v>
      </c>
      <c r="L53" s="336">
        <f t="shared" si="1"/>
        <v>0</v>
      </c>
      <c r="M53" s="336">
        <f t="shared" si="1"/>
        <v>82.35294117647058</v>
      </c>
      <c r="N53" s="368">
        <f t="shared" si="2"/>
        <v>82.35294117647058</v>
      </c>
      <c r="O53" s="335"/>
      <c r="P53" s="336"/>
      <c r="Q53" s="336">
        <v>48.7</v>
      </c>
      <c r="R53" s="337">
        <f t="shared" si="3"/>
        <v>48.7</v>
      </c>
      <c r="S53" s="292">
        <v>4</v>
      </c>
      <c r="T53" s="838"/>
      <c r="U53" s="836"/>
      <c r="V53" s="299" t="s">
        <v>96</v>
      </c>
      <c r="W53" s="292" t="s">
        <v>20</v>
      </c>
      <c r="X53" s="292" t="s">
        <v>12</v>
      </c>
      <c r="Y53" s="300">
        <v>48.7</v>
      </c>
      <c r="AD53" s="299"/>
      <c r="AG53" s="300"/>
      <c r="AL53" s="299"/>
      <c r="AO53" s="300"/>
      <c r="AP53" s="299"/>
      <c r="AS53" s="300"/>
      <c r="AW53" s="300"/>
      <c r="BA53" s="301"/>
    </row>
    <row r="54" spans="1:53" s="292" customFormat="1">
      <c r="A54" s="292">
        <v>1998</v>
      </c>
      <c r="B54" s="836"/>
      <c r="C54" s="916" t="s">
        <v>833</v>
      </c>
      <c r="D54" s="916"/>
      <c r="E54" s="292">
        <f>365-E53</f>
        <v>365</v>
      </c>
      <c r="G54" s="366"/>
      <c r="I54" s="292">
        <v>14</v>
      </c>
      <c r="J54" s="377">
        <v>17</v>
      </c>
      <c r="K54" s="336">
        <f t="shared" si="1"/>
        <v>0</v>
      </c>
      <c r="L54" s="336">
        <f t="shared" si="1"/>
        <v>0</v>
      </c>
      <c r="M54" s="336">
        <f t="shared" si="1"/>
        <v>82.35294117647058</v>
      </c>
      <c r="N54" s="368">
        <f t="shared" si="2"/>
        <v>82.35294117647058</v>
      </c>
      <c r="O54" s="335"/>
      <c r="P54" s="336"/>
      <c r="Q54" s="336">
        <v>48.7</v>
      </c>
      <c r="R54" s="337">
        <f t="shared" si="3"/>
        <v>48.7</v>
      </c>
      <c r="S54" s="292">
        <v>4</v>
      </c>
      <c r="T54" s="838"/>
      <c r="U54" s="836"/>
      <c r="V54" s="299" t="s">
        <v>96</v>
      </c>
      <c r="W54" s="292" t="s">
        <v>20</v>
      </c>
      <c r="X54" s="292" t="s">
        <v>12</v>
      </c>
      <c r="Y54" s="300">
        <v>48.7</v>
      </c>
      <c r="AD54" s="299"/>
      <c r="AG54" s="300"/>
      <c r="AL54" s="299"/>
      <c r="AO54" s="300"/>
      <c r="AP54" s="299"/>
      <c r="AS54" s="300"/>
      <c r="AW54" s="300"/>
      <c r="BA54" s="301"/>
    </row>
    <row r="55" spans="1:53" s="292" customFormat="1">
      <c r="A55" s="292">
        <v>1999</v>
      </c>
      <c r="B55" s="836"/>
      <c r="C55" s="916" t="s">
        <v>833</v>
      </c>
      <c r="D55" s="916"/>
      <c r="E55" s="292">
        <v>293</v>
      </c>
      <c r="G55" s="366"/>
      <c r="I55" s="292">
        <v>14</v>
      </c>
      <c r="J55" s="377">
        <v>17</v>
      </c>
      <c r="K55" s="336">
        <f t="shared" si="1"/>
        <v>0</v>
      </c>
      <c r="L55" s="336">
        <f t="shared" si="1"/>
        <v>0</v>
      </c>
      <c r="M55" s="336">
        <f t="shared" si="1"/>
        <v>82.35294117647058</v>
      </c>
      <c r="N55" s="368">
        <f t="shared" si="2"/>
        <v>82.35294117647058</v>
      </c>
      <c r="O55" s="335"/>
      <c r="P55" s="336"/>
      <c r="Q55" s="336">
        <v>48.7</v>
      </c>
      <c r="R55" s="337">
        <f t="shared" si="3"/>
        <v>48.7</v>
      </c>
      <c r="S55" s="292">
        <v>4</v>
      </c>
      <c r="T55" s="838"/>
      <c r="U55" s="836"/>
      <c r="V55" s="299" t="s">
        <v>96</v>
      </c>
      <c r="W55" s="292" t="s">
        <v>20</v>
      </c>
      <c r="X55" s="292" t="s">
        <v>12</v>
      </c>
      <c r="Y55" s="300">
        <v>48.7</v>
      </c>
      <c r="AD55" s="299"/>
      <c r="AG55" s="300"/>
      <c r="AL55" s="299"/>
      <c r="AO55" s="300"/>
      <c r="AP55" s="299"/>
      <c r="AS55" s="300"/>
      <c r="AW55" s="300"/>
      <c r="BA55" s="301"/>
    </row>
    <row r="56" spans="1:53" s="185" customFormat="1">
      <c r="A56" s="185">
        <v>1999</v>
      </c>
      <c r="B56" s="852">
        <v>36454</v>
      </c>
      <c r="C56" s="917" t="s">
        <v>834</v>
      </c>
      <c r="D56" s="917"/>
      <c r="E56" s="185">
        <f>365-E55</f>
        <v>72</v>
      </c>
      <c r="F56" s="185">
        <v>1</v>
      </c>
      <c r="G56" s="119"/>
      <c r="I56" s="185">
        <v>18</v>
      </c>
      <c r="J56" s="126">
        <v>19</v>
      </c>
      <c r="K56" s="92">
        <f t="shared" si="1"/>
        <v>0</v>
      </c>
      <c r="L56" s="92">
        <f t="shared" si="1"/>
        <v>0</v>
      </c>
      <c r="M56" s="92">
        <f t="shared" si="1"/>
        <v>94.73684210526315</v>
      </c>
      <c r="N56" s="121">
        <f t="shared" si="2"/>
        <v>94.73684210526315</v>
      </c>
      <c r="O56" s="91"/>
      <c r="P56" s="92"/>
      <c r="Q56" s="92">
        <v>50</v>
      </c>
      <c r="R56" s="93">
        <f t="shared" si="3"/>
        <v>50</v>
      </c>
      <c r="S56" s="185">
        <v>4</v>
      </c>
      <c r="T56" s="839">
        <v>36443</v>
      </c>
      <c r="U56" s="852">
        <v>36454</v>
      </c>
      <c r="V56" s="82" t="s">
        <v>96</v>
      </c>
      <c r="W56" s="185" t="s">
        <v>20</v>
      </c>
      <c r="X56" s="185" t="s">
        <v>12</v>
      </c>
      <c r="Y56" s="83">
        <v>50</v>
      </c>
      <c r="AD56" s="82"/>
      <c r="AG56" s="83"/>
      <c r="AL56" s="82"/>
      <c r="AO56" s="83"/>
      <c r="AP56" s="82"/>
      <c r="AS56" s="83"/>
      <c r="AW56" s="83"/>
      <c r="BA56" s="84"/>
    </row>
    <row r="57" spans="1:53" s="185" customFormat="1">
      <c r="A57" s="185">
        <v>2000</v>
      </c>
      <c r="B57" s="852"/>
      <c r="C57" s="917" t="s">
        <v>834</v>
      </c>
      <c r="D57" s="917"/>
      <c r="E57" s="185">
        <v>273</v>
      </c>
      <c r="G57" s="119"/>
      <c r="I57" s="185">
        <v>14</v>
      </c>
      <c r="J57" s="126">
        <v>19</v>
      </c>
      <c r="K57" s="92">
        <f t="shared" si="1"/>
        <v>0</v>
      </c>
      <c r="L57" s="92">
        <f t="shared" si="1"/>
        <v>0</v>
      </c>
      <c r="M57" s="92">
        <f t="shared" si="1"/>
        <v>73.68421052631578</v>
      </c>
      <c r="N57" s="121">
        <f t="shared" si="2"/>
        <v>73.68421052631578</v>
      </c>
      <c r="O57" s="91"/>
      <c r="P57" s="92"/>
      <c r="Q57" s="92">
        <v>50</v>
      </c>
      <c r="R57" s="93">
        <f t="shared" si="3"/>
        <v>50</v>
      </c>
      <c r="S57" s="185">
        <v>4</v>
      </c>
      <c r="T57" s="839"/>
      <c r="U57" s="852"/>
      <c r="V57" s="82" t="s">
        <v>96</v>
      </c>
      <c r="W57" s="185" t="s">
        <v>20</v>
      </c>
      <c r="X57" s="185" t="s">
        <v>12</v>
      </c>
      <c r="Y57" s="83">
        <v>50</v>
      </c>
      <c r="AD57" s="82"/>
      <c r="AG57" s="83"/>
      <c r="AL57" s="82"/>
      <c r="AO57" s="83"/>
      <c r="AP57" s="82"/>
      <c r="AS57" s="83"/>
      <c r="AW57" s="83"/>
      <c r="BA57" s="84"/>
    </row>
    <row r="58" spans="1:53" s="185" customFormat="1">
      <c r="A58" s="185">
        <v>2000</v>
      </c>
      <c r="B58" s="860">
        <v>36799</v>
      </c>
      <c r="C58" s="917" t="s">
        <v>834</v>
      </c>
      <c r="D58" s="917"/>
      <c r="E58" s="185">
        <f>366-E57</f>
        <v>93</v>
      </c>
      <c r="F58" s="139">
        <v>0</v>
      </c>
      <c r="G58" s="119"/>
      <c r="I58" s="185">
        <v>11</v>
      </c>
      <c r="J58" s="126">
        <v>19</v>
      </c>
      <c r="K58" s="92">
        <f t="shared" si="1"/>
        <v>0</v>
      </c>
      <c r="L58" s="92">
        <f t="shared" si="1"/>
        <v>0</v>
      </c>
      <c r="M58" s="92">
        <f t="shared" si="1"/>
        <v>57.894736842105267</v>
      </c>
      <c r="N58" s="121">
        <f t="shared" si="2"/>
        <v>57.894736842105267</v>
      </c>
      <c r="O58" s="91"/>
      <c r="P58" s="92"/>
      <c r="Q58" s="92">
        <v>50</v>
      </c>
      <c r="R58" s="93">
        <f t="shared" si="3"/>
        <v>50</v>
      </c>
      <c r="S58" s="185">
        <v>4</v>
      </c>
      <c r="T58" s="839"/>
      <c r="U58" s="852"/>
      <c r="V58" s="82" t="s">
        <v>96</v>
      </c>
      <c r="W58" s="185" t="s">
        <v>20</v>
      </c>
      <c r="X58" s="185" t="s">
        <v>12</v>
      </c>
      <c r="Y58" s="83">
        <v>50</v>
      </c>
      <c r="AD58" s="82"/>
      <c r="AG58" s="83"/>
      <c r="AL58" s="82"/>
      <c r="AO58" s="83"/>
      <c r="AP58" s="82"/>
      <c r="AS58" s="83"/>
      <c r="AW58" s="83"/>
      <c r="BA58" s="84"/>
    </row>
    <row r="59" spans="1:53" s="185" customFormat="1">
      <c r="A59" s="185">
        <v>2001</v>
      </c>
      <c r="B59" s="852"/>
      <c r="C59" s="917" t="s">
        <v>834</v>
      </c>
      <c r="D59" s="917"/>
      <c r="E59" s="185">
        <v>0</v>
      </c>
      <c r="G59" s="119"/>
      <c r="I59" s="185">
        <v>11</v>
      </c>
      <c r="J59" s="126">
        <v>19</v>
      </c>
      <c r="K59" s="92">
        <f t="shared" si="1"/>
        <v>0</v>
      </c>
      <c r="L59" s="92">
        <f t="shared" si="1"/>
        <v>0</v>
      </c>
      <c r="M59" s="92">
        <f t="shared" si="1"/>
        <v>57.894736842105267</v>
      </c>
      <c r="N59" s="121">
        <f t="shared" si="2"/>
        <v>57.894736842105267</v>
      </c>
      <c r="O59" s="91"/>
      <c r="P59" s="92"/>
      <c r="Q59" s="92">
        <v>50</v>
      </c>
      <c r="R59" s="93">
        <f t="shared" si="3"/>
        <v>50</v>
      </c>
      <c r="S59" s="185">
        <v>4</v>
      </c>
      <c r="T59" s="839"/>
      <c r="U59" s="852"/>
      <c r="V59" s="82" t="s">
        <v>96</v>
      </c>
      <c r="W59" s="185" t="s">
        <v>20</v>
      </c>
      <c r="X59" s="185" t="s">
        <v>12</v>
      </c>
      <c r="Y59" s="83">
        <v>50</v>
      </c>
      <c r="AD59" s="82"/>
      <c r="AG59" s="83"/>
      <c r="AL59" s="82"/>
      <c r="AO59" s="83"/>
      <c r="AP59" s="82"/>
      <c r="AS59" s="83"/>
      <c r="AW59" s="83"/>
      <c r="BA59" s="84"/>
    </row>
    <row r="60" spans="1:53" s="185" customFormat="1">
      <c r="A60" s="185">
        <v>2001</v>
      </c>
      <c r="B60" s="852"/>
      <c r="C60" s="917" t="s">
        <v>834</v>
      </c>
      <c r="D60" s="917"/>
      <c r="E60" s="185">
        <f>365-E59</f>
        <v>365</v>
      </c>
      <c r="G60" s="119"/>
      <c r="I60" s="185">
        <v>11</v>
      </c>
      <c r="J60" s="126">
        <v>19</v>
      </c>
      <c r="K60" s="92">
        <f t="shared" si="1"/>
        <v>0</v>
      </c>
      <c r="L60" s="92">
        <f t="shared" si="1"/>
        <v>0</v>
      </c>
      <c r="M60" s="92">
        <f t="shared" si="1"/>
        <v>57.894736842105267</v>
      </c>
      <c r="N60" s="121">
        <f t="shared" si="2"/>
        <v>57.894736842105267</v>
      </c>
      <c r="O60" s="91"/>
      <c r="P60" s="92"/>
      <c r="Q60" s="92">
        <v>50</v>
      </c>
      <c r="R60" s="93">
        <f t="shared" si="3"/>
        <v>50</v>
      </c>
      <c r="S60" s="185">
        <v>4</v>
      </c>
      <c r="T60" s="839"/>
      <c r="U60" s="852"/>
      <c r="V60" s="82" t="s">
        <v>96</v>
      </c>
      <c r="W60" s="185" t="s">
        <v>20</v>
      </c>
      <c r="X60" s="185" t="s">
        <v>12</v>
      </c>
      <c r="Y60" s="83">
        <v>50</v>
      </c>
      <c r="AD60" s="82"/>
      <c r="AG60" s="83"/>
      <c r="AL60" s="82"/>
      <c r="AO60" s="83"/>
      <c r="AP60" s="82"/>
      <c r="AS60" s="83"/>
      <c r="AW60" s="83"/>
      <c r="BA60" s="84"/>
    </row>
    <row r="61" spans="1:53" s="185" customFormat="1">
      <c r="A61" s="185">
        <v>2002</v>
      </c>
      <c r="B61" s="852"/>
      <c r="C61" s="917" t="s">
        <v>834</v>
      </c>
      <c r="D61" s="917"/>
      <c r="E61" s="185">
        <v>97</v>
      </c>
      <c r="G61" s="119"/>
      <c r="I61" s="185">
        <v>11</v>
      </c>
      <c r="J61" s="126">
        <v>19</v>
      </c>
      <c r="K61" s="92">
        <f t="shared" si="1"/>
        <v>0</v>
      </c>
      <c r="L61" s="92">
        <f t="shared" si="1"/>
        <v>0</v>
      </c>
      <c r="M61" s="92">
        <f t="shared" si="1"/>
        <v>57.894736842105267</v>
      </c>
      <c r="N61" s="121">
        <f t="shared" si="2"/>
        <v>57.894736842105267</v>
      </c>
      <c r="O61" s="91"/>
      <c r="P61" s="92"/>
      <c r="Q61" s="92">
        <v>50</v>
      </c>
      <c r="R61" s="93">
        <f t="shared" si="3"/>
        <v>50</v>
      </c>
      <c r="S61" s="185">
        <v>4</v>
      </c>
      <c r="T61" s="839"/>
      <c r="U61" s="852"/>
      <c r="V61" s="82" t="s">
        <v>96</v>
      </c>
      <c r="W61" s="185" t="s">
        <v>20</v>
      </c>
      <c r="X61" s="185" t="s">
        <v>12</v>
      </c>
      <c r="Y61" s="83">
        <v>50</v>
      </c>
      <c r="AD61" s="82"/>
      <c r="AG61" s="83"/>
      <c r="AL61" s="82"/>
      <c r="AO61" s="83"/>
      <c r="AP61" s="82"/>
      <c r="AS61" s="83"/>
      <c r="AW61" s="83"/>
      <c r="BA61" s="84"/>
    </row>
    <row r="62" spans="1:53" s="292" customFormat="1">
      <c r="A62" s="292">
        <v>2002</v>
      </c>
      <c r="B62" s="836">
        <v>37354</v>
      </c>
      <c r="C62" s="916" t="s">
        <v>835</v>
      </c>
      <c r="D62" s="916"/>
      <c r="E62" s="292">
        <f>365-E61</f>
        <v>268</v>
      </c>
      <c r="F62" s="292">
        <v>1</v>
      </c>
      <c r="G62" s="366">
        <v>17</v>
      </c>
      <c r="J62" s="377">
        <v>18</v>
      </c>
      <c r="K62" s="336">
        <f t="shared" si="1"/>
        <v>94.444444444444443</v>
      </c>
      <c r="L62" s="336">
        <f t="shared" si="1"/>
        <v>0</v>
      </c>
      <c r="M62" s="336">
        <f t="shared" si="1"/>
        <v>0</v>
      </c>
      <c r="N62" s="368">
        <f t="shared" si="2"/>
        <v>94.444444444444443</v>
      </c>
      <c r="O62" s="335">
        <v>51.8</v>
      </c>
      <c r="P62" s="336"/>
      <c r="Q62" s="336"/>
      <c r="R62" s="337">
        <f t="shared" si="3"/>
        <v>51.8</v>
      </c>
      <c r="S62" s="292">
        <v>2</v>
      </c>
      <c r="T62" s="838">
        <v>37332</v>
      </c>
      <c r="U62" s="836">
        <v>37354</v>
      </c>
      <c r="V62" s="299" t="s">
        <v>480</v>
      </c>
      <c r="W62" s="292" t="s">
        <v>22</v>
      </c>
      <c r="X62" s="292" t="s">
        <v>11</v>
      </c>
      <c r="Y62" s="300">
        <v>45.7</v>
      </c>
      <c r="Z62" s="292" t="s">
        <v>482</v>
      </c>
      <c r="AA62" s="292" t="s">
        <v>17</v>
      </c>
      <c r="AB62" s="292" t="s">
        <v>11</v>
      </c>
      <c r="AC62" s="292">
        <v>6.1</v>
      </c>
      <c r="AD62" s="299"/>
      <c r="AG62" s="300"/>
      <c r="AL62" s="299"/>
      <c r="AO62" s="300"/>
      <c r="AP62" s="299"/>
      <c r="AS62" s="300"/>
      <c r="AW62" s="300"/>
      <c r="BA62" s="301"/>
    </row>
    <row r="63" spans="1:53" s="292" customFormat="1">
      <c r="A63" s="292">
        <v>2003</v>
      </c>
      <c r="B63" s="836"/>
      <c r="C63" s="916" t="s">
        <v>835</v>
      </c>
      <c r="D63" s="916"/>
      <c r="E63" s="292">
        <v>0</v>
      </c>
      <c r="G63" s="366">
        <v>17</v>
      </c>
      <c r="J63" s="377">
        <v>18</v>
      </c>
      <c r="K63" s="336">
        <f t="shared" si="1"/>
        <v>94.444444444444443</v>
      </c>
      <c r="L63" s="336">
        <f t="shared" si="1"/>
        <v>0</v>
      </c>
      <c r="M63" s="336">
        <f t="shared" si="1"/>
        <v>0</v>
      </c>
      <c r="N63" s="368">
        <f t="shared" si="2"/>
        <v>94.444444444444443</v>
      </c>
      <c r="O63" s="335">
        <v>51.8</v>
      </c>
      <c r="P63" s="336"/>
      <c r="Q63" s="336"/>
      <c r="R63" s="337">
        <f t="shared" si="3"/>
        <v>51.8</v>
      </c>
      <c r="S63" s="292">
        <v>2</v>
      </c>
      <c r="T63" s="838"/>
      <c r="U63" s="836"/>
      <c r="V63" s="299" t="s">
        <v>480</v>
      </c>
      <c r="W63" s="292" t="s">
        <v>22</v>
      </c>
      <c r="X63" s="292" t="s">
        <v>11</v>
      </c>
      <c r="Y63" s="300">
        <v>45.7</v>
      </c>
      <c r="Z63" s="292" t="s">
        <v>482</v>
      </c>
      <c r="AA63" s="292" t="s">
        <v>17</v>
      </c>
      <c r="AB63" s="292" t="s">
        <v>11</v>
      </c>
      <c r="AC63" s="292">
        <v>6.1</v>
      </c>
      <c r="AD63" s="299"/>
      <c r="AG63" s="300"/>
      <c r="AL63" s="299"/>
      <c r="AO63" s="300"/>
      <c r="AP63" s="299"/>
      <c r="AS63" s="300"/>
      <c r="AW63" s="300"/>
      <c r="BA63" s="301"/>
    </row>
    <row r="64" spans="1:53" s="292" customFormat="1">
      <c r="A64" s="292">
        <v>2003</v>
      </c>
      <c r="B64" s="836"/>
      <c r="C64" s="916" t="s">
        <v>835</v>
      </c>
      <c r="D64" s="916"/>
      <c r="E64" s="292">
        <f>365-E63</f>
        <v>365</v>
      </c>
      <c r="G64" s="366">
        <v>17</v>
      </c>
      <c r="J64" s="377">
        <v>18</v>
      </c>
      <c r="K64" s="336">
        <f t="shared" si="1"/>
        <v>94.444444444444443</v>
      </c>
      <c r="L64" s="336">
        <f t="shared" si="1"/>
        <v>0</v>
      </c>
      <c r="M64" s="336">
        <f t="shared" si="1"/>
        <v>0</v>
      </c>
      <c r="N64" s="368">
        <f t="shared" si="2"/>
        <v>94.444444444444443</v>
      </c>
      <c r="O64" s="335">
        <v>51.8</v>
      </c>
      <c r="P64" s="336"/>
      <c r="Q64" s="336"/>
      <c r="R64" s="337">
        <f t="shared" si="3"/>
        <v>51.8</v>
      </c>
      <c r="S64" s="292">
        <v>2</v>
      </c>
      <c r="T64" s="838"/>
      <c r="U64" s="836"/>
      <c r="V64" s="299" t="s">
        <v>480</v>
      </c>
      <c r="W64" s="292" t="s">
        <v>22</v>
      </c>
      <c r="X64" s="292" t="s">
        <v>11</v>
      </c>
      <c r="Y64" s="300">
        <v>45.7</v>
      </c>
      <c r="Z64" s="292" t="s">
        <v>482</v>
      </c>
      <c r="AA64" s="292" t="s">
        <v>17</v>
      </c>
      <c r="AB64" s="292" t="s">
        <v>11</v>
      </c>
      <c r="AC64" s="292">
        <v>6.1</v>
      </c>
      <c r="AD64" s="299"/>
      <c r="AG64" s="300"/>
      <c r="AL64" s="299"/>
      <c r="AO64" s="300"/>
      <c r="AP64" s="299"/>
      <c r="AS64" s="300"/>
      <c r="AW64" s="300"/>
      <c r="BA64" s="301"/>
    </row>
    <row r="65" spans="1:53" s="292" customFormat="1">
      <c r="A65" s="292">
        <v>2004</v>
      </c>
      <c r="B65" s="836"/>
      <c r="C65" s="916" t="s">
        <v>835</v>
      </c>
      <c r="D65" s="916"/>
      <c r="E65" s="292">
        <v>204</v>
      </c>
      <c r="G65" s="366">
        <v>17</v>
      </c>
      <c r="J65" s="377">
        <v>18</v>
      </c>
      <c r="K65" s="336">
        <f t="shared" si="1"/>
        <v>94.444444444444443</v>
      </c>
      <c r="L65" s="336">
        <f t="shared" si="1"/>
        <v>0</v>
      </c>
      <c r="M65" s="336">
        <f t="shared" si="1"/>
        <v>0</v>
      </c>
      <c r="N65" s="368">
        <f t="shared" si="2"/>
        <v>94.444444444444443</v>
      </c>
      <c r="O65" s="335">
        <v>51.8</v>
      </c>
      <c r="P65" s="336"/>
      <c r="Q65" s="336"/>
      <c r="R65" s="337">
        <f t="shared" si="3"/>
        <v>51.8</v>
      </c>
      <c r="S65" s="292">
        <v>2</v>
      </c>
      <c r="T65" s="838"/>
      <c r="U65" s="836"/>
      <c r="V65" s="299" t="s">
        <v>480</v>
      </c>
      <c r="W65" s="292" t="s">
        <v>22</v>
      </c>
      <c r="X65" s="292" t="s">
        <v>11</v>
      </c>
      <c r="Y65" s="300">
        <v>45.7</v>
      </c>
      <c r="Z65" s="292" t="s">
        <v>482</v>
      </c>
      <c r="AA65" s="292" t="s">
        <v>17</v>
      </c>
      <c r="AB65" s="292" t="s">
        <v>11</v>
      </c>
      <c r="AC65" s="292">
        <v>6.1</v>
      </c>
      <c r="AD65" s="299"/>
      <c r="AG65" s="300"/>
      <c r="AL65" s="299"/>
      <c r="AO65" s="300"/>
      <c r="AP65" s="299"/>
      <c r="AS65" s="300"/>
      <c r="AW65" s="300"/>
      <c r="BA65" s="301"/>
    </row>
    <row r="66" spans="1:53" s="185" customFormat="1">
      <c r="A66" s="185">
        <v>2004</v>
      </c>
      <c r="B66" s="852">
        <v>38191</v>
      </c>
      <c r="C66" s="917" t="s">
        <v>836</v>
      </c>
      <c r="D66" s="917"/>
      <c r="E66" s="185">
        <f>366-E65</f>
        <v>162</v>
      </c>
      <c r="F66" s="185">
        <v>2</v>
      </c>
      <c r="G66" s="119">
        <v>19</v>
      </c>
      <c r="J66" s="126">
        <v>20</v>
      </c>
      <c r="K66" s="92">
        <f t="shared" si="1"/>
        <v>95</v>
      </c>
      <c r="L66" s="92">
        <f t="shared" si="1"/>
        <v>0</v>
      </c>
      <c r="M66" s="92">
        <f t="shared" si="1"/>
        <v>0</v>
      </c>
      <c r="N66" s="121">
        <f t="shared" si="2"/>
        <v>95</v>
      </c>
      <c r="O66" s="91">
        <v>51.8</v>
      </c>
      <c r="P66" s="92"/>
      <c r="Q66" s="92"/>
      <c r="R66" s="93">
        <f t="shared" si="3"/>
        <v>51.8</v>
      </c>
      <c r="S66" s="185">
        <v>2</v>
      </c>
      <c r="T66" s="839"/>
      <c r="U66" s="852">
        <v>38191</v>
      </c>
      <c r="V66" s="82" t="s">
        <v>480</v>
      </c>
      <c r="W66" s="185" t="s">
        <v>22</v>
      </c>
      <c r="X66" s="185" t="s">
        <v>11</v>
      </c>
      <c r="Y66" s="83">
        <v>45.7</v>
      </c>
      <c r="Z66" s="185" t="s">
        <v>482</v>
      </c>
      <c r="AA66" s="185" t="s">
        <v>17</v>
      </c>
      <c r="AB66" s="185" t="s">
        <v>11</v>
      </c>
      <c r="AC66" s="185">
        <v>6.1</v>
      </c>
      <c r="AD66" s="82"/>
      <c r="AG66" s="83"/>
      <c r="AL66" s="82"/>
      <c r="AO66" s="83"/>
      <c r="AP66" s="82"/>
      <c r="AS66" s="83"/>
      <c r="AW66" s="83"/>
      <c r="BA66" s="84"/>
    </row>
    <row r="67" spans="1:53" s="185" customFormat="1">
      <c r="A67" s="185">
        <v>2005</v>
      </c>
      <c r="B67" s="852"/>
      <c r="C67" s="917" t="s">
        <v>836</v>
      </c>
      <c r="D67" s="917"/>
      <c r="E67" s="185">
        <v>70</v>
      </c>
      <c r="G67" s="119">
        <v>19</v>
      </c>
      <c r="J67" s="126">
        <v>20</v>
      </c>
      <c r="K67" s="92">
        <f t="shared" si="1"/>
        <v>95</v>
      </c>
      <c r="L67" s="92">
        <f t="shared" si="1"/>
        <v>0</v>
      </c>
      <c r="M67" s="92">
        <f t="shared" si="1"/>
        <v>0</v>
      </c>
      <c r="N67" s="121">
        <f t="shared" si="2"/>
        <v>95</v>
      </c>
      <c r="O67" s="91">
        <v>51.8</v>
      </c>
      <c r="P67" s="92"/>
      <c r="Q67" s="92"/>
      <c r="R67" s="93">
        <f t="shared" si="3"/>
        <v>51.8</v>
      </c>
      <c r="S67" s="185">
        <v>2</v>
      </c>
      <c r="T67" s="839"/>
      <c r="U67" s="852"/>
      <c r="V67" s="82" t="s">
        <v>480</v>
      </c>
      <c r="W67" s="185" t="s">
        <v>22</v>
      </c>
      <c r="X67" s="185" t="s">
        <v>11</v>
      </c>
      <c r="Y67" s="83">
        <v>45.7</v>
      </c>
      <c r="Z67" s="185" t="s">
        <v>482</v>
      </c>
      <c r="AA67" s="185" t="s">
        <v>17</v>
      </c>
      <c r="AB67" s="185" t="s">
        <v>11</v>
      </c>
      <c r="AC67" s="185">
        <v>6.1</v>
      </c>
      <c r="AD67" s="82"/>
      <c r="AG67" s="83"/>
      <c r="AL67" s="82"/>
      <c r="AO67" s="83"/>
      <c r="AP67" s="82"/>
      <c r="AS67" s="83"/>
      <c r="AW67" s="83"/>
      <c r="BA67" s="84"/>
    </row>
    <row r="68" spans="1:53" s="292" customFormat="1">
      <c r="A68" s="292">
        <v>2005</v>
      </c>
      <c r="B68" s="836">
        <v>38423</v>
      </c>
      <c r="C68" s="916" t="s">
        <v>837</v>
      </c>
      <c r="D68" s="916"/>
      <c r="E68" s="292">
        <f>365-E67</f>
        <v>295</v>
      </c>
      <c r="F68" s="292">
        <v>6</v>
      </c>
      <c r="G68" s="366"/>
      <c r="I68" s="292">
        <v>9</v>
      </c>
      <c r="J68" s="377">
        <v>17</v>
      </c>
      <c r="K68" s="336">
        <f t="shared" si="1"/>
        <v>0</v>
      </c>
      <c r="L68" s="336">
        <f t="shared" si="1"/>
        <v>0</v>
      </c>
      <c r="M68" s="336">
        <f t="shared" si="1"/>
        <v>52.941176470588239</v>
      </c>
      <c r="N68" s="368">
        <f t="shared" si="2"/>
        <v>52.941176470588239</v>
      </c>
      <c r="O68" s="335"/>
      <c r="P68" s="336"/>
      <c r="Q68" s="336">
        <v>52.6</v>
      </c>
      <c r="R68" s="337">
        <f t="shared" si="3"/>
        <v>52.6</v>
      </c>
      <c r="S68" s="292">
        <v>1</v>
      </c>
      <c r="T68" s="838">
        <v>38403</v>
      </c>
      <c r="U68" s="836">
        <v>38423</v>
      </c>
      <c r="V68" s="299" t="s">
        <v>96</v>
      </c>
      <c r="W68" s="292" t="s">
        <v>20</v>
      </c>
      <c r="X68" s="292" t="s">
        <v>12</v>
      </c>
      <c r="Y68" s="300">
        <v>52.6</v>
      </c>
      <c r="AD68" s="299"/>
      <c r="AG68" s="300"/>
      <c r="AL68" s="299"/>
      <c r="AO68" s="300"/>
      <c r="AP68" s="299"/>
      <c r="AS68" s="300"/>
      <c r="AW68" s="300"/>
      <c r="BA68" s="301"/>
    </row>
    <row r="69" spans="1:53" s="292" customFormat="1">
      <c r="A69" s="292">
        <v>2006</v>
      </c>
      <c r="B69" s="836"/>
      <c r="C69" s="916" t="s">
        <v>837</v>
      </c>
      <c r="D69" s="916"/>
      <c r="E69" s="292">
        <v>183</v>
      </c>
      <c r="G69" s="366"/>
      <c r="I69" s="292">
        <v>9</v>
      </c>
      <c r="J69" s="377">
        <v>17</v>
      </c>
      <c r="K69" s="336">
        <f t="shared" si="1"/>
        <v>0</v>
      </c>
      <c r="L69" s="336">
        <f t="shared" si="1"/>
        <v>0</v>
      </c>
      <c r="M69" s="336">
        <f t="shared" si="1"/>
        <v>52.941176470588239</v>
      </c>
      <c r="N69" s="368">
        <f t="shared" si="2"/>
        <v>52.941176470588239</v>
      </c>
      <c r="O69" s="335"/>
      <c r="P69" s="336"/>
      <c r="Q69" s="336">
        <v>52.6</v>
      </c>
      <c r="R69" s="337">
        <f t="shared" si="3"/>
        <v>52.6</v>
      </c>
      <c r="S69" s="292">
        <v>1</v>
      </c>
      <c r="T69" s="838"/>
      <c r="U69" s="836"/>
      <c r="V69" s="299" t="s">
        <v>96</v>
      </c>
      <c r="W69" s="292" t="s">
        <v>20</v>
      </c>
      <c r="X69" s="292" t="s">
        <v>12</v>
      </c>
      <c r="Y69" s="300">
        <v>52.6</v>
      </c>
      <c r="AD69" s="299"/>
      <c r="AG69" s="300"/>
      <c r="AL69" s="299"/>
      <c r="AO69" s="300"/>
      <c r="AP69" s="299"/>
      <c r="AS69" s="300"/>
      <c r="AW69" s="300"/>
      <c r="BA69" s="301"/>
    </row>
    <row r="70" spans="1:53" s="292" customFormat="1">
      <c r="A70" s="292">
        <v>2006</v>
      </c>
      <c r="B70" s="865">
        <v>38901</v>
      </c>
      <c r="C70" s="916" t="s">
        <v>837</v>
      </c>
      <c r="D70" s="916"/>
      <c r="E70" s="292">
        <f>365-E69</f>
        <v>182</v>
      </c>
      <c r="F70" s="381">
        <v>0</v>
      </c>
      <c r="G70" s="366"/>
      <c r="I70" s="292">
        <v>10</v>
      </c>
      <c r="J70" s="377">
        <v>17</v>
      </c>
      <c r="K70" s="336">
        <f t="shared" si="1"/>
        <v>0</v>
      </c>
      <c r="L70" s="336">
        <f t="shared" si="1"/>
        <v>0</v>
      </c>
      <c r="M70" s="336">
        <f t="shared" si="1"/>
        <v>58.82352941176471</v>
      </c>
      <c r="N70" s="368">
        <f t="shared" si="2"/>
        <v>58.82352941176471</v>
      </c>
      <c r="O70" s="335"/>
      <c r="P70" s="336"/>
      <c r="Q70" s="336">
        <v>52.6</v>
      </c>
      <c r="R70" s="337">
        <f t="shared" si="3"/>
        <v>52.6</v>
      </c>
      <c r="S70" s="292">
        <v>1</v>
      </c>
      <c r="T70" s="838"/>
      <c r="U70" s="836"/>
      <c r="V70" s="299" t="s">
        <v>96</v>
      </c>
      <c r="W70" s="292" t="s">
        <v>20</v>
      </c>
      <c r="X70" s="292" t="s">
        <v>12</v>
      </c>
      <c r="Y70" s="300">
        <v>52.6</v>
      </c>
      <c r="AD70" s="299"/>
      <c r="AG70" s="300"/>
      <c r="AL70" s="299"/>
      <c r="AO70" s="300"/>
      <c r="AP70" s="299"/>
      <c r="AS70" s="300"/>
      <c r="AW70" s="300"/>
      <c r="BA70" s="301"/>
    </row>
    <row r="71" spans="1:53" s="292" customFormat="1">
      <c r="A71" s="292">
        <v>2007</v>
      </c>
      <c r="B71" s="865"/>
      <c r="C71" s="916" t="s">
        <v>837</v>
      </c>
      <c r="D71" s="916"/>
      <c r="E71" s="292">
        <v>136</v>
      </c>
      <c r="F71" s="381"/>
      <c r="G71" s="366"/>
      <c r="I71" s="292">
        <v>10</v>
      </c>
      <c r="J71" s="377">
        <v>17</v>
      </c>
      <c r="K71" s="336">
        <f t="shared" si="1"/>
        <v>0</v>
      </c>
      <c r="L71" s="336">
        <f t="shared" si="1"/>
        <v>0</v>
      </c>
      <c r="M71" s="336">
        <f t="shared" si="1"/>
        <v>58.82352941176471</v>
      </c>
      <c r="N71" s="368">
        <f t="shared" si="2"/>
        <v>58.82352941176471</v>
      </c>
      <c r="O71" s="335"/>
      <c r="P71" s="336"/>
      <c r="Q71" s="336">
        <v>52.6</v>
      </c>
      <c r="R71" s="337">
        <f t="shared" si="3"/>
        <v>52.6</v>
      </c>
      <c r="S71" s="292">
        <v>1</v>
      </c>
      <c r="T71" s="838"/>
      <c r="U71" s="836"/>
      <c r="V71" s="299" t="s">
        <v>96</v>
      </c>
      <c r="W71" s="292" t="s">
        <v>20</v>
      </c>
      <c r="X71" s="292" t="s">
        <v>12</v>
      </c>
      <c r="Y71" s="300">
        <v>52.6</v>
      </c>
      <c r="AD71" s="299"/>
      <c r="AG71" s="300"/>
      <c r="AL71" s="299"/>
      <c r="AO71" s="300"/>
      <c r="AP71" s="299"/>
      <c r="AS71" s="300"/>
      <c r="AW71" s="300"/>
      <c r="BA71" s="301"/>
    </row>
    <row r="72" spans="1:53" s="292" customFormat="1">
      <c r="A72" s="292">
        <v>2007</v>
      </c>
      <c r="B72" s="865">
        <v>39219</v>
      </c>
      <c r="C72" s="916" t="s">
        <v>837</v>
      </c>
      <c r="D72" s="916"/>
      <c r="E72" s="292">
        <f>365-E71</f>
        <v>229</v>
      </c>
      <c r="F72" s="381">
        <v>0</v>
      </c>
      <c r="G72" s="366"/>
      <c r="I72" s="292">
        <v>9</v>
      </c>
      <c r="J72" s="377">
        <v>17</v>
      </c>
      <c r="K72" s="336">
        <f t="shared" ref="K72:M83" si="4">G72/$J72*100</f>
        <v>0</v>
      </c>
      <c r="L72" s="336">
        <f t="shared" si="4"/>
        <v>0</v>
      </c>
      <c r="M72" s="336">
        <f t="shared" si="4"/>
        <v>52.941176470588239</v>
      </c>
      <c r="N72" s="368">
        <f t="shared" ref="N72:N83" si="5">K72+L72+M72</f>
        <v>52.941176470588239</v>
      </c>
      <c r="O72" s="335"/>
      <c r="P72" s="336"/>
      <c r="Q72" s="336">
        <v>52.6</v>
      </c>
      <c r="R72" s="337">
        <f t="shared" ref="R72:R85" si="6">O72+P72+Q72</f>
        <v>52.6</v>
      </c>
      <c r="S72" s="292">
        <v>1</v>
      </c>
      <c r="T72" s="838"/>
      <c r="U72" s="836"/>
      <c r="V72" s="299" t="s">
        <v>96</v>
      </c>
      <c r="W72" s="292" t="s">
        <v>20</v>
      </c>
      <c r="X72" s="292" t="s">
        <v>12</v>
      </c>
      <c r="Y72" s="300">
        <v>52.6</v>
      </c>
      <c r="AD72" s="299"/>
      <c r="AG72" s="300"/>
      <c r="AL72" s="299"/>
      <c r="AO72" s="300"/>
      <c r="AP72" s="299"/>
      <c r="AS72" s="300"/>
      <c r="AW72" s="300"/>
      <c r="BA72" s="301"/>
    </row>
    <row r="73" spans="1:53" s="292" customFormat="1">
      <c r="A73" s="292">
        <v>2008</v>
      </c>
      <c r="B73" s="836"/>
      <c r="C73" s="916" t="s">
        <v>837</v>
      </c>
      <c r="D73" s="916"/>
      <c r="E73" s="292">
        <v>29</v>
      </c>
      <c r="G73" s="366"/>
      <c r="I73" s="292">
        <v>9</v>
      </c>
      <c r="J73" s="377">
        <v>17</v>
      </c>
      <c r="K73" s="336">
        <f t="shared" si="4"/>
        <v>0</v>
      </c>
      <c r="L73" s="336">
        <f t="shared" si="4"/>
        <v>0</v>
      </c>
      <c r="M73" s="336">
        <f t="shared" si="4"/>
        <v>52.941176470588239</v>
      </c>
      <c r="N73" s="368">
        <f t="shared" si="5"/>
        <v>52.941176470588239</v>
      </c>
      <c r="O73" s="335"/>
      <c r="P73" s="336"/>
      <c r="Q73" s="336">
        <v>52.6</v>
      </c>
      <c r="R73" s="337">
        <f t="shared" si="6"/>
        <v>52.6</v>
      </c>
      <c r="S73" s="292">
        <v>1</v>
      </c>
      <c r="T73" s="838"/>
      <c r="U73" s="836"/>
      <c r="V73" s="299" t="s">
        <v>96</v>
      </c>
      <c r="W73" s="292" t="s">
        <v>20</v>
      </c>
      <c r="X73" s="292" t="s">
        <v>12</v>
      </c>
      <c r="Y73" s="300">
        <v>52.6</v>
      </c>
      <c r="AD73" s="299"/>
      <c r="AG73" s="300"/>
      <c r="AL73" s="299"/>
      <c r="AO73" s="300"/>
      <c r="AP73" s="299"/>
      <c r="AS73" s="300"/>
      <c r="AW73" s="300"/>
      <c r="BA73" s="301"/>
    </row>
    <row r="74" spans="1:53" s="292" customFormat="1">
      <c r="A74" s="292">
        <v>2008</v>
      </c>
      <c r="B74" s="865">
        <v>39477</v>
      </c>
      <c r="C74" s="916" t="s">
        <v>837</v>
      </c>
      <c r="D74" s="916"/>
      <c r="E74" s="292">
        <f>366-E73</f>
        <v>337</v>
      </c>
      <c r="F74" s="381">
        <v>0</v>
      </c>
      <c r="G74" s="366"/>
      <c r="I74" s="292">
        <v>10</v>
      </c>
      <c r="J74" s="377">
        <v>17</v>
      </c>
      <c r="K74" s="336">
        <f t="shared" si="4"/>
        <v>0</v>
      </c>
      <c r="L74" s="336">
        <f t="shared" si="4"/>
        <v>0</v>
      </c>
      <c r="M74" s="336">
        <f t="shared" si="4"/>
        <v>58.82352941176471</v>
      </c>
      <c r="N74" s="368">
        <f t="shared" si="5"/>
        <v>58.82352941176471</v>
      </c>
      <c r="O74" s="335"/>
      <c r="P74" s="336"/>
      <c r="Q74" s="336">
        <v>52.6</v>
      </c>
      <c r="R74" s="337">
        <f t="shared" si="6"/>
        <v>52.6</v>
      </c>
      <c r="S74" s="292">
        <v>1</v>
      </c>
      <c r="T74" s="838"/>
      <c r="U74" s="836"/>
      <c r="V74" s="299" t="s">
        <v>96</v>
      </c>
      <c r="W74" s="292" t="s">
        <v>20</v>
      </c>
      <c r="X74" s="292" t="s">
        <v>12</v>
      </c>
      <c r="Y74" s="300">
        <v>52.6</v>
      </c>
      <c r="AD74" s="299"/>
      <c r="AG74" s="300"/>
      <c r="AL74" s="299"/>
      <c r="AO74" s="300"/>
      <c r="AP74" s="299"/>
      <c r="AS74" s="300"/>
      <c r="AW74" s="300"/>
      <c r="BA74" s="301"/>
    </row>
    <row r="75" spans="1:53" s="292" customFormat="1">
      <c r="A75" s="292">
        <v>2009</v>
      </c>
      <c r="B75" s="836"/>
      <c r="C75" s="916" t="s">
        <v>837</v>
      </c>
      <c r="D75" s="916"/>
      <c r="E75" s="292">
        <v>298</v>
      </c>
      <c r="G75" s="366"/>
      <c r="I75" s="292">
        <v>10</v>
      </c>
      <c r="J75" s="377">
        <v>17</v>
      </c>
      <c r="K75" s="336">
        <f t="shared" si="4"/>
        <v>0</v>
      </c>
      <c r="L75" s="336">
        <f t="shared" si="4"/>
        <v>0</v>
      </c>
      <c r="M75" s="336">
        <f t="shared" si="4"/>
        <v>58.82352941176471</v>
      </c>
      <c r="N75" s="368">
        <f t="shared" si="5"/>
        <v>58.82352941176471</v>
      </c>
      <c r="O75" s="335"/>
      <c r="P75" s="336"/>
      <c r="Q75" s="336">
        <v>52.6</v>
      </c>
      <c r="R75" s="337">
        <f t="shared" si="6"/>
        <v>52.6</v>
      </c>
      <c r="S75" s="292">
        <v>1</v>
      </c>
      <c r="T75" s="838"/>
      <c r="U75" s="836"/>
      <c r="V75" s="299" t="s">
        <v>96</v>
      </c>
      <c r="W75" s="292" t="s">
        <v>20</v>
      </c>
      <c r="X75" s="292" t="s">
        <v>12</v>
      </c>
      <c r="Y75" s="300">
        <v>52.6</v>
      </c>
      <c r="AD75" s="299"/>
      <c r="AG75" s="300"/>
      <c r="AL75" s="299"/>
      <c r="AO75" s="300"/>
      <c r="AP75" s="299"/>
      <c r="AS75" s="300"/>
      <c r="AW75" s="300"/>
      <c r="BA75" s="301"/>
    </row>
    <row r="76" spans="1:53" s="185" customFormat="1">
      <c r="A76" s="185">
        <v>2009</v>
      </c>
      <c r="B76" s="852">
        <v>40112</v>
      </c>
      <c r="C76" s="917" t="s">
        <v>838</v>
      </c>
      <c r="D76" s="917"/>
      <c r="E76" s="185">
        <v>67</v>
      </c>
      <c r="F76" s="185">
        <v>1</v>
      </c>
      <c r="G76" s="119"/>
      <c r="I76" s="185">
        <v>10</v>
      </c>
      <c r="J76" s="126">
        <v>17</v>
      </c>
      <c r="K76" s="92">
        <f t="shared" si="4"/>
        <v>0</v>
      </c>
      <c r="L76" s="92">
        <f t="shared" si="4"/>
        <v>0</v>
      </c>
      <c r="M76" s="92">
        <f t="shared" si="4"/>
        <v>58.82352941176471</v>
      </c>
      <c r="N76" s="121">
        <f t="shared" si="5"/>
        <v>58.82352941176471</v>
      </c>
      <c r="O76" s="91"/>
      <c r="P76" s="92"/>
      <c r="Q76" s="92">
        <v>42.2</v>
      </c>
      <c r="R76" s="93">
        <f t="shared" si="6"/>
        <v>42.2</v>
      </c>
      <c r="S76" s="185">
        <v>4</v>
      </c>
      <c r="T76" s="839">
        <v>40083</v>
      </c>
      <c r="U76" s="852">
        <v>40112</v>
      </c>
      <c r="V76" s="82" t="s">
        <v>96</v>
      </c>
      <c r="W76" s="185" t="s">
        <v>20</v>
      </c>
      <c r="X76" s="185" t="s">
        <v>12</v>
      </c>
      <c r="Y76" s="83">
        <v>42.2</v>
      </c>
      <c r="AD76" s="82"/>
      <c r="AG76" s="83"/>
      <c r="AL76" s="82"/>
      <c r="AO76" s="83"/>
      <c r="AP76" s="82"/>
      <c r="AS76" s="83"/>
      <c r="AW76" s="83"/>
      <c r="BA76" s="84"/>
    </row>
    <row r="77" spans="1:53" s="185" customFormat="1">
      <c r="A77" s="185">
        <v>2010</v>
      </c>
      <c r="B77" s="852"/>
      <c r="C77" s="917" t="s">
        <v>838</v>
      </c>
      <c r="D77" s="917"/>
      <c r="E77" s="185">
        <v>0</v>
      </c>
      <c r="G77" s="119"/>
      <c r="I77" s="185">
        <v>10</v>
      </c>
      <c r="J77" s="126">
        <v>17</v>
      </c>
      <c r="K77" s="92">
        <f t="shared" si="4"/>
        <v>0</v>
      </c>
      <c r="L77" s="92">
        <f t="shared" si="4"/>
        <v>0</v>
      </c>
      <c r="M77" s="92">
        <f t="shared" si="4"/>
        <v>58.82352941176471</v>
      </c>
      <c r="N77" s="121">
        <f t="shared" si="5"/>
        <v>58.82352941176471</v>
      </c>
      <c r="O77" s="91"/>
      <c r="P77" s="92"/>
      <c r="Q77" s="92">
        <v>42.2</v>
      </c>
      <c r="R77" s="93">
        <f t="shared" si="6"/>
        <v>42.2</v>
      </c>
      <c r="S77" s="185">
        <v>4</v>
      </c>
      <c r="T77" s="839"/>
      <c r="U77" s="852"/>
      <c r="V77" s="82" t="s">
        <v>96</v>
      </c>
      <c r="W77" s="185" t="s">
        <v>20</v>
      </c>
      <c r="X77" s="185" t="s">
        <v>12</v>
      </c>
      <c r="Y77" s="83">
        <v>42.2</v>
      </c>
      <c r="AD77" s="82"/>
      <c r="AG77" s="83"/>
      <c r="AL77" s="82"/>
      <c r="AO77" s="83"/>
      <c r="AP77" s="82"/>
      <c r="AS77" s="83"/>
      <c r="AW77" s="83"/>
      <c r="BA77" s="84"/>
    </row>
    <row r="78" spans="1:53" s="185" customFormat="1">
      <c r="A78" s="185">
        <v>2010</v>
      </c>
      <c r="B78" s="852"/>
      <c r="C78" s="917" t="s">
        <v>838</v>
      </c>
      <c r="D78" s="917"/>
      <c r="E78" s="185">
        <v>365</v>
      </c>
      <c r="G78" s="119"/>
      <c r="I78" s="185">
        <v>10</v>
      </c>
      <c r="J78" s="126">
        <v>17</v>
      </c>
      <c r="K78" s="92">
        <f t="shared" si="4"/>
        <v>0</v>
      </c>
      <c r="L78" s="92">
        <f t="shared" si="4"/>
        <v>0</v>
      </c>
      <c r="M78" s="92">
        <f t="shared" si="4"/>
        <v>58.82352941176471</v>
      </c>
      <c r="N78" s="121">
        <f t="shared" si="5"/>
        <v>58.82352941176471</v>
      </c>
      <c r="O78" s="91"/>
      <c r="P78" s="92"/>
      <c r="Q78" s="92">
        <v>42.2</v>
      </c>
      <c r="R78" s="93">
        <f t="shared" si="6"/>
        <v>42.2</v>
      </c>
      <c r="S78" s="185">
        <v>4</v>
      </c>
      <c r="T78" s="839"/>
      <c r="U78" s="852"/>
      <c r="V78" s="82" t="s">
        <v>96</v>
      </c>
      <c r="W78" s="185" t="s">
        <v>20</v>
      </c>
      <c r="X78" s="185" t="s">
        <v>12</v>
      </c>
      <c r="Y78" s="83">
        <v>42.2</v>
      </c>
      <c r="AD78" s="82"/>
      <c r="AG78" s="83"/>
      <c r="AL78" s="82"/>
      <c r="AO78" s="83"/>
      <c r="AP78" s="82"/>
      <c r="AS78" s="83"/>
      <c r="AW78" s="83"/>
      <c r="BA78" s="84"/>
    </row>
    <row r="79" spans="1:53" s="185" customFormat="1">
      <c r="A79" s="185">
        <v>2011</v>
      </c>
      <c r="B79" s="852"/>
      <c r="C79" s="917" t="s">
        <v>838</v>
      </c>
      <c r="D79" s="917"/>
      <c r="E79" s="185">
        <v>171</v>
      </c>
      <c r="G79" s="119"/>
      <c r="I79" s="185">
        <v>10</v>
      </c>
      <c r="J79" s="126">
        <v>17</v>
      </c>
      <c r="K79" s="92">
        <f t="shared" si="4"/>
        <v>0</v>
      </c>
      <c r="L79" s="92">
        <f t="shared" si="4"/>
        <v>0</v>
      </c>
      <c r="M79" s="92">
        <f t="shared" si="4"/>
        <v>58.82352941176471</v>
      </c>
      <c r="N79" s="121">
        <f t="shared" si="5"/>
        <v>58.82352941176471</v>
      </c>
      <c r="O79" s="91"/>
      <c r="P79" s="92"/>
      <c r="Q79" s="92">
        <v>42.2</v>
      </c>
      <c r="R79" s="93">
        <f t="shared" si="6"/>
        <v>42.2</v>
      </c>
      <c r="S79" s="185">
        <v>4</v>
      </c>
      <c r="T79" s="839"/>
      <c r="U79" s="852"/>
      <c r="V79" s="82" t="s">
        <v>96</v>
      </c>
      <c r="W79" s="185" t="s">
        <v>20</v>
      </c>
      <c r="X79" s="185" t="s">
        <v>12</v>
      </c>
      <c r="Y79" s="83">
        <v>42.2</v>
      </c>
      <c r="AD79" s="82"/>
      <c r="AG79" s="83"/>
      <c r="AL79" s="82"/>
      <c r="AO79" s="83"/>
      <c r="AP79" s="82"/>
      <c r="AS79" s="83"/>
      <c r="AW79" s="83"/>
      <c r="BA79" s="84"/>
    </row>
    <row r="80" spans="1:53" s="292" customFormat="1">
      <c r="A80" s="292">
        <v>2011</v>
      </c>
      <c r="B80" s="836">
        <v>40715</v>
      </c>
      <c r="C80" s="958" t="s">
        <v>1274</v>
      </c>
      <c r="D80" s="958"/>
      <c r="E80" s="292">
        <v>194</v>
      </c>
      <c r="F80" s="292">
        <v>1</v>
      </c>
      <c r="G80" s="366">
        <v>8</v>
      </c>
      <c r="J80" s="377">
        <v>12</v>
      </c>
      <c r="K80" s="336">
        <f t="shared" si="4"/>
        <v>66.666666666666657</v>
      </c>
      <c r="L80" s="336">
        <f t="shared" si="4"/>
        <v>0</v>
      </c>
      <c r="M80" s="336">
        <f t="shared" si="4"/>
        <v>0</v>
      </c>
      <c r="N80" s="368">
        <f t="shared" si="5"/>
        <v>66.666666666666657</v>
      </c>
      <c r="O80" s="335">
        <v>57.39</v>
      </c>
      <c r="P80" s="336"/>
      <c r="Q80" s="336"/>
      <c r="R80" s="337">
        <f t="shared" si="6"/>
        <v>57.39</v>
      </c>
      <c r="S80" s="292">
        <v>2</v>
      </c>
      <c r="T80" s="838">
        <v>40699</v>
      </c>
      <c r="U80" s="836">
        <v>40715</v>
      </c>
      <c r="V80" s="299" t="s">
        <v>924</v>
      </c>
      <c r="W80" s="292" t="s">
        <v>22</v>
      </c>
      <c r="X80" s="292" t="s">
        <v>11</v>
      </c>
      <c r="Y80" s="300">
        <v>47</v>
      </c>
      <c r="Z80" s="292" t="s">
        <v>482</v>
      </c>
      <c r="AA80" s="292" t="s">
        <v>17</v>
      </c>
      <c r="AB80" s="292" t="s">
        <v>11</v>
      </c>
      <c r="AC80" s="292">
        <v>10.4</v>
      </c>
      <c r="AD80" s="299"/>
      <c r="AG80" s="300"/>
      <c r="AL80" s="299"/>
      <c r="AO80" s="300"/>
      <c r="AP80" s="299"/>
      <c r="AS80" s="300"/>
      <c r="AW80" s="300"/>
      <c r="BA80" s="301"/>
    </row>
    <row r="81" spans="1:53" s="292" customFormat="1">
      <c r="A81" s="292">
        <v>2012</v>
      </c>
      <c r="B81" s="836"/>
      <c r="C81" s="958" t="s">
        <v>1274</v>
      </c>
      <c r="D81" s="958"/>
      <c r="E81" s="292">
        <v>0</v>
      </c>
      <c r="G81" s="366">
        <v>8</v>
      </c>
      <c r="J81" s="377">
        <v>12</v>
      </c>
      <c r="K81" s="336">
        <f t="shared" si="4"/>
        <v>66.666666666666657</v>
      </c>
      <c r="L81" s="336">
        <f t="shared" si="4"/>
        <v>0</v>
      </c>
      <c r="M81" s="336">
        <f t="shared" si="4"/>
        <v>0</v>
      </c>
      <c r="N81" s="368">
        <f t="shared" si="5"/>
        <v>66.666666666666657</v>
      </c>
      <c r="O81" s="335">
        <v>57.39</v>
      </c>
      <c r="P81" s="336"/>
      <c r="Q81" s="336"/>
      <c r="R81" s="337">
        <f t="shared" si="6"/>
        <v>57.39</v>
      </c>
      <c r="S81" s="292">
        <v>2</v>
      </c>
      <c r="T81" s="838"/>
      <c r="U81" s="836"/>
      <c r="V81" s="299" t="s">
        <v>924</v>
      </c>
      <c r="W81" s="292" t="s">
        <v>22</v>
      </c>
      <c r="X81" s="292" t="s">
        <v>11</v>
      </c>
      <c r="Y81" s="300">
        <v>47</v>
      </c>
      <c r="Z81" s="292" t="s">
        <v>482</v>
      </c>
      <c r="AA81" s="292" t="s">
        <v>17</v>
      </c>
      <c r="AB81" s="292" t="s">
        <v>11</v>
      </c>
      <c r="AC81" s="292">
        <v>10.4</v>
      </c>
      <c r="AD81" s="299"/>
      <c r="AG81" s="300"/>
      <c r="AL81" s="299"/>
      <c r="AO81" s="300"/>
      <c r="AP81" s="299"/>
      <c r="AS81" s="300"/>
      <c r="AW81" s="300"/>
      <c r="BA81" s="301"/>
    </row>
    <row r="82" spans="1:53" s="292" customFormat="1">
      <c r="A82" s="292">
        <v>2012</v>
      </c>
      <c r="B82" s="836"/>
      <c r="C82" s="958" t="s">
        <v>1274</v>
      </c>
      <c r="D82" s="958"/>
      <c r="E82" s="292">
        <v>366</v>
      </c>
      <c r="G82" s="366">
        <v>8</v>
      </c>
      <c r="J82" s="377">
        <v>12</v>
      </c>
      <c r="K82" s="336">
        <f t="shared" si="4"/>
        <v>66.666666666666657</v>
      </c>
      <c r="L82" s="336">
        <f t="shared" si="4"/>
        <v>0</v>
      </c>
      <c r="M82" s="336">
        <f t="shared" si="4"/>
        <v>0</v>
      </c>
      <c r="N82" s="368">
        <f t="shared" si="5"/>
        <v>66.666666666666657</v>
      </c>
      <c r="O82" s="335">
        <v>57.39</v>
      </c>
      <c r="P82" s="336"/>
      <c r="Q82" s="336"/>
      <c r="R82" s="337">
        <f t="shared" si="6"/>
        <v>57.39</v>
      </c>
      <c r="S82" s="292">
        <v>2</v>
      </c>
      <c r="T82" s="838"/>
      <c r="U82" s="836"/>
      <c r="V82" s="299" t="s">
        <v>924</v>
      </c>
      <c r="W82" s="292" t="s">
        <v>22</v>
      </c>
      <c r="X82" s="292" t="s">
        <v>11</v>
      </c>
      <c r="Y82" s="300">
        <v>47</v>
      </c>
      <c r="Z82" s="292" t="s">
        <v>482</v>
      </c>
      <c r="AA82" s="292" t="s">
        <v>17</v>
      </c>
      <c r="AB82" s="292" t="s">
        <v>11</v>
      </c>
      <c r="AC82" s="292">
        <v>10.4</v>
      </c>
      <c r="AD82" s="299"/>
      <c r="AG82" s="300"/>
      <c r="AL82" s="299"/>
      <c r="AO82" s="300"/>
      <c r="AP82" s="299"/>
      <c r="AS82" s="300"/>
      <c r="AW82" s="300"/>
      <c r="BA82" s="301"/>
    </row>
    <row r="83" spans="1:53" s="292" customFormat="1">
      <c r="A83" s="292">
        <v>2013</v>
      </c>
      <c r="B83" s="836"/>
      <c r="C83" s="958" t="s">
        <v>1274</v>
      </c>
      <c r="D83" s="958"/>
      <c r="E83" s="292">
        <v>102</v>
      </c>
      <c r="G83" s="366">
        <v>8</v>
      </c>
      <c r="J83" s="377">
        <v>12</v>
      </c>
      <c r="K83" s="336">
        <f t="shared" si="4"/>
        <v>66.666666666666657</v>
      </c>
      <c r="L83" s="336">
        <f t="shared" si="4"/>
        <v>0</v>
      </c>
      <c r="M83" s="336">
        <f t="shared" si="4"/>
        <v>0</v>
      </c>
      <c r="N83" s="368">
        <f t="shared" si="5"/>
        <v>66.666666666666657</v>
      </c>
      <c r="O83" s="335">
        <v>57.39</v>
      </c>
      <c r="P83" s="336"/>
      <c r="Q83" s="336"/>
      <c r="R83" s="337">
        <f t="shared" si="6"/>
        <v>57.39</v>
      </c>
      <c r="S83" s="292">
        <v>2</v>
      </c>
      <c r="T83" s="838"/>
      <c r="U83" s="836"/>
      <c r="V83" s="299" t="s">
        <v>924</v>
      </c>
      <c r="W83" s="292" t="s">
        <v>22</v>
      </c>
      <c r="X83" s="292" t="s">
        <v>11</v>
      </c>
      <c r="Y83" s="300">
        <v>47</v>
      </c>
      <c r="Z83" s="292" t="s">
        <v>482</v>
      </c>
      <c r="AA83" s="292" t="s">
        <v>17</v>
      </c>
      <c r="AB83" s="292" t="s">
        <v>11</v>
      </c>
      <c r="AC83" s="292">
        <v>10.4</v>
      </c>
      <c r="AD83" s="299"/>
      <c r="AG83" s="300"/>
      <c r="AL83" s="299"/>
      <c r="AO83" s="300"/>
      <c r="AP83" s="299"/>
      <c r="AS83" s="300"/>
      <c r="AW83" s="300"/>
      <c r="BA83" s="301"/>
    </row>
    <row r="84" spans="1:53" s="292" customFormat="1">
      <c r="A84" s="292">
        <v>2013</v>
      </c>
      <c r="B84" s="865">
        <v>41377</v>
      </c>
      <c r="C84" s="958" t="s">
        <v>1274</v>
      </c>
      <c r="D84" s="958"/>
      <c r="E84" s="292">
        <v>102</v>
      </c>
      <c r="F84" s="381">
        <v>0</v>
      </c>
      <c r="G84" s="366">
        <v>9</v>
      </c>
      <c r="J84" s="377">
        <v>13</v>
      </c>
      <c r="K84" s="336">
        <f t="shared" ref="K84:M85" si="7">G84/$J84*100</f>
        <v>69.230769230769226</v>
      </c>
      <c r="L84" s="336">
        <f t="shared" si="7"/>
        <v>0</v>
      </c>
      <c r="M84" s="336">
        <f t="shared" si="7"/>
        <v>0</v>
      </c>
      <c r="N84" s="368">
        <f t="shared" ref="N84:N90" si="8">K84+L84+M84</f>
        <v>69.230769230769226</v>
      </c>
      <c r="O84" s="335">
        <v>57.39</v>
      </c>
      <c r="P84" s="336"/>
      <c r="Q84" s="336"/>
      <c r="R84" s="337">
        <f t="shared" si="6"/>
        <v>57.39</v>
      </c>
      <c r="S84" s="292">
        <v>2</v>
      </c>
      <c r="T84" s="838"/>
      <c r="U84" s="836"/>
      <c r="V84" s="299" t="s">
        <v>924</v>
      </c>
      <c r="W84" s="292" t="s">
        <v>22</v>
      </c>
      <c r="X84" s="292" t="s">
        <v>11</v>
      </c>
      <c r="Y84" s="300">
        <v>47</v>
      </c>
      <c r="Z84" s="292" t="s">
        <v>482</v>
      </c>
      <c r="AA84" s="292" t="s">
        <v>17</v>
      </c>
      <c r="AB84" s="292" t="s">
        <v>11</v>
      </c>
      <c r="AC84" s="292">
        <v>10.4</v>
      </c>
      <c r="AD84" s="299"/>
      <c r="AG84" s="300"/>
      <c r="AL84" s="299"/>
      <c r="AO84" s="300"/>
      <c r="AP84" s="299"/>
      <c r="AS84" s="300"/>
      <c r="AW84" s="300"/>
      <c r="BA84" s="301"/>
    </row>
    <row r="85" spans="1:53" s="292" customFormat="1">
      <c r="A85" s="292">
        <v>2013</v>
      </c>
      <c r="B85" s="865" t="s">
        <v>1252</v>
      </c>
      <c r="C85" s="958" t="s">
        <v>1274</v>
      </c>
      <c r="D85" s="958"/>
      <c r="E85" s="292">
        <f>365-E84-E83</f>
        <v>161</v>
      </c>
      <c r="F85" s="381">
        <v>0</v>
      </c>
      <c r="G85" s="366">
        <v>12</v>
      </c>
      <c r="J85" s="377">
        <v>15</v>
      </c>
      <c r="K85" s="336">
        <f t="shared" si="7"/>
        <v>80</v>
      </c>
      <c r="L85" s="336">
        <f t="shared" si="7"/>
        <v>0</v>
      </c>
      <c r="M85" s="336">
        <f t="shared" si="7"/>
        <v>0</v>
      </c>
      <c r="N85" s="368">
        <f t="shared" si="8"/>
        <v>80</v>
      </c>
      <c r="O85" s="335">
        <v>57.39</v>
      </c>
      <c r="P85" s="336"/>
      <c r="Q85" s="336"/>
      <c r="R85" s="337">
        <f t="shared" si="6"/>
        <v>57.39</v>
      </c>
      <c r="S85" s="292">
        <v>2</v>
      </c>
      <c r="T85" s="838"/>
      <c r="U85" s="836"/>
      <c r="V85" s="299" t="s">
        <v>924</v>
      </c>
      <c r="W85" s="292" t="s">
        <v>22</v>
      </c>
      <c r="X85" s="292" t="s">
        <v>11</v>
      </c>
      <c r="Y85" s="300">
        <v>47</v>
      </c>
      <c r="Z85" s="292" t="s">
        <v>482</v>
      </c>
      <c r="AA85" s="292" t="s">
        <v>17</v>
      </c>
      <c r="AB85" s="292" t="s">
        <v>11</v>
      </c>
      <c r="AC85" s="292">
        <v>10.4</v>
      </c>
      <c r="AD85" s="299"/>
      <c r="AG85" s="300"/>
      <c r="AL85" s="299"/>
      <c r="AO85" s="300"/>
      <c r="AP85" s="299"/>
      <c r="AS85" s="300"/>
      <c r="AW85" s="300"/>
      <c r="BA85" s="301"/>
    </row>
    <row r="86" spans="1:53" s="549" customFormat="1">
      <c r="A86" s="549">
        <v>2014</v>
      </c>
      <c r="B86" s="865"/>
      <c r="C86" s="958" t="s">
        <v>1274</v>
      </c>
      <c r="D86" s="958"/>
      <c r="E86" s="549">
        <v>322</v>
      </c>
      <c r="F86" s="428"/>
      <c r="G86" s="539">
        <v>12</v>
      </c>
      <c r="J86" s="541">
        <v>15</v>
      </c>
      <c r="K86" s="537">
        <f t="shared" ref="K86:M89" si="9">G86/$J86*100</f>
        <v>80</v>
      </c>
      <c r="L86" s="537">
        <f t="shared" si="9"/>
        <v>0</v>
      </c>
      <c r="M86" s="537">
        <f t="shared" si="9"/>
        <v>0</v>
      </c>
      <c r="N86" s="540">
        <f t="shared" si="8"/>
        <v>80</v>
      </c>
      <c r="O86" s="536">
        <v>57.39</v>
      </c>
      <c r="P86" s="537"/>
      <c r="Q86" s="537"/>
      <c r="R86" s="538">
        <f t="shared" ref="R86:R94" si="10">O86+P86+Q86</f>
        <v>57.39</v>
      </c>
      <c r="S86" s="549">
        <v>2</v>
      </c>
      <c r="T86" s="838"/>
      <c r="U86" s="836"/>
      <c r="V86" s="532" t="s">
        <v>924</v>
      </c>
      <c r="W86" s="549" t="s">
        <v>22</v>
      </c>
      <c r="X86" s="549" t="s">
        <v>11</v>
      </c>
      <c r="Y86" s="533">
        <v>47</v>
      </c>
      <c r="Z86" s="549" t="s">
        <v>482</v>
      </c>
      <c r="AA86" s="549" t="s">
        <v>17</v>
      </c>
      <c r="AB86" s="549" t="s">
        <v>11</v>
      </c>
      <c r="AC86" s="549">
        <v>10.4</v>
      </c>
      <c r="AD86" s="532"/>
      <c r="AG86" s="533"/>
      <c r="AL86" s="532"/>
      <c r="AO86" s="533"/>
      <c r="AP86" s="532"/>
      <c r="AS86" s="533"/>
      <c r="AW86" s="533"/>
      <c r="BA86" s="534"/>
    </row>
    <row r="87" spans="1:53" s="549" customFormat="1">
      <c r="A87" s="549">
        <v>2014</v>
      </c>
      <c r="B87" s="865">
        <v>41962</v>
      </c>
      <c r="C87" s="958" t="s">
        <v>1274</v>
      </c>
      <c r="D87" s="958"/>
      <c r="E87" s="549">
        <v>43</v>
      </c>
      <c r="F87" s="428">
        <v>0</v>
      </c>
      <c r="G87" s="539">
        <v>11</v>
      </c>
      <c r="J87" s="541">
        <v>15</v>
      </c>
      <c r="K87" s="537">
        <f t="shared" si="9"/>
        <v>73.333333333333329</v>
      </c>
      <c r="L87" s="537">
        <f t="shared" si="9"/>
        <v>0</v>
      </c>
      <c r="M87" s="537">
        <f t="shared" si="9"/>
        <v>0</v>
      </c>
      <c r="N87" s="540">
        <f t="shared" si="8"/>
        <v>73.333333333333329</v>
      </c>
      <c r="O87" s="536">
        <v>57.39</v>
      </c>
      <c r="P87" s="537"/>
      <c r="Q87" s="537"/>
      <c r="R87" s="538">
        <f t="shared" si="10"/>
        <v>57.39</v>
      </c>
      <c r="S87" s="549">
        <v>2</v>
      </c>
      <c r="T87" s="838"/>
      <c r="U87" s="836"/>
      <c r="V87" s="532" t="s">
        <v>924</v>
      </c>
      <c r="W87" s="549" t="s">
        <v>22</v>
      </c>
      <c r="X87" s="549" t="s">
        <v>11</v>
      </c>
      <c r="Y87" s="533">
        <v>47</v>
      </c>
      <c r="Z87" s="549" t="s">
        <v>482</v>
      </c>
      <c r="AA87" s="549" t="s">
        <v>17</v>
      </c>
      <c r="AB87" s="549" t="s">
        <v>11</v>
      </c>
      <c r="AC87" s="549">
        <v>10.4</v>
      </c>
      <c r="AD87" s="532"/>
      <c r="AG87" s="533"/>
      <c r="AL87" s="532"/>
      <c r="AO87" s="533"/>
      <c r="AP87" s="532"/>
      <c r="AS87" s="533"/>
      <c r="AW87" s="533"/>
      <c r="BA87" s="534"/>
    </row>
    <row r="88" spans="1:53" s="616" customFormat="1">
      <c r="A88" s="616">
        <v>2015</v>
      </c>
      <c r="B88" s="865"/>
      <c r="C88" s="958" t="s">
        <v>1274</v>
      </c>
      <c r="D88" s="958"/>
      <c r="E88" s="616">
        <v>302</v>
      </c>
      <c r="F88" s="428"/>
      <c r="G88" s="539">
        <v>11</v>
      </c>
      <c r="J88" s="541">
        <v>15</v>
      </c>
      <c r="K88" s="537">
        <f t="shared" si="9"/>
        <v>73.333333333333329</v>
      </c>
      <c r="L88" s="537">
        <f t="shared" si="9"/>
        <v>0</v>
      </c>
      <c r="M88" s="537">
        <f t="shared" si="9"/>
        <v>0</v>
      </c>
      <c r="N88" s="540">
        <f t="shared" si="8"/>
        <v>73.333333333333329</v>
      </c>
      <c r="O88" s="536">
        <v>57.39</v>
      </c>
      <c r="P88" s="537"/>
      <c r="Q88" s="537"/>
      <c r="R88" s="538">
        <f t="shared" si="10"/>
        <v>57.39</v>
      </c>
      <c r="S88" s="616">
        <v>2</v>
      </c>
      <c r="T88" s="838"/>
      <c r="U88" s="836"/>
      <c r="V88" s="532" t="s">
        <v>924</v>
      </c>
      <c r="W88" s="616" t="s">
        <v>22</v>
      </c>
      <c r="X88" s="616" t="s">
        <v>11</v>
      </c>
      <c r="Y88" s="533">
        <v>47</v>
      </c>
      <c r="Z88" s="616" t="s">
        <v>482</v>
      </c>
      <c r="AA88" s="616" t="s">
        <v>17</v>
      </c>
      <c r="AB88" s="616" t="s">
        <v>11</v>
      </c>
      <c r="AC88" s="616">
        <v>10.4</v>
      </c>
      <c r="AD88" s="532"/>
      <c r="AG88" s="533"/>
      <c r="AL88" s="532"/>
      <c r="AO88" s="533"/>
      <c r="AP88" s="532"/>
      <c r="AS88" s="533"/>
      <c r="AW88" s="533"/>
      <c r="BA88" s="534"/>
    </row>
    <row r="89" spans="1:53" s="615" customFormat="1">
      <c r="A89" s="615">
        <v>2015</v>
      </c>
      <c r="B89" s="852">
        <v>42307</v>
      </c>
      <c r="C89" s="917" t="s">
        <v>1331</v>
      </c>
      <c r="D89" s="917"/>
      <c r="E89" s="615">
        <v>27</v>
      </c>
      <c r="F89" s="615">
        <v>1</v>
      </c>
      <c r="G89" s="498">
        <v>14</v>
      </c>
      <c r="J89" s="500">
        <v>17</v>
      </c>
      <c r="K89" s="496">
        <f t="shared" si="9"/>
        <v>82.35294117647058</v>
      </c>
      <c r="L89" s="496">
        <f t="shared" si="9"/>
        <v>0</v>
      </c>
      <c r="M89" s="496">
        <f t="shared" si="9"/>
        <v>0</v>
      </c>
      <c r="N89" s="499">
        <f t="shared" si="8"/>
        <v>82.35294117647058</v>
      </c>
      <c r="O89" s="495">
        <v>46.5</v>
      </c>
      <c r="P89" s="496"/>
      <c r="Q89" s="496"/>
      <c r="R89" s="497">
        <f t="shared" si="10"/>
        <v>46.5</v>
      </c>
      <c r="S89" s="615">
        <v>5</v>
      </c>
      <c r="T89" s="839">
        <v>42281</v>
      </c>
      <c r="U89" s="852">
        <v>42307</v>
      </c>
      <c r="V89" s="492" t="s">
        <v>924</v>
      </c>
      <c r="W89" s="615" t="s">
        <v>22</v>
      </c>
      <c r="X89" s="615" t="s">
        <v>11</v>
      </c>
      <c r="Y89" s="493">
        <v>38.700000000000003</v>
      </c>
      <c r="Z89" s="615" t="s">
        <v>482</v>
      </c>
      <c r="AA89" s="615" t="s">
        <v>17</v>
      </c>
      <c r="AB89" s="615" t="s">
        <v>11</v>
      </c>
      <c r="AC89" s="615">
        <v>7.8</v>
      </c>
      <c r="AD89" s="492"/>
      <c r="AG89" s="493"/>
      <c r="AL89" s="492"/>
      <c r="AO89" s="493"/>
      <c r="AP89" s="492"/>
      <c r="AS89" s="493"/>
      <c r="AW89" s="493"/>
      <c r="BA89" s="494"/>
    </row>
    <row r="90" spans="1:53" s="616" customFormat="1">
      <c r="A90" s="616">
        <v>2015</v>
      </c>
      <c r="B90" s="836">
        <v>42334</v>
      </c>
      <c r="C90" s="958" t="s">
        <v>1332</v>
      </c>
      <c r="D90" s="958"/>
      <c r="E90" s="616">
        <v>36</v>
      </c>
      <c r="F90" s="616">
        <v>5</v>
      </c>
      <c r="G90" s="539"/>
      <c r="I90" s="616">
        <v>11</v>
      </c>
      <c r="J90" s="541">
        <v>18</v>
      </c>
      <c r="K90" s="537">
        <f t="shared" ref="K90" si="11">G90/$J90*100</f>
        <v>0</v>
      </c>
      <c r="L90" s="537">
        <f t="shared" ref="L90" si="12">H90/$J90*100</f>
        <v>0</v>
      </c>
      <c r="M90" s="537">
        <f>I90/$J90*100</f>
        <v>61.111111111111114</v>
      </c>
      <c r="N90" s="540">
        <f t="shared" si="8"/>
        <v>61.111111111111114</v>
      </c>
      <c r="O90" s="536"/>
      <c r="P90" s="537"/>
      <c r="Q90" s="537">
        <v>37.299999999999997</v>
      </c>
      <c r="R90" s="538">
        <f t="shared" si="10"/>
        <v>37.299999999999997</v>
      </c>
      <c r="S90" s="616">
        <v>4</v>
      </c>
      <c r="T90" s="838"/>
      <c r="U90" s="836">
        <v>42334</v>
      </c>
      <c r="V90" s="532" t="s">
        <v>96</v>
      </c>
      <c r="W90" s="616" t="s">
        <v>20</v>
      </c>
      <c r="X90" s="616" t="s">
        <v>12</v>
      </c>
      <c r="Y90" s="533">
        <v>37.4</v>
      </c>
      <c r="AD90" s="532"/>
      <c r="AG90" s="533"/>
      <c r="AL90" s="532"/>
      <c r="AO90" s="533"/>
      <c r="AP90" s="532"/>
      <c r="AS90" s="533"/>
      <c r="AW90" s="533"/>
      <c r="BA90" s="534"/>
    </row>
    <row r="91" spans="1:53" s="687" customFormat="1">
      <c r="A91" s="687">
        <v>2016</v>
      </c>
      <c r="B91" s="836"/>
      <c r="C91" s="958" t="s">
        <v>1332</v>
      </c>
      <c r="D91" s="958"/>
      <c r="E91" s="687">
        <v>104</v>
      </c>
      <c r="G91" s="539"/>
      <c r="I91" s="687">
        <v>11</v>
      </c>
      <c r="J91" s="541">
        <v>18</v>
      </c>
      <c r="K91" s="537">
        <f t="shared" ref="K91:K92" si="13">G91/$J91*100</f>
        <v>0</v>
      </c>
      <c r="L91" s="537">
        <f t="shared" ref="L91:L92" si="14">H91/$J91*100</f>
        <v>0</v>
      </c>
      <c r="M91" s="537">
        <f t="shared" ref="M91:M92" si="15">I91/$J91*100</f>
        <v>61.111111111111114</v>
      </c>
      <c r="N91" s="540">
        <f t="shared" ref="N91:N92" si="16">K91+L91+M91</f>
        <v>61.111111111111114</v>
      </c>
      <c r="O91" s="536"/>
      <c r="P91" s="537"/>
      <c r="Q91" s="537">
        <v>37.299999999999997</v>
      </c>
      <c r="R91" s="538">
        <f t="shared" si="10"/>
        <v>37.299999999999997</v>
      </c>
      <c r="S91" s="687">
        <v>4</v>
      </c>
      <c r="T91" s="838"/>
      <c r="U91" s="836"/>
      <c r="V91" s="532" t="s">
        <v>96</v>
      </c>
      <c r="W91" s="687" t="s">
        <v>20</v>
      </c>
      <c r="X91" s="687" t="s">
        <v>12</v>
      </c>
      <c r="Y91" s="533">
        <v>37.4</v>
      </c>
      <c r="AD91" s="532"/>
      <c r="AG91" s="533"/>
      <c r="AL91" s="532"/>
      <c r="AO91" s="533"/>
      <c r="AP91" s="532"/>
      <c r="AS91" s="533"/>
      <c r="AW91" s="533"/>
      <c r="BA91" s="534"/>
    </row>
    <row r="92" spans="1:53" s="687" customFormat="1">
      <c r="A92" s="687">
        <v>2016</v>
      </c>
      <c r="B92" s="865">
        <v>42474</v>
      </c>
      <c r="C92" s="958" t="s">
        <v>1332</v>
      </c>
      <c r="D92" s="958"/>
      <c r="E92" s="687">
        <v>262</v>
      </c>
      <c r="F92" s="428">
        <v>0</v>
      </c>
      <c r="G92" s="539"/>
      <c r="I92" s="687">
        <v>10</v>
      </c>
      <c r="J92" s="541">
        <v>18</v>
      </c>
      <c r="K92" s="537">
        <f t="shared" si="13"/>
        <v>0</v>
      </c>
      <c r="L92" s="537">
        <f t="shared" si="14"/>
        <v>0</v>
      </c>
      <c r="M92" s="537">
        <f t="shared" si="15"/>
        <v>55.555555555555557</v>
      </c>
      <c r="N92" s="540">
        <f t="shared" si="16"/>
        <v>55.555555555555557</v>
      </c>
      <c r="O92" s="536"/>
      <c r="P92" s="537"/>
      <c r="Q92" s="537">
        <v>37.299999999999997</v>
      </c>
      <c r="R92" s="538">
        <f t="shared" si="10"/>
        <v>37.299999999999997</v>
      </c>
      <c r="S92" s="687">
        <v>4</v>
      </c>
      <c r="T92" s="838"/>
      <c r="U92" s="836"/>
      <c r="V92" s="532" t="s">
        <v>96</v>
      </c>
      <c r="W92" s="687" t="s">
        <v>20</v>
      </c>
      <c r="X92" s="687" t="s">
        <v>12</v>
      </c>
      <c r="Y92" s="533">
        <v>37.4</v>
      </c>
      <c r="AD92" s="532"/>
      <c r="AG92" s="533"/>
      <c r="AL92" s="532"/>
      <c r="AO92" s="533"/>
      <c r="AP92" s="532"/>
      <c r="AS92" s="533"/>
      <c r="AW92" s="533"/>
      <c r="BA92" s="534"/>
    </row>
    <row r="93" spans="1:53" s="726" customFormat="1">
      <c r="A93" s="726">
        <v>2017</v>
      </c>
      <c r="B93" s="865"/>
      <c r="C93" s="958" t="s">
        <v>1332</v>
      </c>
      <c r="D93" s="958"/>
      <c r="E93" s="726">
        <v>0</v>
      </c>
      <c r="F93" s="428"/>
      <c r="G93" s="539"/>
      <c r="I93" s="726">
        <v>10</v>
      </c>
      <c r="J93" s="541">
        <v>18</v>
      </c>
      <c r="K93" s="537">
        <f t="shared" ref="K93:K94" si="17">G93/$J93*100</f>
        <v>0</v>
      </c>
      <c r="L93" s="537">
        <f t="shared" ref="L93:L94" si="18">H93/$J93*100</f>
        <v>0</v>
      </c>
      <c r="M93" s="537">
        <f t="shared" ref="M93:M94" si="19">I93/$J93*100</f>
        <v>55.555555555555557</v>
      </c>
      <c r="N93" s="540">
        <f t="shared" ref="N93:N94" si="20">K93+L93+M93</f>
        <v>55.555555555555557</v>
      </c>
      <c r="O93" s="536"/>
      <c r="P93" s="537"/>
      <c r="Q93" s="537">
        <v>37.299999999999997</v>
      </c>
      <c r="R93" s="538">
        <f t="shared" si="10"/>
        <v>37.299999999999997</v>
      </c>
      <c r="S93" s="726">
        <v>4</v>
      </c>
      <c r="T93" s="838"/>
      <c r="U93" s="836"/>
      <c r="V93" s="532" t="s">
        <v>96</v>
      </c>
      <c r="W93" s="726" t="s">
        <v>20</v>
      </c>
      <c r="X93" s="726" t="s">
        <v>12</v>
      </c>
      <c r="Y93" s="533">
        <v>37.4</v>
      </c>
      <c r="AD93" s="532"/>
      <c r="AG93" s="533"/>
      <c r="AL93" s="532"/>
      <c r="AO93" s="533"/>
      <c r="AP93" s="532"/>
      <c r="AS93" s="533"/>
      <c r="AW93" s="533"/>
      <c r="BA93" s="534"/>
    </row>
    <row r="94" spans="1:53" s="726" customFormat="1">
      <c r="A94" s="726">
        <v>2017</v>
      </c>
      <c r="B94" s="865"/>
      <c r="C94" s="958" t="s">
        <v>1332</v>
      </c>
      <c r="D94" s="958"/>
      <c r="E94" s="726">
        <v>365</v>
      </c>
      <c r="F94" s="428"/>
      <c r="G94" s="539"/>
      <c r="I94" s="726">
        <v>10</v>
      </c>
      <c r="J94" s="541">
        <v>18</v>
      </c>
      <c r="K94" s="537">
        <f t="shared" si="17"/>
        <v>0</v>
      </c>
      <c r="L94" s="537">
        <f t="shared" si="18"/>
        <v>0</v>
      </c>
      <c r="M94" s="537">
        <f t="shared" si="19"/>
        <v>55.555555555555557</v>
      </c>
      <c r="N94" s="540">
        <f t="shared" si="20"/>
        <v>55.555555555555557</v>
      </c>
      <c r="O94" s="536"/>
      <c r="P94" s="537"/>
      <c r="Q94" s="537">
        <v>37.299999999999997</v>
      </c>
      <c r="R94" s="538">
        <f t="shared" si="10"/>
        <v>37.299999999999997</v>
      </c>
      <c r="S94" s="726">
        <v>4</v>
      </c>
      <c r="T94" s="838"/>
      <c r="U94" s="836"/>
      <c r="V94" s="532" t="s">
        <v>96</v>
      </c>
      <c r="W94" s="726" t="s">
        <v>20</v>
      </c>
      <c r="X94" s="726" t="s">
        <v>12</v>
      </c>
      <c r="Y94" s="533">
        <v>37.4</v>
      </c>
      <c r="AD94" s="532"/>
      <c r="AG94" s="533"/>
      <c r="AL94" s="532"/>
      <c r="AO94" s="533"/>
      <c r="AP94" s="532"/>
      <c r="AS94" s="533"/>
      <c r="AW94" s="533"/>
      <c r="BA94" s="534"/>
    </row>
    <row r="95" spans="1:53" s="770" customFormat="1">
      <c r="A95" s="770">
        <v>2018</v>
      </c>
      <c r="B95" s="865"/>
      <c r="C95" s="958" t="s">
        <v>1332</v>
      </c>
      <c r="D95" s="958"/>
      <c r="E95" s="770">
        <v>287</v>
      </c>
      <c r="F95" s="428"/>
      <c r="G95" s="539"/>
      <c r="I95" s="770">
        <v>10</v>
      </c>
      <c r="J95" s="541">
        <v>18</v>
      </c>
      <c r="K95" s="537">
        <f t="shared" ref="K95:K96" si="21">G95/$J95*100</f>
        <v>0</v>
      </c>
      <c r="L95" s="537">
        <f t="shared" ref="L95:L96" si="22">H95/$J95*100</f>
        <v>0</v>
      </c>
      <c r="M95" s="537">
        <f t="shared" ref="M95:M96" si="23">I95/$J95*100</f>
        <v>55.555555555555557</v>
      </c>
      <c r="N95" s="540">
        <f t="shared" ref="N95:N96" si="24">K95+L95+M95</f>
        <v>55.555555555555557</v>
      </c>
      <c r="O95" s="536"/>
      <c r="P95" s="537"/>
      <c r="Q95" s="537">
        <v>37.299999999999997</v>
      </c>
      <c r="R95" s="538">
        <f t="shared" ref="R95:R96" si="25">O95+P95+Q95</f>
        <v>37.299999999999997</v>
      </c>
      <c r="S95" s="770">
        <v>4</v>
      </c>
      <c r="T95" s="838"/>
      <c r="U95" s="836"/>
      <c r="V95" s="532" t="s">
        <v>96</v>
      </c>
      <c r="W95" s="770" t="s">
        <v>20</v>
      </c>
      <c r="X95" s="770" t="s">
        <v>12</v>
      </c>
      <c r="Y95" s="533">
        <v>37.4</v>
      </c>
      <c r="AD95" s="532"/>
      <c r="AG95" s="533"/>
      <c r="AL95" s="532"/>
      <c r="AO95" s="533"/>
      <c r="AP95" s="532"/>
      <c r="AS95" s="533"/>
      <c r="AW95" s="533"/>
      <c r="BA95" s="534"/>
    </row>
    <row r="96" spans="1:53" s="770" customFormat="1">
      <c r="A96" s="770">
        <v>2018</v>
      </c>
      <c r="B96" s="865">
        <v>43388</v>
      </c>
      <c r="C96" s="958" t="s">
        <v>1332</v>
      </c>
      <c r="D96" s="958"/>
      <c r="E96" s="770">
        <v>78</v>
      </c>
      <c r="F96" s="428">
        <v>0</v>
      </c>
      <c r="G96" s="539"/>
      <c r="I96" s="770">
        <v>12</v>
      </c>
      <c r="J96" s="541">
        <v>17</v>
      </c>
      <c r="K96" s="537">
        <f t="shared" si="21"/>
        <v>0</v>
      </c>
      <c r="L96" s="537">
        <f t="shared" si="22"/>
        <v>0</v>
      </c>
      <c r="M96" s="537">
        <f t="shared" si="23"/>
        <v>70.588235294117652</v>
      </c>
      <c r="N96" s="540">
        <f t="shared" si="24"/>
        <v>70.588235294117652</v>
      </c>
      <c r="O96" s="536"/>
      <c r="P96" s="537"/>
      <c r="Q96" s="537">
        <v>37.299999999999997</v>
      </c>
      <c r="R96" s="538">
        <f t="shared" si="25"/>
        <v>37.299999999999997</v>
      </c>
      <c r="S96" s="770">
        <v>4</v>
      </c>
      <c r="T96" s="838"/>
      <c r="U96" s="836"/>
      <c r="V96" s="532" t="s">
        <v>96</v>
      </c>
      <c r="W96" s="770" t="s">
        <v>20</v>
      </c>
      <c r="X96" s="770" t="s">
        <v>12</v>
      </c>
      <c r="Y96" s="533">
        <v>37.4</v>
      </c>
      <c r="AD96" s="532"/>
      <c r="AG96" s="533"/>
      <c r="AL96" s="532"/>
      <c r="AO96" s="533"/>
      <c r="AP96" s="532"/>
      <c r="AS96" s="533"/>
      <c r="AW96" s="533"/>
      <c r="BA96" s="534"/>
    </row>
    <row r="97" spans="1:53" s="814" customFormat="1">
      <c r="A97" s="814">
        <v>2019</v>
      </c>
      <c r="B97" s="865"/>
      <c r="C97" s="958" t="s">
        <v>1332</v>
      </c>
      <c r="D97" s="958"/>
      <c r="E97" s="814">
        <v>48</v>
      </c>
      <c r="F97" s="428"/>
      <c r="G97" s="539"/>
      <c r="I97" s="814">
        <v>12</v>
      </c>
      <c r="J97" s="541">
        <v>17</v>
      </c>
      <c r="K97" s="537">
        <f t="shared" ref="K97:K99" si="26">G97/$J97*100</f>
        <v>0</v>
      </c>
      <c r="L97" s="537">
        <f t="shared" ref="L97:L99" si="27">H97/$J97*100</f>
        <v>0</v>
      </c>
      <c r="M97" s="537">
        <f t="shared" ref="M97:M99" si="28">I97/$J97*100</f>
        <v>70.588235294117652</v>
      </c>
      <c r="N97" s="540">
        <f t="shared" ref="N97:N99" si="29">K97+L97+M97</f>
        <v>70.588235294117652</v>
      </c>
      <c r="O97" s="536"/>
      <c r="P97" s="537"/>
      <c r="Q97" s="537">
        <v>37.299999999999997</v>
      </c>
      <c r="R97" s="538">
        <f t="shared" ref="R97:R99" si="30">O97+P97+Q97</f>
        <v>37.299999999999997</v>
      </c>
      <c r="S97" s="814">
        <v>4</v>
      </c>
      <c r="T97" s="838"/>
      <c r="U97" s="836"/>
      <c r="V97" s="532" t="s">
        <v>96</v>
      </c>
      <c r="W97" s="814" t="s">
        <v>20</v>
      </c>
      <c r="X97" s="814" t="s">
        <v>12</v>
      </c>
      <c r="Y97" s="533">
        <v>37.4</v>
      </c>
      <c r="AD97" s="532"/>
      <c r="AG97" s="533"/>
      <c r="AL97" s="532"/>
      <c r="AO97" s="533"/>
      <c r="AP97" s="532"/>
      <c r="AS97" s="533"/>
      <c r="AW97" s="533"/>
      <c r="BA97" s="534"/>
    </row>
    <row r="98" spans="1:53" s="814" customFormat="1">
      <c r="A98" s="814">
        <v>2019</v>
      </c>
      <c r="B98" s="865">
        <v>43514</v>
      </c>
      <c r="C98" s="958" t="s">
        <v>1332</v>
      </c>
      <c r="D98" s="958"/>
      <c r="E98" s="814">
        <v>250</v>
      </c>
      <c r="F98" s="428">
        <v>0</v>
      </c>
      <c r="G98" s="539"/>
      <c r="I98" s="814">
        <v>15</v>
      </c>
      <c r="J98" s="541">
        <v>18</v>
      </c>
      <c r="K98" s="537">
        <f t="shared" si="26"/>
        <v>0</v>
      </c>
      <c r="L98" s="537">
        <f t="shared" si="27"/>
        <v>0</v>
      </c>
      <c r="M98" s="537">
        <f t="shared" si="28"/>
        <v>83.333333333333343</v>
      </c>
      <c r="N98" s="540">
        <f t="shared" si="29"/>
        <v>83.333333333333343</v>
      </c>
      <c r="O98" s="536"/>
      <c r="P98" s="537"/>
      <c r="Q98" s="537">
        <v>37.299999999999997</v>
      </c>
      <c r="R98" s="538">
        <f t="shared" si="30"/>
        <v>37.299999999999997</v>
      </c>
      <c r="S98" s="814">
        <v>4</v>
      </c>
      <c r="T98" s="838"/>
      <c r="U98" s="836"/>
      <c r="V98" s="532" t="s">
        <v>96</v>
      </c>
      <c r="W98" s="814" t="s">
        <v>20</v>
      </c>
      <c r="X98" s="814" t="s">
        <v>12</v>
      </c>
      <c r="Y98" s="533">
        <v>37.4</v>
      </c>
      <c r="AD98" s="532"/>
      <c r="AG98" s="533"/>
      <c r="AL98" s="532"/>
      <c r="AO98" s="533"/>
      <c r="AP98" s="532"/>
      <c r="AS98" s="533"/>
      <c r="AW98" s="533"/>
      <c r="BA98" s="534"/>
    </row>
    <row r="99" spans="1:53" s="813" customFormat="1">
      <c r="A99" s="813">
        <v>2019</v>
      </c>
      <c r="B99" s="852">
        <v>43764</v>
      </c>
      <c r="C99" s="917" t="s">
        <v>1433</v>
      </c>
      <c r="D99" s="917"/>
      <c r="E99" s="813">
        <v>67</v>
      </c>
      <c r="F99" s="813">
        <v>1</v>
      </c>
      <c r="G99" s="498"/>
      <c r="I99" s="813">
        <v>13</v>
      </c>
      <c r="J99" s="500">
        <v>18</v>
      </c>
      <c r="K99" s="496">
        <f t="shared" si="26"/>
        <v>0</v>
      </c>
      <c r="L99" s="496">
        <f t="shared" si="27"/>
        <v>0</v>
      </c>
      <c r="M99" s="496">
        <f t="shared" si="28"/>
        <v>72.222222222222214</v>
      </c>
      <c r="N99" s="499">
        <f t="shared" si="29"/>
        <v>72.222222222222214</v>
      </c>
      <c r="O99" s="495"/>
      <c r="P99" s="496"/>
      <c r="Q99" s="496">
        <v>47</v>
      </c>
      <c r="R99" s="497">
        <f t="shared" si="30"/>
        <v>47</v>
      </c>
      <c r="S99" s="813">
        <v>4</v>
      </c>
      <c r="T99" s="839">
        <v>43744</v>
      </c>
      <c r="U99" s="852">
        <v>43764</v>
      </c>
      <c r="V99" s="492" t="s">
        <v>96</v>
      </c>
      <c r="W99" s="813" t="s">
        <v>20</v>
      </c>
      <c r="X99" s="813" t="s">
        <v>12</v>
      </c>
      <c r="Y99" s="493">
        <v>47</v>
      </c>
      <c r="AD99" s="492"/>
      <c r="AG99" s="493"/>
      <c r="AL99" s="492"/>
      <c r="AO99" s="493"/>
      <c r="AP99" s="492"/>
      <c r="AS99" s="493"/>
      <c r="AW99" s="493"/>
      <c r="BA99" s="494"/>
    </row>
    <row r="100" spans="1:53">
      <c r="K100" s="18"/>
    </row>
    <row r="101" spans="1:53">
      <c r="K101" s="18"/>
    </row>
    <row r="102" spans="1:53" s="2" customFormat="1" ht="18" customHeight="1">
      <c r="B102" s="22" t="s">
        <v>1269</v>
      </c>
      <c r="H102" s="6"/>
    </row>
    <row r="103" spans="1:53" s="2" customFormat="1" ht="9" customHeight="1">
      <c r="H103" s="6"/>
    </row>
    <row r="104" spans="1:53" s="317" customFormat="1" ht="9" customHeight="1">
      <c r="A104" s="315"/>
      <c r="B104" s="316" t="s">
        <v>1220</v>
      </c>
      <c r="C104" s="316"/>
      <c r="D104" s="316"/>
      <c r="E104" s="316"/>
      <c r="F104" s="316"/>
      <c r="G104" s="316" t="s">
        <v>1221</v>
      </c>
      <c r="H104" s="316"/>
      <c r="I104" s="316"/>
      <c r="J104" s="316"/>
      <c r="K104" s="316"/>
      <c r="L104" s="316"/>
      <c r="M104" s="316"/>
      <c r="N104" s="316"/>
      <c r="R104" s="895" t="s">
        <v>1222</v>
      </c>
      <c r="S104" s="895"/>
      <c r="T104" s="895"/>
      <c r="U104" s="895"/>
      <c r="V104" s="895"/>
      <c r="W104" s="895"/>
      <c r="X104" s="318"/>
      <c r="Y104" s="318"/>
      <c r="AA104" s="318"/>
      <c r="AB104" s="318"/>
      <c r="AC104" s="318"/>
      <c r="AD104" s="318"/>
    </row>
    <row r="105" spans="1:53" s="322" customFormat="1" ht="9" customHeight="1">
      <c r="A105" s="319"/>
      <c r="B105" s="320" t="s">
        <v>1224</v>
      </c>
      <c r="C105" s="321"/>
      <c r="D105" s="321"/>
      <c r="E105" s="321"/>
      <c r="F105" s="321"/>
      <c r="G105" s="320" t="s">
        <v>1223</v>
      </c>
      <c r="H105" s="321"/>
      <c r="I105" s="321"/>
      <c r="J105" s="321"/>
      <c r="K105" s="321"/>
      <c r="L105" s="321"/>
      <c r="M105" s="321"/>
      <c r="N105" s="321"/>
      <c r="R105" s="323" t="s">
        <v>1225</v>
      </c>
      <c r="S105" s="324"/>
      <c r="T105" s="325"/>
      <c r="U105" s="325"/>
      <c r="V105" s="325"/>
      <c r="W105" s="323" t="s">
        <v>1226</v>
      </c>
      <c r="X105" s="325"/>
      <c r="Y105" s="325"/>
      <c r="AA105" s="325"/>
      <c r="AB105" s="325"/>
      <c r="AC105" s="325"/>
      <c r="AD105" s="325"/>
    </row>
    <row r="106" spans="1:53" s="307" customFormat="1" ht="12" customHeight="1">
      <c r="A106" s="326" t="s">
        <v>3</v>
      </c>
      <c r="B106" s="327" t="s">
        <v>8</v>
      </c>
      <c r="C106" s="327" t="s">
        <v>9</v>
      </c>
      <c r="D106" s="327" t="s">
        <v>10</v>
      </c>
      <c r="E106" s="328" t="s">
        <v>1200</v>
      </c>
      <c r="F106" s="327"/>
      <c r="G106" s="307" t="s">
        <v>3</v>
      </c>
      <c r="H106" s="896" t="s">
        <v>0</v>
      </c>
      <c r="I106" s="896"/>
      <c r="J106" s="896" t="s">
        <v>1</v>
      </c>
      <c r="K106" s="896"/>
      <c r="L106" s="896" t="s">
        <v>2</v>
      </c>
      <c r="M106" s="896"/>
      <c r="N106" s="897" t="s">
        <v>1200</v>
      </c>
      <c r="O106" s="897"/>
      <c r="P106" s="329"/>
      <c r="Q106" s="329"/>
      <c r="R106" s="330" t="s">
        <v>3</v>
      </c>
      <c r="S106" s="331" t="s">
        <v>136</v>
      </c>
      <c r="T106" s="329" t="s">
        <v>134</v>
      </c>
      <c r="U106" s="327" t="s">
        <v>135</v>
      </c>
      <c r="V106" s="329"/>
      <c r="W106" s="332" t="s">
        <v>26</v>
      </c>
    </row>
    <row r="107" spans="1:53" s="16" customFormat="1" ht="9" customHeight="1">
      <c r="A107" s="1">
        <v>1960</v>
      </c>
      <c r="B107" s="175"/>
      <c r="C107" s="175"/>
      <c r="D107" s="175"/>
      <c r="E107" s="202"/>
      <c r="F107" s="175"/>
      <c r="G107" s="1">
        <v>1960</v>
      </c>
      <c r="H107" s="175"/>
      <c r="I107" s="175"/>
      <c r="J107" s="175"/>
      <c r="K107" s="175"/>
      <c r="L107" s="175"/>
      <c r="M107" s="175"/>
      <c r="N107" s="202"/>
      <c r="O107" s="202"/>
      <c r="P107" s="176"/>
      <c r="Q107" s="176"/>
      <c r="R107" s="1">
        <v>1960</v>
      </c>
      <c r="S107" s="54"/>
      <c r="T107" s="176"/>
      <c r="U107" s="175"/>
      <c r="V107" s="176"/>
      <c r="W107" s="177"/>
    </row>
    <row r="108" spans="1:53" s="16" customFormat="1" ht="9" customHeight="1">
      <c r="A108" s="1">
        <v>1961</v>
      </c>
      <c r="B108" s="175"/>
      <c r="C108" s="175"/>
      <c r="D108" s="175"/>
      <c r="E108" s="202"/>
      <c r="F108" s="175"/>
      <c r="G108" s="1">
        <v>1961</v>
      </c>
      <c r="H108" s="175"/>
      <c r="I108" s="175"/>
      <c r="J108" s="175"/>
      <c r="K108" s="175"/>
      <c r="L108" s="175"/>
      <c r="M108" s="175"/>
      <c r="N108" s="202"/>
      <c r="O108" s="202"/>
      <c r="P108" s="176"/>
      <c r="Q108" s="176"/>
      <c r="R108" s="1">
        <v>1961</v>
      </c>
      <c r="S108" s="54"/>
      <c r="T108" s="176"/>
      <c r="U108" s="175"/>
      <c r="V108" s="176"/>
      <c r="W108" s="177"/>
    </row>
    <row r="109" spans="1:53" s="16" customFormat="1" ht="9" customHeight="1">
      <c r="A109" s="1">
        <v>1962</v>
      </c>
      <c r="B109" s="175"/>
      <c r="C109" s="175"/>
      <c r="D109" s="175"/>
      <c r="E109" s="202"/>
      <c r="F109" s="175"/>
      <c r="G109" s="1">
        <v>1962</v>
      </c>
      <c r="H109" s="175"/>
      <c r="I109" s="175"/>
      <c r="J109" s="175"/>
      <c r="K109" s="175"/>
      <c r="L109" s="175"/>
      <c r="M109" s="175"/>
      <c r="N109" s="202"/>
      <c r="O109" s="202"/>
      <c r="P109" s="176"/>
      <c r="Q109" s="176"/>
      <c r="R109" s="1">
        <v>1962</v>
      </c>
      <c r="S109" s="54"/>
      <c r="T109" s="176"/>
      <c r="U109" s="175"/>
      <c r="V109" s="176"/>
      <c r="W109" s="177"/>
    </row>
    <row r="110" spans="1:53" s="16" customFormat="1" ht="9" customHeight="1">
      <c r="A110" s="1">
        <v>1963</v>
      </c>
      <c r="B110" s="175"/>
      <c r="C110" s="175"/>
      <c r="D110" s="175"/>
      <c r="E110" s="202"/>
      <c r="F110" s="175"/>
      <c r="G110" s="1">
        <v>1963</v>
      </c>
      <c r="H110" s="175"/>
      <c r="I110" s="175"/>
      <c r="J110" s="175"/>
      <c r="K110" s="175"/>
      <c r="L110" s="175"/>
      <c r="M110" s="175"/>
      <c r="N110" s="202"/>
      <c r="O110" s="202"/>
      <c r="P110" s="176"/>
      <c r="Q110" s="176"/>
      <c r="R110" s="1">
        <v>1963</v>
      </c>
      <c r="S110" s="54"/>
      <c r="T110" s="176"/>
      <c r="U110" s="175"/>
      <c r="V110" s="176"/>
      <c r="W110" s="177"/>
    </row>
    <row r="111" spans="1:53" s="16" customFormat="1" ht="9" customHeight="1">
      <c r="A111" s="1">
        <v>1964</v>
      </c>
      <c r="B111" s="175"/>
      <c r="C111" s="175"/>
      <c r="D111" s="175"/>
      <c r="E111" s="202"/>
      <c r="F111" s="175"/>
      <c r="G111" s="1">
        <v>1964</v>
      </c>
      <c r="H111" s="175"/>
      <c r="I111" s="175"/>
      <c r="J111" s="175"/>
      <c r="K111" s="175"/>
      <c r="L111" s="175"/>
      <c r="M111" s="175"/>
      <c r="N111" s="202"/>
      <c r="O111" s="202"/>
      <c r="P111" s="176"/>
      <c r="Q111" s="176"/>
      <c r="R111" s="1">
        <v>1964</v>
      </c>
      <c r="S111" s="54"/>
      <c r="T111" s="176"/>
      <c r="U111" s="175"/>
      <c r="V111" s="176"/>
      <c r="W111" s="177"/>
    </row>
    <row r="112" spans="1:53" s="16" customFormat="1" ht="9" customHeight="1">
      <c r="A112" s="1">
        <v>1965</v>
      </c>
      <c r="B112" s="175"/>
      <c r="C112" s="175"/>
      <c r="D112" s="175"/>
      <c r="E112" s="202"/>
      <c r="F112" s="175"/>
      <c r="G112" s="1">
        <v>1965</v>
      </c>
      <c r="H112" s="175"/>
      <c r="I112" s="175"/>
      <c r="J112" s="175"/>
      <c r="K112" s="175"/>
      <c r="L112" s="175"/>
      <c r="M112" s="175"/>
      <c r="N112" s="202"/>
      <c r="O112" s="202"/>
      <c r="P112" s="176"/>
      <c r="Q112" s="176"/>
      <c r="R112" s="1">
        <v>1965</v>
      </c>
      <c r="S112" s="54"/>
      <c r="T112" s="176"/>
      <c r="U112" s="175"/>
      <c r="V112" s="176"/>
      <c r="W112" s="177"/>
    </row>
    <row r="113" spans="1:29" s="16" customFormat="1" ht="9" customHeight="1">
      <c r="A113" s="1">
        <v>1966</v>
      </c>
      <c r="B113" s="175"/>
      <c r="C113" s="175"/>
      <c r="D113" s="175"/>
      <c r="E113" s="202"/>
      <c r="F113" s="175"/>
      <c r="G113" s="1">
        <v>1966</v>
      </c>
      <c r="H113" s="175"/>
      <c r="I113" s="175"/>
      <c r="J113" s="175"/>
      <c r="K113" s="175"/>
      <c r="L113" s="175"/>
      <c r="M113" s="175"/>
      <c r="N113" s="202"/>
      <c r="O113" s="202"/>
      <c r="P113" s="176"/>
      <c r="Q113" s="176"/>
      <c r="R113" s="1">
        <v>1966</v>
      </c>
      <c r="S113" s="54"/>
      <c r="T113" s="176"/>
      <c r="U113" s="175"/>
      <c r="V113" s="176"/>
      <c r="W113" s="177"/>
    </row>
    <row r="114" spans="1:29" s="16" customFormat="1" ht="9" customHeight="1">
      <c r="A114" s="1">
        <v>1967</v>
      </c>
      <c r="B114" s="175"/>
      <c r="C114" s="175"/>
      <c r="D114" s="175"/>
      <c r="E114" s="202"/>
      <c r="F114" s="175"/>
      <c r="G114" s="1">
        <v>1967</v>
      </c>
      <c r="H114" s="175"/>
      <c r="I114" s="175"/>
      <c r="J114" s="175"/>
      <c r="K114" s="175"/>
      <c r="L114" s="175"/>
      <c r="M114" s="175"/>
      <c r="N114" s="202"/>
      <c r="O114" s="202"/>
      <c r="P114" s="176"/>
      <c r="Q114" s="176"/>
      <c r="R114" s="1">
        <v>1967</v>
      </c>
      <c r="S114" s="54"/>
      <c r="T114" s="176"/>
      <c r="U114" s="175"/>
      <c r="V114" s="176"/>
      <c r="W114" s="177"/>
    </row>
    <row r="115" spans="1:29" s="16" customFormat="1" ht="9" customHeight="1">
      <c r="A115" s="1">
        <v>1968</v>
      </c>
      <c r="B115" s="175"/>
      <c r="C115" s="175"/>
      <c r="D115" s="175"/>
      <c r="E115" s="202"/>
      <c r="F115" s="175"/>
      <c r="G115" s="1">
        <v>1968</v>
      </c>
      <c r="H115" s="175"/>
      <c r="I115" s="175"/>
      <c r="J115" s="175"/>
      <c r="K115" s="175"/>
      <c r="L115" s="175"/>
      <c r="M115" s="175"/>
      <c r="N115" s="202"/>
      <c r="O115" s="202"/>
      <c r="P115" s="176"/>
      <c r="Q115" s="176"/>
      <c r="R115" s="1">
        <v>1968</v>
      </c>
      <c r="S115" s="54"/>
      <c r="T115" s="176"/>
      <c r="U115" s="175"/>
      <c r="V115" s="176"/>
      <c r="W115" s="177"/>
    </row>
    <row r="116" spans="1:29" s="16" customFormat="1" ht="9" customHeight="1">
      <c r="A116" s="1">
        <v>1969</v>
      </c>
      <c r="B116" s="175"/>
      <c r="C116" s="175"/>
      <c r="D116" s="175"/>
      <c r="E116" s="202"/>
      <c r="F116" s="175"/>
      <c r="G116" s="1">
        <v>1969</v>
      </c>
      <c r="H116" s="175"/>
      <c r="I116" s="175"/>
      <c r="J116" s="175"/>
      <c r="K116" s="175"/>
      <c r="L116" s="175"/>
      <c r="M116" s="175"/>
      <c r="N116" s="202"/>
      <c r="O116" s="202"/>
      <c r="P116" s="176"/>
      <c r="Q116" s="176"/>
      <c r="R116" s="1">
        <v>1969</v>
      </c>
      <c r="S116" s="54"/>
      <c r="T116" s="176"/>
      <c r="U116" s="175"/>
      <c r="V116" s="176"/>
      <c r="W116" s="177"/>
    </row>
    <row r="117" spans="1:29" s="16" customFormat="1" ht="9" customHeight="1">
      <c r="A117" s="1">
        <v>1970</v>
      </c>
      <c r="B117" s="175"/>
      <c r="C117" s="175"/>
      <c r="D117" s="175"/>
      <c r="E117" s="202"/>
      <c r="F117" s="175"/>
      <c r="G117" s="1">
        <v>1970</v>
      </c>
      <c r="H117" s="175"/>
      <c r="I117" s="175"/>
      <c r="J117" s="175"/>
      <c r="K117" s="175"/>
      <c r="L117" s="175"/>
      <c r="M117" s="175"/>
      <c r="N117" s="202"/>
      <c r="O117" s="202"/>
      <c r="P117" s="176"/>
      <c r="Q117" s="176"/>
      <c r="R117" s="1">
        <v>1970</v>
      </c>
      <c r="S117" s="54"/>
      <c r="T117" s="176"/>
      <c r="U117" s="175"/>
      <c r="V117" s="176"/>
      <c r="W117" s="177"/>
    </row>
    <row r="118" spans="1:29" s="16" customFormat="1" ht="9" customHeight="1">
      <c r="A118" s="1">
        <v>1971</v>
      </c>
      <c r="B118" s="175"/>
      <c r="C118" s="175"/>
      <c r="D118" s="175"/>
      <c r="E118" s="202"/>
      <c r="F118" s="175"/>
      <c r="G118" s="1">
        <v>1971</v>
      </c>
      <c r="H118" s="175"/>
      <c r="I118" s="175"/>
      <c r="J118" s="175"/>
      <c r="K118" s="175"/>
      <c r="L118" s="175"/>
      <c r="M118" s="175"/>
      <c r="N118" s="202"/>
      <c r="O118" s="202"/>
      <c r="P118" s="176"/>
      <c r="Q118" s="176"/>
      <c r="R118" s="1">
        <v>1971</v>
      </c>
      <c r="S118" s="54"/>
      <c r="T118" s="176"/>
      <c r="U118" s="175"/>
      <c r="V118" s="176"/>
      <c r="W118" s="177"/>
    </row>
    <row r="119" spans="1:29" s="16" customFormat="1" ht="9" customHeight="1">
      <c r="A119" s="1">
        <v>1972</v>
      </c>
      <c r="B119" s="175"/>
      <c r="C119" s="175"/>
      <c r="D119" s="175"/>
      <c r="E119" s="202"/>
      <c r="F119" s="175"/>
      <c r="G119" s="1">
        <v>1972</v>
      </c>
      <c r="H119" s="175"/>
      <c r="I119" s="175"/>
      <c r="J119" s="175"/>
      <c r="K119" s="175"/>
      <c r="L119" s="175"/>
      <c r="M119" s="175"/>
      <c r="N119" s="202"/>
      <c r="O119" s="202"/>
      <c r="P119" s="176"/>
      <c r="Q119" s="176"/>
      <c r="R119" s="1">
        <v>1972</v>
      </c>
      <c r="S119" s="54"/>
      <c r="T119" s="176"/>
      <c r="U119" s="175"/>
      <c r="V119" s="176"/>
      <c r="W119" s="177"/>
    </row>
    <row r="120" spans="1:29" s="16" customFormat="1" ht="9" customHeight="1">
      <c r="A120" s="1">
        <v>1973</v>
      </c>
      <c r="B120" s="175"/>
      <c r="C120" s="175"/>
      <c r="D120" s="175"/>
      <c r="E120" s="202"/>
      <c r="F120" s="175"/>
      <c r="G120" s="1">
        <v>1973</v>
      </c>
      <c r="H120" s="175"/>
      <c r="I120" s="175"/>
      <c r="J120" s="175"/>
      <c r="K120" s="175"/>
      <c r="L120" s="175"/>
      <c r="M120" s="175"/>
      <c r="N120" s="202"/>
      <c r="O120" s="202"/>
      <c r="P120" s="176"/>
      <c r="Q120" s="176"/>
      <c r="R120" s="1">
        <v>1973</v>
      </c>
      <c r="S120" s="54"/>
      <c r="T120" s="176"/>
      <c r="U120" s="175"/>
      <c r="V120" s="176"/>
      <c r="W120" s="177"/>
    </row>
    <row r="121" spans="1:29" s="16" customFormat="1" ht="9" customHeight="1">
      <c r="A121" s="1">
        <v>1974</v>
      </c>
      <c r="B121" s="175"/>
      <c r="C121" s="175"/>
      <c r="D121" s="175"/>
      <c r="E121" s="202"/>
      <c r="F121" s="175"/>
      <c r="G121" s="1">
        <v>1974</v>
      </c>
      <c r="H121" s="175"/>
      <c r="I121" s="175"/>
      <c r="J121" s="175"/>
      <c r="K121" s="175"/>
      <c r="L121" s="175"/>
      <c r="M121" s="175"/>
      <c r="N121" s="202"/>
      <c r="O121" s="202"/>
      <c r="P121" s="176"/>
      <c r="Q121" s="176"/>
      <c r="R121" s="1">
        <v>1974</v>
      </c>
      <c r="S121" s="54"/>
      <c r="T121" s="176"/>
      <c r="U121" s="175"/>
      <c r="V121" s="176"/>
      <c r="W121" s="177"/>
    </row>
    <row r="122" spans="1:29" s="16" customFormat="1" ht="9" customHeight="1">
      <c r="A122" s="1">
        <v>1975</v>
      </c>
      <c r="B122" s="175"/>
      <c r="C122" s="175"/>
      <c r="D122" s="175"/>
      <c r="E122" s="202"/>
      <c r="F122" s="175"/>
      <c r="G122" s="1">
        <v>1975</v>
      </c>
      <c r="H122" s="175"/>
      <c r="I122" s="175"/>
      <c r="J122" s="175"/>
      <c r="K122" s="175"/>
      <c r="L122" s="175"/>
      <c r="M122" s="175"/>
      <c r="N122" s="202"/>
      <c r="O122" s="202"/>
      <c r="P122" s="176"/>
      <c r="Q122" s="176"/>
      <c r="R122" s="1">
        <v>1975</v>
      </c>
      <c r="S122" s="54"/>
      <c r="T122" s="176"/>
      <c r="U122" s="175"/>
      <c r="V122" s="176"/>
      <c r="W122" s="177"/>
    </row>
    <row r="123" spans="1:29">
      <c r="A123" s="1">
        <v>1976</v>
      </c>
      <c r="B123" s="8">
        <f>(K7*($E7/162))</f>
        <v>0</v>
      </c>
      <c r="C123" s="8">
        <f>(L7*($E7/162))</f>
        <v>0</v>
      </c>
      <c r="D123" s="8">
        <f>(M7*($E7/162))</f>
        <v>70.588235294117652</v>
      </c>
      <c r="E123" s="48">
        <f>B123+C123+D123</f>
        <v>70.588235294117652</v>
      </c>
      <c r="G123" s="1">
        <v>1976</v>
      </c>
      <c r="H123" s="918">
        <f>(O7/$R7*100*($E7/162))</f>
        <v>0</v>
      </c>
      <c r="I123" s="918"/>
      <c r="J123" s="918">
        <f>(P7/$R7*100*($E7/162))</f>
        <v>0</v>
      </c>
      <c r="K123" s="918"/>
      <c r="L123" s="918">
        <f>(Q7/$R7*100*($E7/162))</f>
        <v>100</v>
      </c>
      <c r="M123" s="918"/>
      <c r="N123" s="887">
        <f t="shared" ref="N123:N159" si="31">H123+J123+L123</f>
        <v>100</v>
      </c>
      <c r="O123" s="887"/>
      <c r="R123" s="1">
        <v>1976</v>
      </c>
      <c r="S123" s="8">
        <f>(O7*($E7/162))</f>
        <v>0</v>
      </c>
      <c r="T123" s="8">
        <f>(P7*($E7/162))</f>
        <v>0</v>
      </c>
      <c r="U123" s="8">
        <f>(Q7*($E7/162))</f>
        <v>40.700000000000003</v>
      </c>
      <c r="V123" s="7"/>
      <c r="W123" s="7">
        <f>S123+T123+U123</f>
        <v>40.700000000000003</v>
      </c>
      <c r="Y123" s="203" t="s">
        <v>1227</v>
      </c>
      <c r="Z123" s="203"/>
      <c r="AA123" s="203"/>
      <c r="AB123" s="203"/>
      <c r="AC123" s="203"/>
    </row>
    <row r="124" spans="1:29">
      <c r="A124" s="1">
        <v>1977</v>
      </c>
      <c r="B124" s="8">
        <f>(K8*($E8/365))+(K9*($E9/365))</f>
        <v>0</v>
      </c>
      <c r="C124" s="8">
        <f>(L8*($E8/365))+(L9*($E9/365))</f>
        <v>0</v>
      </c>
      <c r="D124" s="8">
        <f>(M8*($E8/365))+(M9*($E9/365))</f>
        <v>70.588235294117652</v>
      </c>
      <c r="E124" s="48">
        <f t="shared" ref="E124:E158" si="32">B124+C124+D124</f>
        <v>70.588235294117652</v>
      </c>
      <c r="G124" s="1">
        <v>1977</v>
      </c>
      <c r="H124" s="918">
        <f>(O8/$R8*100*($E8/365))+(O9/$R9*100*($E9/365))</f>
        <v>0</v>
      </c>
      <c r="I124" s="918"/>
      <c r="J124" s="918">
        <f>(P8/$R8*100*($E8/365))+(P9/$R9*100*($E9/365))</f>
        <v>0</v>
      </c>
      <c r="K124" s="918"/>
      <c r="L124" s="918">
        <f>(Q8/$R8*100*($E8/365))+(Q9/$R9*100*($E9/365))</f>
        <v>100</v>
      </c>
      <c r="M124" s="918"/>
      <c r="N124" s="887">
        <f t="shared" si="31"/>
        <v>100</v>
      </c>
      <c r="O124" s="887"/>
      <c r="R124" s="1">
        <v>1977</v>
      </c>
      <c r="S124" s="8">
        <f>(O8*($E8/365))+(O9*($E9/365))</f>
        <v>0</v>
      </c>
      <c r="T124" s="8">
        <f>(P8*($E8/365))+(P9*($E9/365))</f>
        <v>0</v>
      </c>
      <c r="U124" s="8">
        <f>(Q8*($E8/365))+(Q9*($E9/365))</f>
        <v>40.700000000000003</v>
      </c>
      <c r="V124" s="7"/>
      <c r="W124" s="7">
        <f t="shared" ref="W124:W158" si="33">S124+T124+U124</f>
        <v>40.700000000000003</v>
      </c>
    </row>
    <row r="125" spans="1:29">
      <c r="A125" s="1">
        <v>1978</v>
      </c>
      <c r="B125" s="8">
        <f>(K10*($E10/365))+(K11*($E11/365))+(K12*($E12/365))+(K13*($E13/365))</f>
        <v>10.83904109589041</v>
      </c>
      <c r="C125" s="8">
        <f>(L10*($E10/365))+(L11*($E11/365))+(L12*($E12/365))+(L13*($E13/365))</f>
        <v>0</v>
      </c>
      <c r="D125" s="8">
        <f>(M10*($E10/365))+(M11*($E11/365))+(M12*($E12/365))+(M13*($E13/365))</f>
        <v>34.512489927477844</v>
      </c>
      <c r="E125" s="48">
        <f t="shared" si="32"/>
        <v>45.351531023368253</v>
      </c>
      <c r="G125" s="1">
        <v>1978</v>
      </c>
      <c r="H125" s="918">
        <f>(O10/$R10*100*($E10/365))+(O11/$R11*100*($E11/365))</f>
        <v>16.312724988524074</v>
      </c>
      <c r="I125" s="918"/>
      <c r="J125" s="918">
        <f>(P10/$R10*100*($E10/365))+(P11/$R11*100*($E11/365))</f>
        <v>0</v>
      </c>
      <c r="K125" s="918"/>
      <c r="L125" s="918">
        <f>(Q10/$R10*100*($E10/365))+(Q11/$R11*100*($E11/365))</f>
        <v>49.440699669010172</v>
      </c>
      <c r="M125" s="918"/>
      <c r="N125" s="887">
        <f t="shared" si="31"/>
        <v>65.753424657534254</v>
      </c>
      <c r="O125" s="887"/>
      <c r="R125" s="1">
        <v>1978</v>
      </c>
      <c r="S125" s="8">
        <f>(O10*($E10/365))+(O11*($E11/365))+(O12*($E12/365))+(O13*($E13/365))</f>
        <v>9.24931506849315</v>
      </c>
      <c r="T125" s="8">
        <f>(P10*($E10/365))+(P11*($E11/365))+(P12*($E12/365))+(P13*($E13/365))</f>
        <v>0</v>
      </c>
      <c r="U125" s="8">
        <f>(Q10*($E10/365))+(Q11*($E11/365))+(Q12*($E12/365))+(Q13*($E13/365))</f>
        <v>26.761643835616439</v>
      </c>
      <c r="V125" s="7"/>
      <c r="W125" s="7">
        <f t="shared" si="33"/>
        <v>36.010958904109586</v>
      </c>
    </row>
    <row r="126" spans="1:29">
      <c r="A126" s="1">
        <v>1979</v>
      </c>
      <c r="B126" s="8">
        <f>(K14*($E14/365))+(K15*($E15/365))</f>
        <v>0</v>
      </c>
      <c r="C126" s="8">
        <f>(L14*($E14/365))+(L15*($E15/365))</f>
        <v>0</v>
      </c>
      <c r="D126" s="8">
        <f>(M14*($E14/365))+(M15*($E15/365))</f>
        <v>0</v>
      </c>
      <c r="E126" s="48">
        <f t="shared" si="32"/>
        <v>0</v>
      </c>
      <c r="G126" s="1">
        <v>1979</v>
      </c>
      <c r="H126" s="918">
        <v>0</v>
      </c>
      <c r="I126" s="918"/>
      <c r="J126" s="918">
        <v>0</v>
      </c>
      <c r="K126" s="918"/>
      <c r="L126" s="918">
        <v>0</v>
      </c>
      <c r="M126" s="918"/>
      <c r="N126" s="887">
        <f>H126+J126+L126</f>
        <v>0</v>
      </c>
      <c r="O126" s="887"/>
      <c r="R126" s="1">
        <v>1979</v>
      </c>
      <c r="S126" s="8">
        <f>(O14*($E14/365))+(O15*($E15/365))</f>
        <v>0</v>
      </c>
      <c r="T126" s="8">
        <f>(P14*($E14/365))+(P15*($E15/365))</f>
        <v>0</v>
      </c>
      <c r="U126" s="8">
        <f>(Q14*($E14/365))+(Q15*($E15/365))</f>
        <v>0</v>
      </c>
      <c r="V126" s="7"/>
      <c r="W126" s="7">
        <f t="shared" si="33"/>
        <v>0</v>
      </c>
    </row>
    <row r="127" spans="1:29">
      <c r="A127" s="1">
        <v>1980</v>
      </c>
      <c r="B127" s="8">
        <f>(K16*($E16/366))+(K17*($E17/366))</f>
        <v>86.193078324225866</v>
      </c>
      <c r="C127" s="8">
        <f>(L16*($E16/366))+(L17*($E17/366))</f>
        <v>0</v>
      </c>
      <c r="D127" s="8">
        <f>(M16*($E16/366))+(M17*($E17/366))</f>
        <v>0</v>
      </c>
      <c r="E127" s="48">
        <f t="shared" si="32"/>
        <v>86.193078324225866</v>
      </c>
      <c r="G127" s="1">
        <v>1980</v>
      </c>
      <c r="H127" s="918">
        <f>(O17/$R17*100*($E17/366))</f>
        <v>99.453551912568301</v>
      </c>
      <c r="I127" s="918"/>
      <c r="J127" s="918">
        <f>(P17/$R17*100*($E17/366))</f>
        <v>0</v>
      </c>
      <c r="K127" s="918"/>
      <c r="L127" s="918">
        <f>(Q17/$R17*100*($E17/366))</f>
        <v>0</v>
      </c>
      <c r="M127" s="918"/>
      <c r="N127" s="887">
        <f t="shared" si="31"/>
        <v>99.453551912568301</v>
      </c>
      <c r="O127" s="887"/>
      <c r="R127" s="1">
        <v>1980</v>
      </c>
      <c r="S127" s="8">
        <f>(O16*($E16/366))+(O17*($E17/366))</f>
        <v>52.312568306010931</v>
      </c>
      <c r="T127" s="8">
        <f>(P16*($E16/366))+(P17*($E17/366))</f>
        <v>0</v>
      </c>
      <c r="U127" s="8">
        <f>(Q16*($E16/366))+(Q17*($E17/366))</f>
        <v>0</v>
      </c>
      <c r="V127" s="7"/>
      <c r="W127" s="7">
        <f t="shared" si="33"/>
        <v>52.312568306010931</v>
      </c>
    </row>
    <row r="128" spans="1:29">
      <c r="A128" s="1">
        <v>1981</v>
      </c>
      <c r="B128" s="8">
        <f>(K18*($E18/365))+(K19*($E19/365))+(K20*($E20/365))</f>
        <v>86.666666666666671</v>
      </c>
      <c r="C128" s="8">
        <f>(L18*($E18/365))+(L19*($E19/365))+(L20*($E20/365))</f>
        <v>0</v>
      </c>
      <c r="D128" s="8">
        <f>(M18*($E18/365))+(M19*($E19/365))+(M20*($E20/365))</f>
        <v>0</v>
      </c>
      <c r="E128" s="48">
        <f t="shared" si="32"/>
        <v>86.666666666666671</v>
      </c>
      <c r="G128" s="1">
        <v>1981</v>
      </c>
      <c r="H128" s="918">
        <f>(O18/$R18*100*($E18/365))+(O19/$R19*100*($E19/365))+(O20/$R20*100*($E20/365))</f>
        <v>99.999999999999986</v>
      </c>
      <c r="I128" s="918"/>
      <c r="J128" s="918">
        <f>(P18/$R18*100*($E18/365))+(P19/$R19*100*($E19/365))+(P20/$R20*100*($E20/365))</f>
        <v>0</v>
      </c>
      <c r="K128" s="918"/>
      <c r="L128" s="918">
        <f>(Q18/$R18*100*($E18/365))+(Q19/$R19*100*($E19/365))+(Q20/$R20*100*($E20/365))</f>
        <v>0</v>
      </c>
      <c r="M128" s="918"/>
      <c r="N128" s="887">
        <f t="shared" si="31"/>
        <v>99.999999999999986</v>
      </c>
      <c r="O128" s="887"/>
      <c r="R128" s="1">
        <v>1981</v>
      </c>
      <c r="S128" s="8">
        <f>(O18*($E18/365))+(O19*($E19/365))+(O20*($E20/365))</f>
        <v>52.6</v>
      </c>
      <c r="T128" s="8">
        <f>(P18*($E18/365))+(P19*($E19/365))+(P20*($E20/365))</f>
        <v>0</v>
      </c>
      <c r="U128" s="8">
        <f>(Q18*($E18/365))+(Q19*($E19/365))+(Q20*($E20/365))</f>
        <v>0</v>
      </c>
      <c r="V128" s="7"/>
      <c r="W128" s="7">
        <f t="shared" si="33"/>
        <v>52.6</v>
      </c>
    </row>
    <row r="129" spans="1:23">
      <c r="A129" s="1">
        <v>1982</v>
      </c>
      <c r="B129" s="8">
        <f>(K21*($E21/365))+(K22*($E22/365))</f>
        <v>93.333333333333329</v>
      </c>
      <c r="C129" s="8">
        <f>(L21*($E21/365))+(L22*($E22/365))</f>
        <v>0</v>
      </c>
      <c r="D129" s="8">
        <f>(M21*($E21/365))+(M22*($E22/365))</f>
        <v>0</v>
      </c>
      <c r="E129" s="48">
        <f t="shared" si="32"/>
        <v>93.333333333333329</v>
      </c>
      <c r="G129" s="1">
        <v>1982</v>
      </c>
      <c r="H129" s="918">
        <f>(O21/$R21*100*($E21/365))+(O22/$R22*100*($E22/365))</f>
        <v>100</v>
      </c>
      <c r="I129" s="918"/>
      <c r="J129" s="918">
        <f>(P21/$R21*100*($E21/365))+(P22/$R22*100*($E22/365))</f>
        <v>0</v>
      </c>
      <c r="K129" s="918"/>
      <c r="L129" s="918">
        <f>(Q21/$R21*100*($E21/365))+(Q22/$R22*100*($E22/365))</f>
        <v>0</v>
      </c>
      <c r="M129" s="918"/>
      <c r="N129" s="887">
        <f t="shared" si="31"/>
        <v>100</v>
      </c>
      <c r="O129" s="887"/>
      <c r="R129" s="1">
        <v>1982</v>
      </c>
      <c r="S129" s="8">
        <f>(O21*($E21/365))+(O22*($E22/365))</f>
        <v>52.6</v>
      </c>
      <c r="T129" s="8">
        <f>(P21*($E21/365))+(P22*($E22/365))</f>
        <v>0</v>
      </c>
      <c r="U129" s="8">
        <f>(Q21*($E21/365))+(Q22*($E22/365))</f>
        <v>0</v>
      </c>
      <c r="V129" s="7"/>
      <c r="W129" s="7">
        <f t="shared" si="33"/>
        <v>52.6</v>
      </c>
    </row>
    <row r="130" spans="1:23">
      <c r="A130" s="1">
        <v>1983</v>
      </c>
      <c r="B130" s="8">
        <f>(K23*($E23/365))+(K24*($E24/365))</f>
        <v>60.576954069298949</v>
      </c>
      <c r="C130" s="8">
        <f>(L23*($E23/365))+(L24*($E24/365))</f>
        <v>0</v>
      </c>
      <c r="D130" s="8">
        <f>(M23*($E23/365))+(M24*($E24/365))</f>
        <v>29.879129734085417</v>
      </c>
      <c r="E130" s="48">
        <f t="shared" si="32"/>
        <v>90.456083803384359</v>
      </c>
      <c r="G130" s="1">
        <v>1983</v>
      </c>
      <c r="H130" s="918">
        <f>(O23/$R23*100*($E23/365))+(O24/$R24*100*($E24/365))</f>
        <v>67.612079701120791</v>
      </c>
      <c r="I130" s="918"/>
      <c r="J130" s="918">
        <f>(P23/$R23*100*($E23/365))+(P24/$R24*100*($E24/365))</f>
        <v>0</v>
      </c>
      <c r="K130" s="918"/>
      <c r="L130" s="918">
        <f>(Q23/$R23*100*($E23/365))+(Q24/$R24*100*($E24/365))</f>
        <v>32.387920298879195</v>
      </c>
      <c r="M130" s="918"/>
      <c r="N130" s="887">
        <f t="shared" si="31"/>
        <v>99.999999999999986</v>
      </c>
      <c r="O130" s="887"/>
      <c r="R130" s="1">
        <v>1983</v>
      </c>
      <c r="S130" s="8">
        <f>(O23*($E23/365))+(O24*($E24/365))</f>
        <v>39.844931506849321</v>
      </c>
      <c r="T130" s="8">
        <f>(P23*($E23/365))+(P24*($E24/365))</f>
        <v>0</v>
      </c>
      <c r="U130" s="8">
        <f>(Q23*($E23/365))+(Q24*($E24/365))</f>
        <v>22.801095890410959</v>
      </c>
      <c r="V130" s="7"/>
      <c r="W130" s="7">
        <f t="shared" si="33"/>
        <v>62.646027397260283</v>
      </c>
    </row>
    <row r="131" spans="1:23">
      <c r="A131" s="1">
        <v>1984</v>
      </c>
      <c r="B131" s="8">
        <f>(K25*($E25/366))+(K26*($E26/366))</f>
        <v>35.294117647058826</v>
      </c>
      <c r="C131" s="8">
        <f>(L25*($E25/366))+(L26*($E26/366))</f>
        <v>0</v>
      </c>
      <c r="D131" s="8">
        <f>(M25*($E25/366))+(M26*($E26/366))</f>
        <v>52.941176470588239</v>
      </c>
      <c r="E131" s="48">
        <f t="shared" si="32"/>
        <v>88.235294117647072</v>
      </c>
      <c r="G131" s="1">
        <v>1984</v>
      </c>
      <c r="H131" s="918">
        <f>(O25/$R25*100*($E25/366))+(O26/$R26*100*($E26/366))</f>
        <v>42.61363636363636</v>
      </c>
      <c r="I131" s="918"/>
      <c r="J131" s="918">
        <f>(P25/$R25*100*($E25/366))+(P26/$R26*100*($E26/366))</f>
        <v>0</v>
      </c>
      <c r="K131" s="918"/>
      <c r="L131" s="918">
        <f>(Q25/$R25*100*($E25/366))+(Q26/$R26*100*($E26/366))</f>
        <v>57.386363636363626</v>
      </c>
      <c r="M131" s="918"/>
      <c r="N131" s="887">
        <f t="shared" si="31"/>
        <v>99.999999999999986</v>
      </c>
      <c r="O131" s="887"/>
      <c r="R131" s="1">
        <v>1984</v>
      </c>
      <c r="S131" s="8">
        <f>(O25*($E25/366))+(O26*($E26/366))</f>
        <v>30</v>
      </c>
      <c r="T131" s="8">
        <f>(P25*($E25/366))+(P26*($E26/366))</f>
        <v>0</v>
      </c>
      <c r="U131" s="8">
        <f>(Q25*($E25/366))+(Q26*($E26/366))</f>
        <v>40.4</v>
      </c>
      <c r="V131" s="7"/>
      <c r="W131" s="7">
        <f t="shared" si="33"/>
        <v>70.400000000000006</v>
      </c>
    </row>
    <row r="132" spans="1:23">
      <c r="A132" s="1">
        <v>1985</v>
      </c>
      <c r="B132" s="8">
        <f>(K27*($E27/365))+(K28*($E28/365))</f>
        <v>43.029814665592269</v>
      </c>
      <c r="C132" s="8">
        <f>(L27*($E27/365))+(L28*($E28/365))</f>
        <v>0</v>
      </c>
      <c r="D132" s="8">
        <f>(M27*($E27/365))+(M28*($E28/365))</f>
        <v>44.818694601128122</v>
      </c>
      <c r="E132" s="48">
        <f t="shared" si="32"/>
        <v>87.848509266720384</v>
      </c>
      <c r="G132" s="1">
        <v>1985</v>
      </c>
      <c r="H132" s="918">
        <f>(O27/$R27*100*($E27/365))+(O28/$R28*100*($E28/365))</f>
        <v>51.418119551681187</v>
      </c>
      <c r="I132" s="918"/>
      <c r="J132" s="918">
        <f>(P27/$R27*100*($E27/365))+(P28/$R28*100*($E28/365))</f>
        <v>0</v>
      </c>
      <c r="K132" s="918"/>
      <c r="L132" s="918">
        <f>(Q27/$R27*100*($E27/365))+(Q28/$R28*100*($E28/365))</f>
        <v>48.581880448318792</v>
      </c>
      <c r="M132" s="918"/>
      <c r="N132" s="887">
        <f t="shared" si="31"/>
        <v>99.999999999999972</v>
      </c>
      <c r="O132" s="887"/>
      <c r="R132" s="1">
        <v>1985</v>
      </c>
      <c r="S132" s="8">
        <f>(O27*($E27/365))+(O28*($E28/365))</f>
        <v>30.797808219178084</v>
      </c>
      <c r="T132" s="8">
        <f>(P27*($E27/365))+(P28*($E28/365))</f>
        <v>0</v>
      </c>
      <c r="U132" s="8">
        <f>(Q27*($E27/365))+(Q28*($E28/365))</f>
        <v>34.201643835616437</v>
      </c>
      <c r="V132" s="7"/>
      <c r="W132" s="7">
        <f t="shared" si="33"/>
        <v>64.999452054794517</v>
      </c>
    </row>
    <row r="133" spans="1:23">
      <c r="A133" s="1">
        <v>1986</v>
      </c>
      <c r="B133" s="8">
        <f>(K29*($E29/365))+(K30*($E30/365))</f>
        <v>85.714285714285708</v>
      </c>
      <c r="C133" s="8">
        <f>(L29*($E29/365))+(L30*($E30/365))</f>
        <v>0</v>
      </c>
      <c r="D133" s="8">
        <f>(M29*($E29/365))+(M30*($E30/365))</f>
        <v>0</v>
      </c>
      <c r="E133" s="48">
        <f t="shared" si="32"/>
        <v>85.714285714285708</v>
      </c>
      <c r="G133" s="1">
        <v>1986</v>
      </c>
      <c r="H133" s="918">
        <f>(O29/$R29*100*($E29/365))+(O30/$R30*100*($E30/365))</f>
        <v>100</v>
      </c>
      <c r="I133" s="918"/>
      <c r="J133" s="918">
        <f>(P29/$R29*100*($E29/365))+(P30/$R30*100*($E30/365))</f>
        <v>0</v>
      </c>
      <c r="K133" s="918"/>
      <c r="L133" s="918">
        <f>(Q29/$R29*100*($E29/365))+(Q30/$R30*100*($E30/365))</f>
        <v>0</v>
      </c>
      <c r="M133" s="918"/>
      <c r="N133" s="887">
        <f t="shared" si="31"/>
        <v>100</v>
      </c>
      <c r="O133" s="887"/>
      <c r="R133" s="1">
        <v>1986</v>
      </c>
      <c r="S133" s="8">
        <f>(O29*($E29/365))+(O30*($E30/365))</f>
        <v>35.200000000000003</v>
      </c>
      <c r="T133" s="8">
        <f>(P29*($E29/365))+(P30*($E30/365))</f>
        <v>0</v>
      </c>
      <c r="U133" s="8">
        <f>(Q29*($E29/365))+(Q30*($E30/365))</f>
        <v>0</v>
      </c>
      <c r="V133" s="7"/>
      <c r="W133" s="7">
        <f t="shared" si="33"/>
        <v>35.200000000000003</v>
      </c>
    </row>
    <row r="134" spans="1:23">
      <c r="A134" s="1">
        <v>1987</v>
      </c>
      <c r="B134" s="8">
        <f>(K31*($E31/365))+(K32*($E32/365))</f>
        <v>86.905849097629911</v>
      </c>
      <c r="C134" s="8">
        <f>(L31*($E31/365))+(L32*($E32/365))</f>
        <v>0</v>
      </c>
      <c r="D134" s="8">
        <f>(M31*($E31/365))+(M32*($E32/365))</f>
        <v>0</v>
      </c>
      <c r="E134" s="48">
        <f t="shared" si="32"/>
        <v>86.905849097629911</v>
      </c>
      <c r="G134" s="1">
        <v>1987</v>
      </c>
      <c r="H134" s="918">
        <f>(O31/$R31*100*($E31/365))+(O32/$R32*100*($E32/365))</f>
        <v>100</v>
      </c>
      <c r="I134" s="918"/>
      <c r="J134" s="918">
        <f>(P31/$R31*100*($E31/365))+(P32/$R32*100*($E32/365))</f>
        <v>0</v>
      </c>
      <c r="K134" s="918"/>
      <c r="L134" s="918">
        <f>(Q31/$R31*100*($E31/365))+(Q32/$R32*100*($E32/365))</f>
        <v>0</v>
      </c>
      <c r="M134" s="918"/>
      <c r="N134" s="887">
        <f t="shared" si="31"/>
        <v>100</v>
      </c>
      <c r="O134" s="887"/>
      <c r="R134" s="1">
        <v>1987</v>
      </c>
      <c r="S134" s="8">
        <f>(O31*($E31/365))+(O32*($E32/365))</f>
        <v>44.208219178082189</v>
      </c>
      <c r="T134" s="8">
        <f>(P31*($E31/365))+(P32*($E32/365))</f>
        <v>0</v>
      </c>
      <c r="U134" s="8">
        <f>(Q31*($E31/365))+(Q32*($E32/365))</f>
        <v>0</v>
      </c>
      <c r="V134" s="7"/>
      <c r="W134" s="7">
        <f t="shared" si="33"/>
        <v>44.208219178082189</v>
      </c>
    </row>
    <row r="135" spans="1:23">
      <c r="A135" s="1">
        <v>1988</v>
      </c>
      <c r="B135" s="8">
        <f>(K33*($E33/366))+(K34*($E34/366))</f>
        <v>88.888888888888886</v>
      </c>
      <c r="C135" s="8">
        <f>(L33*($E33/366))+(L34*($E34/366))</f>
        <v>0</v>
      </c>
      <c r="D135" s="8">
        <f>(M33*($E33/366))+(M34*($E34/366))</f>
        <v>0</v>
      </c>
      <c r="E135" s="48">
        <f t="shared" si="32"/>
        <v>88.888888888888886</v>
      </c>
      <c r="G135" s="1">
        <v>1988</v>
      </c>
      <c r="H135" s="918">
        <f>(O33/$R33*100*($E33/366))+(O34/$R34*100*($E34/366))</f>
        <v>100</v>
      </c>
      <c r="I135" s="918"/>
      <c r="J135" s="918">
        <f>(P33/$R33*100*($E33/366))+(P34/$R34*100*($E34/366))</f>
        <v>0</v>
      </c>
      <c r="K135" s="918"/>
      <c r="L135" s="918">
        <f>(Q33/$R33*100*($E33/366))+(Q34/$R34*100*($E34/366))</f>
        <v>0</v>
      </c>
      <c r="M135" s="918"/>
      <c r="N135" s="887">
        <f t="shared" si="31"/>
        <v>100</v>
      </c>
      <c r="O135" s="887"/>
      <c r="R135" s="1">
        <v>1988</v>
      </c>
      <c r="S135" s="8">
        <f>(O33*($E33/366))+(O34*($E34/366))</f>
        <v>59.2</v>
      </c>
      <c r="T135" s="8">
        <f>(P33*($E33/366))+(P34*($E34/366))</f>
        <v>0</v>
      </c>
      <c r="U135" s="8">
        <f>(Q33*($E33/366))+(Q34*($E34/366))</f>
        <v>0</v>
      </c>
      <c r="V135" s="7"/>
      <c r="W135" s="7">
        <f t="shared" si="33"/>
        <v>59.2</v>
      </c>
    </row>
    <row r="136" spans="1:23">
      <c r="A136" s="1">
        <v>1989</v>
      </c>
      <c r="B136" s="8">
        <f>(K35*($E35/365))+(K36*($E36/365))</f>
        <v>88.888888888888886</v>
      </c>
      <c r="C136" s="8">
        <f>(L35*($E35/365))+(L36*($E36/365))</f>
        <v>0</v>
      </c>
      <c r="D136" s="8">
        <f>(M35*($E35/365))+(M36*($E36/365))</f>
        <v>0</v>
      </c>
      <c r="E136" s="48">
        <f t="shared" si="32"/>
        <v>88.888888888888886</v>
      </c>
      <c r="G136" s="1">
        <v>1989</v>
      </c>
      <c r="H136" s="918">
        <f>(O35/$R35*100*($E35/365))+(O36/$R36*100*($E36/365))</f>
        <v>100</v>
      </c>
      <c r="I136" s="918"/>
      <c r="J136" s="918">
        <f>(P35/$R35*100*($E35/365))+(P36/$R36*100*($E36/365))</f>
        <v>0</v>
      </c>
      <c r="K136" s="918"/>
      <c r="L136" s="918">
        <f>(Q35/$R35*100*($E35/365))+(Q36/$R36*100*($E36/365))</f>
        <v>0</v>
      </c>
      <c r="M136" s="918"/>
      <c r="N136" s="887">
        <f t="shared" si="31"/>
        <v>100</v>
      </c>
      <c r="O136" s="887"/>
      <c r="R136" s="1">
        <v>1989</v>
      </c>
      <c r="S136" s="8">
        <f>(O35*($E35/365))+(O36*($E36/365))</f>
        <v>59.2</v>
      </c>
      <c r="T136" s="8">
        <f>(P35*($E35/365))+(P36*($E36/365))</f>
        <v>0</v>
      </c>
      <c r="U136" s="8">
        <f>(Q35*($E35/365))+(Q36*($E36/365))</f>
        <v>0</v>
      </c>
      <c r="V136" s="7"/>
      <c r="W136" s="7">
        <f t="shared" si="33"/>
        <v>59.2</v>
      </c>
    </row>
    <row r="137" spans="1:23">
      <c r="A137" s="1">
        <v>1990</v>
      </c>
      <c r="B137" s="8">
        <f>(K37*($E37/365))+(K38*($E38/365))</f>
        <v>88.888888888888886</v>
      </c>
      <c r="C137" s="8">
        <f>(L37*($E37/365))+(L38*($E38/365))</f>
        <v>0</v>
      </c>
      <c r="D137" s="8">
        <f>(M37*($E37/365))+(M38*($E38/365))</f>
        <v>0</v>
      </c>
      <c r="E137" s="48">
        <f t="shared" si="32"/>
        <v>88.888888888888886</v>
      </c>
      <c r="G137" s="1">
        <v>1990</v>
      </c>
      <c r="H137" s="918">
        <f>(O37/$R37*100*($E37/365))+(O38/$R38*100*($E38/365))</f>
        <v>100</v>
      </c>
      <c r="I137" s="918"/>
      <c r="J137" s="918">
        <f>(P37/$R37*100*($E37/365))+(P38/$R38*100*($E38/365))</f>
        <v>0</v>
      </c>
      <c r="K137" s="918"/>
      <c r="L137" s="918">
        <f>(Q37/$R37*100*($E37/365))+(Q38/$R38*100*($E38/365))</f>
        <v>0</v>
      </c>
      <c r="M137" s="918"/>
      <c r="N137" s="887">
        <f t="shared" si="31"/>
        <v>100</v>
      </c>
      <c r="O137" s="887"/>
      <c r="R137" s="1">
        <v>1990</v>
      </c>
      <c r="S137" s="8">
        <f>(O37*($E37/365))+(O38*($E38/365))</f>
        <v>59.2</v>
      </c>
      <c r="T137" s="8">
        <f>(P37*($E37/365))+(P38*($E38/365))</f>
        <v>0</v>
      </c>
      <c r="U137" s="8">
        <f>(Q37*($E37/365))+(Q38*($E38/365))</f>
        <v>0</v>
      </c>
      <c r="V137" s="7"/>
      <c r="W137" s="7">
        <f t="shared" si="33"/>
        <v>59.2</v>
      </c>
    </row>
    <row r="138" spans="1:23">
      <c r="A138" s="1">
        <v>1991</v>
      </c>
      <c r="B138" s="8">
        <f>(K39*($E39/365))+(K40*($E40/365))</f>
        <v>88.988223984619083</v>
      </c>
      <c r="C138" s="8">
        <f>(L39*($E39/365))+(L40*($E40/365))</f>
        <v>0</v>
      </c>
      <c r="D138" s="8">
        <f>(M39*($E39/365))+(M40*($E40/365))</f>
        <v>0</v>
      </c>
      <c r="E138" s="48">
        <f t="shared" si="32"/>
        <v>88.988223984619083</v>
      </c>
      <c r="G138" s="1">
        <v>1991</v>
      </c>
      <c r="H138" s="918">
        <f>(O39/$R39*100*($E39/365))+(O40/$R40*100*($E40/365))</f>
        <v>100</v>
      </c>
      <c r="I138" s="918"/>
      <c r="J138" s="918">
        <f>(P39/$R39*100*($E39/365))+(P40/$R40*100*($E40/365))</f>
        <v>0</v>
      </c>
      <c r="K138" s="918"/>
      <c r="L138" s="918">
        <f>(Q39/$R39*100*($E39/365))+(Q40/$R40*100*($E40/365))</f>
        <v>0</v>
      </c>
      <c r="M138" s="918"/>
      <c r="N138" s="887">
        <f t="shared" si="31"/>
        <v>100</v>
      </c>
      <c r="O138" s="887"/>
      <c r="R138" s="1">
        <v>1991</v>
      </c>
      <c r="S138" s="8">
        <f>(O39*($E39/365))+(O40*($E40/365))</f>
        <v>59.064109589041102</v>
      </c>
      <c r="T138" s="8">
        <f>(P39*($E39/365))+(P40*($E40/365))</f>
        <v>0</v>
      </c>
      <c r="U138" s="8">
        <f>(Q39*($E39/365))+(Q40*($E40/365))</f>
        <v>0</v>
      </c>
      <c r="V138" s="7"/>
      <c r="W138" s="7">
        <f t="shared" si="33"/>
        <v>59.064109589041102</v>
      </c>
    </row>
    <row r="139" spans="1:23">
      <c r="A139" s="1">
        <v>1992</v>
      </c>
      <c r="B139" s="8">
        <f>(K41*($E41/366))+(K42*($E42/366))</f>
        <v>89.473684210526315</v>
      </c>
      <c r="C139" s="8">
        <f>(L41*($E41/366))+(L42*($E42/366))</f>
        <v>0</v>
      </c>
      <c r="D139" s="8">
        <f>(M41*($E41/366))+(M42*($E42/366))</f>
        <v>0</v>
      </c>
      <c r="E139" s="48">
        <f t="shared" si="32"/>
        <v>89.473684210526315</v>
      </c>
      <c r="G139" s="1">
        <v>1992</v>
      </c>
      <c r="H139" s="918">
        <f>(O41/$R41*100*($E41/366))+(O42/$R42*100*($E42/366))</f>
        <v>100</v>
      </c>
      <c r="I139" s="918"/>
      <c r="J139" s="918">
        <f>(P41/$R41*100*($E41/366))+(P42/$R42*100*($E42/366))</f>
        <v>0</v>
      </c>
      <c r="K139" s="918"/>
      <c r="L139" s="918">
        <f>(Q41/$R41*100*($E41/366))+(Q42/$R42*100*($E42/366))</f>
        <v>0</v>
      </c>
      <c r="M139" s="918"/>
      <c r="N139" s="887">
        <f t="shared" si="31"/>
        <v>100</v>
      </c>
      <c r="O139" s="887"/>
      <c r="R139" s="1">
        <v>1992</v>
      </c>
      <c r="S139" s="8">
        <f>(O41*($E41/366))+(O42*($E42/366))</f>
        <v>58.4</v>
      </c>
      <c r="T139" s="8">
        <f>(P41*($E41/366))+(P42*($E42/366))</f>
        <v>0</v>
      </c>
      <c r="U139" s="8">
        <f>(Q41*($E41/366))+(Q42*($E42/366))</f>
        <v>0</v>
      </c>
      <c r="V139" s="7"/>
      <c r="W139" s="7">
        <f t="shared" si="33"/>
        <v>58.4</v>
      </c>
    </row>
    <row r="140" spans="1:23">
      <c r="A140" s="1">
        <v>1993</v>
      </c>
      <c r="B140" s="8">
        <f>(K43*($E43/365))+(K44*($E44/365))</f>
        <v>89.473684210526315</v>
      </c>
      <c r="C140" s="8">
        <f>(L43*($E43/365))+(L44*($E44/365))</f>
        <v>0</v>
      </c>
      <c r="D140" s="8">
        <f>(M43*($E43/365))+(M44*($E44/365))</f>
        <v>0</v>
      </c>
      <c r="E140" s="48">
        <f t="shared" si="32"/>
        <v>89.473684210526315</v>
      </c>
      <c r="G140" s="1">
        <v>1993</v>
      </c>
      <c r="H140" s="918">
        <f>(O43/$R43*100*($E43/365))+(O44/$R44*100*($E44/365))</f>
        <v>100</v>
      </c>
      <c r="I140" s="918"/>
      <c r="J140" s="918">
        <f>(P43/$R43*100*($E43/365))+(P44/$R44*100*($E44/365))</f>
        <v>0</v>
      </c>
      <c r="K140" s="918"/>
      <c r="L140" s="918">
        <f>(Q43/$R43*100*($E43/365))+(Q44/$R44*100*($E44/365))</f>
        <v>0</v>
      </c>
      <c r="M140" s="918"/>
      <c r="N140" s="887">
        <f t="shared" si="31"/>
        <v>100</v>
      </c>
      <c r="O140" s="887"/>
      <c r="R140" s="1">
        <v>1993</v>
      </c>
      <c r="S140" s="8">
        <f>(O43*($E43/365))+(O44*($E44/365))</f>
        <v>58.4</v>
      </c>
      <c r="T140" s="8">
        <f>(P43*($E43/365))+(P44*($E44/365))</f>
        <v>0</v>
      </c>
      <c r="U140" s="8">
        <f>(Q43*($E43/365))+(Q44*($E44/365))</f>
        <v>0</v>
      </c>
      <c r="V140" s="7"/>
      <c r="W140" s="7">
        <f t="shared" si="33"/>
        <v>58.4</v>
      </c>
    </row>
    <row r="141" spans="1:23">
      <c r="A141" s="1">
        <v>1994</v>
      </c>
      <c r="B141" s="8">
        <f>(K45*($E45/365))+(K46*($E46/365))</f>
        <v>89.473684210526315</v>
      </c>
      <c r="C141" s="8">
        <f>(L45*($E45/365))+(L46*($E46/365))</f>
        <v>0</v>
      </c>
      <c r="D141" s="8">
        <f>(M45*($E45/365))+(M46*($E46/365))</f>
        <v>0</v>
      </c>
      <c r="E141" s="48">
        <f t="shared" si="32"/>
        <v>89.473684210526315</v>
      </c>
      <c r="G141" s="1">
        <v>1994</v>
      </c>
      <c r="H141" s="918">
        <f>(O45/$R45*100*($E45/365))+(O46/$R46*100*($E46/365))</f>
        <v>100</v>
      </c>
      <c r="I141" s="918"/>
      <c r="J141" s="918">
        <f>(P45/$R45*100*($E45/365))+(P46/$R46*100*($E46/365))</f>
        <v>0</v>
      </c>
      <c r="K141" s="918"/>
      <c r="L141" s="918">
        <f>(Q45/$R45*100*($E45/365))+(Q46/$R46*100*($E46/365))</f>
        <v>0</v>
      </c>
      <c r="M141" s="918"/>
      <c r="N141" s="887">
        <f t="shared" si="31"/>
        <v>100</v>
      </c>
      <c r="O141" s="887"/>
      <c r="R141" s="1">
        <v>1994</v>
      </c>
      <c r="S141" s="8">
        <f>(O45*($E45/365))+(O46*($E46/365))</f>
        <v>58.4</v>
      </c>
      <c r="T141" s="8">
        <f>(P45*($E45/365))+(P46*($E46/365))</f>
        <v>0</v>
      </c>
      <c r="U141" s="8">
        <f>(Q45*($E45/365))+(Q46*($E46/365))</f>
        <v>0</v>
      </c>
      <c r="V141" s="7"/>
      <c r="W141" s="7">
        <f t="shared" si="33"/>
        <v>58.4</v>
      </c>
    </row>
    <row r="142" spans="1:23">
      <c r="A142" s="1">
        <v>1995</v>
      </c>
      <c r="B142" s="8">
        <f>(K47*($E47/365))+(K48*($E48/365))</f>
        <v>73.059360730593596</v>
      </c>
      <c r="C142" s="8">
        <f>(L47*($E47/365))+(L48*($E48/365))</f>
        <v>0</v>
      </c>
      <c r="D142" s="8">
        <f>(M47*($E47/365))+(M48*($E48/365))</f>
        <v>13.850837138508371</v>
      </c>
      <c r="E142" s="48">
        <f t="shared" si="32"/>
        <v>86.910197869101964</v>
      </c>
      <c r="G142" s="1">
        <v>1995</v>
      </c>
      <c r="H142" s="918">
        <f>(O47/$R47*100*($E47/365))+(O48/$R48*100*($E48/365))</f>
        <v>82.191780821917803</v>
      </c>
      <c r="I142" s="918"/>
      <c r="J142" s="918">
        <f>(P47/$R47*100*($E47/365))+(P48/$R48*100*($E48/365))</f>
        <v>0</v>
      </c>
      <c r="K142" s="918"/>
      <c r="L142" s="918">
        <f>(Q47/$R47*100*($E47/365))+(Q48/$R48*100*($E48/365))</f>
        <v>17.80821917808219</v>
      </c>
      <c r="M142" s="918"/>
      <c r="N142" s="887">
        <f t="shared" si="31"/>
        <v>100</v>
      </c>
      <c r="O142" s="887"/>
      <c r="R142" s="1">
        <v>1995</v>
      </c>
      <c r="S142" s="8">
        <f>(O47*($E47/365))+(O48*($E48/365))</f>
        <v>47.999999999999993</v>
      </c>
      <c r="T142" s="8">
        <f>(P47*($E47/365))+(P48*($E48/365))</f>
        <v>0</v>
      </c>
      <c r="U142" s="8">
        <f>(Q47*($E47/365))+(Q48*($E48/365))</f>
        <v>8.6726027397260275</v>
      </c>
      <c r="V142" s="7"/>
      <c r="W142" s="7">
        <f t="shared" si="33"/>
        <v>56.672602739726017</v>
      </c>
    </row>
    <row r="143" spans="1:23">
      <c r="A143" s="1">
        <v>1996</v>
      </c>
      <c r="B143" s="8">
        <f>(K49*($E49/366))+(K50*($E50/366))</f>
        <v>0</v>
      </c>
      <c r="C143" s="8">
        <f>(L49*($E49/366))+(L50*($E50/366))</f>
        <v>0</v>
      </c>
      <c r="D143" s="8">
        <f>(M49*($E49/366))+(M50*($E50/366))</f>
        <v>77.777777777777786</v>
      </c>
      <c r="E143" s="48">
        <f t="shared" si="32"/>
        <v>77.777777777777786</v>
      </c>
      <c r="G143" s="1">
        <v>1996</v>
      </c>
      <c r="H143" s="918">
        <f>(O49/$R49*100*($E49/366))+(O50/$R50*100*($E50/366))</f>
        <v>0</v>
      </c>
      <c r="I143" s="918"/>
      <c r="J143" s="918">
        <f>(P49/$R49*100*($E49/366))+(P50/$R50*100*($E50/366))</f>
        <v>0</v>
      </c>
      <c r="K143" s="918"/>
      <c r="L143" s="918">
        <f>(Q49/$R49*100*($E49/366))+(Q50/$R50*100*($E50/366))</f>
        <v>100</v>
      </c>
      <c r="M143" s="918"/>
      <c r="N143" s="887">
        <f t="shared" si="31"/>
        <v>100</v>
      </c>
      <c r="O143" s="887"/>
      <c r="R143" s="1">
        <v>1996</v>
      </c>
      <c r="S143" s="8">
        <f>(O49*($E49/366))+(O50*($E50/366))</f>
        <v>0</v>
      </c>
      <c r="T143" s="8">
        <f>(P49*($E49/366))+(P50*($E50/366))</f>
        <v>0</v>
      </c>
      <c r="U143" s="8">
        <f>(Q49*($E49/366))+(Q50*($E50/366))</f>
        <v>48.7</v>
      </c>
      <c r="V143" s="7"/>
      <c r="W143" s="7">
        <f t="shared" si="33"/>
        <v>48.7</v>
      </c>
    </row>
    <row r="144" spans="1:23">
      <c r="A144" s="1">
        <v>1997</v>
      </c>
      <c r="B144" s="8">
        <f>(K51*($E51/365))+(K52*($E52/365))</f>
        <v>0</v>
      </c>
      <c r="C144" s="8">
        <f>(L51*($E51/365))+(L52*($E52/365))</f>
        <v>0</v>
      </c>
      <c r="D144" s="8">
        <f>(M51*($E51/365))+(M52*($E52/365))</f>
        <v>77.066881547139388</v>
      </c>
      <c r="E144" s="48">
        <f t="shared" si="32"/>
        <v>77.066881547139388</v>
      </c>
      <c r="G144" s="1">
        <v>1997</v>
      </c>
      <c r="H144" s="918">
        <f>(O51/$R51*100*($E51/365))+(O52/$R52*100*($E52/365))</f>
        <v>0</v>
      </c>
      <c r="I144" s="918"/>
      <c r="J144" s="918">
        <f>(P51/$R51*100*($E51/365))+(P52/$R52*100*($E52/365))</f>
        <v>0</v>
      </c>
      <c r="K144" s="918"/>
      <c r="L144" s="918">
        <f>(Q51/$R51*100*($E51/365))+(Q52/$R52*100*($E52/365))</f>
        <v>100</v>
      </c>
      <c r="M144" s="918"/>
      <c r="N144" s="887">
        <f t="shared" si="31"/>
        <v>100</v>
      </c>
      <c r="O144" s="887"/>
      <c r="R144" s="1">
        <v>1997</v>
      </c>
      <c r="S144" s="8">
        <f>(O51*($E51/365))+(O52*($E52/365))</f>
        <v>0</v>
      </c>
      <c r="T144" s="8">
        <f>(P51*($E51/365))+(P52*($E52/365))</f>
        <v>0</v>
      </c>
      <c r="U144" s="8">
        <f>(Q51*($E51/365))+(Q52*($E52/365))</f>
        <v>48.7</v>
      </c>
      <c r="V144" s="7"/>
      <c r="W144" s="7">
        <f t="shared" si="33"/>
        <v>48.7</v>
      </c>
    </row>
    <row r="145" spans="1:23">
      <c r="A145" s="1">
        <v>1998</v>
      </c>
      <c r="B145" s="8">
        <f>(K53*($E53/365))+(K54*($E54/365))</f>
        <v>0</v>
      </c>
      <c r="C145" s="8">
        <f>(L53*($E53/365))+(L54*($E54/365))</f>
        <v>0</v>
      </c>
      <c r="D145" s="8">
        <f>(M53*($E53/365))+(M54*($E54/365))</f>
        <v>82.35294117647058</v>
      </c>
      <c r="E145" s="48">
        <f t="shared" si="32"/>
        <v>82.35294117647058</v>
      </c>
      <c r="G145" s="1">
        <v>1998</v>
      </c>
      <c r="H145" s="918">
        <f>(O53/$R53*100*($E53/365))+(O54/$R54*100*($E54/365))</f>
        <v>0</v>
      </c>
      <c r="I145" s="918"/>
      <c r="J145" s="918">
        <f>(P53/$R53*100*($E53/365))+(P54/$R54*100*($E54/365))</f>
        <v>0</v>
      </c>
      <c r="K145" s="918"/>
      <c r="L145" s="918">
        <f>(Q53/$R53*100*($E53/365))+(Q54/$R54*100*($E54/365))</f>
        <v>100</v>
      </c>
      <c r="M145" s="918"/>
      <c r="N145" s="887">
        <f t="shared" si="31"/>
        <v>100</v>
      </c>
      <c r="O145" s="887"/>
      <c r="R145" s="1">
        <v>1998</v>
      </c>
      <c r="S145" s="8">
        <f>(O53*($E53/365))+(O54*($E54/365))</f>
        <v>0</v>
      </c>
      <c r="T145" s="8">
        <f>(P53*($E53/365))+(P54*($E54/365))</f>
        <v>0</v>
      </c>
      <c r="U145" s="8">
        <f>(Q53*($E53/365))+(Q54*($E54/365))</f>
        <v>48.7</v>
      </c>
      <c r="V145" s="7"/>
      <c r="W145" s="7">
        <f t="shared" si="33"/>
        <v>48.7</v>
      </c>
    </row>
    <row r="146" spans="1:23">
      <c r="A146" s="1">
        <v>1999</v>
      </c>
      <c r="B146" s="8">
        <f>(K55*($E55/365))+(K56*($E56/365))</f>
        <v>0</v>
      </c>
      <c r="C146" s="8">
        <f>(L55*($E55/365))+(L56*($E56/365))</f>
        <v>0</v>
      </c>
      <c r="D146" s="8">
        <f>(M55*($E55/365))+(M56*($E56/365))</f>
        <v>84.795792866533773</v>
      </c>
      <c r="E146" s="48">
        <f t="shared" si="32"/>
        <v>84.795792866533773</v>
      </c>
      <c r="G146" s="1">
        <v>1999</v>
      </c>
      <c r="H146" s="918">
        <f>(O55/$R55*100*($E55/365))+(O56/$R56*100*($E56/365))</f>
        <v>0</v>
      </c>
      <c r="I146" s="918"/>
      <c r="J146" s="918">
        <f>(P55/$R55*100*($E55/365))+(P56/$R56*100*($E56/365))</f>
        <v>0</v>
      </c>
      <c r="K146" s="918"/>
      <c r="L146" s="918">
        <f>(Q55/$R55*100*($E55/365))+(Q56/$R56*100*($E56/365))</f>
        <v>100</v>
      </c>
      <c r="M146" s="918"/>
      <c r="N146" s="887">
        <f t="shared" si="31"/>
        <v>100</v>
      </c>
      <c r="O146" s="887"/>
      <c r="R146" s="1">
        <v>1999</v>
      </c>
      <c r="S146" s="8">
        <f>(O55*($E55/365))+(O56*($E56/365))</f>
        <v>0</v>
      </c>
      <c r="T146" s="8">
        <f>(P55*($E55/365))+(P56*($E56/365))</f>
        <v>0</v>
      </c>
      <c r="U146" s="8">
        <f>(Q55*($E55/365))+(Q56*($E56/365))</f>
        <v>48.956438356164384</v>
      </c>
      <c r="V146" s="7"/>
      <c r="W146" s="7">
        <f t="shared" si="33"/>
        <v>48.956438356164384</v>
      </c>
    </row>
    <row r="147" spans="1:23">
      <c r="A147" s="1">
        <v>2000</v>
      </c>
      <c r="B147" s="8">
        <f>(K57*($E57/366))+(K58*($E58/366))</f>
        <v>0</v>
      </c>
      <c r="C147" s="8">
        <f>(L57*($E57/366))+(L58*($E58/366))</f>
        <v>0</v>
      </c>
      <c r="D147" s="8">
        <f>(M57*($E57/366))+(M58*($E58/366))</f>
        <v>69.672131147540981</v>
      </c>
      <c r="E147" s="48">
        <f t="shared" si="32"/>
        <v>69.672131147540981</v>
      </c>
      <c r="G147" s="1">
        <v>2000</v>
      </c>
      <c r="H147" s="918">
        <f>(O57/$R57*100*($E57/366))+(O58/$R58*100*($E58/366))</f>
        <v>0</v>
      </c>
      <c r="I147" s="918"/>
      <c r="J147" s="918">
        <f>(P57/$R57*100*($E57/366))+(P58/$R58*100*($E58/366))</f>
        <v>0</v>
      </c>
      <c r="K147" s="918"/>
      <c r="L147" s="918">
        <f>(Q57/$R57*100*($E57/366))+(Q58/$R58*100*($E58/366))</f>
        <v>100</v>
      </c>
      <c r="M147" s="918"/>
      <c r="N147" s="887">
        <f t="shared" si="31"/>
        <v>100</v>
      </c>
      <c r="O147" s="887"/>
      <c r="R147" s="1">
        <v>2000</v>
      </c>
      <c r="S147" s="8">
        <f>(O57*($E57/366))+(O58*($E58/366))</f>
        <v>0</v>
      </c>
      <c r="T147" s="8">
        <f>(P57*($E57/366))+(P58*($E58/366))</f>
        <v>0</v>
      </c>
      <c r="U147" s="8">
        <f>(Q57*($E57/366))+(Q58*($E58/366))</f>
        <v>50</v>
      </c>
      <c r="V147" s="7"/>
      <c r="W147" s="7">
        <f t="shared" si="33"/>
        <v>50</v>
      </c>
    </row>
    <row r="148" spans="1:23">
      <c r="A148" s="1">
        <v>2001</v>
      </c>
      <c r="B148" s="8">
        <f>(K59*($E59/365))+(K60*($E60/365))</f>
        <v>0</v>
      </c>
      <c r="C148" s="8">
        <f>(L59*($E59/365))+(L60*($E60/365))</f>
        <v>0</v>
      </c>
      <c r="D148" s="8">
        <f>(M59*($E59/365))+(M60*($E60/365))</f>
        <v>57.894736842105267</v>
      </c>
      <c r="E148" s="48">
        <f t="shared" si="32"/>
        <v>57.894736842105267</v>
      </c>
      <c r="G148" s="1">
        <v>2001</v>
      </c>
      <c r="H148" s="918">
        <f>(O59/$R59*100*($E59/365))+(O60/$R60*100*($E60/365))</f>
        <v>0</v>
      </c>
      <c r="I148" s="918"/>
      <c r="J148" s="918">
        <f>(P59/$R59*100*($E59/365))+(P60/$R60*100*($E60/365))</f>
        <v>0</v>
      </c>
      <c r="K148" s="918"/>
      <c r="L148" s="918">
        <f>(Q59/$R59*100*($E59/365))+(Q60/$R60*100*($E60/365))</f>
        <v>100</v>
      </c>
      <c r="M148" s="918"/>
      <c r="N148" s="887">
        <f t="shared" si="31"/>
        <v>100</v>
      </c>
      <c r="O148" s="887"/>
      <c r="R148" s="1">
        <v>2001</v>
      </c>
      <c r="S148" s="8">
        <f>(O59*($E59/365))+(O60*($E60/365))</f>
        <v>0</v>
      </c>
      <c r="T148" s="8">
        <f>(P59*($E59/365))+(P60*($E60/365))</f>
        <v>0</v>
      </c>
      <c r="U148" s="8">
        <f>(Q59*($E59/365))+(Q60*($E60/365))</f>
        <v>50</v>
      </c>
      <c r="V148" s="7"/>
      <c r="W148" s="7">
        <f t="shared" si="33"/>
        <v>50</v>
      </c>
    </row>
    <row r="149" spans="1:23">
      <c r="A149" s="1">
        <v>2002</v>
      </c>
      <c r="B149" s="8">
        <f>(K61*($E61/365))+(K62*($E62/365))</f>
        <v>69.345509893455102</v>
      </c>
      <c r="C149" s="8">
        <f>(L61*($E61/365))+(L62*($E62/365))</f>
        <v>0</v>
      </c>
      <c r="D149" s="8">
        <f>(M61*($E61/365))+(M62*($E62/365))</f>
        <v>15.385724585436195</v>
      </c>
      <c r="E149" s="48">
        <f t="shared" si="32"/>
        <v>84.731234478891295</v>
      </c>
      <c r="G149" s="1">
        <v>2002</v>
      </c>
      <c r="H149" s="918">
        <f>(O61/$R61*100*($E61/365))+(O62/$R62*100*($E62/365))</f>
        <v>73.424657534246577</v>
      </c>
      <c r="I149" s="918"/>
      <c r="J149" s="918">
        <f>(P61/$R61*100*($E61/365))+(P62/$R62*100*($E62/365))</f>
        <v>0</v>
      </c>
      <c r="K149" s="918"/>
      <c r="L149" s="918">
        <f>(Q61/$R61*100*($E61/365))+(Q62/$R62*100*($E62/365))</f>
        <v>26.575342465753426</v>
      </c>
      <c r="M149" s="918"/>
      <c r="N149" s="887">
        <f t="shared" si="31"/>
        <v>100</v>
      </c>
      <c r="O149" s="887"/>
      <c r="R149" s="1">
        <v>2002</v>
      </c>
      <c r="S149" s="8">
        <f>(O61*($E61/365))+(O62*($E62/365))</f>
        <v>38.033972602739723</v>
      </c>
      <c r="T149" s="8">
        <f>(P61*($E61/365))+(P62*($E62/365))</f>
        <v>0</v>
      </c>
      <c r="U149" s="8">
        <f>(Q61*($E61/365))+(Q62*($E62/365))</f>
        <v>13.287671232876713</v>
      </c>
      <c r="V149" s="7"/>
      <c r="W149" s="7">
        <f t="shared" si="33"/>
        <v>51.321643835616435</v>
      </c>
    </row>
    <row r="150" spans="1:23">
      <c r="A150" s="1">
        <v>2003</v>
      </c>
      <c r="B150" s="8">
        <f>(K63*($E63/365))+(K64*($E64/365))</f>
        <v>94.444444444444443</v>
      </c>
      <c r="C150" s="8">
        <f>(L63*($E63/365))+(L64*($E64/365))</f>
        <v>0</v>
      </c>
      <c r="D150" s="8">
        <f>(M63*($E63/365))+(M64*($E64/365))</f>
        <v>0</v>
      </c>
      <c r="E150" s="48">
        <f t="shared" si="32"/>
        <v>94.444444444444443</v>
      </c>
      <c r="G150" s="1">
        <v>2003</v>
      </c>
      <c r="H150" s="918">
        <f>(O63/$R63*100*($E63/365))+(O64/$R64*100*($E64/365))</f>
        <v>100</v>
      </c>
      <c r="I150" s="918"/>
      <c r="J150" s="918">
        <f>(P63/$R63*100*($E63/365))+(P64/$R64*100*($E64/365))</f>
        <v>0</v>
      </c>
      <c r="K150" s="918"/>
      <c r="L150" s="918">
        <f>(Q63/$R63*100*($E63/365))+(Q64/$R64*100*($E64/365))</f>
        <v>0</v>
      </c>
      <c r="M150" s="918"/>
      <c r="N150" s="887">
        <f t="shared" si="31"/>
        <v>100</v>
      </c>
      <c r="O150" s="887"/>
      <c r="R150" s="1">
        <v>2003</v>
      </c>
      <c r="S150" s="8">
        <f>(O63*($E63/365))+(O64*($E64/365))</f>
        <v>51.8</v>
      </c>
      <c r="T150" s="8">
        <f>(P63*($E63/365))+(P64*($E64/365))</f>
        <v>0</v>
      </c>
      <c r="U150" s="8">
        <f>(Q63*($E63/365))+(Q64*($E64/365))</f>
        <v>0</v>
      </c>
      <c r="V150" s="7"/>
      <c r="W150" s="7">
        <f t="shared" si="33"/>
        <v>51.8</v>
      </c>
    </row>
    <row r="151" spans="1:23">
      <c r="A151" s="1">
        <v>2004</v>
      </c>
      <c r="B151" s="8">
        <f>(K65*($E65/366))+(K66*($E66/366))</f>
        <v>94.690346083788711</v>
      </c>
      <c r="C151" s="8">
        <f>(L65*($E65/366))+(L66*($E66/366))</f>
        <v>0</v>
      </c>
      <c r="D151" s="8">
        <f>(M65*($E65/366))+(M66*($E66/366))</f>
        <v>0</v>
      </c>
      <c r="E151" s="48">
        <f t="shared" si="32"/>
        <v>94.690346083788711</v>
      </c>
      <c r="G151" s="1">
        <v>2004</v>
      </c>
      <c r="H151" s="918">
        <f>(O65/$R65*100*($E65/366))+(O66/$R66*100*($E66/366))</f>
        <v>100</v>
      </c>
      <c r="I151" s="918"/>
      <c r="J151" s="918">
        <f>(P65/$R65*100*($E65/366))+(P66/$R66*100*($E66/366))</f>
        <v>0</v>
      </c>
      <c r="K151" s="918"/>
      <c r="L151" s="918">
        <f>(Q65/$R65*100*($E65/366))+(Q66/$R66*100*($E66/366))</f>
        <v>0</v>
      </c>
      <c r="M151" s="918"/>
      <c r="N151" s="887">
        <f t="shared" si="31"/>
        <v>100</v>
      </c>
      <c r="O151" s="887"/>
      <c r="R151" s="1">
        <v>2004</v>
      </c>
      <c r="S151" s="8">
        <f>(O65*($E65/366))+(O66*($E66/366))</f>
        <v>51.8</v>
      </c>
      <c r="T151" s="8">
        <f>(P65*($E65/366))+(P66*($E66/366))</f>
        <v>0</v>
      </c>
      <c r="U151" s="8">
        <f>(Q65*($E65/366))+(Q66*($E66/366))</f>
        <v>0</v>
      </c>
      <c r="V151" s="7"/>
      <c r="W151" s="7">
        <f t="shared" si="33"/>
        <v>51.8</v>
      </c>
    </row>
    <row r="152" spans="1:23">
      <c r="A152" s="1">
        <v>2005</v>
      </c>
      <c r="B152" s="8">
        <f>(K67*($E67/365))+(K68*($E68/365))</f>
        <v>18.219178082191778</v>
      </c>
      <c r="C152" s="8">
        <f>(L67*($E67/365))+(L68*($E68/365))</f>
        <v>0</v>
      </c>
      <c r="D152" s="8">
        <f>(M67*($E67/365))+(M68*($E68/365))</f>
        <v>42.788074133763097</v>
      </c>
      <c r="E152" s="48">
        <f t="shared" si="32"/>
        <v>61.007252215954878</v>
      </c>
      <c r="G152" s="1">
        <v>2005</v>
      </c>
      <c r="H152" s="918">
        <f>(O67/$R67*100*($E67/365))+(O68/$R68*100*($E68/365))</f>
        <v>19.17808219178082</v>
      </c>
      <c r="I152" s="918"/>
      <c r="J152" s="918">
        <f>(P67/$R67*100*($E67/365))+(P68/$R68*100*($E68/365))</f>
        <v>0</v>
      </c>
      <c r="K152" s="918"/>
      <c r="L152" s="918">
        <f>(Q67/$R67*100*($E67/365))+(Q68/$R68*100*($E68/365))</f>
        <v>80.821917808219183</v>
      </c>
      <c r="M152" s="918"/>
      <c r="N152" s="887">
        <f t="shared" si="31"/>
        <v>100</v>
      </c>
      <c r="O152" s="887"/>
      <c r="R152" s="1">
        <v>2005</v>
      </c>
      <c r="S152" s="8">
        <f>(O67*($E67/365))+(O68*($E68/365))</f>
        <v>9.9342465753424651</v>
      </c>
      <c r="T152" s="8">
        <f>(P67*($E67/365))+(P68*($E68/365))</f>
        <v>0</v>
      </c>
      <c r="U152" s="8">
        <f>(Q67*($E67/365))+(Q68*($E68/365))</f>
        <v>42.512328767123286</v>
      </c>
      <c r="V152" s="7"/>
      <c r="W152" s="7">
        <f t="shared" si="33"/>
        <v>52.446575342465749</v>
      </c>
    </row>
    <row r="153" spans="1:23">
      <c r="A153" s="1">
        <v>2006</v>
      </c>
      <c r="B153" s="8">
        <f>(K69*($E69/365))+(K70*($E70/365))</f>
        <v>0</v>
      </c>
      <c r="C153" s="8">
        <f>(L69*($E69/365))+(L70*($E70/365))</f>
        <v>0</v>
      </c>
      <c r="D153" s="8">
        <f>(M69*($E69/365))+(M70*($E70/365))</f>
        <v>55.874294923448844</v>
      </c>
      <c r="E153" s="48">
        <f t="shared" si="32"/>
        <v>55.874294923448844</v>
      </c>
      <c r="G153" s="1">
        <v>2006</v>
      </c>
      <c r="H153" s="918">
        <f>(O69/$R69*100*($E69/365))+(O70/$R70*100*($E70/365))</f>
        <v>0</v>
      </c>
      <c r="I153" s="918"/>
      <c r="J153" s="918">
        <f>(P69/$R69*100*($E69/365))+(P70/$R70*100*($E70/365))</f>
        <v>0</v>
      </c>
      <c r="K153" s="918"/>
      <c r="L153" s="918">
        <f>(Q69/$R69*100*($E69/365))+(Q70/$R70*100*($E70/365))</f>
        <v>100</v>
      </c>
      <c r="M153" s="918"/>
      <c r="N153" s="887">
        <f t="shared" si="31"/>
        <v>100</v>
      </c>
      <c r="O153" s="887"/>
      <c r="R153" s="1">
        <v>2006</v>
      </c>
      <c r="S153" s="8">
        <f>(O69*($E69/365))+(O70*($E70/365))</f>
        <v>0</v>
      </c>
      <c r="T153" s="8">
        <f>(P69*($E69/365))+(P70*($E70/365))</f>
        <v>0</v>
      </c>
      <c r="U153" s="8">
        <f>(Q69*($E69/365))+(Q70*($E70/365))</f>
        <v>52.600000000000009</v>
      </c>
      <c r="V153" s="7"/>
      <c r="W153" s="7">
        <f t="shared" si="33"/>
        <v>52.600000000000009</v>
      </c>
    </row>
    <row r="154" spans="1:23">
      <c r="A154" s="1">
        <v>2007</v>
      </c>
      <c r="B154" s="8">
        <f>(K71*($E71/365))+(K72*($E72/365))</f>
        <v>0</v>
      </c>
      <c r="C154" s="8">
        <f>(L71*($E71/365))+(L72*($E72/365))</f>
        <v>0</v>
      </c>
      <c r="D154" s="8">
        <f>(M71*($E71/365))+(M72*($E72/365))</f>
        <v>55.132957292506049</v>
      </c>
      <c r="E154" s="48">
        <f t="shared" si="32"/>
        <v>55.132957292506049</v>
      </c>
      <c r="G154" s="1">
        <v>2007</v>
      </c>
      <c r="H154" s="918">
        <f>(O71/$R71*100*($E71/365))+(O72/$R72*100*($E72/365))</f>
        <v>0</v>
      </c>
      <c r="I154" s="918"/>
      <c r="J154" s="918">
        <f>(P71/$R71*100*($E71/365))+(P72/$R72*100*($E72/365))</f>
        <v>0</v>
      </c>
      <c r="K154" s="918"/>
      <c r="L154" s="918">
        <f>(Q71/$R71*100*($E71/365))+(Q72/$R72*100*($E72/365))</f>
        <v>100</v>
      </c>
      <c r="M154" s="918"/>
      <c r="N154" s="887">
        <f t="shared" si="31"/>
        <v>100</v>
      </c>
      <c r="O154" s="887"/>
      <c r="R154" s="1">
        <v>2007</v>
      </c>
      <c r="S154" s="8">
        <f>(O71*($E71/365))+(O72*($E72/365))</f>
        <v>0</v>
      </c>
      <c r="T154" s="8">
        <f>(P71*($E71/365))+(P72*($E72/365))</f>
        <v>0</v>
      </c>
      <c r="U154" s="8">
        <f>(Q71*($E71/365))+(Q72*($E72/365))</f>
        <v>52.6</v>
      </c>
      <c r="V154" s="7"/>
      <c r="W154" s="7">
        <f t="shared" si="33"/>
        <v>52.6</v>
      </c>
    </row>
    <row r="155" spans="1:23">
      <c r="A155" s="1">
        <v>2008</v>
      </c>
      <c r="B155" s="8">
        <f>(K73*($E73/366))+(K74*($E74/366))</f>
        <v>0</v>
      </c>
      <c r="C155" s="8">
        <f>(L73*($E73/366))+(L74*($E74/366))</f>
        <v>0</v>
      </c>
      <c r="D155" s="8">
        <f>(M73*($E73/366))+(M74*($E74/366))</f>
        <v>58.357441337190622</v>
      </c>
      <c r="E155" s="48">
        <f t="shared" si="32"/>
        <v>58.357441337190622</v>
      </c>
      <c r="G155" s="1">
        <v>2008</v>
      </c>
      <c r="H155" s="918">
        <f>(O73/$R73*100*($E73/366))+(O74/$R74*100*($E74/366))</f>
        <v>0</v>
      </c>
      <c r="I155" s="918"/>
      <c r="J155" s="918">
        <f>(P73/$R73*100*($E73/366))+(P74/$R74*100*($E74/366))</f>
        <v>0</v>
      </c>
      <c r="K155" s="918"/>
      <c r="L155" s="918">
        <f>(Q73/$R73*100*($E73/366))+(Q74/$R74*100*($E74/366))</f>
        <v>100</v>
      </c>
      <c r="M155" s="918"/>
      <c r="N155" s="887">
        <f t="shared" si="31"/>
        <v>100</v>
      </c>
      <c r="O155" s="887"/>
      <c r="R155" s="1">
        <v>2008</v>
      </c>
      <c r="S155" s="8">
        <f>(O73*($E73/366))+(O74*($E74/366))</f>
        <v>0</v>
      </c>
      <c r="T155" s="8">
        <f>(P73*($E73/366))+(P74*($E74/366))</f>
        <v>0</v>
      </c>
      <c r="U155" s="8">
        <f>(Q73*($E73/366))+(Q74*($E74/366))</f>
        <v>52.6</v>
      </c>
      <c r="V155" s="7"/>
      <c r="W155" s="7">
        <f t="shared" si="33"/>
        <v>52.6</v>
      </c>
    </row>
    <row r="156" spans="1:23">
      <c r="A156" s="1">
        <v>2009</v>
      </c>
      <c r="B156" s="8">
        <f>(K75*($E75/365))+(K76*($E76/365))</f>
        <v>0</v>
      </c>
      <c r="C156" s="8">
        <f>(L75*($E75/365))+(L76*($E76/365))</f>
        <v>0</v>
      </c>
      <c r="D156" s="8">
        <f>(M75*($E75/365))+(M76*($E76/365))</f>
        <v>58.82352941176471</v>
      </c>
      <c r="E156" s="48">
        <f t="shared" si="32"/>
        <v>58.82352941176471</v>
      </c>
      <c r="G156" s="1">
        <v>2009</v>
      </c>
      <c r="H156" s="918">
        <f>(O75/$R75*100*($E75/365))+(O76/$R76*100*($E76/365))</f>
        <v>0</v>
      </c>
      <c r="I156" s="918"/>
      <c r="J156" s="918">
        <f>(P75/$R75*100*($E75/365))+(P76/$R76*100*($E76/365))</f>
        <v>0</v>
      </c>
      <c r="K156" s="918"/>
      <c r="L156" s="918">
        <f>(Q75/$R75*100*($E75/365))+(Q76/$R76*100*($E76/365))</f>
        <v>100</v>
      </c>
      <c r="M156" s="918"/>
      <c r="N156" s="887">
        <f t="shared" si="31"/>
        <v>100</v>
      </c>
      <c r="O156" s="887"/>
      <c r="R156" s="1">
        <v>2009</v>
      </c>
      <c r="S156" s="8">
        <f>(O75*($E75/365))+(O76*($E76/365))</f>
        <v>0</v>
      </c>
      <c r="T156" s="8">
        <f>(P75*($E75/365))+(P76*($E76/365))</f>
        <v>0</v>
      </c>
      <c r="U156" s="8">
        <f>(Q75*($E75/365))+(Q76*($E76/365))</f>
        <v>50.690958904109586</v>
      </c>
      <c r="V156" s="7"/>
      <c r="W156" s="7">
        <f t="shared" si="33"/>
        <v>50.690958904109586</v>
      </c>
    </row>
    <row r="157" spans="1:23">
      <c r="A157" s="1">
        <v>2010</v>
      </c>
      <c r="B157" s="8">
        <f>(K77*($E77/365))+(K78*($E78/365))</f>
        <v>0</v>
      </c>
      <c r="C157" s="8">
        <f>(L77*($E77/365))+(L78*($E78/365))</f>
        <v>0</v>
      </c>
      <c r="D157" s="8">
        <f>(M77*($E77/365))+(M78*($E78/365))</f>
        <v>58.82352941176471</v>
      </c>
      <c r="E157" s="48">
        <f t="shared" si="32"/>
        <v>58.82352941176471</v>
      </c>
      <c r="G157" s="1">
        <v>2010</v>
      </c>
      <c r="H157" s="918">
        <f>(O77/$R77*100*($E77/365))+(O78/$R78*100*($E78/365))</f>
        <v>0</v>
      </c>
      <c r="I157" s="918"/>
      <c r="J157" s="918">
        <f>(P77/$R77*100*($E77/365))+(P78/$R78*100*($E78/365))</f>
        <v>0</v>
      </c>
      <c r="K157" s="918"/>
      <c r="L157" s="918">
        <f>(Q77/$R77*100*($E77/365))+(Q78/$R78*100*($E78/365))</f>
        <v>100</v>
      </c>
      <c r="M157" s="918"/>
      <c r="N157" s="887">
        <f t="shared" si="31"/>
        <v>100</v>
      </c>
      <c r="O157" s="887"/>
      <c r="R157" s="1">
        <v>2010</v>
      </c>
      <c r="S157" s="8">
        <f>(O77*($E77/365))+(O78*($E78/365))</f>
        <v>0</v>
      </c>
      <c r="T157" s="8">
        <f>(P77*($E77/365))+(P78*($E78/365))</f>
        <v>0</v>
      </c>
      <c r="U157" s="8">
        <f>(Q77*($E77/365))+(Q78*($E78/365))</f>
        <v>42.2</v>
      </c>
      <c r="V157" s="7"/>
      <c r="W157" s="7">
        <f t="shared" si="33"/>
        <v>42.2</v>
      </c>
    </row>
    <row r="158" spans="1:23">
      <c r="A158" s="1">
        <v>2011</v>
      </c>
      <c r="B158" s="8">
        <f>(K79*($E79/365))+(K80*($E80/365))</f>
        <v>35.433789954337897</v>
      </c>
      <c r="C158" s="8">
        <f>(L79*($E79/365))+(L80*($E80/365))</f>
        <v>0</v>
      </c>
      <c r="D158" s="8">
        <f>(M79*($E79/365))+(M80*($E80/365))</f>
        <v>27.558420628525386</v>
      </c>
      <c r="E158" s="48">
        <f t="shared" si="32"/>
        <v>62.992210582863279</v>
      </c>
      <c r="G158" s="1">
        <v>2011</v>
      </c>
      <c r="H158" s="918">
        <f>(O79/$R79*100*($E79/365))+(O80/$R80*100*($E80/365))</f>
        <v>53.150684931506852</v>
      </c>
      <c r="I158" s="918"/>
      <c r="J158" s="918">
        <f>(P79/$R79*100*($E79/365))+(P80/$R80*100*($E80/365))</f>
        <v>0</v>
      </c>
      <c r="K158" s="918"/>
      <c r="L158" s="918">
        <f>(Q79/$R79*100*($E79/365))+(Q80/$R80*100*($E80/365))</f>
        <v>46.849315068493155</v>
      </c>
      <c r="M158" s="918"/>
      <c r="N158" s="887">
        <f t="shared" si="31"/>
        <v>100</v>
      </c>
      <c r="O158" s="887"/>
      <c r="R158" s="1">
        <v>2011</v>
      </c>
      <c r="S158" s="8">
        <f>(O79*($E79/365))+(O80*($E80/365))</f>
        <v>30.503178082191784</v>
      </c>
      <c r="T158" s="8">
        <f>(P79*($E79/365))+(P80*($E80/365))</f>
        <v>0</v>
      </c>
      <c r="U158" s="8">
        <f>(Q79*($E79/365))+(Q80*($E80/365))</f>
        <v>19.770410958904112</v>
      </c>
      <c r="V158" s="7"/>
      <c r="W158" s="7">
        <f t="shared" si="33"/>
        <v>50.273589041095896</v>
      </c>
    </row>
    <row r="159" spans="1:23">
      <c r="A159" s="1">
        <v>2012</v>
      </c>
      <c r="B159" s="8">
        <f>(K81*($E81/366))+(K82*($E82/366))</f>
        <v>66.666666666666657</v>
      </c>
      <c r="C159" s="8">
        <f>(L81*($E81/366))+(L82*($E82/366))</f>
        <v>0</v>
      </c>
      <c r="D159" s="8">
        <f>(M81*($E81/366))+(M82*($E82/366))</f>
        <v>0</v>
      </c>
      <c r="E159" s="48">
        <f t="shared" ref="E159:E164" si="34">B159+C159+D159</f>
        <v>66.666666666666657</v>
      </c>
      <c r="G159" s="1">
        <v>2012</v>
      </c>
      <c r="H159" s="918">
        <f>(O81/$R81*100*($E81/366))+(O82/$R82*100*($E82/366))</f>
        <v>100</v>
      </c>
      <c r="I159" s="918"/>
      <c r="J159" s="918">
        <f>(P81/$R81*100*($E81/366))+(P82/$R82*100*($E82/366))</f>
        <v>0</v>
      </c>
      <c r="K159" s="918"/>
      <c r="L159" s="918">
        <f>(Q81/$R81*100*($E81/366))+(Q82/$R82*100*($E82/366))</f>
        <v>0</v>
      </c>
      <c r="M159" s="918"/>
      <c r="N159" s="887">
        <f t="shared" si="31"/>
        <v>100</v>
      </c>
      <c r="O159" s="887"/>
      <c r="R159" s="1">
        <v>2012</v>
      </c>
      <c r="S159" s="8">
        <f>(O81*($E81/366))+(O82*($E82/366))</f>
        <v>57.39</v>
      </c>
      <c r="T159" s="8">
        <f>(P81*($E81/366))+(P82*($E82/366))</f>
        <v>0</v>
      </c>
      <c r="U159" s="8">
        <f>(Q81*($E81/366))+(Q82*($E82/366))</f>
        <v>0</v>
      </c>
      <c r="V159" s="7"/>
      <c r="W159" s="7">
        <f t="shared" ref="W159:W164" si="35">S159+T159+U159</f>
        <v>57.39</v>
      </c>
    </row>
    <row r="160" spans="1:23">
      <c r="A160" s="1">
        <v>2013</v>
      </c>
      <c r="B160" s="8">
        <f>(K83*($E83/365))+(K84*($E84/365))+(K85*($E85/365))</f>
        <v>73.264488935721801</v>
      </c>
      <c r="C160" s="8">
        <f>(L83*($E83/365))+(L84*($E84/365))+(L85*($E85/365))</f>
        <v>0</v>
      </c>
      <c r="D160" s="8">
        <f>(M83*($E83/365))+(M84*($E84/365))+(M85*($E85/365))</f>
        <v>0</v>
      </c>
      <c r="E160" s="273">
        <f t="shared" si="34"/>
        <v>73.264488935721801</v>
      </c>
      <c r="G160" s="1">
        <v>2013</v>
      </c>
      <c r="H160" s="918">
        <f>(O83/$R83*100*($E83/365))+(O84/$R84*100*($E84/365))+(O85/$R85*100*($E85/365))</f>
        <v>100</v>
      </c>
      <c r="I160" s="918"/>
      <c r="J160" s="918">
        <f>(P83/$R83*100*($E83/365))+(P84/$R84*100*($E84/365))+(P85/$R85*100*($E85/365))</f>
        <v>0</v>
      </c>
      <c r="K160" s="918"/>
      <c r="L160" s="918">
        <f>(Q83/$R83*100*($E83/365))+(Q84/$R84*100*($E84/365))+(Q85/$R85*100*($E85/365))</f>
        <v>0</v>
      </c>
      <c r="M160" s="918"/>
      <c r="N160" s="887">
        <f>H160+J160+L160</f>
        <v>100</v>
      </c>
      <c r="O160" s="887"/>
      <c r="R160" s="1">
        <v>2013</v>
      </c>
      <c r="S160" s="8">
        <f>(O83*($E83/365))+(O84*($E84/365))+(O85*($E85/365))</f>
        <v>57.39</v>
      </c>
      <c r="T160" s="8">
        <f>(P83*($E83/365))+(P84*($E84/365))+(P85*($E85/365))</f>
        <v>0</v>
      </c>
      <c r="U160" s="8">
        <f>(Q83*($E83/365))+(Q84*($E84/365))+(Q85*($E85/365))</f>
        <v>0</v>
      </c>
      <c r="W160" s="7">
        <f t="shared" si="35"/>
        <v>57.39</v>
      </c>
    </row>
    <row r="161" spans="1:24">
      <c r="A161" s="1">
        <v>2014</v>
      </c>
      <c r="B161" s="8">
        <f>(K86*($E86/365))+(K87*($E87/365))</f>
        <v>79.214611872146122</v>
      </c>
      <c r="C161" s="8">
        <f>(L86*($E86/365))+(L87*($E87/365))</f>
        <v>0</v>
      </c>
      <c r="D161" s="8">
        <f>(M86*($E86/365))+(M87*($E87/365))</f>
        <v>0</v>
      </c>
      <c r="E161" s="547">
        <f t="shared" si="34"/>
        <v>79.214611872146122</v>
      </c>
      <c r="G161" s="1">
        <v>2014</v>
      </c>
      <c r="H161" s="918">
        <f>(O86/$R86*100*($E86/365))+(O87/$R87*100*($E87/365))</f>
        <v>100.00000000000001</v>
      </c>
      <c r="I161" s="918"/>
      <c r="J161" s="918">
        <f>(P86/$R86*100*($E86/365))+(P87/$R87*100*($E87/365))</f>
        <v>0</v>
      </c>
      <c r="K161" s="918"/>
      <c r="L161" s="918">
        <f>(Q86/$R86*100*($E86/365))+(Q87/$R87*100*($E87/365))</f>
        <v>0</v>
      </c>
      <c r="M161" s="918"/>
      <c r="N161" s="887">
        <f>H161+J161+L161</f>
        <v>100.00000000000001</v>
      </c>
      <c r="O161" s="887"/>
      <c r="R161" s="1">
        <v>2014</v>
      </c>
      <c r="S161" s="8">
        <f>(O86*($E86/365))+(O87*($E87/365))</f>
        <v>57.39</v>
      </c>
      <c r="T161" s="8">
        <f>(P86*($E86/365))+(P87*($E87/365))</f>
        <v>0</v>
      </c>
      <c r="U161" s="8">
        <f>(Q86*($E86/365))+(Q87*($E87/365))</f>
        <v>0</v>
      </c>
      <c r="W161" s="7">
        <f t="shared" si="35"/>
        <v>57.39</v>
      </c>
    </row>
    <row r="162" spans="1:24" s="618" customFormat="1">
      <c r="A162" s="618">
        <v>2015</v>
      </c>
      <c r="B162" s="613">
        <f>(K88*($E88/365))+(K89*($E89/365))+(K90*($E90/365))</f>
        <v>66.767660488853068</v>
      </c>
      <c r="C162" s="613">
        <f>(L88*($E88/365))+(L89*($E89/365))+(L90*($E90/365))</f>
        <v>0</v>
      </c>
      <c r="D162" s="613">
        <f>(M88*($E88/365))+(M89*($E89/365))+(M90*($E90/365))</f>
        <v>6.0273972602739727</v>
      </c>
      <c r="E162" s="614">
        <f t="shared" si="34"/>
        <v>72.795057749127039</v>
      </c>
      <c r="G162" s="618">
        <v>2015</v>
      </c>
      <c r="H162" s="918">
        <f>(O88/$R88*100*($E88/365))+(O89/$R89*100*($E89/365))+(O90/$R90*100*($E90/365))</f>
        <v>90.136986301369873</v>
      </c>
      <c r="I162" s="918"/>
      <c r="J162" s="918">
        <f>(P88/$R88*100*($E88/365))+(P89/$R89*100*($E89/365))+(P90/$R90*100*($E90/365))</f>
        <v>0</v>
      </c>
      <c r="K162" s="918"/>
      <c r="L162" s="918">
        <f>(Q88/$R88*100*($E88/365))+(Q89/$R89*100*($E89/365))+(Q90/$R90*100*($E90/365))</f>
        <v>9.8630136986301373</v>
      </c>
      <c r="M162" s="918"/>
      <c r="N162" s="887">
        <f>H162+J162+L162</f>
        <v>100.00000000000001</v>
      </c>
      <c r="O162" s="887"/>
      <c r="R162" s="618">
        <v>2015</v>
      </c>
      <c r="S162" s="613">
        <f>(O88*($E88/365))+(O89*($E89/365))+(O90*($E90/365))</f>
        <v>50.924054794520551</v>
      </c>
      <c r="T162" s="613">
        <f>(P88*($E88/365))+(P89*($E89/365))+(P90*($E90/365))</f>
        <v>0</v>
      </c>
      <c r="U162" s="613">
        <f>(Q88*($E88/365))+(Q89*($E89/365))+(Q90*($E90/365))</f>
        <v>3.6789041095890407</v>
      </c>
      <c r="W162" s="617">
        <f t="shared" si="35"/>
        <v>54.602958904109592</v>
      </c>
    </row>
    <row r="163" spans="1:24" s="618" customFormat="1">
      <c r="A163" s="618">
        <v>2016</v>
      </c>
      <c r="B163" s="684">
        <f>(K91*($E91/366))+(K92*($E92/366))</f>
        <v>0</v>
      </c>
      <c r="C163" s="684">
        <f t="shared" ref="C163" si="36">(L91*($E91/366))+(L92*($E92/366))</f>
        <v>0</v>
      </c>
      <c r="D163" s="684">
        <f>(M91*($E91/366))+(M92*($E92/366))</f>
        <v>57.134183363691562</v>
      </c>
      <c r="E163" s="685">
        <f t="shared" si="34"/>
        <v>57.134183363691562</v>
      </c>
      <c r="G163" s="618">
        <v>2016</v>
      </c>
      <c r="H163" s="918">
        <f>(O91/$R91*100*($E91/366))+(O92/$R92*100*($E92/366))</f>
        <v>0</v>
      </c>
      <c r="I163" s="918"/>
      <c r="J163" s="918">
        <f>(P91/$R91*100*($E91/366))+(P92/$R92*100*($E92/366))</f>
        <v>0</v>
      </c>
      <c r="K163" s="918"/>
      <c r="L163" s="918">
        <f>(Q91/$R91*100*($E91/366))+(Q92/$R92*100*($E92/366))</f>
        <v>100</v>
      </c>
      <c r="M163" s="918"/>
      <c r="N163" s="887">
        <f>H163+J163+L163</f>
        <v>100</v>
      </c>
      <c r="O163" s="887"/>
      <c r="R163" s="618">
        <v>2016</v>
      </c>
      <c r="S163" s="684">
        <f>(O91*($E91/366))+(O92*($E92/366))</f>
        <v>0</v>
      </c>
      <c r="T163" s="684">
        <f>(P91*($E91/366))+(P92*($E92/366))</f>
        <v>0</v>
      </c>
      <c r="U163" s="684">
        <f>(Q91*($E91/366))+(Q92*($E92/366))</f>
        <v>37.299999999999997</v>
      </c>
      <c r="W163" s="688">
        <f t="shared" si="35"/>
        <v>37.299999999999997</v>
      </c>
    </row>
    <row r="164" spans="1:24">
      <c r="A164" s="749">
        <v>2017</v>
      </c>
      <c r="B164" s="744">
        <f>(K93*($E93/365))+(K94*($E94/365))</f>
        <v>0</v>
      </c>
      <c r="C164" s="744">
        <f t="shared" ref="C164:D164" si="37">(L93*($E93/365))+(L94*($E94/365))</f>
        <v>0</v>
      </c>
      <c r="D164" s="744">
        <f t="shared" si="37"/>
        <v>55.555555555555557</v>
      </c>
      <c r="E164" s="745">
        <f t="shared" si="34"/>
        <v>55.555555555555557</v>
      </c>
      <c r="F164" s="749"/>
      <c r="G164" s="749">
        <v>2017</v>
      </c>
      <c r="H164" s="918">
        <f>(O93/$R93*100*($E93/365))+(O94/$R94*100*($E94/365))</f>
        <v>0</v>
      </c>
      <c r="I164" s="918"/>
      <c r="J164" s="918">
        <f>(P93/$R93*100*($E93/365))+(P94/$R94*100*($E94/365))</f>
        <v>0</v>
      </c>
      <c r="K164" s="918"/>
      <c r="L164" s="918">
        <f>(Q93/$R93*100*($E93/365))+(Q94/$R94*100*($E94/365))</f>
        <v>100</v>
      </c>
      <c r="M164" s="918"/>
      <c r="N164" s="887">
        <f>H164+J164+L164</f>
        <v>100</v>
      </c>
      <c r="O164" s="887"/>
      <c r="P164" s="749"/>
      <c r="Q164" s="749"/>
      <c r="R164" s="749">
        <v>2017</v>
      </c>
      <c r="S164" s="744">
        <f>(O93*($E93/365))+(O94*($E94/365))</f>
        <v>0</v>
      </c>
      <c r="T164" s="744">
        <f>(P93*($E93/365))+(P94*($E94/365))</f>
        <v>0</v>
      </c>
      <c r="U164" s="744">
        <f>(Q93*($E93/365))+(Q94*($E94/365))</f>
        <v>37.299999999999997</v>
      </c>
      <c r="V164" s="749"/>
      <c r="W164" s="746">
        <f t="shared" si="35"/>
        <v>37.299999999999997</v>
      </c>
    </row>
    <row r="165" spans="1:24">
      <c r="A165" s="775">
        <v>2018</v>
      </c>
      <c r="B165" s="772">
        <f>(K95*($E95/365))+(K96*($E96/365))</f>
        <v>0</v>
      </c>
      <c r="C165" s="772">
        <f>(L95*($E95/365))+(L96*($E96/365))</f>
        <v>0</v>
      </c>
      <c r="D165" s="772">
        <f>(M95*($E95/365))+(M96*($E96/365))</f>
        <v>58.76801862297431</v>
      </c>
      <c r="E165" s="773">
        <f t="shared" ref="E165" si="38">B165+C165+D165</f>
        <v>58.76801862297431</v>
      </c>
      <c r="F165" s="775"/>
      <c r="G165" s="775">
        <v>2018</v>
      </c>
      <c r="H165" s="918">
        <f>(O95/$R95*100*($E95/365))+(O96/$R96*100*($E96/365))</f>
        <v>0</v>
      </c>
      <c r="I165" s="918"/>
      <c r="J165" s="918">
        <f>(P95/$R95*100*($E95/365))+(P96/$R96*100*($E96/365))</f>
        <v>0</v>
      </c>
      <c r="K165" s="918"/>
      <c r="L165" s="918">
        <f>(Q95/$R95*100*($E95/365))+(Q96/$R96*100*($E96/365))</f>
        <v>100</v>
      </c>
      <c r="M165" s="918"/>
      <c r="N165" s="887">
        <f t="shared" ref="N165" si="39">H165+J165+L165</f>
        <v>100</v>
      </c>
      <c r="O165" s="887"/>
      <c r="P165" s="775"/>
      <c r="Q165" s="775"/>
      <c r="R165" s="775">
        <v>2018</v>
      </c>
      <c r="S165" s="772">
        <f>(O95*($E95/365))+(O96*($E96/365))</f>
        <v>0</v>
      </c>
      <c r="T165" s="772">
        <f>(P95*($E95/365))+(P96*($E96/365))</f>
        <v>0</v>
      </c>
      <c r="U165" s="772">
        <f>(Q95*($E95/365))+(Q96*($E96/365))</f>
        <v>37.299999999999997</v>
      </c>
      <c r="V165" s="775"/>
      <c r="W165" s="774">
        <f t="shared" ref="W165" si="40">S165+T165+U165</f>
        <v>37.299999999999997</v>
      </c>
    </row>
    <row r="166" spans="1:24">
      <c r="A166" s="816">
        <v>2019</v>
      </c>
      <c r="B166" s="812">
        <f>(K97*($E97/365))+(K98*($E98/365))+(K99*(E99/365))</f>
        <v>0</v>
      </c>
      <c r="C166" s="812">
        <f>(L97*($E97/365))+(L98*($E98/365))+(L99*(E99/365))</f>
        <v>0</v>
      </c>
      <c r="D166" s="812">
        <f>(M97*($E97/365))+(M98*($E98/365))+(M99*(E99/365))</f>
        <v>79.617691825588679</v>
      </c>
      <c r="E166" s="811">
        <f t="shared" ref="E166" si="41">B166+C166+D166</f>
        <v>79.617691825588679</v>
      </c>
      <c r="F166" s="816"/>
      <c r="G166" s="816">
        <v>2019</v>
      </c>
      <c r="H166" s="918">
        <f>(O97/$R97*100*($E97/365))+(O98/$R98*100*($E98/365))+(O99/R99*100*(E99/365))</f>
        <v>0</v>
      </c>
      <c r="I166" s="918"/>
      <c r="J166" s="918">
        <f>(P97/$R97*100*($E97/365))+(P98/$R98*100*($E98/365))+(P99/R99*100*(E99/365))</f>
        <v>0</v>
      </c>
      <c r="K166" s="918"/>
      <c r="L166" s="918">
        <f>(Q97/$R97*100*($E97/365))+(Q98/$R98*100*($E98/365))+(Q99/R99*100*(E99/365))</f>
        <v>100</v>
      </c>
      <c r="M166" s="918"/>
      <c r="N166" s="887">
        <f t="shared" ref="N166" si="42">H166+J166+L166</f>
        <v>100</v>
      </c>
      <c r="O166" s="887"/>
      <c r="P166" s="816"/>
      <c r="Q166" s="816"/>
      <c r="R166" s="816">
        <v>2019</v>
      </c>
      <c r="S166" s="812">
        <f>(O97*($E97/365))+(O98*($E98/365))+(O99*(E99/365))</f>
        <v>0</v>
      </c>
      <c r="T166" s="812">
        <f>(P97*($E97/365))+(P98*($E98/365))+(P99*(E99/365))</f>
        <v>0</v>
      </c>
      <c r="U166" s="812">
        <f>(Q97*($E97/365))+(Q98*($E98/365))+(Q99*(E99/365))</f>
        <v>39.080547945205474</v>
      </c>
      <c r="V166" s="816"/>
      <c r="W166" s="815">
        <f t="shared" ref="W166" si="43">S166+T166+U166</f>
        <v>39.080547945205474</v>
      </c>
      <c r="X166" s="816"/>
    </row>
    <row r="167" spans="1:24">
      <c r="A167" s="816"/>
      <c r="G167" s="816"/>
      <c r="P167" s="816"/>
      <c r="Q167" s="816"/>
      <c r="R167" s="816"/>
    </row>
  </sheetData>
  <mergeCells count="296">
    <mergeCell ref="N141:O141"/>
    <mergeCell ref="N132:O132"/>
    <mergeCell ref="C99:D99"/>
    <mergeCell ref="C97:D97"/>
    <mergeCell ref="C98:D98"/>
    <mergeCell ref="J166:K166"/>
    <mergeCell ref="L166:M166"/>
    <mergeCell ref="H166:I166"/>
    <mergeCell ref="N166:O166"/>
    <mergeCell ref="H106:I106"/>
    <mergeCell ref="J106:K106"/>
    <mergeCell ref="L106:M106"/>
    <mergeCell ref="N106:O106"/>
    <mergeCell ref="H124:I124"/>
    <mergeCell ref="J124:K124"/>
    <mergeCell ref="N124:O124"/>
    <mergeCell ref="L124:M124"/>
    <mergeCell ref="H123:I123"/>
    <mergeCell ref="L133:M133"/>
    <mergeCell ref="L134:M134"/>
    <mergeCell ref="J133:K133"/>
    <mergeCell ref="J134:K134"/>
    <mergeCell ref="H133:I133"/>
    <mergeCell ref="J139:K139"/>
    <mergeCell ref="N139:O139"/>
    <mergeCell ref="C63:D63"/>
    <mergeCell ref="C64:D64"/>
    <mergeCell ref="C65:D65"/>
    <mergeCell ref="C66:D66"/>
    <mergeCell ref="C67:D67"/>
    <mergeCell ref="C68:D68"/>
    <mergeCell ref="C69:D69"/>
    <mergeCell ref="C70:D70"/>
    <mergeCell ref="N128:O128"/>
    <mergeCell ref="H125:I125"/>
    <mergeCell ref="J125:K125"/>
    <mergeCell ref="L125:M125"/>
    <mergeCell ref="N125:O125"/>
    <mergeCell ref="H126:I126"/>
    <mergeCell ref="J126:K126"/>
    <mergeCell ref="L126:M126"/>
    <mergeCell ref="N126:O126"/>
    <mergeCell ref="H127:I127"/>
    <mergeCell ref="J127:K127"/>
    <mergeCell ref="L127:M127"/>
    <mergeCell ref="N127:O127"/>
    <mergeCell ref="J123:K123"/>
    <mergeCell ref="L123:M123"/>
    <mergeCell ref="N123:O123"/>
    <mergeCell ref="C75:D75"/>
    <mergeCell ref="C95:D95"/>
    <mergeCell ref="C96:D96"/>
    <mergeCell ref="C88:D88"/>
    <mergeCell ref="C89:D89"/>
    <mergeCell ref="C90:D90"/>
    <mergeCell ref="C86:D86"/>
    <mergeCell ref="C87:D87"/>
    <mergeCell ref="C83:D83"/>
    <mergeCell ref="C76:D76"/>
    <mergeCell ref="C77:D77"/>
    <mergeCell ref="C78:D78"/>
    <mergeCell ref="C79:D79"/>
    <mergeCell ref="C80:D80"/>
    <mergeCell ref="C81:D81"/>
    <mergeCell ref="C82:D82"/>
    <mergeCell ref="C49:D49"/>
    <mergeCell ref="C50:D50"/>
    <mergeCell ref="C51:D51"/>
    <mergeCell ref="C93:D93"/>
    <mergeCell ref="C94:D94"/>
    <mergeCell ref="C91:D91"/>
    <mergeCell ref="C92:D92"/>
    <mergeCell ref="C85:D85"/>
    <mergeCell ref="C84:D84"/>
    <mergeCell ref="C52:D52"/>
    <mergeCell ref="C53:D53"/>
    <mergeCell ref="C54:D54"/>
    <mergeCell ref="C55:D55"/>
    <mergeCell ref="C71:D71"/>
    <mergeCell ref="C72:D72"/>
    <mergeCell ref="C73:D73"/>
    <mergeCell ref="C74:D74"/>
    <mergeCell ref="C56:D56"/>
    <mergeCell ref="C57:D57"/>
    <mergeCell ref="C58:D58"/>
    <mergeCell ref="C59:D59"/>
    <mergeCell ref="C60:D60"/>
    <mergeCell ref="C61:D61"/>
    <mergeCell ref="C62:D62"/>
    <mergeCell ref="C6:D6"/>
    <mergeCell ref="Z4:AC4"/>
    <mergeCell ref="AD4:AG4"/>
    <mergeCell ref="AH4:AK4"/>
    <mergeCell ref="AL4:AO4"/>
    <mergeCell ref="C7:D7"/>
    <mergeCell ref="C31:D31"/>
    <mergeCell ref="C24:D24"/>
    <mergeCell ref="C25:D25"/>
    <mergeCell ref="C26:D26"/>
    <mergeCell ref="C27:D27"/>
    <mergeCell ref="C28:D28"/>
    <mergeCell ref="C29:D29"/>
    <mergeCell ref="C30:D30"/>
    <mergeCell ref="C8:D8"/>
    <mergeCell ref="C9:D9"/>
    <mergeCell ref="C10:D10"/>
    <mergeCell ref="C11:D11"/>
    <mergeCell ref="C12:D12"/>
    <mergeCell ref="C13:D13"/>
    <mergeCell ref="C14:D14"/>
    <mergeCell ref="C15:D15"/>
    <mergeCell ref="C16:D16"/>
    <mergeCell ref="C17:D17"/>
    <mergeCell ref="A4:A5"/>
    <mergeCell ref="B4:B5"/>
    <mergeCell ref="C4:D5"/>
    <mergeCell ref="E4:E5"/>
    <mergeCell ref="F4:F5"/>
    <mergeCell ref="G4:J4"/>
    <mergeCell ref="K4:N4"/>
    <mergeCell ref="O4:R4"/>
    <mergeCell ref="S4:S5"/>
    <mergeCell ref="G3:M3"/>
    <mergeCell ref="O3:Q3"/>
    <mergeCell ref="N130:O130"/>
    <mergeCell ref="H131:I131"/>
    <mergeCell ref="H135:I135"/>
    <mergeCell ref="H136:I136"/>
    <mergeCell ref="H137:I137"/>
    <mergeCell ref="H138:I138"/>
    <mergeCell ref="N134:O134"/>
    <mergeCell ref="L130:M130"/>
    <mergeCell ref="J137:K137"/>
    <mergeCell ref="J138:K138"/>
    <mergeCell ref="H130:I130"/>
    <mergeCell ref="L135:M135"/>
    <mergeCell ref="L136:M136"/>
    <mergeCell ref="L137:M137"/>
    <mergeCell ref="J130:K130"/>
    <mergeCell ref="L138:M138"/>
    <mergeCell ref="J131:K131"/>
    <mergeCell ref="L131:M131"/>
    <mergeCell ref="N131:O131"/>
    <mergeCell ref="H132:I132"/>
    <mergeCell ref="J132:K132"/>
    <mergeCell ref="L132:M132"/>
    <mergeCell ref="C18:D18"/>
    <mergeCell ref="C19:D19"/>
    <mergeCell ref="C20:D20"/>
    <mergeCell ref="C21:D21"/>
    <mergeCell ref="C22:D22"/>
    <mergeCell ref="C23:D23"/>
    <mergeCell ref="H142:I142"/>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L143:M143"/>
    <mergeCell ref="L144:M144"/>
    <mergeCell ref="L139:M139"/>
    <mergeCell ref="L142:M142"/>
    <mergeCell ref="L129:M129"/>
    <mergeCell ref="H129:I129"/>
    <mergeCell ref="J129:K129"/>
    <mergeCell ref="H128:I128"/>
    <mergeCell ref="J128:K128"/>
    <mergeCell ref="L128:M128"/>
    <mergeCell ref="L141:M141"/>
    <mergeCell ref="J141:K141"/>
    <mergeCell ref="J142:K142"/>
    <mergeCell ref="H141:I141"/>
    <mergeCell ref="J140:K140"/>
    <mergeCell ref="H148:I148"/>
    <mergeCell ref="J149:K149"/>
    <mergeCell ref="J150:K150"/>
    <mergeCell ref="H147:I147"/>
    <mergeCell ref="H146:I146"/>
    <mergeCell ref="AX4:BA4"/>
    <mergeCell ref="J143:K143"/>
    <mergeCell ref="H150:I150"/>
    <mergeCell ref="J135:K135"/>
    <mergeCell ref="J136:K136"/>
    <mergeCell ref="H134:I134"/>
    <mergeCell ref="AP4:AS4"/>
    <mergeCell ref="J144:K144"/>
    <mergeCell ref="J146:K146"/>
    <mergeCell ref="H143:I143"/>
    <mergeCell ref="H144:I144"/>
    <mergeCell ref="H145:I145"/>
    <mergeCell ref="J145:K145"/>
    <mergeCell ref="H139:I139"/>
    <mergeCell ref="H140:I140"/>
    <mergeCell ref="L140:M140"/>
    <mergeCell ref="AT4:AW4"/>
    <mergeCell ref="N129:O129"/>
    <mergeCell ref="N133:O133"/>
    <mergeCell ref="R104:W104"/>
    <mergeCell ref="N156:O156"/>
    <mergeCell ref="N157:O157"/>
    <mergeCell ref="N150:O150"/>
    <mergeCell ref="N151:O151"/>
    <mergeCell ref="N152:O152"/>
    <mergeCell ref="N143:O143"/>
    <mergeCell ref="V4:Y4"/>
    <mergeCell ref="N159:O159"/>
    <mergeCell ref="N148:O148"/>
    <mergeCell ref="N149:O149"/>
    <mergeCell ref="N138:O138"/>
    <mergeCell ref="N158:O158"/>
    <mergeCell ref="N142:O142"/>
    <mergeCell ref="N135:O135"/>
    <mergeCell ref="N136:O136"/>
    <mergeCell ref="N137:O137"/>
    <mergeCell ref="T4:T5"/>
    <mergeCell ref="U4:U5"/>
    <mergeCell ref="N154:O154"/>
    <mergeCell ref="N155:O155"/>
    <mergeCell ref="N144:O144"/>
    <mergeCell ref="N145:O145"/>
    <mergeCell ref="N140:O140"/>
    <mergeCell ref="N146:O146"/>
    <mergeCell ref="N147:O147"/>
    <mergeCell ref="N153:O153"/>
    <mergeCell ref="J151:K151"/>
    <mergeCell ref="J152:K152"/>
    <mergeCell ref="L145:M145"/>
    <mergeCell ref="L146:M146"/>
    <mergeCell ref="L154:M154"/>
    <mergeCell ref="L155:M155"/>
    <mergeCell ref="L148:M148"/>
    <mergeCell ref="L149:M149"/>
    <mergeCell ref="L150:M150"/>
    <mergeCell ref="J154:K154"/>
    <mergeCell ref="J155:K155"/>
    <mergeCell ref="L147:M147"/>
    <mergeCell ref="J148:K148"/>
    <mergeCell ref="J147:K147"/>
    <mergeCell ref="L151:M151"/>
    <mergeCell ref="L152:M152"/>
    <mergeCell ref="H165:I165"/>
    <mergeCell ref="J165:K165"/>
    <mergeCell ref="L165:M165"/>
    <mergeCell ref="N165:O165"/>
    <mergeCell ref="L162:M162"/>
    <mergeCell ref="N162:O162"/>
    <mergeCell ref="H160:I160"/>
    <mergeCell ref="J160:K160"/>
    <mergeCell ref="L160:M160"/>
    <mergeCell ref="H162:I162"/>
    <mergeCell ref="J162:K162"/>
    <mergeCell ref="H164:I164"/>
    <mergeCell ref="J164:K164"/>
    <mergeCell ref="L164:M164"/>
    <mergeCell ref="N164:O164"/>
    <mergeCell ref="H163:I163"/>
    <mergeCell ref="J163:K163"/>
    <mergeCell ref="L163:M163"/>
    <mergeCell ref="N163:O163"/>
    <mergeCell ref="H161:I161"/>
    <mergeCell ref="J161:K161"/>
    <mergeCell ref="L161:M161"/>
    <mergeCell ref="N161:O161"/>
    <mergeCell ref="N160:O160"/>
    <mergeCell ref="H159:I159"/>
    <mergeCell ref="J159:K159"/>
    <mergeCell ref="L159:M159"/>
    <mergeCell ref="L156:M156"/>
    <mergeCell ref="H157:I157"/>
    <mergeCell ref="L158:M158"/>
    <mergeCell ref="J156:K156"/>
    <mergeCell ref="J157:K157"/>
    <mergeCell ref="H149:I149"/>
    <mergeCell ref="H155:I155"/>
    <mergeCell ref="H156:I156"/>
    <mergeCell ref="L153:M153"/>
    <mergeCell ref="H158:I158"/>
    <mergeCell ref="J158:K158"/>
    <mergeCell ref="J153:K153"/>
    <mergeCell ref="H151:I151"/>
    <mergeCell ref="H153:I153"/>
    <mergeCell ref="H154:I154"/>
    <mergeCell ref="H152:I152"/>
    <mergeCell ref="L157:M15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A131"/>
  <sheetViews>
    <sheetView zoomScale="193" zoomScaleNormal="120" workbookViewId="0">
      <pane ySplit="5" topLeftCell="A78" activePane="bottomLeft" state="frozen"/>
      <selection pane="bottomLeft" activeCell="T6" sqref="T6:U94"/>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145</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85" customFormat="1">
      <c r="A6" s="185">
        <v>1990</v>
      </c>
      <c r="B6" s="852"/>
      <c r="C6" s="935" t="s">
        <v>1268</v>
      </c>
      <c r="D6" s="935"/>
      <c r="E6" s="185">
        <v>178</v>
      </c>
      <c r="G6" s="74"/>
      <c r="H6" s="75"/>
      <c r="I6" s="75"/>
      <c r="J6" s="76"/>
      <c r="K6" s="77"/>
      <c r="L6" s="77"/>
      <c r="M6" s="77"/>
      <c r="N6" s="78"/>
      <c r="O6" s="79"/>
      <c r="P6" s="77"/>
      <c r="Q6" s="77"/>
      <c r="R6" s="80"/>
      <c r="T6" s="839"/>
      <c r="U6" s="852"/>
      <c r="V6" s="82"/>
      <c r="Y6" s="83"/>
      <c r="AD6" s="82"/>
      <c r="AG6" s="83"/>
      <c r="AL6" s="82"/>
      <c r="AO6" s="83"/>
      <c r="AP6" s="82"/>
      <c r="AS6" s="83"/>
      <c r="AW6" s="83"/>
      <c r="BA6" s="84"/>
    </row>
    <row r="7" spans="1:53" s="292" customFormat="1">
      <c r="A7" s="292">
        <v>1990</v>
      </c>
      <c r="B7" s="836">
        <v>33052</v>
      </c>
      <c r="C7" s="916" t="s">
        <v>909</v>
      </c>
      <c r="D7" s="916"/>
      <c r="E7" s="292">
        <v>187</v>
      </c>
      <c r="F7" s="292" t="s">
        <v>338</v>
      </c>
      <c r="G7" s="293"/>
      <c r="H7" s="179"/>
      <c r="I7" s="179">
        <v>21</v>
      </c>
      <c r="J7" s="294">
        <v>23</v>
      </c>
      <c r="K7" s="295">
        <f t="shared" ref="K7:K55" si="0">G7/J7*100</f>
        <v>0</v>
      </c>
      <c r="L7" s="295">
        <f t="shared" ref="L7:L55" si="1">H7/J7*100</f>
        <v>0</v>
      </c>
      <c r="M7" s="295">
        <f t="shared" ref="M7:M55" si="2">I7/J7*100</f>
        <v>91.304347826086953</v>
      </c>
      <c r="N7" s="296">
        <f t="shared" ref="N7:N70" si="3">SUM(K7:M7)</f>
        <v>91.304347826086953</v>
      </c>
      <c r="O7" s="297"/>
      <c r="P7" s="295"/>
      <c r="Q7" s="295">
        <v>66.400000000000006</v>
      </c>
      <c r="R7" s="298">
        <f t="shared" ref="R7:R64" si="4">SUM(O7:Q7)</f>
        <v>66.400000000000006</v>
      </c>
      <c r="S7" s="292">
        <v>1</v>
      </c>
      <c r="T7" s="838">
        <v>33013</v>
      </c>
      <c r="U7" s="836">
        <v>33052</v>
      </c>
      <c r="V7" s="299" t="s">
        <v>911</v>
      </c>
      <c r="W7" s="292" t="s">
        <v>20</v>
      </c>
      <c r="X7" s="292" t="s">
        <v>12</v>
      </c>
      <c r="Y7" s="300">
        <v>66.400000000000006</v>
      </c>
      <c r="AD7" s="299"/>
      <c r="AG7" s="300"/>
      <c r="AL7" s="299"/>
      <c r="AO7" s="300"/>
      <c r="AP7" s="299"/>
      <c r="AS7" s="300"/>
      <c r="AW7" s="300"/>
      <c r="BA7" s="301"/>
    </row>
    <row r="8" spans="1:53" s="292" customFormat="1">
      <c r="A8" s="292">
        <v>1991</v>
      </c>
      <c r="B8" s="836"/>
      <c r="C8" s="916" t="s">
        <v>909</v>
      </c>
      <c r="D8" s="916"/>
      <c r="E8" s="292">
        <v>288</v>
      </c>
      <c r="G8" s="293"/>
      <c r="H8" s="179"/>
      <c r="I8" s="179">
        <v>21</v>
      </c>
      <c r="J8" s="294">
        <v>23</v>
      </c>
      <c r="K8" s="295">
        <f t="shared" si="0"/>
        <v>0</v>
      </c>
      <c r="L8" s="295">
        <f t="shared" si="1"/>
        <v>0</v>
      </c>
      <c r="M8" s="295">
        <f t="shared" si="2"/>
        <v>91.304347826086953</v>
      </c>
      <c r="N8" s="296">
        <f t="shared" si="3"/>
        <v>91.304347826086953</v>
      </c>
      <c r="O8" s="297"/>
      <c r="P8" s="295"/>
      <c r="Q8" s="295">
        <v>66.400000000000006</v>
      </c>
      <c r="R8" s="298">
        <f t="shared" si="4"/>
        <v>66.400000000000006</v>
      </c>
      <c r="S8" s="292">
        <v>1</v>
      </c>
      <c r="T8" s="838"/>
      <c r="U8" s="836"/>
      <c r="V8" s="299" t="s">
        <v>911</v>
      </c>
      <c r="W8" s="292" t="s">
        <v>20</v>
      </c>
      <c r="X8" s="292" t="s">
        <v>12</v>
      </c>
      <c r="Y8" s="300">
        <v>66.400000000000006</v>
      </c>
      <c r="AD8" s="299"/>
      <c r="AG8" s="300"/>
      <c r="AL8" s="299"/>
      <c r="AO8" s="300"/>
      <c r="AP8" s="299"/>
      <c r="AS8" s="300"/>
      <c r="AW8" s="300"/>
      <c r="BA8" s="301"/>
    </row>
    <row r="9" spans="1:53" s="185" customFormat="1">
      <c r="A9" s="185">
        <v>1991</v>
      </c>
      <c r="B9" s="852">
        <v>33527</v>
      </c>
      <c r="C9" s="917" t="s">
        <v>910</v>
      </c>
      <c r="D9" s="917"/>
      <c r="E9" s="185">
        <f>365-E8</f>
        <v>77</v>
      </c>
      <c r="F9" s="185">
        <v>2</v>
      </c>
      <c r="G9" s="74">
        <v>3</v>
      </c>
      <c r="H9" s="75"/>
      <c r="I9" s="75">
        <v>13</v>
      </c>
      <c r="J9" s="76">
        <v>19</v>
      </c>
      <c r="K9" s="77">
        <f t="shared" si="0"/>
        <v>15.789473684210526</v>
      </c>
      <c r="L9" s="77">
        <f t="shared" si="1"/>
        <v>0</v>
      </c>
      <c r="M9" s="77">
        <f t="shared" si="2"/>
        <v>68.421052631578945</v>
      </c>
      <c r="N9" s="78">
        <f t="shared" si="3"/>
        <v>84.210526315789465</v>
      </c>
      <c r="O9" s="79">
        <v>7.3</v>
      </c>
      <c r="P9" s="77"/>
      <c r="Q9" s="77">
        <v>71.7</v>
      </c>
      <c r="R9" s="80">
        <f t="shared" si="4"/>
        <v>79</v>
      </c>
      <c r="S9" s="185">
        <v>3</v>
      </c>
      <c r="T9" s="839"/>
      <c r="U9" s="852">
        <v>33527</v>
      </c>
      <c r="V9" s="82" t="s">
        <v>911</v>
      </c>
      <c r="W9" s="185" t="s">
        <v>20</v>
      </c>
      <c r="X9" s="185" t="s">
        <v>12</v>
      </c>
      <c r="Y9" s="83">
        <v>66.400000000000006</v>
      </c>
      <c r="Z9" s="185" t="s">
        <v>912</v>
      </c>
      <c r="AA9" s="185" t="s">
        <v>22</v>
      </c>
      <c r="AB9" s="185" t="s">
        <v>11</v>
      </c>
      <c r="AC9" s="185">
        <v>7.3</v>
      </c>
      <c r="AD9" s="82" t="s">
        <v>913</v>
      </c>
      <c r="AE9" s="185" t="s">
        <v>218</v>
      </c>
      <c r="AF9" s="185" t="s">
        <v>12</v>
      </c>
      <c r="AG9" s="83">
        <v>3</v>
      </c>
      <c r="AH9" s="185" t="s">
        <v>914</v>
      </c>
      <c r="AI9" s="185" t="s">
        <v>872</v>
      </c>
      <c r="AJ9" s="185" t="s">
        <v>12</v>
      </c>
      <c r="AK9" s="185">
        <v>2.2999999999999998</v>
      </c>
      <c r="AL9" s="82"/>
      <c r="AO9" s="83"/>
      <c r="AP9" s="82"/>
      <c r="AS9" s="83"/>
      <c r="AW9" s="83"/>
      <c r="BA9" s="84"/>
    </row>
    <row r="10" spans="1:53" s="185" customFormat="1">
      <c r="A10" s="185">
        <v>1992</v>
      </c>
      <c r="B10" s="852"/>
      <c r="C10" s="917" t="s">
        <v>910</v>
      </c>
      <c r="D10" s="917"/>
      <c r="E10" s="185">
        <v>317</v>
      </c>
      <c r="G10" s="74">
        <v>3</v>
      </c>
      <c r="H10" s="75"/>
      <c r="I10" s="75">
        <v>13</v>
      </c>
      <c r="J10" s="76">
        <v>19</v>
      </c>
      <c r="K10" s="77">
        <f t="shared" si="0"/>
        <v>15.789473684210526</v>
      </c>
      <c r="L10" s="77">
        <f t="shared" si="1"/>
        <v>0</v>
      </c>
      <c r="M10" s="77">
        <f t="shared" si="2"/>
        <v>68.421052631578945</v>
      </c>
      <c r="N10" s="78">
        <f t="shared" si="3"/>
        <v>84.210526315789465</v>
      </c>
      <c r="O10" s="79">
        <v>7.3</v>
      </c>
      <c r="P10" s="77"/>
      <c r="Q10" s="77">
        <v>71.7</v>
      </c>
      <c r="R10" s="80">
        <f t="shared" si="4"/>
        <v>79</v>
      </c>
      <c r="S10" s="185">
        <v>3</v>
      </c>
      <c r="T10" s="839"/>
      <c r="U10" s="852"/>
      <c r="V10" s="82" t="s">
        <v>911</v>
      </c>
      <c r="W10" s="185" t="s">
        <v>20</v>
      </c>
      <c r="X10" s="185" t="s">
        <v>12</v>
      </c>
      <c r="Y10" s="83">
        <v>66.400000000000006</v>
      </c>
      <c r="Z10" s="185" t="s">
        <v>912</v>
      </c>
      <c r="AA10" s="185" t="s">
        <v>22</v>
      </c>
      <c r="AB10" s="185" t="s">
        <v>11</v>
      </c>
      <c r="AC10" s="185">
        <v>7.3</v>
      </c>
      <c r="AD10" s="82" t="s">
        <v>913</v>
      </c>
      <c r="AE10" s="185" t="s">
        <v>218</v>
      </c>
      <c r="AF10" s="185" t="s">
        <v>12</v>
      </c>
      <c r="AG10" s="83">
        <v>3</v>
      </c>
      <c r="AH10" s="185" t="s">
        <v>914</v>
      </c>
      <c r="AI10" s="185" t="s">
        <v>872</v>
      </c>
      <c r="AJ10" s="185" t="s">
        <v>12</v>
      </c>
      <c r="AK10" s="185">
        <v>2.2999999999999998</v>
      </c>
      <c r="AL10" s="82"/>
      <c r="AO10" s="83"/>
      <c r="AP10" s="82"/>
      <c r="AS10" s="83"/>
      <c r="AW10" s="83"/>
      <c r="BA10" s="84"/>
    </row>
    <row r="11" spans="1:53" s="292" customFormat="1">
      <c r="A11" s="292">
        <v>1992</v>
      </c>
      <c r="B11" s="836">
        <v>33921</v>
      </c>
      <c r="C11" s="916" t="s">
        <v>1163</v>
      </c>
      <c r="D11" s="916"/>
      <c r="E11" s="292">
        <f xml:space="preserve"> 366-E10</f>
        <v>49</v>
      </c>
      <c r="F11" s="292">
        <v>1</v>
      </c>
      <c r="G11" s="293"/>
      <c r="H11" s="179"/>
      <c r="I11" s="179">
        <v>19</v>
      </c>
      <c r="J11" s="294">
        <v>20</v>
      </c>
      <c r="K11" s="295">
        <f t="shared" si="0"/>
        <v>0</v>
      </c>
      <c r="L11" s="295">
        <f t="shared" si="1"/>
        <v>0</v>
      </c>
      <c r="M11" s="295">
        <f t="shared" si="2"/>
        <v>95</v>
      </c>
      <c r="N11" s="296">
        <f t="shared" si="3"/>
        <v>95</v>
      </c>
      <c r="O11" s="297"/>
      <c r="P11" s="295"/>
      <c r="Q11" s="295">
        <v>34.299999999999997</v>
      </c>
      <c r="R11" s="298">
        <f t="shared" si="4"/>
        <v>34.299999999999997</v>
      </c>
      <c r="S11" s="292">
        <v>4</v>
      </c>
      <c r="T11" s="838">
        <v>33874</v>
      </c>
      <c r="U11" s="836">
        <v>33921</v>
      </c>
      <c r="V11" s="299" t="s">
        <v>911</v>
      </c>
      <c r="W11" s="292" t="s">
        <v>20</v>
      </c>
      <c r="X11" s="292" t="s">
        <v>12</v>
      </c>
      <c r="Y11" s="300">
        <v>34.299999999999997</v>
      </c>
      <c r="AD11" s="299"/>
      <c r="AG11" s="300"/>
      <c r="AL11" s="299"/>
      <c r="AO11" s="300"/>
      <c r="AP11" s="299"/>
      <c r="AS11" s="300"/>
      <c r="AW11" s="300"/>
      <c r="BA11" s="301"/>
    </row>
    <row r="12" spans="1:53" s="292" customFormat="1">
      <c r="A12" s="292">
        <v>1993</v>
      </c>
      <c r="B12" s="836"/>
      <c r="C12" s="916" t="s">
        <v>1163</v>
      </c>
      <c r="D12" s="916"/>
      <c r="E12" s="292">
        <v>0</v>
      </c>
      <c r="G12" s="293"/>
      <c r="H12" s="179"/>
      <c r="I12" s="179">
        <v>19</v>
      </c>
      <c r="J12" s="294">
        <v>20</v>
      </c>
      <c r="K12" s="295">
        <f t="shared" si="0"/>
        <v>0</v>
      </c>
      <c r="L12" s="295">
        <f t="shared" si="1"/>
        <v>0</v>
      </c>
      <c r="M12" s="295">
        <f t="shared" si="2"/>
        <v>95</v>
      </c>
      <c r="N12" s="296">
        <f t="shared" si="3"/>
        <v>95</v>
      </c>
      <c r="O12" s="297"/>
      <c r="P12" s="295"/>
      <c r="Q12" s="295">
        <v>34.299999999999997</v>
      </c>
      <c r="R12" s="298">
        <f t="shared" si="4"/>
        <v>34.299999999999997</v>
      </c>
      <c r="S12" s="292">
        <v>4</v>
      </c>
      <c r="T12" s="838"/>
      <c r="U12" s="836"/>
      <c r="V12" s="299" t="s">
        <v>911</v>
      </c>
      <c r="W12" s="292" t="s">
        <v>20</v>
      </c>
      <c r="X12" s="292" t="s">
        <v>12</v>
      </c>
      <c r="Y12" s="300">
        <v>34.299999999999997</v>
      </c>
      <c r="AD12" s="299"/>
      <c r="AG12" s="300"/>
      <c r="AL12" s="299"/>
      <c r="AO12" s="300"/>
      <c r="AP12" s="299"/>
      <c r="AS12" s="300"/>
      <c r="AW12" s="300"/>
      <c r="BA12" s="301"/>
    </row>
    <row r="13" spans="1:53" s="292" customFormat="1">
      <c r="A13" s="292">
        <v>1993</v>
      </c>
      <c r="B13" s="836"/>
      <c r="C13" s="916" t="s">
        <v>1163</v>
      </c>
      <c r="D13" s="916"/>
      <c r="E13" s="292">
        <v>365</v>
      </c>
      <c r="G13" s="293"/>
      <c r="H13" s="179"/>
      <c r="I13" s="179">
        <v>19</v>
      </c>
      <c r="J13" s="294">
        <v>20</v>
      </c>
      <c r="K13" s="295">
        <f t="shared" si="0"/>
        <v>0</v>
      </c>
      <c r="L13" s="295">
        <f t="shared" si="1"/>
        <v>0</v>
      </c>
      <c r="M13" s="295">
        <f t="shared" si="2"/>
        <v>95</v>
      </c>
      <c r="N13" s="296">
        <f t="shared" si="3"/>
        <v>95</v>
      </c>
      <c r="O13" s="297"/>
      <c r="P13" s="295"/>
      <c r="Q13" s="295">
        <v>34.299999999999997</v>
      </c>
      <c r="R13" s="298">
        <f t="shared" si="4"/>
        <v>34.299999999999997</v>
      </c>
      <c r="S13" s="292">
        <v>4</v>
      </c>
      <c r="T13" s="838"/>
      <c r="U13" s="836"/>
      <c r="V13" s="299" t="s">
        <v>911</v>
      </c>
      <c r="W13" s="292" t="s">
        <v>20</v>
      </c>
      <c r="X13" s="292" t="s">
        <v>12</v>
      </c>
      <c r="Y13" s="300">
        <v>34.299999999999997</v>
      </c>
      <c r="AD13" s="299"/>
      <c r="AG13" s="300"/>
      <c r="AL13" s="299"/>
      <c r="AO13" s="300"/>
      <c r="AP13" s="299"/>
      <c r="AS13" s="300"/>
      <c r="AW13" s="300"/>
      <c r="BA13" s="301"/>
    </row>
    <row r="14" spans="1:53" s="292" customFormat="1">
      <c r="A14" s="292">
        <v>1994</v>
      </c>
      <c r="B14" s="836"/>
      <c r="C14" s="916" t="s">
        <v>1163</v>
      </c>
      <c r="D14" s="916"/>
      <c r="E14" s="292">
        <v>229</v>
      </c>
      <c r="G14" s="293"/>
      <c r="H14" s="179"/>
      <c r="I14" s="179">
        <v>19</v>
      </c>
      <c r="J14" s="294">
        <v>20</v>
      </c>
      <c r="K14" s="295">
        <f t="shared" si="0"/>
        <v>0</v>
      </c>
      <c r="L14" s="295">
        <f t="shared" si="1"/>
        <v>0</v>
      </c>
      <c r="M14" s="295">
        <f t="shared" si="2"/>
        <v>95</v>
      </c>
      <c r="N14" s="296">
        <f t="shared" si="3"/>
        <v>95</v>
      </c>
      <c r="O14" s="297"/>
      <c r="P14" s="295"/>
      <c r="Q14" s="295">
        <v>34.299999999999997</v>
      </c>
      <c r="R14" s="298">
        <f t="shared" si="4"/>
        <v>34.299999999999997</v>
      </c>
      <c r="S14" s="292">
        <v>4</v>
      </c>
      <c r="T14" s="838"/>
      <c r="U14" s="836"/>
      <c r="V14" s="299" t="s">
        <v>911</v>
      </c>
      <c r="W14" s="292" t="s">
        <v>20</v>
      </c>
      <c r="X14" s="292" t="s">
        <v>12</v>
      </c>
      <c r="Y14" s="300">
        <v>34.299999999999997</v>
      </c>
      <c r="AD14" s="299"/>
      <c r="AG14" s="300"/>
      <c r="AL14" s="299"/>
      <c r="AO14" s="300"/>
      <c r="AP14" s="299"/>
      <c r="AS14" s="300"/>
      <c r="AW14" s="300"/>
      <c r="BA14" s="301"/>
    </row>
    <row r="15" spans="1:53" s="185" customFormat="1">
      <c r="A15" s="185">
        <v>1994</v>
      </c>
      <c r="B15" s="852">
        <v>34564</v>
      </c>
      <c r="C15" s="917" t="s">
        <v>1164</v>
      </c>
      <c r="D15" s="917"/>
      <c r="E15" s="185">
        <f>365-E14</f>
        <v>136</v>
      </c>
      <c r="F15" s="185">
        <v>7</v>
      </c>
      <c r="G15" s="74">
        <v>2</v>
      </c>
      <c r="H15" s="75"/>
      <c r="I15" s="75">
        <v>16</v>
      </c>
      <c r="J15" s="76">
        <v>22</v>
      </c>
      <c r="K15" s="77">
        <f t="shared" si="0"/>
        <v>9.0909090909090917</v>
      </c>
      <c r="L15" s="77">
        <f t="shared" si="1"/>
        <v>0</v>
      </c>
      <c r="M15" s="77">
        <f t="shared" si="2"/>
        <v>72.727272727272734</v>
      </c>
      <c r="N15" s="78">
        <f t="shared" si="3"/>
        <v>81.818181818181827</v>
      </c>
      <c r="O15" s="79">
        <v>8.8000000000000007</v>
      </c>
      <c r="P15" s="77"/>
      <c r="Q15" s="77">
        <v>34.299999999999997</v>
      </c>
      <c r="R15" s="80">
        <f t="shared" si="4"/>
        <v>43.099999999999994</v>
      </c>
      <c r="S15" s="185">
        <v>5</v>
      </c>
      <c r="T15" s="839"/>
      <c r="U15" s="852">
        <v>34399</v>
      </c>
      <c r="V15" s="82" t="s">
        <v>915</v>
      </c>
      <c r="W15" s="185" t="s">
        <v>20</v>
      </c>
      <c r="X15" s="185" t="s">
        <v>12</v>
      </c>
      <c r="Y15" s="83">
        <v>34.299999999999997</v>
      </c>
      <c r="Z15" s="185" t="s">
        <v>916</v>
      </c>
      <c r="AA15" s="185" t="s">
        <v>297</v>
      </c>
      <c r="AB15" s="185" t="s">
        <v>11</v>
      </c>
      <c r="AC15" s="185">
        <v>8.8000000000000007</v>
      </c>
      <c r="AD15" s="82"/>
      <c r="AG15" s="83"/>
      <c r="AL15" s="82"/>
      <c r="AO15" s="83"/>
      <c r="AP15" s="82"/>
      <c r="AS15" s="83"/>
      <c r="AW15" s="83"/>
      <c r="BA15" s="84"/>
    </row>
    <row r="16" spans="1:53" s="185" customFormat="1">
      <c r="A16" s="185">
        <v>1995</v>
      </c>
      <c r="B16" s="852"/>
      <c r="C16" s="917" t="s">
        <v>1164</v>
      </c>
      <c r="D16" s="917"/>
      <c r="E16" s="185">
        <v>292</v>
      </c>
      <c r="G16" s="74">
        <v>2</v>
      </c>
      <c r="H16" s="75"/>
      <c r="I16" s="75">
        <v>16</v>
      </c>
      <c r="J16" s="76">
        <v>22</v>
      </c>
      <c r="K16" s="77">
        <f t="shared" si="0"/>
        <v>9.0909090909090917</v>
      </c>
      <c r="L16" s="77">
        <f t="shared" si="1"/>
        <v>0</v>
      </c>
      <c r="M16" s="77">
        <f t="shared" si="2"/>
        <v>72.727272727272734</v>
      </c>
      <c r="N16" s="78">
        <f t="shared" si="3"/>
        <v>81.818181818181827</v>
      </c>
      <c r="O16" s="79">
        <v>8.8000000000000007</v>
      </c>
      <c r="P16" s="77"/>
      <c r="Q16" s="77">
        <v>34.299999999999997</v>
      </c>
      <c r="R16" s="80">
        <f t="shared" si="4"/>
        <v>43.099999999999994</v>
      </c>
      <c r="S16" s="185">
        <v>5</v>
      </c>
      <c r="T16" s="839"/>
      <c r="U16" s="852"/>
      <c r="V16" s="82" t="s">
        <v>915</v>
      </c>
      <c r="W16" s="185" t="s">
        <v>20</v>
      </c>
      <c r="X16" s="185" t="s">
        <v>12</v>
      </c>
      <c r="Y16" s="83">
        <v>34.299999999999997</v>
      </c>
      <c r="Z16" s="185" t="s">
        <v>916</v>
      </c>
      <c r="AA16" s="185" t="s">
        <v>297</v>
      </c>
      <c r="AB16" s="185" t="s">
        <v>11</v>
      </c>
      <c r="AC16" s="185">
        <v>8.8000000000000007</v>
      </c>
      <c r="AD16" s="82"/>
      <c r="AG16" s="83"/>
      <c r="AL16" s="82"/>
      <c r="AO16" s="83"/>
      <c r="AP16" s="82"/>
      <c r="AS16" s="83"/>
      <c r="AW16" s="83"/>
      <c r="BA16" s="84"/>
    </row>
    <row r="17" spans="1:53" s="185" customFormat="1">
      <c r="A17" s="185">
        <v>1995</v>
      </c>
      <c r="B17" s="860">
        <v>34992</v>
      </c>
      <c r="C17" s="917" t="s">
        <v>1190</v>
      </c>
      <c r="D17" s="917"/>
      <c r="E17" s="185">
        <f xml:space="preserve"> 365-E16</f>
        <v>73</v>
      </c>
      <c r="F17" s="139">
        <v>0</v>
      </c>
      <c r="G17" s="74">
        <v>2</v>
      </c>
      <c r="H17" s="75"/>
      <c r="I17" s="75">
        <v>21</v>
      </c>
      <c r="J17" s="76">
        <v>24</v>
      </c>
      <c r="K17" s="77">
        <f t="shared" si="0"/>
        <v>8.3333333333333321</v>
      </c>
      <c r="L17" s="77">
        <f t="shared" si="1"/>
        <v>0</v>
      </c>
      <c r="M17" s="77">
        <f t="shared" si="2"/>
        <v>87.5</v>
      </c>
      <c r="N17" s="78">
        <f t="shared" si="3"/>
        <v>95.833333333333329</v>
      </c>
      <c r="O17" s="79">
        <v>8.8000000000000007</v>
      </c>
      <c r="P17" s="77"/>
      <c r="Q17" s="77">
        <v>34.299999999999997</v>
      </c>
      <c r="R17" s="80">
        <f t="shared" si="4"/>
        <v>43.099999999999994</v>
      </c>
      <c r="S17" s="185">
        <v>5</v>
      </c>
      <c r="T17" s="839"/>
      <c r="U17" s="852"/>
      <c r="V17" s="82" t="s">
        <v>915</v>
      </c>
      <c r="W17" s="185" t="s">
        <v>20</v>
      </c>
      <c r="X17" s="185" t="s">
        <v>12</v>
      </c>
      <c r="Y17" s="83">
        <v>34.299999999999997</v>
      </c>
      <c r="Z17" s="185" t="s">
        <v>916</v>
      </c>
      <c r="AA17" s="185" t="s">
        <v>297</v>
      </c>
      <c r="AB17" s="185" t="s">
        <v>11</v>
      </c>
      <c r="AC17" s="185">
        <v>8.8000000000000007</v>
      </c>
      <c r="AD17" s="82"/>
      <c r="AG17" s="83"/>
      <c r="AL17" s="82"/>
      <c r="AO17" s="83"/>
      <c r="AP17" s="82"/>
      <c r="AS17" s="83"/>
      <c r="AW17" s="83"/>
      <c r="BA17" s="84"/>
    </row>
    <row r="18" spans="1:53" s="185" customFormat="1">
      <c r="A18" s="185">
        <v>1996</v>
      </c>
      <c r="B18" s="852"/>
      <c r="C18" s="917" t="s">
        <v>1190</v>
      </c>
      <c r="D18" s="917"/>
      <c r="E18" s="185">
        <v>246</v>
      </c>
      <c r="G18" s="74">
        <v>2</v>
      </c>
      <c r="H18" s="75"/>
      <c r="I18" s="75">
        <v>21</v>
      </c>
      <c r="J18" s="76">
        <v>24</v>
      </c>
      <c r="K18" s="77">
        <f t="shared" si="0"/>
        <v>8.3333333333333321</v>
      </c>
      <c r="L18" s="77">
        <f t="shared" si="1"/>
        <v>0</v>
      </c>
      <c r="M18" s="77">
        <f t="shared" si="2"/>
        <v>87.5</v>
      </c>
      <c r="N18" s="78">
        <f t="shared" si="3"/>
        <v>95.833333333333329</v>
      </c>
      <c r="O18" s="79">
        <v>8.8000000000000007</v>
      </c>
      <c r="P18" s="77"/>
      <c r="Q18" s="77">
        <v>34.299999999999997</v>
      </c>
      <c r="R18" s="80">
        <f t="shared" si="4"/>
        <v>43.099999999999994</v>
      </c>
      <c r="S18" s="185">
        <v>5</v>
      </c>
      <c r="T18" s="839"/>
      <c r="U18" s="852"/>
      <c r="V18" s="82" t="s">
        <v>915</v>
      </c>
      <c r="W18" s="185" t="s">
        <v>20</v>
      </c>
      <c r="X18" s="185" t="s">
        <v>12</v>
      </c>
      <c r="Y18" s="83">
        <v>34.299999999999997</v>
      </c>
      <c r="Z18" s="185" t="s">
        <v>916</v>
      </c>
      <c r="AA18" s="185" t="s">
        <v>297</v>
      </c>
      <c r="AB18" s="185" t="s">
        <v>11</v>
      </c>
      <c r="AC18" s="185">
        <v>8.8000000000000007</v>
      </c>
      <c r="AD18" s="82"/>
      <c r="AG18" s="83"/>
      <c r="AL18" s="82"/>
      <c r="AO18" s="83"/>
      <c r="AP18" s="82"/>
      <c r="AS18" s="83"/>
      <c r="AW18" s="83"/>
      <c r="BA18" s="84"/>
    </row>
    <row r="19" spans="1:53" s="292" customFormat="1">
      <c r="A19" s="292">
        <v>1996</v>
      </c>
      <c r="B19" s="836">
        <v>35311</v>
      </c>
      <c r="C19" s="916" t="s">
        <v>1205</v>
      </c>
      <c r="D19" s="916"/>
      <c r="E19" s="292">
        <v>100</v>
      </c>
      <c r="F19" s="292">
        <v>4</v>
      </c>
      <c r="G19" s="293"/>
      <c r="H19" s="179"/>
      <c r="I19" s="179">
        <v>26</v>
      </c>
      <c r="J19" s="294">
        <v>26</v>
      </c>
      <c r="K19" s="295">
        <f t="shared" si="0"/>
        <v>0</v>
      </c>
      <c r="L19" s="295">
        <f t="shared" si="1"/>
        <v>0</v>
      </c>
      <c r="M19" s="295">
        <f t="shared" si="2"/>
        <v>100</v>
      </c>
      <c r="N19" s="296">
        <f t="shared" si="3"/>
        <v>100</v>
      </c>
      <c r="O19" s="297"/>
      <c r="P19" s="295"/>
      <c r="Q19" s="295">
        <v>34.299999999999997</v>
      </c>
      <c r="R19" s="298">
        <f t="shared" si="4"/>
        <v>34.299999999999997</v>
      </c>
      <c r="S19" s="292">
        <v>4</v>
      </c>
      <c r="T19" s="838"/>
      <c r="U19" s="836">
        <v>35311</v>
      </c>
      <c r="V19" s="299" t="s">
        <v>915</v>
      </c>
      <c r="W19" s="292" t="s">
        <v>20</v>
      </c>
      <c r="X19" s="292" t="s">
        <v>12</v>
      </c>
      <c r="Y19" s="300">
        <v>34.299999999999997</v>
      </c>
      <c r="AD19" s="299"/>
      <c r="AG19" s="300"/>
      <c r="AL19" s="299"/>
      <c r="AO19" s="300"/>
      <c r="AP19" s="299"/>
      <c r="AS19" s="300"/>
      <c r="AW19" s="300"/>
      <c r="BA19" s="301"/>
    </row>
    <row r="20" spans="1:53" s="185" customFormat="1">
      <c r="A20" s="185">
        <v>1996</v>
      </c>
      <c r="B20" s="852">
        <v>35411</v>
      </c>
      <c r="C20" s="917" t="s">
        <v>921</v>
      </c>
      <c r="D20" s="917"/>
      <c r="E20" s="185">
        <f>366-E19-E18</f>
        <v>20</v>
      </c>
      <c r="F20" s="185">
        <v>1</v>
      </c>
      <c r="G20" s="74">
        <v>13</v>
      </c>
      <c r="H20" s="75">
        <v>1</v>
      </c>
      <c r="I20" s="75">
        <v>5</v>
      </c>
      <c r="J20" s="76">
        <v>20</v>
      </c>
      <c r="K20" s="77">
        <f t="shared" si="0"/>
        <v>65</v>
      </c>
      <c r="L20" s="77">
        <f t="shared" si="1"/>
        <v>5</v>
      </c>
      <c r="M20" s="77">
        <f t="shared" si="2"/>
        <v>25</v>
      </c>
      <c r="N20" s="78">
        <f t="shared" si="3"/>
        <v>95</v>
      </c>
      <c r="O20" s="79">
        <v>35.6</v>
      </c>
      <c r="P20" s="77">
        <v>7.3</v>
      </c>
      <c r="Q20" s="77">
        <v>15.5</v>
      </c>
      <c r="R20" s="80">
        <f t="shared" si="4"/>
        <v>58.4</v>
      </c>
      <c r="S20" s="185">
        <v>3</v>
      </c>
      <c r="T20" s="839">
        <v>35376</v>
      </c>
      <c r="U20" s="852">
        <v>35411</v>
      </c>
      <c r="V20" s="82" t="s">
        <v>917</v>
      </c>
      <c r="W20" s="185" t="s">
        <v>918</v>
      </c>
      <c r="X20" s="185" t="s">
        <v>11</v>
      </c>
      <c r="Y20" s="83">
        <v>35.6</v>
      </c>
      <c r="Z20" s="185" t="s">
        <v>919</v>
      </c>
      <c r="AA20" s="185" t="s">
        <v>98</v>
      </c>
      <c r="AB20" s="185" t="s">
        <v>12</v>
      </c>
      <c r="AC20" s="185">
        <v>15.5</v>
      </c>
      <c r="AD20" s="82" t="s">
        <v>920</v>
      </c>
      <c r="AE20" s="185" t="s">
        <v>90</v>
      </c>
      <c r="AF20" s="185" t="s">
        <v>18</v>
      </c>
      <c r="AG20" s="83">
        <v>7.3</v>
      </c>
      <c r="AL20" s="82"/>
      <c r="AO20" s="83"/>
      <c r="AP20" s="82"/>
      <c r="AS20" s="83"/>
      <c r="AW20" s="83"/>
      <c r="BA20" s="84"/>
    </row>
    <row r="21" spans="1:53" s="185" customFormat="1">
      <c r="A21" s="185">
        <v>1997</v>
      </c>
      <c r="B21" s="852"/>
      <c r="C21" s="917" t="s">
        <v>921</v>
      </c>
      <c r="D21" s="917"/>
      <c r="E21" s="185">
        <v>0</v>
      </c>
      <c r="G21" s="74">
        <v>13</v>
      </c>
      <c r="H21" s="75">
        <v>1</v>
      </c>
      <c r="I21" s="75">
        <v>5</v>
      </c>
      <c r="J21" s="76">
        <v>20</v>
      </c>
      <c r="K21" s="77">
        <f t="shared" si="0"/>
        <v>65</v>
      </c>
      <c r="L21" s="77">
        <f t="shared" si="1"/>
        <v>5</v>
      </c>
      <c r="M21" s="77">
        <f t="shared" si="2"/>
        <v>25</v>
      </c>
      <c r="N21" s="78">
        <f t="shared" si="3"/>
        <v>95</v>
      </c>
      <c r="O21" s="79">
        <v>35.6</v>
      </c>
      <c r="P21" s="77">
        <v>7.3</v>
      </c>
      <c r="Q21" s="77">
        <v>15.5</v>
      </c>
      <c r="R21" s="80">
        <f t="shared" si="4"/>
        <v>58.4</v>
      </c>
      <c r="S21" s="185">
        <v>3</v>
      </c>
      <c r="T21" s="839"/>
      <c r="U21" s="852"/>
      <c r="V21" s="82" t="s">
        <v>917</v>
      </c>
      <c r="W21" s="185" t="s">
        <v>918</v>
      </c>
      <c r="X21" s="185" t="s">
        <v>11</v>
      </c>
      <c r="Y21" s="83">
        <v>35.6</v>
      </c>
      <c r="Z21" s="185" t="s">
        <v>919</v>
      </c>
      <c r="AA21" s="185" t="s">
        <v>98</v>
      </c>
      <c r="AB21" s="185" t="s">
        <v>12</v>
      </c>
      <c r="AC21" s="185">
        <v>15.5</v>
      </c>
      <c r="AD21" s="82" t="s">
        <v>920</v>
      </c>
      <c r="AE21" s="185" t="s">
        <v>90</v>
      </c>
      <c r="AF21" s="185" t="s">
        <v>18</v>
      </c>
      <c r="AG21" s="83">
        <v>7.3</v>
      </c>
      <c r="AL21" s="82"/>
      <c r="AO21" s="83"/>
      <c r="AP21" s="82"/>
      <c r="AS21" s="83"/>
      <c r="AW21" s="83"/>
      <c r="BA21" s="84"/>
    </row>
    <row r="22" spans="1:53" s="185" customFormat="1">
      <c r="A22" s="185">
        <v>1997</v>
      </c>
      <c r="B22" s="852"/>
      <c r="C22" s="917" t="s">
        <v>921</v>
      </c>
      <c r="D22" s="917"/>
      <c r="E22" s="185">
        <v>365</v>
      </c>
      <c r="G22" s="74">
        <v>13</v>
      </c>
      <c r="H22" s="75">
        <v>1</v>
      </c>
      <c r="I22" s="75">
        <v>5</v>
      </c>
      <c r="J22" s="76">
        <v>20</v>
      </c>
      <c r="K22" s="77">
        <f t="shared" si="0"/>
        <v>65</v>
      </c>
      <c r="L22" s="77">
        <f t="shared" si="1"/>
        <v>5</v>
      </c>
      <c r="M22" s="77">
        <f t="shared" si="2"/>
        <v>25</v>
      </c>
      <c r="N22" s="78">
        <f t="shared" si="3"/>
        <v>95</v>
      </c>
      <c r="O22" s="79">
        <v>35.6</v>
      </c>
      <c r="P22" s="77">
        <v>7.3</v>
      </c>
      <c r="Q22" s="77">
        <v>15.5</v>
      </c>
      <c r="R22" s="80">
        <f t="shared" si="4"/>
        <v>58.4</v>
      </c>
      <c r="S22" s="185">
        <v>3</v>
      </c>
      <c r="T22" s="839"/>
      <c r="U22" s="852"/>
      <c r="V22" s="82" t="s">
        <v>917</v>
      </c>
      <c r="W22" s="185" t="s">
        <v>918</v>
      </c>
      <c r="X22" s="185" t="s">
        <v>11</v>
      </c>
      <c r="Y22" s="83">
        <v>35.6</v>
      </c>
      <c r="Z22" s="185" t="s">
        <v>919</v>
      </c>
      <c r="AA22" s="185" t="s">
        <v>98</v>
      </c>
      <c r="AB22" s="185" t="s">
        <v>12</v>
      </c>
      <c r="AC22" s="185">
        <v>15.5</v>
      </c>
      <c r="AD22" s="82" t="s">
        <v>920</v>
      </c>
      <c r="AE22" s="185" t="s">
        <v>90</v>
      </c>
      <c r="AF22" s="185" t="s">
        <v>18</v>
      </c>
      <c r="AG22" s="83">
        <v>7.3</v>
      </c>
      <c r="AL22" s="82"/>
      <c r="AO22" s="83"/>
      <c r="AP22" s="82"/>
      <c r="AS22" s="83"/>
      <c r="AW22" s="83"/>
      <c r="BA22" s="84"/>
    </row>
    <row r="23" spans="1:53" s="185" customFormat="1">
      <c r="A23" s="185">
        <v>1998</v>
      </c>
      <c r="B23" s="852"/>
      <c r="C23" s="917" t="s">
        <v>921</v>
      </c>
      <c r="D23" s="917"/>
      <c r="E23" s="185">
        <v>88</v>
      </c>
      <c r="G23" s="74">
        <v>13</v>
      </c>
      <c r="H23" s="75">
        <v>1</v>
      </c>
      <c r="I23" s="75">
        <v>5</v>
      </c>
      <c r="J23" s="76">
        <v>20</v>
      </c>
      <c r="K23" s="77">
        <f t="shared" si="0"/>
        <v>65</v>
      </c>
      <c r="L23" s="77">
        <f t="shared" si="1"/>
        <v>5</v>
      </c>
      <c r="M23" s="77">
        <f t="shared" si="2"/>
        <v>25</v>
      </c>
      <c r="N23" s="78">
        <f t="shared" si="3"/>
        <v>95</v>
      </c>
      <c r="O23" s="79">
        <v>35.6</v>
      </c>
      <c r="P23" s="77">
        <v>7.3</v>
      </c>
      <c r="Q23" s="77">
        <v>15.5</v>
      </c>
      <c r="R23" s="80">
        <f t="shared" si="4"/>
        <v>58.4</v>
      </c>
      <c r="S23" s="185">
        <v>3</v>
      </c>
      <c r="T23" s="839"/>
      <c r="U23" s="852"/>
      <c r="V23" s="82" t="s">
        <v>917</v>
      </c>
      <c r="W23" s="185" t="s">
        <v>918</v>
      </c>
      <c r="X23" s="185" t="s">
        <v>11</v>
      </c>
      <c r="Y23" s="83">
        <v>35.6</v>
      </c>
      <c r="Z23" s="185" t="s">
        <v>919</v>
      </c>
      <c r="AA23" s="185" t="s">
        <v>98</v>
      </c>
      <c r="AB23" s="185" t="s">
        <v>12</v>
      </c>
      <c r="AC23" s="185">
        <v>15.5</v>
      </c>
      <c r="AD23" s="82" t="s">
        <v>920</v>
      </c>
      <c r="AE23" s="185" t="s">
        <v>90</v>
      </c>
      <c r="AF23" s="185" t="s">
        <v>18</v>
      </c>
      <c r="AG23" s="83">
        <v>7.3</v>
      </c>
      <c r="AL23" s="82"/>
      <c r="AO23" s="83"/>
      <c r="AP23" s="82"/>
      <c r="AS23" s="83"/>
      <c r="AW23" s="83"/>
      <c r="BA23" s="84"/>
    </row>
    <row r="24" spans="1:53" s="292" customFormat="1">
      <c r="A24" s="292">
        <v>1998</v>
      </c>
      <c r="B24" s="836">
        <v>35884</v>
      </c>
      <c r="C24" s="916" t="s">
        <v>1165</v>
      </c>
      <c r="D24" s="916"/>
      <c r="E24" s="292">
        <v>16</v>
      </c>
      <c r="F24" s="292">
        <v>2</v>
      </c>
      <c r="G24" s="293">
        <v>11</v>
      </c>
      <c r="H24" s="179">
        <v>1</v>
      </c>
      <c r="I24" s="179">
        <v>6</v>
      </c>
      <c r="J24" s="294">
        <v>21</v>
      </c>
      <c r="K24" s="295">
        <f t="shared" si="0"/>
        <v>52.380952380952387</v>
      </c>
      <c r="L24" s="295">
        <f t="shared" si="1"/>
        <v>4.7619047619047619</v>
      </c>
      <c r="M24" s="295">
        <f t="shared" si="2"/>
        <v>28.571428571428569</v>
      </c>
      <c r="N24" s="296">
        <f t="shared" si="3"/>
        <v>85.714285714285722</v>
      </c>
      <c r="O24" s="297">
        <v>35.6</v>
      </c>
      <c r="P24" s="295">
        <v>7.3</v>
      </c>
      <c r="Q24" s="295">
        <v>15.5</v>
      </c>
      <c r="R24" s="298">
        <f t="shared" si="4"/>
        <v>58.4</v>
      </c>
      <c r="S24" s="292">
        <v>6</v>
      </c>
      <c r="T24" s="838"/>
      <c r="U24" s="836">
        <v>35884</v>
      </c>
      <c r="V24" s="299" t="s">
        <v>917</v>
      </c>
      <c r="W24" s="292" t="s">
        <v>918</v>
      </c>
      <c r="X24" s="292" t="s">
        <v>11</v>
      </c>
      <c r="Y24" s="300">
        <v>35.6</v>
      </c>
      <c r="Z24" s="292" t="s">
        <v>558</v>
      </c>
      <c r="AA24" s="292" t="s">
        <v>98</v>
      </c>
      <c r="AB24" s="292" t="s">
        <v>12</v>
      </c>
      <c r="AC24" s="292">
        <v>15.5</v>
      </c>
      <c r="AD24" s="299" t="s">
        <v>920</v>
      </c>
      <c r="AE24" s="292" t="s">
        <v>90</v>
      </c>
      <c r="AF24" s="292" t="s">
        <v>18</v>
      </c>
      <c r="AG24" s="300">
        <v>7.3</v>
      </c>
      <c r="AL24" s="299"/>
      <c r="AO24" s="300"/>
      <c r="AP24" s="299"/>
      <c r="AS24" s="300"/>
      <c r="AW24" s="300"/>
      <c r="BA24" s="301"/>
    </row>
    <row r="25" spans="1:53" s="185" customFormat="1">
      <c r="A25" s="185">
        <v>1998</v>
      </c>
      <c r="B25" s="852">
        <v>35900</v>
      </c>
      <c r="C25" s="917" t="s">
        <v>922</v>
      </c>
      <c r="D25" s="917"/>
      <c r="E25" s="185">
        <f xml:space="preserve"> 365-E24-E23</f>
        <v>261</v>
      </c>
      <c r="F25" s="185">
        <v>6</v>
      </c>
      <c r="G25" s="74">
        <v>11</v>
      </c>
      <c r="H25" s="75">
        <v>1</v>
      </c>
      <c r="I25" s="75">
        <v>7</v>
      </c>
      <c r="J25" s="76">
        <v>21</v>
      </c>
      <c r="K25" s="77">
        <f t="shared" si="0"/>
        <v>52.380952380952387</v>
      </c>
      <c r="L25" s="77">
        <f t="shared" si="1"/>
        <v>4.7619047619047619</v>
      </c>
      <c r="M25" s="77">
        <f t="shared" si="2"/>
        <v>33.333333333333329</v>
      </c>
      <c r="N25" s="78">
        <f t="shared" si="3"/>
        <v>90.476190476190482</v>
      </c>
      <c r="O25" s="79">
        <v>35.6</v>
      </c>
      <c r="P25" s="77">
        <v>7.3</v>
      </c>
      <c r="Q25" s="77">
        <v>26.6</v>
      </c>
      <c r="R25" s="80">
        <f t="shared" si="4"/>
        <v>69.5</v>
      </c>
      <c r="S25" s="185">
        <v>3</v>
      </c>
      <c r="T25" s="839"/>
      <c r="U25" s="852">
        <v>35900</v>
      </c>
      <c r="V25" s="82" t="s">
        <v>917</v>
      </c>
      <c r="W25" s="185" t="s">
        <v>918</v>
      </c>
      <c r="X25" s="185" t="s">
        <v>11</v>
      </c>
      <c r="Y25" s="83">
        <v>35.6</v>
      </c>
      <c r="Z25" s="185" t="s">
        <v>915</v>
      </c>
      <c r="AA25" s="185" t="s">
        <v>20</v>
      </c>
      <c r="AB25" s="185" t="s">
        <v>12</v>
      </c>
      <c r="AC25" s="185">
        <v>26.6</v>
      </c>
      <c r="AD25" s="82" t="s">
        <v>920</v>
      </c>
      <c r="AE25" s="185" t="s">
        <v>90</v>
      </c>
      <c r="AF25" s="185" t="s">
        <v>18</v>
      </c>
      <c r="AG25" s="83">
        <v>7.3</v>
      </c>
      <c r="AL25" s="82"/>
      <c r="AO25" s="83"/>
      <c r="AP25" s="82"/>
      <c r="AS25" s="83"/>
      <c r="AW25" s="83"/>
      <c r="BA25" s="84"/>
    </row>
    <row r="26" spans="1:53" s="185" customFormat="1">
      <c r="A26" s="185">
        <v>1999</v>
      </c>
      <c r="B26" s="852"/>
      <c r="C26" s="917" t="s">
        <v>922</v>
      </c>
      <c r="D26" s="917"/>
      <c r="E26" s="185">
        <v>345</v>
      </c>
      <c r="G26" s="74">
        <v>11</v>
      </c>
      <c r="H26" s="75">
        <v>1</v>
      </c>
      <c r="I26" s="75">
        <v>7</v>
      </c>
      <c r="J26" s="76">
        <v>21</v>
      </c>
      <c r="K26" s="77">
        <f t="shared" si="0"/>
        <v>52.380952380952387</v>
      </c>
      <c r="L26" s="77">
        <f t="shared" si="1"/>
        <v>4.7619047619047619</v>
      </c>
      <c r="M26" s="77">
        <f t="shared" si="2"/>
        <v>33.333333333333329</v>
      </c>
      <c r="N26" s="78">
        <f t="shared" si="3"/>
        <v>90.476190476190482</v>
      </c>
      <c r="O26" s="79">
        <v>35.6</v>
      </c>
      <c r="P26" s="77">
        <v>7.3</v>
      </c>
      <c r="Q26" s="77">
        <v>26.6</v>
      </c>
      <c r="R26" s="80">
        <f t="shared" si="4"/>
        <v>69.5</v>
      </c>
      <c r="S26" s="185">
        <v>3</v>
      </c>
      <c r="T26" s="839"/>
      <c r="U26" s="852"/>
      <c r="V26" s="82" t="s">
        <v>917</v>
      </c>
      <c r="W26" s="185" t="s">
        <v>918</v>
      </c>
      <c r="X26" s="185" t="s">
        <v>11</v>
      </c>
      <c r="Y26" s="83">
        <v>35.6</v>
      </c>
      <c r="Z26" s="185" t="s">
        <v>915</v>
      </c>
      <c r="AA26" s="185" t="s">
        <v>20</v>
      </c>
      <c r="AB26" s="185" t="s">
        <v>12</v>
      </c>
      <c r="AC26" s="185">
        <v>26.6</v>
      </c>
      <c r="AD26" s="82" t="s">
        <v>920</v>
      </c>
      <c r="AE26" s="185" t="s">
        <v>90</v>
      </c>
      <c r="AF26" s="185" t="s">
        <v>18</v>
      </c>
      <c r="AG26" s="83">
        <v>7.3</v>
      </c>
      <c r="AL26" s="82"/>
      <c r="AO26" s="83"/>
      <c r="AP26" s="82"/>
      <c r="AS26" s="83"/>
      <c r="AW26" s="83"/>
      <c r="BA26" s="84"/>
    </row>
    <row r="27" spans="1:53" s="292" customFormat="1">
      <c r="A27" s="292">
        <v>1999</v>
      </c>
      <c r="B27" s="836">
        <v>36506</v>
      </c>
      <c r="C27" s="916" t="s">
        <v>1166</v>
      </c>
      <c r="D27" s="916"/>
      <c r="E27" s="292">
        <f xml:space="preserve"> 365-E26</f>
        <v>20</v>
      </c>
      <c r="F27" s="292">
        <v>6</v>
      </c>
      <c r="G27" s="293">
        <v>11</v>
      </c>
      <c r="H27" s="179">
        <v>1</v>
      </c>
      <c r="I27" s="179">
        <v>6</v>
      </c>
      <c r="J27" s="294">
        <v>18</v>
      </c>
      <c r="K27" s="295">
        <f t="shared" si="0"/>
        <v>61.111111111111114</v>
      </c>
      <c r="L27" s="295">
        <f t="shared" si="1"/>
        <v>5.5555555555555554</v>
      </c>
      <c r="M27" s="295">
        <f t="shared" si="2"/>
        <v>33.333333333333329</v>
      </c>
      <c r="N27" s="296">
        <f t="shared" si="3"/>
        <v>100</v>
      </c>
      <c r="O27" s="297">
        <v>35.6</v>
      </c>
      <c r="P27" s="295">
        <v>7.3</v>
      </c>
      <c r="Q27" s="295">
        <v>15.5</v>
      </c>
      <c r="R27" s="298">
        <f t="shared" si="4"/>
        <v>58.4</v>
      </c>
      <c r="S27" s="292">
        <v>3</v>
      </c>
      <c r="T27" s="838"/>
      <c r="U27" s="836">
        <v>36506</v>
      </c>
      <c r="V27" s="299" t="s">
        <v>917</v>
      </c>
      <c r="W27" s="292" t="s">
        <v>918</v>
      </c>
      <c r="X27" s="292" t="s">
        <v>11</v>
      </c>
      <c r="Y27" s="300">
        <v>35.6</v>
      </c>
      <c r="Z27" s="292" t="s">
        <v>558</v>
      </c>
      <c r="AA27" s="292" t="s">
        <v>98</v>
      </c>
      <c r="AB27" s="292" t="s">
        <v>12</v>
      </c>
      <c r="AC27" s="292">
        <v>15.5</v>
      </c>
      <c r="AD27" s="299" t="s">
        <v>920</v>
      </c>
      <c r="AE27" s="292" t="s">
        <v>90</v>
      </c>
      <c r="AF27" s="292" t="s">
        <v>18</v>
      </c>
      <c r="AG27" s="300">
        <v>7.3</v>
      </c>
      <c r="AL27" s="299"/>
      <c r="AO27" s="300"/>
      <c r="AP27" s="299"/>
      <c r="AS27" s="300"/>
      <c r="AW27" s="300"/>
      <c r="BA27" s="301"/>
    </row>
    <row r="28" spans="1:53" s="292" customFormat="1">
      <c r="A28" s="292">
        <v>2000</v>
      </c>
      <c r="B28" s="836"/>
      <c r="C28" s="916" t="s">
        <v>1166</v>
      </c>
      <c r="D28" s="916"/>
      <c r="E28" s="292">
        <v>362</v>
      </c>
      <c r="G28" s="293">
        <v>11</v>
      </c>
      <c r="H28" s="179">
        <v>1</v>
      </c>
      <c r="I28" s="179">
        <v>6</v>
      </c>
      <c r="J28" s="294">
        <v>18</v>
      </c>
      <c r="K28" s="295">
        <f t="shared" si="0"/>
        <v>61.111111111111114</v>
      </c>
      <c r="L28" s="295">
        <f t="shared" si="1"/>
        <v>5.5555555555555554</v>
      </c>
      <c r="M28" s="295">
        <f t="shared" si="2"/>
        <v>33.333333333333329</v>
      </c>
      <c r="N28" s="296">
        <f t="shared" si="3"/>
        <v>100</v>
      </c>
      <c r="O28" s="297">
        <v>35.6</v>
      </c>
      <c r="P28" s="295">
        <v>7.3</v>
      </c>
      <c r="Q28" s="295">
        <v>15.5</v>
      </c>
      <c r="R28" s="298">
        <f t="shared" si="4"/>
        <v>58.4</v>
      </c>
      <c r="S28" s="292">
        <v>3</v>
      </c>
      <c r="T28" s="838"/>
      <c r="U28" s="836"/>
      <c r="V28" s="299" t="s">
        <v>917</v>
      </c>
      <c r="W28" s="292" t="s">
        <v>918</v>
      </c>
      <c r="X28" s="292" t="s">
        <v>11</v>
      </c>
      <c r="Y28" s="300">
        <v>35.6</v>
      </c>
      <c r="Z28" s="292" t="s">
        <v>558</v>
      </c>
      <c r="AA28" s="292" t="s">
        <v>98</v>
      </c>
      <c r="AB28" s="292" t="s">
        <v>12</v>
      </c>
      <c r="AC28" s="292">
        <v>15.5</v>
      </c>
      <c r="AD28" s="299" t="s">
        <v>920</v>
      </c>
      <c r="AE28" s="292" t="s">
        <v>90</v>
      </c>
      <c r="AF28" s="292" t="s">
        <v>18</v>
      </c>
      <c r="AG28" s="300">
        <v>7.3</v>
      </c>
      <c r="AL28" s="299"/>
      <c r="AO28" s="300"/>
      <c r="AP28" s="299"/>
      <c r="AS28" s="300"/>
      <c r="AW28" s="300"/>
      <c r="BA28" s="301"/>
    </row>
    <row r="29" spans="1:53" s="185" customFormat="1">
      <c r="A29" s="185">
        <v>2000</v>
      </c>
      <c r="B29" s="852">
        <v>36888</v>
      </c>
      <c r="C29" s="917" t="s">
        <v>1167</v>
      </c>
      <c r="D29" s="917"/>
      <c r="E29" s="185">
        <f xml:space="preserve"> 366-E28</f>
        <v>4</v>
      </c>
      <c r="F29" s="185">
        <v>1</v>
      </c>
      <c r="G29" s="74"/>
      <c r="H29" s="75"/>
      <c r="I29" s="75">
        <v>23</v>
      </c>
      <c r="J29" s="76">
        <v>23</v>
      </c>
      <c r="K29" s="77">
        <f t="shared" si="0"/>
        <v>0</v>
      </c>
      <c r="L29" s="77">
        <f t="shared" si="1"/>
        <v>0</v>
      </c>
      <c r="M29" s="77">
        <f t="shared" si="2"/>
        <v>100</v>
      </c>
      <c r="N29" s="78">
        <f t="shared" si="3"/>
        <v>100</v>
      </c>
      <c r="O29" s="79"/>
      <c r="P29" s="77"/>
      <c r="Q29" s="77">
        <v>44.9</v>
      </c>
      <c r="R29" s="80">
        <f t="shared" si="4"/>
        <v>44.9</v>
      </c>
      <c r="S29" s="185">
        <v>4</v>
      </c>
      <c r="T29" s="839">
        <v>36856</v>
      </c>
      <c r="U29" s="852">
        <v>36888</v>
      </c>
      <c r="V29" s="82" t="s">
        <v>915</v>
      </c>
      <c r="W29" s="185" t="s">
        <v>20</v>
      </c>
      <c r="X29" s="185" t="s">
        <v>12</v>
      </c>
      <c r="Y29" s="83">
        <v>44.9</v>
      </c>
      <c r="AD29" s="82"/>
      <c r="AG29" s="83"/>
      <c r="AL29" s="82"/>
      <c r="AO29" s="83"/>
      <c r="AP29" s="82"/>
      <c r="AS29" s="83"/>
      <c r="AW29" s="83"/>
      <c r="BA29" s="84"/>
    </row>
    <row r="30" spans="1:53" s="185" customFormat="1">
      <c r="A30" s="185">
        <v>2001</v>
      </c>
      <c r="B30" s="852"/>
      <c r="C30" s="917" t="s">
        <v>1167</v>
      </c>
      <c r="D30" s="917"/>
      <c r="E30" s="185">
        <v>0</v>
      </c>
      <c r="G30" s="74"/>
      <c r="H30" s="75"/>
      <c r="I30" s="75">
        <v>23</v>
      </c>
      <c r="J30" s="76">
        <v>23</v>
      </c>
      <c r="K30" s="77">
        <f t="shared" si="0"/>
        <v>0</v>
      </c>
      <c r="L30" s="77">
        <f t="shared" si="1"/>
        <v>0</v>
      </c>
      <c r="M30" s="77">
        <f t="shared" si="2"/>
        <v>100</v>
      </c>
      <c r="N30" s="78">
        <f t="shared" si="3"/>
        <v>100</v>
      </c>
      <c r="O30" s="79"/>
      <c r="P30" s="77"/>
      <c r="Q30" s="77">
        <v>44.9</v>
      </c>
      <c r="R30" s="80">
        <f t="shared" si="4"/>
        <v>44.9</v>
      </c>
      <c r="S30" s="185">
        <v>4</v>
      </c>
      <c r="T30" s="839"/>
      <c r="U30" s="852"/>
      <c r="V30" s="82" t="s">
        <v>915</v>
      </c>
      <c r="W30" s="185" t="s">
        <v>20</v>
      </c>
      <c r="X30" s="185" t="s">
        <v>12</v>
      </c>
      <c r="Y30" s="83">
        <v>44.9</v>
      </c>
      <c r="AD30" s="82"/>
      <c r="AG30" s="83"/>
      <c r="AL30" s="82"/>
      <c r="AO30" s="83"/>
      <c r="AP30" s="82"/>
      <c r="AS30" s="83"/>
      <c r="AW30" s="83"/>
      <c r="BA30" s="84"/>
    </row>
    <row r="31" spans="1:53" s="185" customFormat="1">
      <c r="A31" s="185">
        <v>2001</v>
      </c>
      <c r="B31" s="852"/>
      <c r="C31" s="917" t="s">
        <v>1167</v>
      </c>
      <c r="D31" s="917"/>
      <c r="E31" s="185">
        <v>365</v>
      </c>
      <c r="G31" s="74"/>
      <c r="H31" s="75"/>
      <c r="I31" s="75">
        <v>23</v>
      </c>
      <c r="J31" s="76">
        <v>23</v>
      </c>
      <c r="K31" s="77">
        <f t="shared" si="0"/>
        <v>0</v>
      </c>
      <c r="L31" s="77">
        <f t="shared" si="1"/>
        <v>0</v>
      </c>
      <c r="M31" s="77">
        <f t="shared" si="2"/>
        <v>100</v>
      </c>
      <c r="N31" s="78">
        <f t="shared" si="3"/>
        <v>100</v>
      </c>
      <c r="O31" s="79"/>
      <c r="P31" s="77"/>
      <c r="Q31" s="77">
        <v>44.9</v>
      </c>
      <c r="R31" s="80">
        <f t="shared" si="4"/>
        <v>44.9</v>
      </c>
      <c r="S31" s="185">
        <v>4</v>
      </c>
      <c r="T31" s="839"/>
      <c r="U31" s="852"/>
      <c r="V31" s="82" t="s">
        <v>915</v>
      </c>
      <c r="W31" s="185" t="s">
        <v>20</v>
      </c>
      <c r="X31" s="185" t="s">
        <v>12</v>
      </c>
      <c r="Y31" s="83">
        <v>44.9</v>
      </c>
      <c r="AD31" s="82"/>
      <c r="AG31" s="83"/>
      <c r="AL31" s="82"/>
      <c r="AO31" s="83"/>
      <c r="AP31" s="82"/>
      <c r="AS31" s="83"/>
      <c r="AW31" s="83"/>
      <c r="BA31" s="84"/>
    </row>
    <row r="32" spans="1:53" s="185" customFormat="1">
      <c r="A32" s="185">
        <v>2002</v>
      </c>
      <c r="B32" s="852"/>
      <c r="C32" s="917" t="s">
        <v>1167</v>
      </c>
      <c r="D32" s="917"/>
      <c r="E32" s="185">
        <v>0</v>
      </c>
      <c r="G32" s="74"/>
      <c r="H32" s="75"/>
      <c r="I32" s="75">
        <v>23</v>
      </c>
      <c r="J32" s="76">
        <v>23</v>
      </c>
      <c r="K32" s="77">
        <f t="shared" si="0"/>
        <v>0</v>
      </c>
      <c r="L32" s="77">
        <f t="shared" si="1"/>
        <v>0</v>
      </c>
      <c r="M32" s="77">
        <f t="shared" si="2"/>
        <v>100</v>
      </c>
      <c r="N32" s="78">
        <f t="shared" si="3"/>
        <v>100</v>
      </c>
      <c r="O32" s="79"/>
      <c r="P32" s="77"/>
      <c r="Q32" s="77">
        <v>44.9</v>
      </c>
      <c r="R32" s="80">
        <f t="shared" si="4"/>
        <v>44.9</v>
      </c>
      <c r="S32" s="185">
        <v>4</v>
      </c>
      <c r="T32" s="839"/>
      <c r="U32" s="852"/>
      <c r="V32" s="82" t="s">
        <v>915</v>
      </c>
      <c r="W32" s="185" t="s">
        <v>20</v>
      </c>
      <c r="X32" s="185" t="s">
        <v>12</v>
      </c>
      <c r="Y32" s="83">
        <v>44.9</v>
      </c>
      <c r="AD32" s="82"/>
      <c r="AG32" s="83"/>
      <c r="AL32" s="82"/>
      <c r="AO32" s="83"/>
      <c r="AP32" s="82"/>
      <c r="AS32" s="83"/>
      <c r="AW32" s="83"/>
      <c r="BA32" s="84"/>
    </row>
    <row r="33" spans="1:53" s="185" customFormat="1">
      <c r="A33" s="185">
        <v>2002</v>
      </c>
      <c r="B33" s="852"/>
      <c r="C33" s="917" t="s">
        <v>1167</v>
      </c>
      <c r="D33" s="917"/>
      <c r="E33" s="185">
        <v>365</v>
      </c>
      <c r="G33" s="74"/>
      <c r="H33" s="75"/>
      <c r="I33" s="75">
        <v>23</v>
      </c>
      <c r="J33" s="76">
        <v>23</v>
      </c>
      <c r="K33" s="77">
        <f t="shared" si="0"/>
        <v>0</v>
      </c>
      <c r="L33" s="77">
        <f t="shared" si="1"/>
        <v>0</v>
      </c>
      <c r="M33" s="77">
        <f t="shared" si="2"/>
        <v>100</v>
      </c>
      <c r="N33" s="78">
        <f t="shared" si="3"/>
        <v>100</v>
      </c>
      <c r="O33" s="79"/>
      <c r="P33" s="77"/>
      <c r="Q33" s="77">
        <v>44.9</v>
      </c>
      <c r="R33" s="80">
        <f t="shared" si="4"/>
        <v>44.9</v>
      </c>
      <c r="S33" s="185">
        <v>4</v>
      </c>
      <c r="T33" s="839"/>
      <c r="U33" s="852"/>
      <c r="V33" s="82" t="s">
        <v>915</v>
      </c>
      <c r="W33" s="185" t="s">
        <v>20</v>
      </c>
      <c r="X33" s="185" t="s">
        <v>12</v>
      </c>
      <c r="Y33" s="83">
        <v>44.9</v>
      </c>
      <c r="AD33" s="82"/>
      <c r="AG33" s="83"/>
      <c r="AL33" s="82"/>
      <c r="AO33" s="83"/>
      <c r="AP33" s="82"/>
      <c r="AS33" s="83"/>
      <c r="AW33" s="83"/>
      <c r="BA33" s="84"/>
    </row>
    <row r="34" spans="1:53" s="185" customFormat="1">
      <c r="A34" s="185">
        <v>2003</v>
      </c>
      <c r="B34" s="852"/>
      <c r="C34" s="917" t="s">
        <v>1167</v>
      </c>
      <c r="D34" s="917"/>
      <c r="E34" s="185">
        <v>0</v>
      </c>
      <c r="G34" s="74"/>
      <c r="H34" s="75"/>
      <c r="I34" s="75">
        <v>23</v>
      </c>
      <c r="J34" s="76">
        <v>23</v>
      </c>
      <c r="K34" s="77">
        <f t="shared" si="0"/>
        <v>0</v>
      </c>
      <c r="L34" s="77">
        <f t="shared" si="1"/>
        <v>0</v>
      </c>
      <c r="M34" s="77">
        <f t="shared" si="2"/>
        <v>100</v>
      </c>
      <c r="N34" s="78">
        <f t="shared" si="3"/>
        <v>100</v>
      </c>
      <c r="O34" s="79"/>
      <c r="P34" s="77"/>
      <c r="Q34" s="77">
        <v>44.9</v>
      </c>
      <c r="R34" s="80">
        <f t="shared" si="4"/>
        <v>44.9</v>
      </c>
      <c r="S34" s="185">
        <v>4</v>
      </c>
      <c r="T34" s="839"/>
      <c r="U34" s="852"/>
      <c r="V34" s="82" t="s">
        <v>915</v>
      </c>
      <c r="W34" s="185" t="s">
        <v>20</v>
      </c>
      <c r="X34" s="185" t="s">
        <v>12</v>
      </c>
      <c r="Y34" s="83">
        <v>44.9</v>
      </c>
      <c r="AD34" s="82"/>
      <c r="AG34" s="83"/>
      <c r="AL34" s="82"/>
      <c r="AO34" s="83"/>
      <c r="AP34" s="82"/>
      <c r="AS34" s="83"/>
      <c r="AW34" s="83"/>
      <c r="BA34" s="84"/>
    </row>
    <row r="35" spans="1:53" s="185" customFormat="1">
      <c r="A35" s="185">
        <v>2003</v>
      </c>
      <c r="B35" s="852"/>
      <c r="C35" s="917" t="s">
        <v>1167</v>
      </c>
      <c r="D35" s="917"/>
      <c r="E35" s="185">
        <v>365</v>
      </c>
      <c r="G35" s="74"/>
      <c r="H35" s="75"/>
      <c r="I35" s="75">
        <v>23</v>
      </c>
      <c r="J35" s="76">
        <v>23</v>
      </c>
      <c r="K35" s="77">
        <f t="shared" si="0"/>
        <v>0</v>
      </c>
      <c r="L35" s="77">
        <f t="shared" si="1"/>
        <v>0</v>
      </c>
      <c r="M35" s="77">
        <f t="shared" si="2"/>
        <v>100</v>
      </c>
      <c r="N35" s="78">
        <f t="shared" si="3"/>
        <v>100</v>
      </c>
      <c r="O35" s="79"/>
      <c r="P35" s="77"/>
      <c r="Q35" s="77">
        <v>44.9</v>
      </c>
      <c r="R35" s="80">
        <f t="shared" si="4"/>
        <v>44.9</v>
      </c>
      <c r="S35" s="185">
        <v>4</v>
      </c>
      <c r="T35" s="839"/>
      <c r="U35" s="852"/>
      <c r="V35" s="82" t="s">
        <v>915</v>
      </c>
      <c r="W35" s="185" t="s">
        <v>20</v>
      </c>
      <c r="X35" s="185" t="s">
        <v>12</v>
      </c>
      <c r="Y35" s="83">
        <v>44.9</v>
      </c>
      <c r="AD35" s="82"/>
      <c r="AG35" s="83"/>
      <c r="AL35" s="82"/>
      <c r="AO35" s="83"/>
      <c r="AP35" s="82"/>
      <c r="AS35" s="83"/>
      <c r="AW35" s="83"/>
      <c r="BA35" s="84"/>
    </row>
    <row r="36" spans="1:53" s="185" customFormat="1">
      <c r="A36" s="185">
        <v>2004</v>
      </c>
      <c r="B36" s="852"/>
      <c r="C36" s="917" t="s">
        <v>1167</v>
      </c>
      <c r="D36" s="917"/>
      <c r="E36" s="185">
        <v>363</v>
      </c>
      <c r="G36" s="74"/>
      <c r="H36" s="75"/>
      <c r="I36" s="75">
        <v>23</v>
      </c>
      <c r="J36" s="76">
        <v>23</v>
      </c>
      <c r="K36" s="77">
        <f t="shared" si="0"/>
        <v>0</v>
      </c>
      <c r="L36" s="77">
        <f t="shared" si="1"/>
        <v>0</v>
      </c>
      <c r="M36" s="77">
        <f t="shared" si="2"/>
        <v>100</v>
      </c>
      <c r="N36" s="78">
        <f t="shared" si="3"/>
        <v>100</v>
      </c>
      <c r="O36" s="79"/>
      <c r="P36" s="77"/>
      <c r="Q36" s="77">
        <v>44.9</v>
      </c>
      <c r="R36" s="80">
        <f t="shared" si="4"/>
        <v>44.9</v>
      </c>
      <c r="S36" s="185">
        <v>4</v>
      </c>
      <c r="T36" s="839"/>
      <c r="U36" s="852"/>
      <c r="V36" s="82" t="s">
        <v>915</v>
      </c>
      <c r="W36" s="185" t="s">
        <v>20</v>
      </c>
      <c r="X36" s="185" t="s">
        <v>12</v>
      </c>
      <c r="Y36" s="83">
        <v>44.9</v>
      </c>
      <c r="AD36" s="82"/>
      <c r="AG36" s="83"/>
      <c r="AL36" s="82"/>
      <c r="AO36" s="83"/>
      <c r="AP36" s="82"/>
      <c r="AS36" s="83"/>
      <c r="AW36" s="83"/>
      <c r="BA36" s="84"/>
    </row>
    <row r="37" spans="1:53" s="292" customFormat="1">
      <c r="A37" s="292">
        <v>2004</v>
      </c>
      <c r="B37" s="863">
        <v>38350</v>
      </c>
      <c r="C37" s="916" t="s">
        <v>1168</v>
      </c>
      <c r="D37" s="916"/>
      <c r="E37" s="292">
        <f xml:space="preserve"> 366-E36</f>
        <v>3</v>
      </c>
      <c r="F37" s="292">
        <v>1</v>
      </c>
      <c r="G37" s="293">
        <v>10</v>
      </c>
      <c r="H37" s="179">
        <v>7</v>
      </c>
      <c r="I37" s="179">
        <v>7</v>
      </c>
      <c r="J37" s="294">
        <v>25</v>
      </c>
      <c r="K37" s="295">
        <f t="shared" si="0"/>
        <v>40</v>
      </c>
      <c r="L37" s="295">
        <f t="shared" si="1"/>
        <v>28.000000000000004</v>
      </c>
      <c r="M37" s="295">
        <f t="shared" si="2"/>
        <v>28.000000000000004</v>
      </c>
      <c r="N37" s="296">
        <f t="shared" si="3"/>
        <v>96</v>
      </c>
      <c r="O37" s="297">
        <v>19.2</v>
      </c>
      <c r="P37" s="295">
        <v>12.3</v>
      </c>
      <c r="Q37" s="295">
        <v>14.5</v>
      </c>
      <c r="R37" s="298">
        <f t="shared" si="4"/>
        <v>46</v>
      </c>
      <c r="S37" s="292">
        <v>5</v>
      </c>
      <c r="T37" s="838">
        <v>38319</v>
      </c>
      <c r="U37" s="863">
        <v>38350</v>
      </c>
      <c r="V37" s="299" t="s">
        <v>912</v>
      </c>
      <c r="W37" s="292" t="s">
        <v>22</v>
      </c>
      <c r="X37" s="292" t="s">
        <v>11</v>
      </c>
      <c r="Y37" s="300">
        <v>19.2</v>
      </c>
      <c r="Z37" s="292" t="s">
        <v>558</v>
      </c>
      <c r="AA37" s="292" t="s">
        <v>98</v>
      </c>
      <c r="AB37" s="292" t="s">
        <v>12</v>
      </c>
      <c r="AC37" s="292">
        <v>14.5</v>
      </c>
      <c r="AD37" s="299" t="s">
        <v>920</v>
      </c>
      <c r="AE37" s="292" t="s">
        <v>90</v>
      </c>
      <c r="AF37" s="292" t="s">
        <v>18</v>
      </c>
      <c r="AG37" s="300">
        <v>6.6</v>
      </c>
      <c r="AH37" s="292" t="s">
        <v>923</v>
      </c>
      <c r="AI37" s="292" t="s">
        <v>330</v>
      </c>
      <c r="AJ37" s="292" t="s">
        <v>18</v>
      </c>
      <c r="AK37" s="292">
        <v>5.7</v>
      </c>
      <c r="AL37" s="299"/>
      <c r="AO37" s="300"/>
      <c r="AP37" s="299"/>
      <c r="AS37" s="300"/>
      <c r="AW37" s="300"/>
      <c r="BA37" s="301"/>
    </row>
    <row r="38" spans="1:53" s="292" customFormat="1">
      <c r="A38" s="292">
        <v>2005</v>
      </c>
      <c r="B38" s="863"/>
      <c r="C38" s="916" t="s">
        <v>1168</v>
      </c>
      <c r="D38" s="916"/>
      <c r="E38" s="292">
        <v>20</v>
      </c>
      <c r="G38" s="293">
        <v>10</v>
      </c>
      <c r="H38" s="179">
        <v>7</v>
      </c>
      <c r="I38" s="179">
        <v>7</v>
      </c>
      <c r="J38" s="294">
        <v>25</v>
      </c>
      <c r="K38" s="295">
        <f t="shared" si="0"/>
        <v>40</v>
      </c>
      <c r="L38" s="295">
        <f t="shared" si="1"/>
        <v>28.000000000000004</v>
      </c>
      <c r="M38" s="295">
        <f t="shared" si="2"/>
        <v>28.000000000000004</v>
      </c>
      <c r="N38" s="296">
        <f t="shared" si="3"/>
        <v>96</v>
      </c>
      <c r="O38" s="297">
        <v>19.2</v>
      </c>
      <c r="P38" s="295">
        <v>12.3</v>
      </c>
      <c r="Q38" s="295">
        <v>14.5</v>
      </c>
      <c r="R38" s="298">
        <f t="shared" si="4"/>
        <v>46</v>
      </c>
      <c r="S38" s="292">
        <v>5</v>
      </c>
      <c r="T38" s="838"/>
      <c r="U38" s="836"/>
      <c r="V38" s="299" t="s">
        <v>912</v>
      </c>
      <c r="W38" s="292" t="s">
        <v>22</v>
      </c>
      <c r="X38" s="292" t="s">
        <v>11</v>
      </c>
      <c r="Y38" s="300">
        <v>19.2</v>
      </c>
      <c r="Z38" s="292" t="s">
        <v>558</v>
      </c>
      <c r="AA38" s="292" t="s">
        <v>98</v>
      </c>
      <c r="AB38" s="292" t="s">
        <v>12</v>
      </c>
      <c r="AC38" s="292">
        <v>14.5</v>
      </c>
      <c r="AD38" s="299" t="s">
        <v>920</v>
      </c>
      <c r="AE38" s="292" t="s">
        <v>90</v>
      </c>
      <c r="AF38" s="292" t="s">
        <v>18</v>
      </c>
      <c r="AG38" s="300">
        <v>6.6</v>
      </c>
      <c r="AH38" s="292" t="s">
        <v>923</v>
      </c>
      <c r="AI38" s="292" t="s">
        <v>330</v>
      </c>
      <c r="AJ38" s="292" t="s">
        <v>18</v>
      </c>
      <c r="AK38" s="292">
        <v>5.7</v>
      </c>
      <c r="AL38" s="299"/>
      <c r="AO38" s="300"/>
      <c r="AP38" s="299"/>
      <c r="AS38" s="300"/>
      <c r="AW38" s="300"/>
      <c r="BA38" s="301"/>
    </row>
    <row r="39" spans="1:53" s="292" customFormat="1">
      <c r="A39" s="292">
        <v>2005</v>
      </c>
      <c r="B39" s="862">
        <v>38373</v>
      </c>
      <c r="C39" s="916" t="s">
        <v>1168</v>
      </c>
      <c r="D39" s="916"/>
      <c r="E39" s="292">
        <f>365-E38</f>
        <v>345</v>
      </c>
      <c r="F39" s="381">
        <v>0</v>
      </c>
      <c r="G39" s="293">
        <v>10</v>
      </c>
      <c r="H39" s="179">
        <v>6</v>
      </c>
      <c r="I39" s="179">
        <v>7</v>
      </c>
      <c r="J39" s="294">
        <v>24</v>
      </c>
      <c r="K39" s="295">
        <f t="shared" si="0"/>
        <v>41.666666666666671</v>
      </c>
      <c r="L39" s="295">
        <f t="shared" si="1"/>
        <v>25</v>
      </c>
      <c r="M39" s="295">
        <f t="shared" si="2"/>
        <v>29.166666666666668</v>
      </c>
      <c r="N39" s="296">
        <f t="shared" si="3"/>
        <v>95.833333333333343</v>
      </c>
      <c r="O39" s="297">
        <v>19.2</v>
      </c>
      <c r="P39" s="295">
        <v>12.3</v>
      </c>
      <c r="Q39" s="295">
        <v>14.5</v>
      </c>
      <c r="R39" s="298">
        <f t="shared" si="4"/>
        <v>46</v>
      </c>
      <c r="S39" s="292">
        <v>5</v>
      </c>
      <c r="T39" s="838"/>
      <c r="U39" s="836"/>
      <c r="V39" s="299" t="s">
        <v>912</v>
      </c>
      <c r="W39" s="292" t="s">
        <v>22</v>
      </c>
      <c r="X39" s="292" t="s">
        <v>11</v>
      </c>
      <c r="Y39" s="300">
        <v>19.2</v>
      </c>
      <c r="Z39" s="292" t="s">
        <v>558</v>
      </c>
      <c r="AA39" s="292" t="s">
        <v>98</v>
      </c>
      <c r="AB39" s="292" t="s">
        <v>12</v>
      </c>
      <c r="AC39" s="292">
        <v>14.5</v>
      </c>
      <c r="AD39" s="299" t="s">
        <v>920</v>
      </c>
      <c r="AE39" s="292" t="s">
        <v>90</v>
      </c>
      <c r="AF39" s="292" t="s">
        <v>18</v>
      </c>
      <c r="AG39" s="300">
        <v>6.6</v>
      </c>
      <c r="AH39" s="292" t="s">
        <v>923</v>
      </c>
      <c r="AI39" s="292" t="s">
        <v>330</v>
      </c>
      <c r="AJ39" s="292" t="s">
        <v>18</v>
      </c>
      <c r="AK39" s="292">
        <v>5.7</v>
      </c>
      <c r="AL39" s="299"/>
      <c r="AO39" s="300"/>
      <c r="AP39" s="299"/>
      <c r="AS39" s="300"/>
      <c r="AW39" s="300"/>
      <c r="BA39" s="301"/>
    </row>
    <row r="40" spans="1:53" s="292" customFormat="1">
      <c r="A40" s="292">
        <v>2006</v>
      </c>
      <c r="B40" s="863"/>
      <c r="C40" s="916" t="s">
        <v>1168</v>
      </c>
      <c r="D40" s="916"/>
      <c r="E40" s="292">
        <v>162</v>
      </c>
      <c r="G40" s="293">
        <v>10</v>
      </c>
      <c r="H40" s="179">
        <v>6</v>
      </c>
      <c r="I40" s="179">
        <v>7</v>
      </c>
      <c r="J40" s="294">
        <v>24</v>
      </c>
      <c r="K40" s="295">
        <f>G40/J40*100</f>
        <v>41.666666666666671</v>
      </c>
      <c r="L40" s="295">
        <f>H40/J40*100</f>
        <v>25</v>
      </c>
      <c r="M40" s="295">
        <f>I40/J40*100</f>
        <v>29.166666666666668</v>
      </c>
      <c r="N40" s="296">
        <f t="shared" si="3"/>
        <v>95.833333333333343</v>
      </c>
      <c r="O40" s="297">
        <v>19.2</v>
      </c>
      <c r="P40" s="295">
        <v>12.3</v>
      </c>
      <c r="Q40" s="295">
        <v>14.5</v>
      </c>
      <c r="R40" s="298">
        <f t="shared" si="4"/>
        <v>46</v>
      </c>
      <c r="S40" s="292">
        <v>5</v>
      </c>
      <c r="T40" s="838"/>
      <c r="U40" s="836"/>
      <c r="V40" s="299" t="s">
        <v>912</v>
      </c>
      <c r="W40" s="292" t="s">
        <v>22</v>
      </c>
      <c r="X40" s="292" t="s">
        <v>11</v>
      </c>
      <c r="Y40" s="300">
        <v>19.2</v>
      </c>
      <c r="Z40" s="292" t="s">
        <v>558</v>
      </c>
      <c r="AA40" s="292" t="s">
        <v>98</v>
      </c>
      <c r="AB40" s="292" t="s">
        <v>12</v>
      </c>
      <c r="AC40" s="292">
        <v>14.5</v>
      </c>
      <c r="AD40" s="299" t="s">
        <v>920</v>
      </c>
      <c r="AE40" s="292" t="s">
        <v>90</v>
      </c>
      <c r="AF40" s="292" t="s">
        <v>18</v>
      </c>
      <c r="AG40" s="300">
        <v>6.6</v>
      </c>
      <c r="AH40" s="292" t="s">
        <v>923</v>
      </c>
      <c r="AI40" s="292" t="s">
        <v>330</v>
      </c>
      <c r="AJ40" s="292" t="s">
        <v>18</v>
      </c>
      <c r="AK40" s="292">
        <v>5.7</v>
      </c>
      <c r="AL40" s="299"/>
      <c r="AO40" s="300"/>
      <c r="AP40" s="299"/>
      <c r="AS40" s="300"/>
      <c r="AW40" s="300"/>
      <c r="BA40" s="301"/>
    </row>
    <row r="41" spans="1:53" s="292" customFormat="1">
      <c r="A41" s="292">
        <v>2006</v>
      </c>
      <c r="B41" s="862">
        <v>38880</v>
      </c>
      <c r="C41" s="916" t="s">
        <v>1168</v>
      </c>
      <c r="D41" s="916"/>
      <c r="E41" s="292">
        <v>136</v>
      </c>
      <c r="F41" s="381">
        <v>0</v>
      </c>
      <c r="G41" s="293">
        <v>10</v>
      </c>
      <c r="H41" s="179">
        <v>6</v>
      </c>
      <c r="I41" s="179">
        <v>6</v>
      </c>
      <c r="J41" s="294">
        <v>23</v>
      </c>
      <c r="K41" s="295">
        <f>G41/J41*100</f>
        <v>43.478260869565219</v>
      </c>
      <c r="L41" s="295">
        <f>H41/J41*100</f>
        <v>26.086956521739129</v>
      </c>
      <c r="M41" s="295">
        <f>I41/J41*100</f>
        <v>26.086956521739129</v>
      </c>
      <c r="N41" s="296">
        <f t="shared" si="3"/>
        <v>95.65217391304347</v>
      </c>
      <c r="O41" s="297">
        <v>19.2</v>
      </c>
      <c r="P41" s="295">
        <v>12.3</v>
      </c>
      <c r="Q41" s="295">
        <v>14.5</v>
      </c>
      <c r="R41" s="298">
        <f t="shared" si="4"/>
        <v>46</v>
      </c>
      <c r="S41" s="292">
        <v>5</v>
      </c>
      <c r="T41" s="838"/>
      <c r="U41" s="836"/>
      <c r="V41" s="299" t="s">
        <v>912</v>
      </c>
      <c r="W41" s="292" t="s">
        <v>22</v>
      </c>
      <c r="X41" s="292" t="s">
        <v>11</v>
      </c>
      <c r="Y41" s="300">
        <v>19.2</v>
      </c>
      <c r="Z41" s="292" t="s">
        <v>558</v>
      </c>
      <c r="AA41" s="292" t="s">
        <v>98</v>
      </c>
      <c r="AB41" s="292" t="s">
        <v>12</v>
      </c>
      <c r="AC41" s="292">
        <v>14.5</v>
      </c>
      <c r="AD41" s="299" t="s">
        <v>920</v>
      </c>
      <c r="AE41" s="292" t="s">
        <v>90</v>
      </c>
      <c r="AF41" s="292" t="s">
        <v>18</v>
      </c>
      <c r="AG41" s="300">
        <v>6.6</v>
      </c>
      <c r="AH41" s="292" t="s">
        <v>923</v>
      </c>
      <c r="AI41" s="292" t="s">
        <v>330</v>
      </c>
      <c r="AJ41" s="292" t="s">
        <v>18</v>
      </c>
      <c r="AK41" s="292">
        <v>5.7</v>
      </c>
      <c r="AL41" s="299"/>
      <c r="AO41" s="300"/>
      <c r="AP41" s="299"/>
      <c r="AS41" s="300"/>
      <c r="AW41" s="300"/>
      <c r="BA41" s="301"/>
    </row>
    <row r="42" spans="1:53" s="292" customFormat="1">
      <c r="A42" s="292">
        <v>2006</v>
      </c>
      <c r="B42" s="862">
        <v>39016</v>
      </c>
      <c r="C42" s="916" t="s">
        <v>1168</v>
      </c>
      <c r="D42" s="916"/>
      <c r="E42" s="292">
        <v>46</v>
      </c>
      <c r="F42" s="381">
        <v>0</v>
      </c>
      <c r="G42" s="293">
        <v>9</v>
      </c>
      <c r="H42" s="179">
        <v>6</v>
      </c>
      <c r="I42" s="179">
        <v>7</v>
      </c>
      <c r="J42" s="294">
        <v>23</v>
      </c>
      <c r="K42" s="295">
        <f t="shared" si="0"/>
        <v>39.130434782608695</v>
      </c>
      <c r="L42" s="295">
        <f t="shared" si="1"/>
        <v>26.086956521739129</v>
      </c>
      <c r="M42" s="295">
        <f t="shared" si="2"/>
        <v>30.434782608695656</v>
      </c>
      <c r="N42" s="296">
        <f t="shared" si="3"/>
        <v>95.652173913043484</v>
      </c>
      <c r="O42" s="297">
        <v>19.2</v>
      </c>
      <c r="P42" s="295">
        <v>12.3</v>
      </c>
      <c r="Q42" s="295">
        <v>14.5</v>
      </c>
      <c r="R42" s="298">
        <f t="shared" si="4"/>
        <v>46</v>
      </c>
      <c r="S42" s="292">
        <v>5</v>
      </c>
      <c r="T42" s="838"/>
      <c r="U42" s="836"/>
      <c r="V42" s="299" t="s">
        <v>912</v>
      </c>
      <c r="W42" s="292" t="s">
        <v>22</v>
      </c>
      <c r="X42" s="292" t="s">
        <v>11</v>
      </c>
      <c r="Y42" s="300">
        <v>19.2</v>
      </c>
      <c r="Z42" s="292" t="s">
        <v>558</v>
      </c>
      <c r="AA42" s="292" t="s">
        <v>98</v>
      </c>
      <c r="AB42" s="292" t="s">
        <v>12</v>
      </c>
      <c r="AC42" s="292">
        <v>14.5</v>
      </c>
      <c r="AD42" s="299" t="s">
        <v>920</v>
      </c>
      <c r="AE42" s="292" t="s">
        <v>90</v>
      </c>
      <c r="AF42" s="292" t="s">
        <v>18</v>
      </c>
      <c r="AG42" s="300">
        <v>6.6</v>
      </c>
      <c r="AH42" s="292" t="s">
        <v>923</v>
      </c>
      <c r="AI42" s="292" t="s">
        <v>330</v>
      </c>
      <c r="AJ42" s="292" t="s">
        <v>18</v>
      </c>
      <c r="AK42" s="292">
        <v>5.7</v>
      </c>
      <c r="AL42" s="299"/>
      <c r="AO42" s="300"/>
      <c r="AP42" s="299"/>
      <c r="AS42" s="300"/>
      <c r="AW42" s="300"/>
      <c r="BA42" s="301"/>
    </row>
    <row r="43" spans="1:53" s="292" customFormat="1">
      <c r="A43" s="292">
        <v>2006</v>
      </c>
      <c r="B43" s="862">
        <v>39062</v>
      </c>
      <c r="C43" s="916" t="s">
        <v>1168</v>
      </c>
      <c r="D43" s="916"/>
      <c r="E43" s="292">
        <f xml:space="preserve"> 365-E42-E41-E40</f>
        <v>21</v>
      </c>
      <c r="F43" s="381">
        <v>0</v>
      </c>
      <c r="G43" s="293">
        <v>10</v>
      </c>
      <c r="H43" s="179">
        <v>5</v>
      </c>
      <c r="I43" s="179">
        <v>7</v>
      </c>
      <c r="J43" s="294">
        <v>23</v>
      </c>
      <c r="K43" s="295">
        <f t="shared" si="0"/>
        <v>43.478260869565219</v>
      </c>
      <c r="L43" s="295">
        <f t="shared" si="1"/>
        <v>21.739130434782609</v>
      </c>
      <c r="M43" s="295">
        <f t="shared" si="2"/>
        <v>30.434782608695656</v>
      </c>
      <c r="N43" s="296">
        <f t="shared" si="3"/>
        <v>95.652173913043484</v>
      </c>
      <c r="O43" s="297">
        <v>19.2</v>
      </c>
      <c r="P43" s="295">
        <v>12.3</v>
      </c>
      <c r="Q43" s="295">
        <v>14.5</v>
      </c>
      <c r="R43" s="298">
        <f t="shared" si="4"/>
        <v>46</v>
      </c>
      <c r="S43" s="292">
        <v>5</v>
      </c>
      <c r="T43" s="838"/>
      <c r="U43" s="836"/>
      <c r="V43" s="299" t="s">
        <v>912</v>
      </c>
      <c r="W43" s="292" t="s">
        <v>22</v>
      </c>
      <c r="X43" s="292" t="s">
        <v>11</v>
      </c>
      <c r="Y43" s="300">
        <v>19.2</v>
      </c>
      <c r="Z43" s="292" t="s">
        <v>558</v>
      </c>
      <c r="AA43" s="292" t="s">
        <v>98</v>
      </c>
      <c r="AB43" s="292" t="s">
        <v>12</v>
      </c>
      <c r="AC43" s="292">
        <v>14.5</v>
      </c>
      <c r="AD43" s="299" t="s">
        <v>920</v>
      </c>
      <c r="AE43" s="292" t="s">
        <v>90</v>
      </c>
      <c r="AF43" s="292" t="s">
        <v>18</v>
      </c>
      <c r="AG43" s="300">
        <v>6.6</v>
      </c>
      <c r="AH43" s="292" t="s">
        <v>923</v>
      </c>
      <c r="AI43" s="292" t="s">
        <v>330</v>
      </c>
      <c r="AJ43" s="292" t="s">
        <v>18</v>
      </c>
      <c r="AK43" s="292">
        <v>5.7</v>
      </c>
      <c r="AL43" s="299"/>
      <c r="AO43" s="300"/>
      <c r="AP43" s="299"/>
      <c r="AS43" s="300"/>
      <c r="AW43" s="300"/>
      <c r="BA43" s="301"/>
    </row>
    <row r="44" spans="1:53" s="292" customFormat="1">
      <c r="A44" s="292">
        <v>2007</v>
      </c>
      <c r="B44" s="863"/>
      <c r="C44" s="916" t="s">
        <v>1168</v>
      </c>
      <c r="D44" s="916"/>
      <c r="E44" s="292">
        <v>94</v>
      </c>
      <c r="G44" s="293">
        <v>10</v>
      </c>
      <c r="H44" s="179">
        <v>5</v>
      </c>
      <c r="I44" s="179">
        <v>7</v>
      </c>
      <c r="J44" s="294">
        <v>23</v>
      </c>
      <c r="K44" s="295">
        <f t="shared" si="0"/>
        <v>43.478260869565219</v>
      </c>
      <c r="L44" s="295">
        <f t="shared" si="1"/>
        <v>21.739130434782609</v>
      </c>
      <c r="M44" s="295">
        <f t="shared" si="2"/>
        <v>30.434782608695656</v>
      </c>
      <c r="N44" s="296">
        <f t="shared" si="3"/>
        <v>95.652173913043484</v>
      </c>
      <c r="O44" s="297">
        <v>19.2</v>
      </c>
      <c r="P44" s="295">
        <v>12.3</v>
      </c>
      <c r="Q44" s="295">
        <v>14.5</v>
      </c>
      <c r="R44" s="298">
        <f t="shared" si="4"/>
        <v>46</v>
      </c>
      <c r="S44" s="292">
        <v>5</v>
      </c>
      <c r="T44" s="838"/>
      <c r="U44" s="836"/>
      <c r="V44" s="299" t="s">
        <v>912</v>
      </c>
      <c r="W44" s="292" t="s">
        <v>22</v>
      </c>
      <c r="X44" s="292" t="s">
        <v>11</v>
      </c>
      <c r="Y44" s="300">
        <v>19.2</v>
      </c>
      <c r="Z44" s="292" t="s">
        <v>558</v>
      </c>
      <c r="AA44" s="292" t="s">
        <v>98</v>
      </c>
      <c r="AB44" s="292" t="s">
        <v>12</v>
      </c>
      <c r="AC44" s="292">
        <v>14.5</v>
      </c>
      <c r="AD44" s="299" t="s">
        <v>920</v>
      </c>
      <c r="AE44" s="292" t="s">
        <v>90</v>
      </c>
      <c r="AF44" s="292" t="s">
        <v>18</v>
      </c>
      <c r="AG44" s="300">
        <v>6.6</v>
      </c>
      <c r="AH44" s="292" t="s">
        <v>923</v>
      </c>
      <c r="AI44" s="292" t="s">
        <v>330</v>
      </c>
      <c r="AJ44" s="292" t="s">
        <v>18</v>
      </c>
      <c r="AK44" s="292">
        <v>5.7</v>
      </c>
      <c r="AL44" s="299"/>
      <c r="AO44" s="300"/>
      <c r="AP44" s="299"/>
      <c r="AS44" s="300"/>
      <c r="AW44" s="300"/>
      <c r="BA44" s="301"/>
    </row>
    <row r="45" spans="1:53" s="185" customFormat="1">
      <c r="A45" s="185">
        <v>2007</v>
      </c>
      <c r="B45" s="830">
        <v>39177</v>
      </c>
      <c r="C45" s="917" t="s">
        <v>1169</v>
      </c>
      <c r="D45" s="917"/>
      <c r="E45" s="185">
        <v>89</v>
      </c>
      <c r="F45" s="185">
        <v>4</v>
      </c>
      <c r="G45" s="74">
        <v>14</v>
      </c>
      <c r="H45" s="75">
        <v>4</v>
      </c>
      <c r="I45" s="75"/>
      <c r="J45" s="76">
        <v>18</v>
      </c>
      <c r="K45" s="77">
        <f>G45/J45*100</f>
        <v>77.777777777777786</v>
      </c>
      <c r="L45" s="77">
        <f>H45/J45*100</f>
        <v>22.222222222222221</v>
      </c>
      <c r="M45" s="77">
        <f>I45/J45*100</f>
        <v>0</v>
      </c>
      <c r="N45" s="78">
        <f>SUM(K45:M45)</f>
        <v>100</v>
      </c>
      <c r="O45" s="79">
        <v>16.899999999999999</v>
      </c>
      <c r="P45" s="77">
        <v>6.6</v>
      </c>
      <c r="Q45" s="77"/>
      <c r="R45" s="80">
        <f>SUM(O45:Q45)</f>
        <v>23.5</v>
      </c>
      <c r="S45" s="185">
        <v>5</v>
      </c>
      <c r="T45" s="839"/>
      <c r="U45" s="830">
        <v>39177</v>
      </c>
      <c r="V45" s="82" t="s">
        <v>912</v>
      </c>
      <c r="W45" s="185" t="s">
        <v>22</v>
      </c>
      <c r="X45" s="185" t="s">
        <v>11</v>
      </c>
      <c r="Y45" s="83">
        <v>19.2</v>
      </c>
      <c r="Z45" s="82" t="s">
        <v>920</v>
      </c>
      <c r="AA45" s="185" t="s">
        <v>90</v>
      </c>
      <c r="AB45" s="185" t="s">
        <v>18</v>
      </c>
      <c r="AC45" s="83">
        <v>6.6</v>
      </c>
      <c r="AD45" s="82"/>
      <c r="AG45" s="83"/>
      <c r="AL45" s="82"/>
      <c r="AO45" s="83"/>
      <c r="AP45" s="82"/>
      <c r="AS45" s="83"/>
      <c r="AW45" s="83"/>
      <c r="BA45" s="84"/>
    </row>
    <row r="46" spans="1:53" s="185" customFormat="1">
      <c r="A46" s="185">
        <v>2007</v>
      </c>
      <c r="B46" s="864">
        <v>39266</v>
      </c>
      <c r="C46" s="917" t="s">
        <v>1169</v>
      </c>
      <c r="D46" s="917"/>
      <c r="E46" s="185">
        <v>100</v>
      </c>
      <c r="F46" s="139">
        <v>0</v>
      </c>
      <c r="G46" s="74">
        <v>14</v>
      </c>
      <c r="H46" s="75">
        <v>3</v>
      </c>
      <c r="I46" s="75"/>
      <c r="J46" s="76">
        <v>17</v>
      </c>
      <c r="K46" s="77">
        <f>G46/J46*100</f>
        <v>82.35294117647058</v>
      </c>
      <c r="L46" s="77">
        <f>H46/J46*100</f>
        <v>17.647058823529413</v>
      </c>
      <c r="M46" s="77">
        <f>I46/J46*100</f>
        <v>0</v>
      </c>
      <c r="N46" s="78">
        <f>SUM(K46:M46)</f>
        <v>100</v>
      </c>
      <c r="O46" s="79">
        <v>16.899999999999999</v>
      </c>
      <c r="P46" s="77">
        <v>6.6</v>
      </c>
      <c r="Q46" s="77"/>
      <c r="R46" s="80">
        <f>SUM(O46:Q46)</f>
        <v>23.5</v>
      </c>
      <c r="S46" s="185">
        <v>5</v>
      </c>
      <c r="T46" s="839"/>
      <c r="U46" s="830"/>
      <c r="V46" s="82" t="s">
        <v>912</v>
      </c>
      <c r="W46" s="185" t="s">
        <v>22</v>
      </c>
      <c r="X46" s="185" t="s">
        <v>11</v>
      </c>
      <c r="Y46" s="83">
        <v>19.2</v>
      </c>
      <c r="Z46" s="82" t="s">
        <v>920</v>
      </c>
      <c r="AA46" s="185" t="s">
        <v>90</v>
      </c>
      <c r="AB46" s="185" t="s">
        <v>18</v>
      </c>
      <c r="AC46" s="83">
        <v>6.6</v>
      </c>
      <c r="AD46" s="82"/>
      <c r="AG46" s="83"/>
      <c r="AL46" s="82"/>
      <c r="AO46" s="83"/>
      <c r="AP46" s="82"/>
      <c r="AS46" s="83"/>
      <c r="AW46" s="83"/>
      <c r="BA46" s="84"/>
    </row>
    <row r="47" spans="1:53" s="185" customFormat="1">
      <c r="A47" s="185">
        <v>2007</v>
      </c>
      <c r="B47" s="864">
        <v>39366</v>
      </c>
      <c r="C47" s="917" t="s">
        <v>1169</v>
      </c>
      <c r="D47" s="917"/>
      <c r="E47" s="185">
        <v>82</v>
      </c>
      <c r="F47" s="139">
        <v>0</v>
      </c>
      <c r="G47" s="74">
        <v>13</v>
      </c>
      <c r="H47" s="75">
        <v>3</v>
      </c>
      <c r="I47" s="75"/>
      <c r="J47" s="76">
        <v>17</v>
      </c>
      <c r="K47" s="77">
        <f>G47/J47*100</f>
        <v>76.470588235294116</v>
      </c>
      <c r="L47" s="77">
        <f>H47/J47*100</f>
        <v>17.647058823529413</v>
      </c>
      <c r="M47" s="77">
        <f>I47/J47*100</f>
        <v>0</v>
      </c>
      <c r="N47" s="78">
        <f>SUM(K47:M47)</f>
        <v>94.117647058823536</v>
      </c>
      <c r="O47" s="79">
        <v>16.899999999999999</v>
      </c>
      <c r="P47" s="77">
        <v>6.6</v>
      </c>
      <c r="Q47" s="77"/>
      <c r="R47" s="80">
        <f>SUM(O47:Q47)</f>
        <v>23.5</v>
      </c>
      <c r="S47" s="185">
        <v>5</v>
      </c>
      <c r="T47" s="839"/>
      <c r="U47" s="830"/>
      <c r="V47" s="82" t="s">
        <v>912</v>
      </c>
      <c r="W47" s="185" t="s">
        <v>22</v>
      </c>
      <c r="X47" s="185" t="s">
        <v>11</v>
      </c>
      <c r="Y47" s="83">
        <v>19.2</v>
      </c>
      <c r="Z47" s="82" t="s">
        <v>920</v>
      </c>
      <c r="AA47" s="185" t="s">
        <v>90</v>
      </c>
      <c r="AB47" s="185" t="s">
        <v>18</v>
      </c>
      <c r="AC47" s="83">
        <v>6.6</v>
      </c>
      <c r="AD47" s="82"/>
      <c r="AG47" s="83"/>
      <c r="AL47" s="82"/>
      <c r="AO47" s="83"/>
      <c r="AP47" s="82"/>
      <c r="AS47" s="83"/>
      <c r="AW47" s="83"/>
      <c r="BA47" s="84"/>
    </row>
    <row r="48" spans="1:53" s="185" customFormat="1">
      <c r="A48" s="185">
        <v>2008</v>
      </c>
      <c r="B48" s="830"/>
      <c r="C48" s="917" t="s">
        <v>1169</v>
      </c>
      <c r="D48" s="917"/>
      <c r="E48" s="185">
        <v>356</v>
      </c>
      <c r="G48" s="74">
        <v>13</v>
      </c>
      <c r="H48" s="75">
        <v>3</v>
      </c>
      <c r="I48" s="75"/>
      <c r="J48" s="76">
        <v>17</v>
      </c>
      <c r="K48" s="77">
        <f t="shared" si="0"/>
        <v>76.470588235294116</v>
      </c>
      <c r="L48" s="77">
        <f t="shared" si="1"/>
        <v>17.647058823529413</v>
      </c>
      <c r="M48" s="77">
        <f t="shared" si="2"/>
        <v>0</v>
      </c>
      <c r="N48" s="78">
        <f t="shared" si="3"/>
        <v>94.117647058823536</v>
      </c>
      <c r="O48" s="79">
        <v>16.899999999999999</v>
      </c>
      <c r="P48" s="77">
        <v>6.6</v>
      </c>
      <c r="Q48" s="77"/>
      <c r="R48" s="80">
        <f t="shared" si="4"/>
        <v>23.5</v>
      </c>
      <c r="S48" s="185">
        <v>5</v>
      </c>
      <c r="T48" s="839"/>
      <c r="U48" s="852"/>
      <c r="V48" s="82" t="s">
        <v>912</v>
      </c>
      <c r="W48" s="185" t="s">
        <v>22</v>
      </c>
      <c r="X48" s="185" t="s">
        <v>11</v>
      </c>
      <c r="Y48" s="83">
        <v>19.2</v>
      </c>
      <c r="Z48" s="82" t="s">
        <v>920</v>
      </c>
      <c r="AA48" s="185" t="s">
        <v>90</v>
      </c>
      <c r="AB48" s="185" t="s">
        <v>18</v>
      </c>
      <c r="AC48" s="83">
        <v>6.6</v>
      </c>
      <c r="AD48" s="82"/>
      <c r="AG48" s="83"/>
      <c r="AL48" s="82"/>
      <c r="AO48" s="83"/>
      <c r="AP48" s="82"/>
      <c r="AS48" s="83"/>
      <c r="AW48" s="83"/>
      <c r="BA48" s="84"/>
    </row>
    <row r="49" spans="1:53" s="292" customFormat="1">
      <c r="A49" s="292">
        <v>2008</v>
      </c>
      <c r="B49" s="863">
        <v>39804</v>
      </c>
      <c r="C49" s="916" t="s">
        <v>925</v>
      </c>
      <c r="D49" s="916"/>
      <c r="E49" s="292">
        <f>366-E48</f>
        <v>10</v>
      </c>
      <c r="F49" s="292">
        <v>1</v>
      </c>
      <c r="G49" s="293">
        <v>10</v>
      </c>
      <c r="H49" s="179"/>
      <c r="I49" s="179">
        <v>10</v>
      </c>
      <c r="J49" s="294">
        <v>21</v>
      </c>
      <c r="K49" s="295">
        <f t="shared" si="0"/>
        <v>47.619047619047613</v>
      </c>
      <c r="L49" s="295">
        <f t="shared" si="1"/>
        <v>0</v>
      </c>
      <c r="M49" s="295">
        <f t="shared" si="2"/>
        <v>47.619047619047613</v>
      </c>
      <c r="N49" s="296">
        <f t="shared" si="3"/>
        <v>95.238095238095227</v>
      </c>
      <c r="O49" s="297">
        <v>34.4</v>
      </c>
      <c r="P49" s="295"/>
      <c r="Q49" s="179">
        <v>32.9</v>
      </c>
      <c r="R49" s="298">
        <f t="shared" si="4"/>
        <v>67.3</v>
      </c>
      <c r="S49" s="292">
        <v>2</v>
      </c>
      <c r="T49" s="838">
        <v>39782</v>
      </c>
      <c r="U49" s="863">
        <v>39804</v>
      </c>
      <c r="V49" s="299" t="s">
        <v>926</v>
      </c>
      <c r="W49" s="292" t="s">
        <v>100</v>
      </c>
      <c r="X49" s="292" t="s">
        <v>11</v>
      </c>
      <c r="Y49" s="300">
        <v>34.4</v>
      </c>
      <c r="Z49" s="292" t="s">
        <v>924</v>
      </c>
      <c r="AA49" s="292" t="s">
        <v>20</v>
      </c>
      <c r="AB49" s="292" t="s">
        <v>12</v>
      </c>
      <c r="AC49" s="292">
        <v>32.9</v>
      </c>
      <c r="AD49" s="299"/>
      <c r="AG49" s="300"/>
      <c r="AL49" s="299"/>
      <c r="AO49" s="300"/>
      <c r="AP49" s="299"/>
      <c r="AS49" s="300"/>
      <c r="AW49" s="300"/>
      <c r="BA49" s="301"/>
    </row>
    <row r="50" spans="1:53" s="292" customFormat="1">
      <c r="A50" s="292">
        <v>2009</v>
      </c>
      <c r="B50" s="863"/>
      <c r="C50" s="916" t="s">
        <v>925</v>
      </c>
      <c r="D50" s="916"/>
      <c r="E50" s="292">
        <v>273</v>
      </c>
      <c r="G50" s="293">
        <v>10</v>
      </c>
      <c r="H50" s="179"/>
      <c r="I50" s="179">
        <v>10</v>
      </c>
      <c r="J50" s="294">
        <v>21</v>
      </c>
      <c r="K50" s="295">
        <f>G50/J50*100</f>
        <v>47.619047619047613</v>
      </c>
      <c r="L50" s="295">
        <f>H50/J50*100</f>
        <v>0</v>
      </c>
      <c r="M50" s="295">
        <f>I50/J50*100</f>
        <v>47.619047619047613</v>
      </c>
      <c r="N50" s="296">
        <f t="shared" si="3"/>
        <v>95.238095238095227</v>
      </c>
      <c r="O50" s="297">
        <v>34.4</v>
      </c>
      <c r="P50" s="295"/>
      <c r="Q50" s="179">
        <v>32.9</v>
      </c>
      <c r="R50" s="298">
        <f t="shared" si="4"/>
        <v>67.3</v>
      </c>
      <c r="S50" s="292">
        <v>2</v>
      </c>
      <c r="T50" s="838"/>
      <c r="U50" s="836"/>
      <c r="V50" s="299" t="s">
        <v>926</v>
      </c>
      <c r="W50" s="292" t="s">
        <v>100</v>
      </c>
      <c r="X50" s="292" t="s">
        <v>11</v>
      </c>
      <c r="Y50" s="300">
        <v>34.4</v>
      </c>
      <c r="Z50" s="292" t="s">
        <v>924</v>
      </c>
      <c r="AA50" s="292" t="s">
        <v>20</v>
      </c>
      <c r="AB50" s="292" t="s">
        <v>12</v>
      </c>
      <c r="AC50" s="292">
        <v>32.9</v>
      </c>
      <c r="AD50" s="299"/>
      <c r="AG50" s="300"/>
      <c r="AL50" s="299"/>
      <c r="AO50" s="300"/>
      <c r="AP50" s="299"/>
      <c r="AS50" s="300"/>
      <c r="AW50" s="300"/>
      <c r="BA50" s="301"/>
    </row>
    <row r="51" spans="1:53" s="185" customFormat="1">
      <c r="A51" s="185">
        <v>2009</v>
      </c>
      <c r="B51" s="830">
        <v>40087</v>
      </c>
      <c r="C51" s="917" t="s">
        <v>927</v>
      </c>
      <c r="D51" s="917"/>
      <c r="E51" s="185">
        <v>83</v>
      </c>
      <c r="F51" s="185">
        <v>4</v>
      </c>
      <c r="G51" s="74">
        <v>18</v>
      </c>
      <c r="H51" s="75"/>
      <c r="I51" s="75"/>
      <c r="J51" s="76">
        <v>20</v>
      </c>
      <c r="K51" s="77">
        <f t="shared" si="0"/>
        <v>90</v>
      </c>
      <c r="L51" s="77">
        <f t="shared" si="1"/>
        <v>0</v>
      </c>
      <c r="M51" s="77">
        <f t="shared" si="2"/>
        <v>0</v>
      </c>
      <c r="N51" s="78">
        <f t="shared" si="3"/>
        <v>90</v>
      </c>
      <c r="O51" s="79">
        <v>34.4</v>
      </c>
      <c r="P51" s="77"/>
      <c r="Q51" s="77"/>
      <c r="R51" s="80">
        <f t="shared" si="4"/>
        <v>34.4</v>
      </c>
      <c r="S51" s="185">
        <v>4</v>
      </c>
      <c r="T51" s="839"/>
      <c r="U51" s="830">
        <v>40087</v>
      </c>
      <c r="V51" s="82" t="s">
        <v>926</v>
      </c>
      <c r="W51" s="185" t="s">
        <v>100</v>
      </c>
      <c r="X51" s="185" t="s">
        <v>11</v>
      </c>
      <c r="Y51" s="83">
        <v>34.4</v>
      </c>
      <c r="AD51" s="82"/>
      <c r="AG51" s="83"/>
      <c r="AL51" s="82"/>
      <c r="AO51" s="83"/>
      <c r="AP51" s="82"/>
      <c r="AS51" s="83"/>
      <c r="AW51" s="83"/>
      <c r="BA51" s="84"/>
    </row>
    <row r="52" spans="1:53" s="292" customFormat="1">
      <c r="A52" s="292">
        <v>2009</v>
      </c>
      <c r="B52" s="863">
        <v>40170</v>
      </c>
      <c r="C52" s="916" t="s">
        <v>928</v>
      </c>
      <c r="D52" s="916"/>
      <c r="E52" s="292">
        <f xml:space="preserve"> 365-E51-E50</f>
        <v>9</v>
      </c>
      <c r="F52" s="292">
        <v>5</v>
      </c>
      <c r="G52" s="293">
        <v>8</v>
      </c>
      <c r="H52" s="179">
        <v>4</v>
      </c>
      <c r="I52" s="179"/>
      <c r="J52" s="294">
        <v>17</v>
      </c>
      <c r="K52" s="295">
        <f t="shared" si="0"/>
        <v>47.058823529411761</v>
      </c>
      <c r="L52" s="295">
        <f t="shared" si="1"/>
        <v>23.52941176470588</v>
      </c>
      <c r="M52" s="295">
        <f t="shared" si="2"/>
        <v>0</v>
      </c>
      <c r="N52" s="296">
        <f t="shared" si="3"/>
        <v>70.588235294117638</v>
      </c>
      <c r="O52" s="297">
        <v>34.4</v>
      </c>
      <c r="P52" s="295">
        <v>6.6</v>
      </c>
      <c r="Q52" s="295"/>
      <c r="R52" s="298">
        <f t="shared" si="4"/>
        <v>41</v>
      </c>
      <c r="S52" s="292">
        <v>5</v>
      </c>
      <c r="T52" s="838"/>
      <c r="U52" s="863">
        <v>40170</v>
      </c>
      <c r="V52" s="299" t="s">
        <v>926</v>
      </c>
      <c r="W52" s="292" t="s">
        <v>100</v>
      </c>
      <c r="X52" s="292" t="s">
        <v>11</v>
      </c>
      <c r="Y52" s="300">
        <v>34.4</v>
      </c>
      <c r="Z52" s="299" t="s">
        <v>920</v>
      </c>
      <c r="AA52" s="292" t="s">
        <v>90</v>
      </c>
      <c r="AB52" s="292" t="s">
        <v>18</v>
      </c>
      <c r="AC52" s="300">
        <v>6.6</v>
      </c>
      <c r="AD52" s="299"/>
      <c r="AG52" s="300"/>
      <c r="AL52" s="299"/>
      <c r="AO52" s="300"/>
      <c r="AP52" s="299"/>
      <c r="AS52" s="300"/>
      <c r="AW52" s="300"/>
      <c r="BA52" s="301"/>
    </row>
    <row r="53" spans="1:53" s="292" customFormat="1">
      <c r="A53" s="292">
        <v>2010</v>
      </c>
      <c r="B53" s="863"/>
      <c r="C53" s="916" t="s">
        <v>928</v>
      </c>
      <c r="D53" s="916"/>
      <c r="E53" s="292">
        <v>245</v>
      </c>
      <c r="G53" s="293">
        <v>8</v>
      </c>
      <c r="H53" s="179">
        <v>4</v>
      </c>
      <c r="I53" s="179"/>
      <c r="J53" s="294">
        <v>17</v>
      </c>
      <c r="K53" s="295">
        <f>G53/J53*100</f>
        <v>47.058823529411761</v>
      </c>
      <c r="L53" s="295">
        <f>H53/J53*100</f>
        <v>23.52941176470588</v>
      </c>
      <c r="M53" s="295">
        <f>I53/J53*100</f>
        <v>0</v>
      </c>
      <c r="N53" s="296">
        <f t="shared" si="3"/>
        <v>70.588235294117638</v>
      </c>
      <c r="O53" s="297">
        <v>34.4</v>
      </c>
      <c r="P53" s="295">
        <v>6.6</v>
      </c>
      <c r="Q53" s="295"/>
      <c r="R53" s="298">
        <f t="shared" si="4"/>
        <v>41</v>
      </c>
      <c r="S53" s="292">
        <v>5</v>
      </c>
      <c r="T53" s="838"/>
      <c r="U53" s="836"/>
      <c r="V53" s="299" t="s">
        <v>926</v>
      </c>
      <c r="W53" s="292" t="s">
        <v>100</v>
      </c>
      <c r="X53" s="292" t="s">
        <v>11</v>
      </c>
      <c r="Y53" s="300">
        <v>34.4</v>
      </c>
      <c r="Z53" s="299" t="s">
        <v>920</v>
      </c>
      <c r="AA53" s="292" t="s">
        <v>90</v>
      </c>
      <c r="AB53" s="292" t="s">
        <v>18</v>
      </c>
      <c r="AC53" s="300">
        <v>6.6</v>
      </c>
      <c r="AD53" s="299"/>
      <c r="AG53" s="300"/>
      <c r="AL53" s="299"/>
      <c r="AO53" s="300"/>
      <c r="AP53" s="299"/>
      <c r="AS53" s="300"/>
      <c r="AW53" s="300"/>
      <c r="BA53" s="301"/>
    </row>
    <row r="54" spans="1:53" s="185" customFormat="1">
      <c r="A54" s="185">
        <v>2010</v>
      </c>
      <c r="B54" s="830">
        <v>40424</v>
      </c>
      <c r="C54" s="917" t="s">
        <v>929</v>
      </c>
      <c r="D54" s="917"/>
      <c r="E54" s="185">
        <v>25</v>
      </c>
      <c r="F54" s="185">
        <v>7</v>
      </c>
      <c r="G54" s="74">
        <v>10</v>
      </c>
      <c r="H54" s="75">
        <v>4</v>
      </c>
      <c r="I54" s="75">
        <v>1</v>
      </c>
      <c r="J54" s="76">
        <v>17</v>
      </c>
      <c r="K54" s="77">
        <f t="shared" si="0"/>
        <v>58.82352941176471</v>
      </c>
      <c r="L54" s="77">
        <f t="shared" si="1"/>
        <v>23.52941176470588</v>
      </c>
      <c r="M54" s="77">
        <f t="shared" si="2"/>
        <v>5.8823529411764701</v>
      </c>
      <c r="N54" s="78">
        <f t="shared" si="3"/>
        <v>88.235294117647058</v>
      </c>
      <c r="O54" s="79">
        <v>37.1</v>
      </c>
      <c r="P54" s="77">
        <v>6.6</v>
      </c>
      <c r="Q54" s="77">
        <v>4.5</v>
      </c>
      <c r="R54" s="80">
        <f t="shared" si="4"/>
        <v>48.2</v>
      </c>
      <c r="S54" s="185">
        <v>5</v>
      </c>
      <c r="T54" s="839"/>
      <c r="U54" s="830">
        <v>40424</v>
      </c>
      <c r="V54" s="82" t="s">
        <v>926</v>
      </c>
      <c r="W54" s="185" t="s">
        <v>100</v>
      </c>
      <c r="X54" s="185" t="s">
        <v>11</v>
      </c>
      <c r="Y54" s="83">
        <v>37.1</v>
      </c>
      <c r="Z54" s="82" t="s">
        <v>920</v>
      </c>
      <c r="AA54" s="185" t="s">
        <v>90</v>
      </c>
      <c r="AB54" s="185" t="s">
        <v>18</v>
      </c>
      <c r="AC54" s="83">
        <v>6.6</v>
      </c>
      <c r="AD54" s="82" t="s">
        <v>930</v>
      </c>
      <c r="AE54" s="185" t="s">
        <v>330</v>
      </c>
      <c r="AF54" s="185" t="s">
        <v>12</v>
      </c>
      <c r="AG54" s="83">
        <v>4.5</v>
      </c>
      <c r="AL54" s="82"/>
      <c r="AO54" s="83"/>
      <c r="AP54" s="82"/>
      <c r="AS54" s="83"/>
      <c r="AW54" s="83"/>
      <c r="BA54" s="84"/>
    </row>
    <row r="55" spans="1:53" s="185" customFormat="1">
      <c r="A55" s="185">
        <v>2010</v>
      </c>
      <c r="B55" s="864">
        <v>40449</v>
      </c>
      <c r="C55" s="917" t="s">
        <v>929</v>
      </c>
      <c r="D55" s="917"/>
      <c r="E55" s="185">
        <f xml:space="preserve"> 365-E54-E53</f>
        <v>95</v>
      </c>
      <c r="F55" s="139">
        <v>0</v>
      </c>
      <c r="G55" s="74">
        <v>11</v>
      </c>
      <c r="H55" s="75">
        <v>4</v>
      </c>
      <c r="I55" s="75">
        <v>1</v>
      </c>
      <c r="J55" s="76">
        <v>17</v>
      </c>
      <c r="K55" s="77">
        <f t="shared" si="0"/>
        <v>64.705882352941174</v>
      </c>
      <c r="L55" s="77">
        <f t="shared" si="1"/>
        <v>23.52941176470588</v>
      </c>
      <c r="M55" s="77">
        <f t="shared" si="2"/>
        <v>5.8823529411764701</v>
      </c>
      <c r="N55" s="78">
        <f t="shared" si="3"/>
        <v>94.117647058823522</v>
      </c>
      <c r="O55" s="79">
        <v>37.1</v>
      </c>
      <c r="P55" s="77">
        <v>6.6</v>
      </c>
      <c r="Q55" s="77">
        <v>4.5</v>
      </c>
      <c r="R55" s="80">
        <f t="shared" si="4"/>
        <v>48.2</v>
      </c>
      <c r="S55" s="185">
        <v>5</v>
      </c>
      <c r="T55" s="839"/>
      <c r="U55" s="852"/>
      <c r="V55" s="82" t="s">
        <v>926</v>
      </c>
      <c r="W55" s="185" t="s">
        <v>100</v>
      </c>
      <c r="X55" s="185" t="s">
        <v>11</v>
      </c>
      <c r="Y55" s="83">
        <v>37.1</v>
      </c>
      <c r="Z55" s="82" t="s">
        <v>920</v>
      </c>
      <c r="AA55" s="185" t="s">
        <v>90</v>
      </c>
      <c r="AB55" s="185" t="s">
        <v>18</v>
      </c>
      <c r="AC55" s="83">
        <v>6.6</v>
      </c>
      <c r="AD55" s="82" t="s">
        <v>930</v>
      </c>
      <c r="AE55" s="185" t="s">
        <v>330</v>
      </c>
      <c r="AF55" s="185" t="s">
        <v>12</v>
      </c>
      <c r="AG55" s="83">
        <v>4.5</v>
      </c>
      <c r="AL55" s="82"/>
      <c r="AO55" s="83"/>
      <c r="AP55" s="82"/>
      <c r="AS55" s="83"/>
      <c r="AW55" s="83"/>
      <c r="BA55" s="84"/>
    </row>
    <row r="56" spans="1:53" s="185" customFormat="1">
      <c r="A56" s="185">
        <v>2011</v>
      </c>
      <c r="B56" s="830"/>
      <c r="C56" s="917" t="s">
        <v>929</v>
      </c>
      <c r="D56" s="917"/>
      <c r="E56" s="185">
        <v>153</v>
      </c>
      <c r="G56" s="74">
        <v>11</v>
      </c>
      <c r="H56" s="75">
        <v>4</v>
      </c>
      <c r="I56" s="75">
        <v>1</v>
      </c>
      <c r="J56" s="76">
        <v>17</v>
      </c>
      <c r="K56" s="77">
        <f t="shared" ref="K56:K70" si="5">G56/J56*100</f>
        <v>64.705882352941174</v>
      </c>
      <c r="L56" s="77">
        <f t="shared" ref="L56:L70" si="6">H56/J56*100</f>
        <v>23.52941176470588</v>
      </c>
      <c r="M56" s="77">
        <f t="shared" ref="M56:M70" si="7">I56/J56*100</f>
        <v>5.8823529411764701</v>
      </c>
      <c r="N56" s="78">
        <f t="shared" si="3"/>
        <v>94.117647058823522</v>
      </c>
      <c r="O56" s="79">
        <v>37.1</v>
      </c>
      <c r="P56" s="77">
        <v>6.6</v>
      </c>
      <c r="Q56" s="77">
        <v>4.5</v>
      </c>
      <c r="R56" s="80">
        <f t="shared" si="4"/>
        <v>48.2</v>
      </c>
      <c r="S56" s="185">
        <v>5</v>
      </c>
      <c r="T56" s="839"/>
      <c r="U56" s="852"/>
      <c r="V56" s="82" t="s">
        <v>926</v>
      </c>
      <c r="W56" s="185" t="s">
        <v>100</v>
      </c>
      <c r="X56" s="185" t="s">
        <v>11</v>
      </c>
      <c r="Y56" s="83">
        <v>37.1</v>
      </c>
      <c r="Z56" s="82" t="s">
        <v>920</v>
      </c>
      <c r="AA56" s="185" t="s">
        <v>90</v>
      </c>
      <c r="AB56" s="185" t="s">
        <v>18</v>
      </c>
      <c r="AC56" s="83">
        <v>6.6</v>
      </c>
      <c r="AD56" s="82" t="s">
        <v>930</v>
      </c>
      <c r="AE56" s="185" t="s">
        <v>330</v>
      </c>
      <c r="AF56" s="185" t="s">
        <v>12</v>
      </c>
      <c r="AG56" s="83">
        <v>4.5</v>
      </c>
      <c r="AL56" s="82"/>
      <c r="AO56" s="83"/>
      <c r="AP56" s="82"/>
      <c r="AS56" s="83"/>
      <c r="AW56" s="83"/>
      <c r="BA56" s="84"/>
    </row>
    <row r="57" spans="1:53" s="185" customFormat="1">
      <c r="A57" s="185">
        <v>2011</v>
      </c>
      <c r="B57" s="864">
        <v>40697</v>
      </c>
      <c r="C57" s="917" t="s">
        <v>929</v>
      </c>
      <c r="D57" s="917"/>
      <c r="E57" s="185">
        <v>108</v>
      </c>
      <c r="F57" s="139">
        <v>0</v>
      </c>
      <c r="G57" s="74">
        <v>10</v>
      </c>
      <c r="H57" s="75">
        <v>4</v>
      </c>
      <c r="I57" s="75">
        <v>1</v>
      </c>
      <c r="J57" s="76">
        <v>17</v>
      </c>
      <c r="K57" s="77">
        <f t="shared" si="5"/>
        <v>58.82352941176471</v>
      </c>
      <c r="L57" s="77">
        <f t="shared" si="6"/>
        <v>23.52941176470588</v>
      </c>
      <c r="M57" s="77">
        <f t="shared" si="7"/>
        <v>5.8823529411764701</v>
      </c>
      <c r="N57" s="78">
        <f t="shared" si="3"/>
        <v>88.235294117647058</v>
      </c>
      <c r="O57" s="79">
        <v>37.1</v>
      </c>
      <c r="P57" s="77">
        <v>6.6</v>
      </c>
      <c r="Q57" s="77">
        <v>4.5</v>
      </c>
      <c r="R57" s="80">
        <f t="shared" si="4"/>
        <v>48.2</v>
      </c>
      <c r="S57" s="185">
        <v>5</v>
      </c>
      <c r="T57" s="839"/>
      <c r="U57" s="852"/>
      <c r="V57" s="82" t="s">
        <v>926</v>
      </c>
      <c r="W57" s="185" t="s">
        <v>100</v>
      </c>
      <c r="X57" s="185" t="s">
        <v>11</v>
      </c>
      <c r="Y57" s="83">
        <v>37.1</v>
      </c>
      <c r="Z57" s="82" t="s">
        <v>920</v>
      </c>
      <c r="AA57" s="185" t="s">
        <v>90</v>
      </c>
      <c r="AB57" s="185" t="s">
        <v>18</v>
      </c>
      <c r="AC57" s="83">
        <v>6.6</v>
      </c>
      <c r="AD57" s="82" t="s">
        <v>930</v>
      </c>
      <c r="AE57" s="185" t="s">
        <v>330</v>
      </c>
      <c r="AF57" s="185" t="s">
        <v>12</v>
      </c>
      <c r="AG57" s="83">
        <v>4.5</v>
      </c>
      <c r="AL57" s="82"/>
      <c r="AO57" s="83"/>
      <c r="AP57" s="82"/>
      <c r="AS57" s="83"/>
      <c r="AW57" s="83"/>
      <c r="BA57" s="84"/>
    </row>
    <row r="58" spans="1:53" s="185" customFormat="1">
      <c r="A58" s="185">
        <v>2011</v>
      </c>
      <c r="B58" s="864">
        <v>40805</v>
      </c>
      <c r="C58" s="917" t="s">
        <v>929</v>
      </c>
      <c r="D58" s="917"/>
      <c r="E58" s="185">
        <v>1</v>
      </c>
      <c r="F58" s="139">
        <v>0</v>
      </c>
      <c r="G58" s="74">
        <v>11</v>
      </c>
      <c r="H58" s="75">
        <v>4</v>
      </c>
      <c r="I58" s="75">
        <v>1</v>
      </c>
      <c r="J58" s="76">
        <v>17</v>
      </c>
      <c r="K58" s="77">
        <f t="shared" si="5"/>
        <v>64.705882352941174</v>
      </c>
      <c r="L58" s="77">
        <f t="shared" si="6"/>
        <v>23.52941176470588</v>
      </c>
      <c r="M58" s="77">
        <f t="shared" si="7"/>
        <v>5.8823529411764701</v>
      </c>
      <c r="N58" s="78">
        <f t="shared" si="3"/>
        <v>94.117647058823522</v>
      </c>
      <c r="O58" s="79">
        <v>37.1</v>
      </c>
      <c r="P58" s="77">
        <v>6.6</v>
      </c>
      <c r="Q58" s="77">
        <v>4.5</v>
      </c>
      <c r="R58" s="80">
        <f t="shared" si="4"/>
        <v>48.2</v>
      </c>
      <c r="S58" s="185">
        <v>5</v>
      </c>
      <c r="T58" s="839"/>
      <c r="U58" s="852"/>
      <c r="V58" s="82" t="s">
        <v>926</v>
      </c>
      <c r="W58" s="185" t="s">
        <v>100</v>
      </c>
      <c r="X58" s="185" t="s">
        <v>11</v>
      </c>
      <c r="Y58" s="83">
        <v>37.1</v>
      </c>
      <c r="Z58" s="82" t="s">
        <v>920</v>
      </c>
      <c r="AA58" s="185" t="s">
        <v>90</v>
      </c>
      <c r="AB58" s="185" t="s">
        <v>18</v>
      </c>
      <c r="AC58" s="83">
        <v>6.6</v>
      </c>
      <c r="AD58" s="82" t="s">
        <v>930</v>
      </c>
      <c r="AE58" s="185" t="s">
        <v>330</v>
      </c>
      <c r="AF58" s="185" t="s">
        <v>12</v>
      </c>
      <c r="AG58" s="83">
        <v>4.5</v>
      </c>
      <c r="AL58" s="82"/>
      <c r="AO58" s="83"/>
      <c r="AP58" s="82"/>
      <c r="AS58" s="83"/>
      <c r="AW58" s="83"/>
      <c r="BA58" s="84"/>
    </row>
    <row r="59" spans="1:53" s="185" customFormat="1">
      <c r="A59" s="185">
        <v>2011</v>
      </c>
      <c r="B59" s="864">
        <v>40806</v>
      </c>
      <c r="C59" s="917" t="s">
        <v>929</v>
      </c>
      <c r="D59" s="917"/>
      <c r="E59" s="185">
        <f xml:space="preserve"> 365-E58-E57-E56</f>
        <v>103</v>
      </c>
      <c r="F59" s="139">
        <v>0</v>
      </c>
      <c r="G59" s="74">
        <v>11</v>
      </c>
      <c r="H59" s="75">
        <v>4</v>
      </c>
      <c r="I59" s="75">
        <v>1</v>
      </c>
      <c r="J59" s="76">
        <v>18</v>
      </c>
      <c r="K59" s="77">
        <f t="shared" si="5"/>
        <v>61.111111111111114</v>
      </c>
      <c r="L59" s="77">
        <f t="shared" si="6"/>
        <v>22.222222222222221</v>
      </c>
      <c r="M59" s="77">
        <f t="shared" si="7"/>
        <v>5.5555555555555554</v>
      </c>
      <c r="N59" s="78">
        <f t="shared" si="3"/>
        <v>88.8888888888889</v>
      </c>
      <c r="O59" s="79">
        <v>37.1</v>
      </c>
      <c r="P59" s="77">
        <v>6.6</v>
      </c>
      <c r="Q59" s="77">
        <v>4.5</v>
      </c>
      <c r="R59" s="80">
        <f t="shared" si="4"/>
        <v>48.2</v>
      </c>
      <c r="S59" s="185">
        <v>5</v>
      </c>
      <c r="T59" s="839"/>
      <c r="U59" s="852"/>
      <c r="V59" s="82" t="s">
        <v>926</v>
      </c>
      <c r="W59" s="185" t="s">
        <v>100</v>
      </c>
      <c r="X59" s="185" t="s">
        <v>11</v>
      </c>
      <c r="Y59" s="83">
        <v>37.1</v>
      </c>
      <c r="Z59" s="82" t="s">
        <v>920</v>
      </c>
      <c r="AA59" s="185" t="s">
        <v>90</v>
      </c>
      <c r="AB59" s="185" t="s">
        <v>18</v>
      </c>
      <c r="AC59" s="83">
        <v>6.6</v>
      </c>
      <c r="AD59" s="82" t="s">
        <v>930</v>
      </c>
      <c r="AE59" s="185" t="s">
        <v>330</v>
      </c>
      <c r="AF59" s="185" t="s">
        <v>12</v>
      </c>
      <c r="AG59" s="83">
        <v>4.5</v>
      </c>
      <c r="AL59" s="82"/>
      <c r="AO59" s="83"/>
      <c r="AP59" s="82"/>
      <c r="AS59" s="83"/>
      <c r="AW59" s="83"/>
      <c r="BA59" s="84"/>
    </row>
    <row r="60" spans="1:53" s="185" customFormat="1">
      <c r="A60" s="185">
        <v>2012</v>
      </c>
      <c r="B60" s="830"/>
      <c r="C60" s="917" t="s">
        <v>929</v>
      </c>
      <c r="D60" s="917"/>
      <c r="E60" s="185">
        <v>39</v>
      </c>
      <c r="G60" s="74">
        <v>11</v>
      </c>
      <c r="H60" s="75">
        <v>4</v>
      </c>
      <c r="I60" s="75">
        <v>1</v>
      </c>
      <c r="J60" s="76">
        <v>18</v>
      </c>
      <c r="K60" s="77">
        <f t="shared" si="5"/>
        <v>61.111111111111114</v>
      </c>
      <c r="L60" s="77">
        <f t="shared" si="6"/>
        <v>22.222222222222221</v>
      </c>
      <c r="M60" s="77">
        <f t="shared" si="7"/>
        <v>5.5555555555555554</v>
      </c>
      <c r="N60" s="78">
        <f t="shared" si="3"/>
        <v>88.8888888888889</v>
      </c>
      <c r="O60" s="79">
        <v>37.1</v>
      </c>
      <c r="P60" s="77">
        <v>6.6</v>
      </c>
      <c r="Q60" s="77">
        <v>4.5</v>
      </c>
      <c r="R60" s="80">
        <f t="shared" si="4"/>
        <v>48.2</v>
      </c>
      <c r="S60" s="185">
        <v>5</v>
      </c>
      <c r="T60" s="839"/>
      <c r="U60" s="852"/>
      <c r="V60" s="82" t="s">
        <v>926</v>
      </c>
      <c r="W60" s="185" t="s">
        <v>100</v>
      </c>
      <c r="X60" s="185" t="s">
        <v>11</v>
      </c>
      <c r="Y60" s="83">
        <v>37.1</v>
      </c>
      <c r="Z60" s="82" t="s">
        <v>920</v>
      </c>
      <c r="AA60" s="185" t="s">
        <v>90</v>
      </c>
      <c r="AB60" s="185" t="s">
        <v>18</v>
      </c>
      <c r="AC60" s="83">
        <v>6.6</v>
      </c>
      <c r="AD60" s="82" t="s">
        <v>930</v>
      </c>
      <c r="AE60" s="185" t="s">
        <v>330</v>
      </c>
      <c r="AF60" s="185" t="s">
        <v>12</v>
      </c>
      <c r="AG60" s="83">
        <v>4.5</v>
      </c>
      <c r="AL60" s="82"/>
      <c r="AO60" s="83"/>
      <c r="AP60" s="82"/>
      <c r="AS60" s="83"/>
      <c r="AW60" s="83"/>
      <c r="BA60" s="84"/>
    </row>
    <row r="61" spans="1:53" s="292" customFormat="1">
      <c r="A61" s="292">
        <v>2012</v>
      </c>
      <c r="B61" s="863">
        <v>40948</v>
      </c>
      <c r="C61" s="958" t="s">
        <v>932</v>
      </c>
      <c r="D61" s="958"/>
      <c r="E61" s="292">
        <v>88</v>
      </c>
      <c r="F61" s="292">
        <v>2</v>
      </c>
      <c r="G61" s="293">
        <v>9</v>
      </c>
      <c r="H61" s="179">
        <v>3</v>
      </c>
      <c r="I61" s="179">
        <v>2</v>
      </c>
      <c r="J61" s="294">
        <v>17</v>
      </c>
      <c r="K61" s="295">
        <f t="shared" si="5"/>
        <v>52.941176470588239</v>
      </c>
      <c r="L61" s="295">
        <f t="shared" si="6"/>
        <v>17.647058823529413</v>
      </c>
      <c r="M61" s="295">
        <f t="shared" si="7"/>
        <v>11.76470588235294</v>
      </c>
      <c r="N61" s="296">
        <f t="shared" si="3"/>
        <v>82.352941176470594</v>
      </c>
      <c r="O61" s="297">
        <v>37.1</v>
      </c>
      <c r="P61" s="295">
        <v>6.6</v>
      </c>
      <c r="Q61" s="295">
        <v>4.5</v>
      </c>
      <c r="R61" s="298">
        <f t="shared" si="4"/>
        <v>48.2</v>
      </c>
      <c r="S61" s="292">
        <v>5</v>
      </c>
      <c r="T61" s="838"/>
      <c r="U61" s="863">
        <v>40948</v>
      </c>
      <c r="V61" s="299" t="s">
        <v>926</v>
      </c>
      <c r="W61" s="292" t="s">
        <v>100</v>
      </c>
      <c r="X61" s="292" t="s">
        <v>11</v>
      </c>
      <c r="Y61" s="300">
        <v>37.1</v>
      </c>
      <c r="Z61" s="299" t="s">
        <v>920</v>
      </c>
      <c r="AA61" s="292" t="s">
        <v>90</v>
      </c>
      <c r="AB61" s="292" t="s">
        <v>18</v>
      </c>
      <c r="AC61" s="300">
        <v>6.6</v>
      </c>
      <c r="AD61" s="299" t="s">
        <v>930</v>
      </c>
      <c r="AE61" s="292" t="s">
        <v>330</v>
      </c>
      <c r="AF61" s="292" t="s">
        <v>12</v>
      </c>
      <c r="AG61" s="300">
        <v>4.5</v>
      </c>
      <c r="AL61" s="299"/>
      <c r="AO61" s="300"/>
      <c r="AP61" s="299"/>
      <c r="AS61" s="300"/>
      <c r="AW61" s="300"/>
      <c r="BA61" s="301"/>
    </row>
    <row r="62" spans="1:53" s="185" customFormat="1">
      <c r="A62" s="185">
        <v>2012</v>
      </c>
      <c r="B62" s="830">
        <v>41036</v>
      </c>
      <c r="C62" s="917" t="s">
        <v>931</v>
      </c>
      <c r="D62" s="917"/>
      <c r="E62" s="185">
        <v>91</v>
      </c>
      <c r="F62" s="185">
        <v>5</v>
      </c>
      <c r="G62" s="74">
        <v>6</v>
      </c>
      <c r="H62" s="75">
        <v>1</v>
      </c>
      <c r="I62" s="75">
        <v>12</v>
      </c>
      <c r="J62" s="76">
        <v>23</v>
      </c>
      <c r="K62" s="77">
        <f t="shared" si="5"/>
        <v>26.086956521739129</v>
      </c>
      <c r="L62" s="77">
        <v>3.4</v>
      </c>
      <c r="M62" s="77">
        <f t="shared" si="7"/>
        <v>52.173913043478258</v>
      </c>
      <c r="N62" s="78">
        <f t="shared" si="3"/>
        <v>81.660869565217382</v>
      </c>
      <c r="O62" s="79">
        <v>19.5</v>
      </c>
      <c r="P62" s="77">
        <v>1.2</v>
      </c>
      <c r="Q62" s="77">
        <v>32.9</v>
      </c>
      <c r="R62" s="80">
        <f t="shared" si="4"/>
        <v>53.599999999999994</v>
      </c>
      <c r="S62" s="185">
        <v>3</v>
      </c>
      <c r="T62" s="839"/>
      <c r="U62" s="830">
        <v>41036</v>
      </c>
      <c r="V62" s="82" t="s">
        <v>924</v>
      </c>
      <c r="W62" s="185" t="s">
        <v>20</v>
      </c>
      <c r="X62" s="185" t="s">
        <v>12</v>
      </c>
      <c r="Y62" s="185">
        <v>32.9</v>
      </c>
      <c r="Z62" s="82" t="s">
        <v>912</v>
      </c>
      <c r="AA62" s="185" t="s">
        <v>22</v>
      </c>
      <c r="AB62" s="185" t="s">
        <v>11</v>
      </c>
      <c r="AC62" s="185">
        <v>19.5</v>
      </c>
      <c r="AD62" s="82" t="s">
        <v>101</v>
      </c>
      <c r="AE62" s="185" t="s">
        <v>330</v>
      </c>
      <c r="AF62" s="185" t="s">
        <v>18</v>
      </c>
      <c r="AG62" s="83">
        <v>1.2</v>
      </c>
      <c r="AL62" s="82"/>
      <c r="AO62" s="83"/>
      <c r="AP62" s="82"/>
      <c r="AS62" s="83"/>
      <c r="AW62" s="83"/>
      <c r="BA62" s="84"/>
    </row>
    <row r="63" spans="1:53" s="185" customFormat="1">
      <c r="A63" s="185">
        <v>2012</v>
      </c>
      <c r="B63" s="864">
        <v>41127</v>
      </c>
      <c r="C63" s="917" t="s">
        <v>931</v>
      </c>
      <c r="D63" s="917"/>
      <c r="E63" s="185">
        <v>137</v>
      </c>
      <c r="F63" s="139">
        <v>0</v>
      </c>
      <c r="G63" s="74">
        <v>8</v>
      </c>
      <c r="H63" s="75">
        <v>1</v>
      </c>
      <c r="I63" s="75">
        <v>10</v>
      </c>
      <c r="J63" s="76">
        <v>23</v>
      </c>
      <c r="K63" s="77">
        <f t="shared" si="5"/>
        <v>34.782608695652172</v>
      </c>
      <c r="L63" s="77">
        <v>3.4</v>
      </c>
      <c r="M63" s="77">
        <f t="shared" si="7"/>
        <v>43.478260869565219</v>
      </c>
      <c r="N63" s="78">
        <f t="shared" si="3"/>
        <v>81.660869565217382</v>
      </c>
      <c r="O63" s="79">
        <v>19.5</v>
      </c>
      <c r="P63" s="77">
        <v>1.2</v>
      </c>
      <c r="Q63" s="77">
        <v>32.9</v>
      </c>
      <c r="R63" s="80">
        <f t="shared" si="4"/>
        <v>53.599999999999994</v>
      </c>
      <c r="S63" s="185">
        <v>3</v>
      </c>
      <c r="T63" s="839"/>
      <c r="U63" s="852"/>
      <c r="V63" s="82" t="s">
        <v>924</v>
      </c>
      <c r="W63" s="185" t="s">
        <v>20</v>
      </c>
      <c r="X63" s="185" t="s">
        <v>12</v>
      </c>
      <c r="Y63" s="185">
        <v>32.9</v>
      </c>
      <c r="Z63" s="82" t="s">
        <v>912</v>
      </c>
      <c r="AA63" s="185" t="s">
        <v>22</v>
      </c>
      <c r="AB63" s="185" t="s">
        <v>11</v>
      </c>
      <c r="AC63" s="185">
        <v>19.5</v>
      </c>
      <c r="AD63" s="82" t="s">
        <v>101</v>
      </c>
      <c r="AE63" s="185" t="s">
        <v>330</v>
      </c>
      <c r="AF63" s="185" t="s">
        <v>18</v>
      </c>
      <c r="AG63" s="83">
        <v>1.2</v>
      </c>
      <c r="AL63" s="82"/>
      <c r="AO63" s="83"/>
      <c r="AP63" s="82"/>
      <c r="AS63" s="83"/>
      <c r="AW63" s="83"/>
      <c r="BA63" s="84"/>
    </row>
    <row r="64" spans="1:53" s="292" customFormat="1">
      <c r="A64" s="292">
        <v>2012</v>
      </c>
      <c r="B64" s="863">
        <v>41264</v>
      </c>
      <c r="C64" s="916" t="s">
        <v>933</v>
      </c>
      <c r="D64" s="916"/>
      <c r="E64" s="292">
        <f xml:space="preserve"> 366-E63-E62-E61-E60</f>
        <v>11</v>
      </c>
      <c r="F64" s="292">
        <v>1</v>
      </c>
      <c r="G64" s="293">
        <v>10</v>
      </c>
      <c r="H64" s="179">
        <v>1</v>
      </c>
      <c r="I64" s="179">
        <v>14</v>
      </c>
      <c r="J64" s="294">
        <v>25</v>
      </c>
      <c r="K64" s="295">
        <f t="shared" si="5"/>
        <v>40</v>
      </c>
      <c r="L64" s="295">
        <f t="shared" si="6"/>
        <v>4</v>
      </c>
      <c r="M64" s="295">
        <f t="shared" si="7"/>
        <v>56.000000000000007</v>
      </c>
      <c r="N64" s="296">
        <f t="shared" si="3"/>
        <v>100</v>
      </c>
      <c r="O64" s="297">
        <v>25.5</v>
      </c>
      <c r="P64" s="295">
        <v>3.4</v>
      </c>
      <c r="Q64" s="295">
        <v>38.1</v>
      </c>
      <c r="R64" s="298">
        <f t="shared" si="4"/>
        <v>67</v>
      </c>
      <c r="S64" s="292">
        <v>3</v>
      </c>
      <c r="T64" s="838">
        <v>41252</v>
      </c>
      <c r="U64" s="863">
        <v>41264</v>
      </c>
      <c r="V64" s="299" t="s">
        <v>924</v>
      </c>
      <c r="W64" s="292" t="s">
        <v>20</v>
      </c>
      <c r="X64" s="292" t="s">
        <v>12</v>
      </c>
      <c r="Y64" s="300">
        <v>36.4</v>
      </c>
      <c r="Z64" s="299" t="s">
        <v>912</v>
      </c>
      <c r="AA64" s="292" t="s">
        <v>22</v>
      </c>
      <c r="AB64" s="292" t="s">
        <v>11</v>
      </c>
      <c r="AC64" s="292">
        <v>25.5</v>
      </c>
      <c r="AD64" s="299" t="s">
        <v>101</v>
      </c>
      <c r="AE64" s="292" t="s">
        <v>330</v>
      </c>
      <c r="AF64" s="292" t="s">
        <v>18</v>
      </c>
      <c r="AG64" s="300">
        <v>3.4</v>
      </c>
      <c r="AH64" s="299" t="s">
        <v>930</v>
      </c>
      <c r="AI64" s="292" t="s">
        <v>330</v>
      </c>
      <c r="AJ64" s="292" t="s">
        <v>12</v>
      </c>
      <c r="AK64" s="292">
        <v>1.7</v>
      </c>
      <c r="AL64" s="299"/>
      <c r="AO64" s="300"/>
      <c r="AP64" s="299"/>
      <c r="AS64" s="300"/>
      <c r="AW64" s="300"/>
      <c r="BA64" s="301"/>
    </row>
    <row r="65" spans="1:53" s="292" customFormat="1">
      <c r="A65" s="292">
        <v>2013</v>
      </c>
      <c r="B65" s="863"/>
      <c r="C65" s="916" t="s">
        <v>933</v>
      </c>
      <c r="D65" s="916"/>
      <c r="E65" s="292">
        <v>104</v>
      </c>
      <c r="G65" s="293">
        <v>10</v>
      </c>
      <c r="H65" s="179">
        <v>1</v>
      </c>
      <c r="I65" s="179">
        <v>14</v>
      </c>
      <c r="J65" s="294">
        <v>25</v>
      </c>
      <c r="K65" s="295">
        <f t="shared" si="5"/>
        <v>40</v>
      </c>
      <c r="L65" s="295">
        <f t="shared" si="6"/>
        <v>4</v>
      </c>
      <c r="M65" s="295">
        <f t="shared" si="7"/>
        <v>56.000000000000007</v>
      </c>
      <c r="N65" s="296">
        <f t="shared" si="3"/>
        <v>100</v>
      </c>
      <c r="O65" s="297">
        <v>25.5</v>
      </c>
      <c r="P65" s="295">
        <v>3.4</v>
      </c>
      <c r="Q65" s="295">
        <v>38.1</v>
      </c>
      <c r="R65" s="298">
        <f>SUM(O65:Q65)</f>
        <v>67</v>
      </c>
      <c r="S65" s="292">
        <v>3</v>
      </c>
      <c r="T65" s="838"/>
      <c r="U65" s="863"/>
      <c r="V65" s="299" t="s">
        <v>924</v>
      </c>
      <c r="W65" s="292" t="s">
        <v>20</v>
      </c>
      <c r="X65" s="292" t="s">
        <v>12</v>
      </c>
      <c r="Y65" s="300">
        <v>36.4</v>
      </c>
      <c r="Z65" s="299" t="s">
        <v>912</v>
      </c>
      <c r="AA65" s="292" t="s">
        <v>22</v>
      </c>
      <c r="AB65" s="292" t="s">
        <v>11</v>
      </c>
      <c r="AC65" s="292">
        <v>25.5</v>
      </c>
      <c r="AD65" s="299" t="s">
        <v>101</v>
      </c>
      <c r="AE65" s="292" t="s">
        <v>330</v>
      </c>
      <c r="AF65" s="292" t="s">
        <v>18</v>
      </c>
      <c r="AG65" s="300">
        <v>3.4</v>
      </c>
      <c r="AH65" s="299" t="s">
        <v>930</v>
      </c>
      <c r="AI65" s="292" t="s">
        <v>330</v>
      </c>
      <c r="AJ65" s="292" t="s">
        <v>12</v>
      </c>
      <c r="AK65" s="292">
        <v>1.7</v>
      </c>
      <c r="AL65" s="299"/>
      <c r="AO65" s="300"/>
      <c r="AP65" s="299"/>
      <c r="AS65" s="300"/>
      <c r="AW65" s="300"/>
      <c r="BA65" s="301"/>
    </row>
    <row r="66" spans="1:53" s="292" customFormat="1">
      <c r="A66" s="292">
        <v>2013</v>
      </c>
      <c r="B66" s="862">
        <v>41379</v>
      </c>
      <c r="C66" s="916" t="s">
        <v>933</v>
      </c>
      <c r="D66" s="916"/>
      <c r="E66" s="292">
        <f>365-E65</f>
        <v>261</v>
      </c>
      <c r="F66" s="381">
        <v>0</v>
      </c>
      <c r="G66" s="293">
        <v>10</v>
      </c>
      <c r="H66" s="179">
        <v>1</v>
      </c>
      <c r="I66" s="179">
        <v>13</v>
      </c>
      <c r="J66" s="294">
        <v>25</v>
      </c>
      <c r="K66" s="295">
        <f t="shared" si="5"/>
        <v>40</v>
      </c>
      <c r="L66" s="295">
        <f t="shared" si="6"/>
        <v>4</v>
      </c>
      <c r="M66" s="295">
        <f t="shared" si="7"/>
        <v>52</v>
      </c>
      <c r="N66" s="296">
        <f t="shared" si="3"/>
        <v>96</v>
      </c>
      <c r="O66" s="297">
        <v>25.5</v>
      </c>
      <c r="P66" s="295">
        <v>3.4</v>
      </c>
      <c r="Q66" s="295">
        <v>38.1</v>
      </c>
      <c r="R66" s="298">
        <f>SUM(O66:Q66)</f>
        <v>67</v>
      </c>
      <c r="S66" s="292">
        <v>3</v>
      </c>
      <c r="T66" s="838"/>
      <c r="U66" s="836"/>
      <c r="V66" s="299" t="s">
        <v>924</v>
      </c>
      <c r="W66" s="292" t="s">
        <v>20</v>
      </c>
      <c r="X66" s="292" t="s">
        <v>12</v>
      </c>
      <c r="Y66" s="300">
        <v>36.4</v>
      </c>
      <c r="Z66" s="292" t="s">
        <v>912</v>
      </c>
      <c r="AA66" s="292" t="s">
        <v>22</v>
      </c>
      <c r="AB66" s="292" t="s">
        <v>11</v>
      </c>
      <c r="AC66" s="292">
        <v>25.5</v>
      </c>
      <c r="AD66" s="299" t="s">
        <v>101</v>
      </c>
      <c r="AE66" s="292" t="s">
        <v>330</v>
      </c>
      <c r="AF66" s="292" t="s">
        <v>18</v>
      </c>
      <c r="AG66" s="300">
        <v>3.4</v>
      </c>
      <c r="AH66" s="292" t="s">
        <v>930</v>
      </c>
      <c r="AI66" s="292" t="s">
        <v>330</v>
      </c>
      <c r="AJ66" s="292" t="s">
        <v>12</v>
      </c>
      <c r="AK66" s="292">
        <v>1.7</v>
      </c>
      <c r="AL66" s="299"/>
      <c r="AO66" s="300"/>
      <c r="AP66" s="299"/>
      <c r="AS66" s="300"/>
      <c r="AW66" s="300"/>
      <c r="BA66" s="301"/>
    </row>
    <row r="67" spans="1:53" s="549" customFormat="1">
      <c r="A67" s="549">
        <v>2014</v>
      </c>
      <c r="B67" s="863"/>
      <c r="C67" s="916" t="s">
        <v>933</v>
      </c>
      <c r="D67" s="916"/>
      <c r="E67" s="549">
        <v>22</v>
      </c>
      <c r="G67" s="293">
        <v>10</v>
      </c>
      <c r="H67" s="179">
        <v>1</v>
      </c>
      <c r="I67" s="179">
        <v>13</v>
      </c>
      <c r="J67" s="294">
        <v>25</v>
      </c>
      <c r="K67" s="295">
        <f t="shared" si="5"/>
        <v>40</v>
      </c>
      <c r="L67" s="295">
        <f t="shared" si="6"/>
        <v>4</v>
      </c>
      <c r="M67" s="295">
        <f t="shared" si="7"/>
        <v>52</v>
      </c>
      <c r="N67" s="296">
        <f t="shared" si="3"/>
        <v>96</v>
      </c>
      <c r="O67" s="297">
        <v>25.5</v>
      </c>
      <c r="P67" s="295">
        <v>3.4</v>
      </c>
      <c r="Q67" s="295">
        <v>38.1</v>
      </c>
      <c r="R67" s="298">
        <f>SUM(O67:Q67)</f>
        <v>67</v>
      </c>
      <c r="S67" s="549">
        <v>3</v>
      </c>
      <c r="T67" s="838"/>
      <c r="U67" s="863"/>
      <c r="V67" s="532" t="s">
        <v>924</v>
      </c>
      <c r="W67" s="549" t="s">
        <v>20</v>
      </c>
      <c r="X67" s="549" t="s">
        <v>12</v>
      </c>
      <c r="Y67" s="533">
        <v>36.4</v>
      </c>
      <c r="Z67" s="549" t="s">
        <v>912</v>
      </c>
      <c r="AA67" s="549" t="s">
        <v>22</v>
      </c>
      <c r="AB67" s="549" t="s">
        <v>11</v>
      </c>
      <c r="AC67" s="549">
        <v>25.5</v>
      </c>
      <c r="AD67" s="532" t="s">
        <v>101</v>
      </c>
      <c r="AE67" s="549" t="s">
        <v>330</v>
      </c>
      <c r="AF67" s="549" t="s">
        <v>18</v>
      </c>
      <c r="AG67" s="533">
        <v>3.4</v>
      </c>
      <c r="AH67" s="549" t="s">
        <v>930</v>
      </c>
      <c r="AI67" s="549" t="s">
        <v>330</v>
      </c>
      <c r="AJ67" s="549" t="s">
        <v>12</v>
      </c>
      <c r="AK67" s="549">
        <v>1.7</v>
      </c>
      <c r="AL67" s="532"/>
      <c r="AO67" s="533"/>
      <c r="AP67" s="532"/>
      <c r="AS67" s="533"/>
      <c r="AW67" s="533"/>
      <c r="BA67" s="534"/>
    </row>
    <row r="68" spans="1:53" s="549" customFormat="1">
      <c r="A68" s="549">
        <v>2014</v>
      </c>
      <c r="B68" s="862">
        <v>41662</v>
      </c>
      <c r="C68" s="916" t="s">
        <v>933</v>
      </c>
      <c r="D68" s="916"/>
      <c r="E68" s="549">
        <v>14</v>
      </c>
      <c r="F68" s="428">
        <v>0</v>
      </c>
      <c r="G68" s="293">
        <v>9</v>
      </c>
      <c r="H68" s="179">
        <v>1</v>
      </c>
      <c r="I68" s="179">
        <v>14</v>
      </c>
      <c r="J68" s="294">
        <v>25</v>
      </c>
      <c r="K68" s="295">
        <f t="shared" si="5"/>
        <v>36</v>
      </c>
      <c r="L68" s="295">
        <f t="shared" si="6"/>
        <v>4</v>
      </c>
      <c r="M68" s="295">
        <f t="shared" si="7"/>
        <v>56.000000000000007</v>
      </c>
      <c r="N68" s="296">
        <f t="shared" si="3"/>
        <v>96</v>
      </c>
      <c r="O68" s="297">
        <v>25.5</v>
      </c>
      <c r="P68" s="295">
        <v>3.4</v>
      </c>
      <c r="Q68" s="295">
        <v>38.1</v>
      </c>
      <c r="R68" s="298">
        <f>SUM(O68:Q68)</f>
        <v>67</v>
      </c>
      <c r="S68" s="549">
        <v>3</v>
      </c>
      <c r="T68" s="838"/>
      <c r="U68" s="863"/>
      <c r="V68" s="532" t="s">
        <v>924</v>
      </c>
      <c r="W68" s="549" t="s">
        <v>20</v>
      </c>
      <c r="X68" s="549" t="s">
        <v>12</v>
      </c>
      <c r="Y68" s="533">
        <v>36.4</v>
      </c>
      <c r="Z68" s="549" t="s">
        <v>912</v>
      </c>
      <c r="AA68" s="549" t="s">
        <v>22</v>
      </c>
      <c r="AB68" s="549" t="s">
        <v>11</v>
      </c>
      <c r="AC68" s="549">
        <v>25.5</v>
      </c>
      <c r="AD68" s="532" t="s">
        <v>101</v>
      </c>
      <c r="AE68" s="549" t="s">
        <v>330</v>
      </c>
      <c r="AF68" s="549" t="s">
        <v>18</v>
      </c>
      <c r="AG68" s="533">
        <v>3.4</v>
      </c>
      <c r="AH68" s="549" t="s">
        <v>930</v>
      </c>
      <c r="AI68" s="549" t="s">
        <v>330</v>
      </c>
      <c r="AJ68" s="549" t="s">
        <v>12</v>
      </c>
      <c r="AK68" s="549">
        <v>1.7</v>
      </c>
      <c r="AL68" s="532"/>
      <c r="AO68" s="533"/>
      <c r="AP68" s="532"/>
      <c r="AS68" s="533"/>
      <c r="AW68" s="533"/>
      <c r="BA68" s="534"/>
    </row>
    <row r="69" spans="1:53" s="549" customFormat="1">
      <c r="A69" s="549">
        <v>2014</v>
      </c>
      <c r="B69" s="862">
        <v>41676</v>
      </c>
      <c r="C69" s="916" t="s">
        <v>933</v>
      </c>
      <c r="D69" s="916"/>
      <c r="E69" s="549">
        <v>1</v>
      </c>
      <c r="F69" s="428">
        <v>0</v>
      </c>
      <c r="G69" s="293">
        <v>8</v>
      </c>
      <c r="H69" s="179">
        <v>1</v>
      </c>
      <c r="I69" s="179">
        <v>15</v>
      </c>
      <c r="J69" s="294">
        <v>25</v>
      </c>
      <c r="K69" s="295">
        <f t="shared" si="5"/>
        <v>32</v>
      </c>
      <c r="L69" s="295">
        <f t="shared" si="6"/>
        <v>4</v>
      </c>
      <c r="M69" s="295">
        <f t="shared" si="7"/>
        <v>60</v>
      </c>
      <c r="N69" s="296">
        <f t="shared" si="3"/>
        <v>96</v>
      </c>
      <c r="O69" s="297">
        <v>25.5</v>
      </c>
      <c r="P69" s="295">
        <v>3.4</v>
      </c>
      <c r="Q69" s="295">
        <v>38.1</v>
      </c>
      <c r="R69" s="298">
        <f t="shared" ref="R69:R74" si="8">SUM(O69:Q69)</f>
        <v>67</v>
      </c>
      <c r="S69" s="549">
        <v>3</v>
      </c>
      <c r="T69" s="838"/>
      <c r="U69" s="863"/>
      <c r="V69" s="532" t="s">
        <v>924</v>
      </c>
      <c r="W69" s="549" t="s">
        <v>20</v>
      </c>
      <c r="X69" s="549" t="s">
        <v>12</v>
      </c>
      <c r="Y69" s="533">
        <v>36.4</v>
      </c>
      <c r="Z69" s="549" t="s">
        <v>912</v>
      </c>
      <c r="AA69" s="549" t="s">
        <v>22</v>
      </c>
      <c r="AB69" s="549" t="s">
        <v>11</v>
      </c>
      <c r="AC69" s="549">
        <v>25.5</v>
      </c>
      <c r="AD69" s="532" t="s">
        <v>101</v>
      </c>
      <c r="AE69" s="549" t="s">
        <v>330</v>
      </c>
      <c r="AF69" s="549" t="s">
        <v>18</v>
      </c>
      <c r="AG69" s="533">
        <v>3.4</v>
      </c>
      <c r="AH69" s="549" t="s">
        <v>930</v>
      </c>
      <c r="AI69" s="549" t="s">
        <v>330</v>
      </c>
      <c r="AJ69" s="549" t="s">
        <v>12</v>
      </c>
      <c r="AK69" s="549">
        <v>1.7</v>
      </c>
      <c r="AL69" s="532"/>
      <c r="AO69" s="533"/>
      <c r="AP69" s="532"/>
      <c r="AS69" s="533"/>
      <c r="AW69" s="533"/>
      <c r="BA69" s="534"/>
    </row>
    <row r="70" spans="1:53" s="549" customFormat="1">
      <c r="A70" s="549">
        <v>2014</v>
      </c>
      <c r="B70" s="862">
        <v>41677</v>
      </c>
      <c r="C70" s="916" t="s">
        <v>933</v>
      </c>
      <c r="D70" s="916"/>
      <c r="E70" s="549">
        <v>19</v>
      </c>
      <c r="F70" s="428">
        <v>0</v>
      </c>
      <c r="G70" s="293">
        <v>7</v>
      </c>
      <c r="H70" s="179">
        <v>1</v>
      </c>
      <c r="I70" s="179">
        <v>16</v>
      </c>
      <c r="J70" s="294">
        <v>25</v>
      </c>
      <c r="K70" s="295">
        <f t="shared" si="5"/>
        <v>28.000000000000004</v>
      </c>
      <c r="L70" s="295">
        <f t="shared" si="6"/>
        <v>4</v>
      </c>
      <c r="M70" s="295">
        <f t="shared" si="7"/>
        <v>64</v>
      </c>
      <c r="N70" s="296">
        <f t="shared" si="3"/>
        <v>96</v>
      </c>
      <c r="O70" s="297">
        <v>25.5</v>
      </c>
      <c r="P70" s="295">
        <v>3.4</v>
      </c>
      <c r="Q70" s="295">
        <v>38.1</v>
      </c>
      <c r="R70" s="298">
        <f t="shared" si="8"/>
        <v>67</v>
      </c>
      <c r="S70" s="549">
        <v>3</v>
      </c>
      <c r="T70" s="838"/>
      <c r="U70" s="863"/>
      <c r="V70" s="532" t="s">
        <v>924</v>
      </c>
      <c r="W70" s="549" t="s">
        <v>20</v>
      </c>
      <c r="X70" s="549" t="s">
        <v>12</v>
      </c>
      <c r="Y70" s="533">
        <v>36.4</v>
      </c>
      <c r="Z70" s="549" t="s">
        <v>912</v>
      </c>
      <c r="AA70" s="549" t="s">
        <v>22</v>
      </c>
      <c r="AB70" s="549" t="s">
        <v>11</v>
      </c>
      <c r="AC70" s="549">
        <v>25.5</v>
      </c>
      <c r="AD70" s="532" t="s">
        <v>101</v>
      </c>
      <c r="AE70" s="549" t="s">
        <v>330</v>
      </c>
      <c r="AF70" s="549" t="s">
        <v>18</v>
      </c>
      <c r="AG70" s="533">
        <v>3.4</v>
      </c>
      <c r="AH70" s="549" t="s">
        <v>930</v>
      </c>
      <c r="AI70" s="549" t="s">
        <v>330</v>
      </c>
      <c r="AJ70" s="549" t="s">
        <v>12</v>
      </c>
      <c r="AK70" s="549">
        <v>1.7</v>
      </c>
      <c r="AL70" s="532"/>
      <c r="AO70" s="533"/>
      <c r="AP70" s="532"/>
      <c r="AS70" s="533"/>
      <c r="AW70" s="533"/>
      <c r="BA70" s="534"/>
    </row>
    <row r="71" spans="1:53" s="549" customFormat="1">
      <c r="A71" s="549">
        <v>2014</v>
      </c>
      <c r="B71" s="862">
        <v>41696</v>
      </c>
      <c r="C71" s="916" t="s">
        <v>933</v>
      </c>
      <c r="D71" s="916"/>
      <c r="E71" s="549">
        <v>7</v>
      </c>
      <c r="F71" s="428">
        <v>0</v>
      </c>
      <c r="G71" s="293"/>
      <c r="H71" s="179">
        <v>1</v>
      </c>
      <c r="I71" s="179">
        <v>23</v>
      </c>
      <c r="J71" s="294">
        <v>25</v>
      </c>
      <c r="K71" s="295">
        <f t="shared" ref="K71:K78" si="9">G71/J71*100</f>
        <v>0</v>
      </c>
      <c r="L71" s="295">
        <f t="shared" ref="L71:L78" si="10">H71/J71*100</f>
        <v>4</v>
      </c>
      <c r="M71" s="295">
        <f t="shared" ref="M71:M78" si="11">I71/J71*100</f>
        <v>92</v>
      </c>
      <c r="N71" s="296">
        <f t="shared" ref="N71:N78" si="12">SUM(K71:M71)</f>
        <v>96</v>
      </c>
      <c r="O71" s="297"/>
      <c r="P71" s="295">
        <v>3.4</v>
      </c>
      <c r="Q71" s="295">
        <v>38.1</v>
      </c>
      <c r="R71" s="298">
        <f t="shared" si="8"/>
        <v>41.5</v>
      </c>
      <c r="S71" s="549">
        <v>5</v>
      </c>
      <c r="T71" s="838"/>
      <c r="U71" s="863"/>
      <c r="V71" s="532" t="s">
        <v>924</v>
      </c>
      <c r="W71" s="549" t="s">
        <v>20</v>
      </c>
      <c r="X71" s="549" t="s">
        <v>12</v>
      </c>
      <c r="Y71" s="533">
        <v>36.4</v>
      </c>
      <c r="Z71" s="549" t="s">
        <v>101</v>
      </c>
      <c r="AA71" s="549" t="s">
        <v>330</v>
      </c>
      <c r="AB71" s="549" t="s">
        <v>18</v>
      </c>
      <c r="AC71" s="549">
        <v>3.4</v>
      </c>
      <c r="AD71" s="532" t="s">
        <v>930</v>
      </c>
      <c r="AE71" s="549" t="s">
        <v>330</v>
      </c>
      <c r="AF71" s="549" t="s">
        <v>12</v>
      </c>
      <c r="AG71" s="533">
        <v>1.7</v>
      </c>
      <c r="AL71" s="532"/>
      <c r="AO71" s="533"/>
      <c r="AP71" s="532"/>
      <c r="AS71" s="533"/>
      <c r="AW71" s="533"/>
      <c r="BA71" s="534"/>
    </row>
    <row r="72" spans="1:53" s="548" customFormat="1">
      <c r="A72" s="548">
        <v>2014</v>
      </c>
      <c r="B72" s="830">
        <v>41703</v>
      </c>
      <c r="C72" s="917" t="s">
        <v>1306</v>
      </c>
      <c r="D72" s="917"/>
      <c r="E72" s="548">
        <v>264</v>
      </c>
      <c r="F72" s="548">
        <v>4</v>
      </c>
      <c r="G72" s="74"/>
      <c r="H72" s="75">
        <v>3</v>
      </c>
      <c r="I72" s="75">
        <v>17</v>
      </c>
      <c r="J72" s="76">
        <v>26</v>
      </c>
      <c r="K72" s="77">
        <f t="shared" si="9"/>
        <v>0</v>
      </c>
      <c r="L72" s="77">
        <f t="shared" si="10"/>
        <v>11.538461538461538</v>
      </c>
      <c r="M72" s="77">
        <f t="shared" si="11"/>
        <v>65.384615384615387</v>
      </c>
      <c r="N72" s="78">
        <f t="shared" si="12"/>
        <v>76.92307692307692</v>
      </c>
      <c r="O72" s="79"/>
      <c r="P72" s="77">
        <v>8.3000000000000007</v>
      </c>
      <c r="Q72" s="77">
        <v>42.5</v>
      </c>
      <c r="R72" s="80">
        <f t="shared" si="8"/>
        <v>50.8</v>
      </c>
      <c r="S72" s="548">
        <v>2</v>
      </c>
      <c r="T72" s="839"/>
      <c r="U72" s="830">
        <v>41703</v>
      </c>
      <c r="V72" s="492" t="s">
        <v>924</v>
      </c>
      <c r="W72" s="548" t="s">
        <v>20</v>
      </c>
      <c r="X72" s="548" t="s">
        <v>12</v>
      </c>
      <c r="Y72" s="548">
        <v>37.6</v>
      </c>
      <c r="Z72" s="492" t="s">
        <v>101</v>
      </c>
      <c r="AA72" s="548" t="s">
        <v>330</v>
      </c>
      <c r="AB72" s="548" t="s">
        <v>18</v>
      </c>
      <c r="AC72" s="548">
        <v>3.9</v>
      </c>
      <c r="AD72" s="492" t="s">
        <v>930</v>
      </c>
      <c r="AE72" s="548" t="s">
        <v>330</v>
      </c>
      <c r="AF72" s="548" t="s">
        <v>12</v>
      </c>
      <c r="AG72" s="493">
        <v>4.9000000000000004</v>
      </c>
      <c r="AH72" s="548" t="s">
        <v>920</v>
      </c>
      <c r="AI72" s="548" t="s">
        <v>90</v>
      </c>
      <c r="AJ72" s="548" t="s">
        <v>18</v>
      </c>
      <c r="AK72" s="548">
        <v>4.4000000000000004</v>
      </c>
      <c r="AL72" s="492"/>
      <c r="AO72" s="493"/>
      <c r="AP72" s="492"/>
      <c r="AS72" s="493"/>
      <c r="AW72" s="493"/>
      <c r="BA72" s="494"/>
    </row>
    <row r="73" spans="1:53" s="548" customFormat="1">
      <c r="A73" s="548">
        <v>2014</v>
      </c>
      <c r="B73" s="864">
        <v>41967</v>
      </c>
      <c r="C73" s="917" t="s">
        <v>1306</v>
      </c>
      <c r="D73" s="917"/>
      <c r="E73" s="548">
        <v>23</v>
      </c>
      <c r="F73" s="502">
        <v>0</v>
      </c>
      <c r="G73" s="74"/>
      <c r="H73" s="75">
        <v>3</v>
      </c>
      <c r="I73" s="75">
        <v>16</v>
      </c>
      <c r="J73" s="76">
        <v>26</v>
      </c>
      <c r="K73" s="77">
        <f t="shared" si="9"/>
        <v>0</v>
      </c>
      <c r="L73" s="77">
        <f t="shared" si="10"/>
        <v>11.538461538461538</v>
      </c>
      <c r="M73" s="77">
        <f t="shared" si="11"/>
        <v>61.53846153846154</v>
      </c>
      <c r="N73" s="78">
        <f t="shared" si="12"/>
        <v>73.07692307692308</v>
      </c>
      <c r="O73" s="79"/>
      <c r="P73" s="77">
        <v>8.3000000000000007</v>
      </c>
      <c r="Q73" s="77">
        <v>42.5</v>
      </c>
      <c r="R73" s="80">
        <f t="shared" si="8"/>
        <v>50.8</v>
      </c>
      <c r="S73" s="548">
        <v>2</v>
      </c>
      <c r="T73" s="839"/>
      <c r="U73" s="852"/>
      <c r="V73" s="492" t="s">
        <v>924</v>
      </c>
      <c r="W73" s="548" t="s">
        <v>20</v>
      </c>
      <c r="X73" s="548" t="s">
        <v>12</v>
      </c>
      <c r="Y73" s="548">
        <v>37.6</v>
      </c>
      <c r="Z73" s="492" t="s">
        <v>101</v>
      </c>
      <c r="AA73" s="548" t="s">
        <v>330</v>
      </c>
      <c r="AB73" s="548" t="s">
        <v>18</v>
      </c>
      <c r="AC73" s="548">
        <v>3.9</v>
      </c>
      <c r="AD73" s="492" t="s">
        <v>930</v>
      </c>
      <c r="AE73" s="548" t="s">
        <v>330</v>
      </c>
      <c r="AF73" s="548" t="s">
        <v>12</v>
      </c>
      <c r="AG73" s="493">
        <v>4.9000000000000004</v>
      </c>
      <c r="AH73" s="548" t="s">
        <v>920</v>
      </c>
      <c r="AI73" s="548" t="s">
        <v>90</v>
      </c>
      <c r="AJ73" s="548" t="s">
        <v>18</v>
      </c>
      <c r="AK73" s="548">
        <v>4.4000000000000004</v>
      </c>
      <c r="AL73" s="492"/>
      <c r="AO73" s="493"/>
      <c r="AP73" s="492"/>
      <c r="AS73" s="493"/>
      <c r="AW73" s="493"/>
      <c r="BA73" s="494"/>
    </row>
    <row r="74" spans="1:53" s="549" customFormat="1">
      <c r="A74" s="549">
        <v>2014</v>
      </c>
      <c r="B74" s="863">
        <v>41990</v>
      </c>
      <c r="C74" s="958" t="s">
        <v>1307</v>
      </c>
      <c r="D74" s="958"/>
      <c r="E74" s="549">
        <v>15</v>
      </c>
      <c r="F74" s="549">
        <v>4</v>
      </c>
      <c r="G74" s="293">
        <v>2</v>
      </c>
      <c r="H74" s="179">
        <v>2</v>
      </c>
      <c r="I74" s="179">
        <v>16</v>
      </c>
      <c r="J74" s="294">
        <v>22</v>
      </c>
      <c r="K74" s="295">
        <f t="shared" si="9"/>
        <v>9.0909090909090917</v>
      </c>
      <c r="L74" s="295">
        <f t="shared" si="10"/>
        <v>9.0909090909090917</v>
      </c>
      <c r="M74" s="295">
        <f t="shared" si="11"/>
        <v>72.727272727272734</v>
      </c>
      <c r="N74" s="296">
        <f t="shared" si="12"/>
        <v>90.909090909090921</v>
      </c>
      <c r="O74" s="297">
        <v>4</v>
      </c>
      <c r="P74" s="295">
        <v>3.2</v>
      </c>
      <c r="Q74" s="295">
        <v>45.1</v>
      </c>
      <c r="R74" s="298">
        <f t="shared" si="8"/>
        <v>52.300000000000004</v>
      </c>
      <c r="S74" s="549">
        <v>2</v>
      </c>
      <c r="T74" s="838"/>
      <c r="U74" s="863">
        <v>41990</v>
      </c>
      <c r="V74" s="532" t="s">
        <v>924</v>
      </c>
      <c r="W74" s="549" t="s">
        <v>20</v>
      </c>
      <c r="X74" s="549" t="s">
        <v>12</v>
      </c>
      <c r="Y74" s="533">
        <v>36.6</v>
      </c>
      <c r="Z74" s="532" t="s">
        <v>101</v>
      </c>
      <c r="AA74" s="549" t="s">
        <v>330</v>
      </c>
      <c r="AB74" s="549" t="s">
        <v>18</v>
      </c>
      <c r="AC74" s="533">
        <v>3.2</v>
      </c>
      <c r="AD74" s="532" t="s">
        <v>930</v>
      </c>
      <c r="AE74" s="549" t="s">
        <v>330</v>
      </c>
      <c r="AF74" s="549" t="s">
        <v>12</v>
      </c>
      <c r="AG74" s="533">
        <v>8.5</v>
      </c>
      <c r="AH74" s="549" t="s">
        <v>1308</v>
      </c>
      <c r="AI74" s="549" t="s">
        <v>330</v>
      </c>
      <c r="AJ74" s="549" t="s">
        <v>11</v>
      </c>
      <c r="AK74" s="549">
        <v>4</v>
      </c>
      <c r="AL74" s="532"/>
      <c r="AO74" s="533"/>
      <c r="AP74" s="532"/>
      <c r="AS74" s="533"/>
      <c r="AW74" s="533"/>
      <c r="BA74" s="534"/>
    </row>
    <row r="75" spans="1:53" s="622" customFormat="1">
      <c r="A75" s="622">
        <v>2015</v>
      </c>
      <c r="B75" s="863"/>
      <c r="C75" s="958" t="s">
        <v>1307</v>
      </c>
      <c r="D75" s="958"/>
      <c r="E75" s="622">
        <v>308</v>
      </c>
      <c r="G75" s="293">
        <v>2</v>
      </c>
      <c r="H75" s="179">
        <v>2</v>
      </c>
      <c r="I75" s="179">
        <v>16</v>
      </c>
      <c r="J75" s="294">
        <v>22</v>
      </c>
      <c r="K75" s="295">
        <f t="shared" si="9"/>
        <v>9.0909090909090917</v>
      </c>
      <c r="L75" s="295">
        <f t="shared" si="10"/>
        <v>9.0909090909090917</v>
      </c>
      <c r="M75" s="295">
        <f t="shared" si="11"/>
        <v>72.727272727272734</v>
      </c>
      <c r="N75" s="296">
        <f t="shared" si="12"/>
        <v>90.909090909090921</v>
      </c>
      <c r="O75" s="297">
        <v>4</v>
      </c>
      <c r="P75" s="295">
        <v>3.2</v>
      </c>
      <c r="Q75" s="295">
        <v>45.1</v>
      </c>
      <c r="R75" s="298">
        <f t="shared" ref="R75" si="13">SUM(O75:Q75)</f>
        <v>52.300000000000004</v>
      </c>
      <c r="S75" s="622">
        <v>2</v>
      </c>
      <c r="T75" s="838"/>
      <c r="U75" s="863"/>
      <c r="V75" s="532" t="s">
        <v>924</v>
      </c>
      <c r="W75" s="622" t="s">
        <v>20</v>
      </c>
      <c r="X75" s="622" t="s">
        <v>12</v>
      </c>
      <c r="Y75" s="533">
        <v>36.6</v>
      </c>
      <c r="Z75" s="532" t="s">
        <v>101</v>
      </c>
      <c r="AA75" s="622" t="s">
        <v>330</v>
      </c>
      <c r="AB75" s="622" t="s">
        <v>18</v>
      </c>
      <c r="AC75" s="533">
        <v>3.2</v>
      </c>
      <c r="AD75" s="532" t="s">
        <v>930</v>
      </c>
      <c r="AE75" s="622" t="s">
        <v>330</v>
      </c>
      <c r="AF75" s="622" t="s">
        <v>12</v>
      </c>
      <c r="AG75" s="533">
        <v>8.5</v>
      </c>
      <c r="AH75" s="622" t="s">
        <v>1308</v>
      </c>
      <c r="AI75" s="622" t="s">
        <v>330</v>
      </c>
      <c r="AJ75" s="622" t="s">
        <v>11</v>
      </c>
      <c r="AK75" s="622">
        <v>4</v>
      </c>
      <c r="AL75" s="532"/>
      <c r="AO75" s="533"/>
      <c r="AP75" s="532"/>
      <c r="AS75" s="533"/>
      <c r="AW75" s="533"/>
      <c r="BA75" s="534"/>
    </row>
    <row r="76" spans="1:53" s="621" customFormat="1">
      <c r="A76" s="621">
        <v>2015</v>
      </c>
      <c r="B76" s="830">
        <v>42313</v>
      </c>
      <c r="C76" s="917" t="s">
        <v>1334</v>
      </c>
      <c r="D76" s="917"/>
      <c r="E76" s="621">
        <v>4</v>
      </c>
      <c r="F76" s="621">
        <v>2</v>
      </c>
      <c r="G76" s="74">
        <v>2</v>
      </c>
      <c r="H76" s="75">
        <v>2</v>
      </c>
      <c r="I76" s="75">
        <v>15</v>
      </c>
      <c r="J76" s="76">
        <v>21</v>
      </c>
      <c r="K76" s="77">
        <f t="shared" si="9"/>
        <v>9.5238095238095237</v>
      </c>
      <c r="L76" s="77">
        <f t="shared" si="10"/>
        <v>9.5238095238095237</v>
      </c>
      <c r="M76" s="77">
        <f t="shared" si="11"/>
        <v>71.428571428571431</v>
      </c>
      <c r="N76" s="78">
        <f t="shared" si="12"/>
        <v>90.476190476190482</v>
      </c>
      <c r="O76" s="79">
        <v>4</v>
      </c>
      <c r="P76" s="77">
        <v>3.2</v>
      </c>
      <c r="Q76" s="77">
        <v>45.1</v>
      </c>
      <c r="R76" s="80">
        <v>52.300000000000004</v>
      </c>
      <c r="S76" s="621">
        <v>6</v>
      </c>
      <c r="T76" s="839"/>
      <c r="U76" s="830">
        <v>42313</v>
      </c>
      <c r="V76" s="626" t="s">
        <v>1333</v>
      </c>
      <c r="Z76" s="492" t="s">
        <v>924</v>
      </c>
      <c r="AA76" s="621" t="s">
        <v>20</v>
      </c>
      <c r="AB76" s="621" t="s">
        <v>12</v>
      </c>
      <c r="AC76" s="621">
        <v>36.6</v>
      </c>
      <c r="AD76" s="492" t="s">
        <v>101</v>
      </c>
      <c r="AE76" s="621" t="s">
        <v>330</v>
      </c>
      <c r="AF76" s="621" t="s">
        <v>18</v>
      </c>
      <c r="AG76" s="493">
        <v>3.2</v>
      </c>
      <c r="AH76" s="621" t="s">
        <v>930</v>
      </c>
      <c r="AI76" s="621" t="s">
        <v>330</v>
      </c>
      <c r="AJ76" s="621" t="s">
        <v>12</v>
      </c>
      <c r="AK76" s="621">
        <v>8.5</v>
      </c>
      <c r="AL76" s="492" t="s">
        <v>1308</v>
      </c>
      <c r="AM76" s="621" t="s">
        <v>330</v>
      </c>
      <c r="AN76" s="621" t="s">
        <v>11</v>
      </c>
      <c r="AO76" s="493">
        <v>4</v>
      </c>
      <c r="AP76" s="492"/>
      <c r="AS76" s="493"/>
      <c r="AW76" s="493"/>
      <c r="BA76" s="494"/>
    </row>
    <row r="77" spans="1:53" s="621" customFormat="1">
      <c r="A77" s="621">
        <v>2015</v>
      </c>
      <c r="B77" s="864">
        <v>42317</v>
      </c>
      <c r="C77" s="917" t="s">
        <v>1334</v>
      </c>
      <c r="D77" s="917"/>
      <c r="E77" s="621">
        <v>8</v>
      </c>
      <c r="F77" s="502">
        <v>0</v>
      </c>
      <c r="G77" s="74">
        <v>2</v>
      </c>
      <c r="H77" s="75">
        <v>2</v>
      </c>
      <c r="I77" s="75">
        <v>14</v>
      </c>
      <c r="J77" s="76">
        <v>20</v>
      </c>
      <c r="K77" s="77">
        <f t="shared" si="9"/>
        <v>10</v>
      </c>
      <c r="L77" s="77">
        <f t="shared" si="10"/>
        <v>10</v>
      </c>
      <c r="M77" s="77">
        <f t="shared" si="11"/>
        <v>70</v>
      </c>
      <c r="N77" s="78">
        <f t="shared" si="12"/>
        <v>90</v>
      </c>
      <c r="O77" s="79">
        <v>4</v>
      </c>
      <c r="P77" s="77">
        <v>3.2</v>
      </c>
      <c r="Q77" s="77">
        <v>45.1</v>
      </c>
      <c r="R77" s="80">
        <v>52.300000000000004</v>
      </c>
      <c r="S77" s="621">
        <v>6</v>
      </c>
      <c r="T77" s="839"/>
      <c r="U77" s="830"/>
      <c r="V77" s="626" t="s">
        <v>1333</v>
      </c>
      <c r="Z77" s="492" t="s">
        <v>924</v>
      </c>
      <c r="AA77" s="621" t="s">
        <v>20</v>
      </c>
      <c r="AB77" s="621" t="s">
        <v>12</v>
      </c>
      <c r="AC77" s="621">
        <v>36.6</v>
      </c>
      <c r="AD77" s="492" t="s">
        <v>101</v>
      </c>
      <c r="AE77" s="621" t="s">
        <v>330</v>
      </c>
      <c r="AF77" s="621" t="s">
        <v>18</v>
      </c>
      <c r="AG77" s="493">
        <v>3.2</v>
      </c>
      <c r="AH77" s="621" t="s">
        <v>930</v>
      </c>
      <c r="AI77" s="621" t="s">
        <v>330</v>
      </c>
      <c r="AJ77" s="621" t="s">
        <v>12</v>
      </c>
      <c r="AK77" s="621">
        <v>8.5</v>
      </c>
      <c r="AL77" s="492" t="s">
        <v>1308</v>
      </c>
      <c r="AM77" s="621" t="s">
        <v>330</v>
      </c>
      <c r="AN77" s="621" t="s">
        <v>11</v>
      </c>
      <c r="AO77" s="493">
        <v>4</v>
      </c>
      <c r="AP77" s="492"/>
      <c r="AS77" s="493"/>
      <c r="AW77" s="493"/>
      <c r="BA77" s="494"/>
    </row>
    <row r="78" spans="1:53" s="622" customFormat="1">
      <c r="A78" s="622">
        <v>2015</v>
      </c>
      <c r="B78" s="863">
        <v>42325</v>
      </c>
      <c r="C78" s="958" t="s">
        <v>1335</v>
      </c>
      <c r="D78" s="958"/>
      <c r="E78" s="622">
        <v>45</v>
      </c>
      <c r="F78" s="635">
        <v>2</v>
      </c>
      <c r="G78" s="293">
        <v>0</v>
      </c>
      <c r="H78" s="179">
        <v>0</v>
      </c>
      <c r="I78" s="179">
        <v>0</v>
      </c>
      <c r="J78" s="294">
        <v>23</v>
      </c>
      <c r="K78" s="295">
        <f t="shared" si="9"/>
        <v>0</v>
      </c>
      <c r="L78" s="295">
        <f t="shared" si="10"/>
        <v>0</v>
      </c>
      <c r="M78" s="295">
        <f t="shared" si="11"/>
        <v>0</v>
      </c>
      <c r="N78" s="296">
        <f t="shared" si="12"/>
        <v>0</v>
      </c>
      <c r="O78" s="297">
        <v>0</v>
      </c>
      <c r="P78" s="295">
        <v>0</v>
      </c>
      <c r="Q78" s="295">
        <v>0</v>
      </c>
      <c r="R78" s="298">
        <v>0</v>
      </c>
      <c r="S78" s="622">
        <v>7</v>
      </c>
      <c r="T78" s="838"/>
      <c r="U78" s="863">
        <v>42325</v>
      </c>
      <c r="V78" s="624" t="s">
        <v>801</v>
      </c>
      <c r="Y78" s="533"/>
      <c r="Z78" s="532"/>
      <c r="AC78" s="533"/>
      <c r="AD78" s="532"/>
      <c r="AG78" s="533"/>
      <c r="AL78" s="532"/>
      <c r="AO78" s="533"/>
      <c r="AP78" s="532"/>
      <c r="AS78" s="533"/>
      <c r="AW78" s="533"/>
      <c r="BA78" s="534"/>
    </row>
    <row r="79" spans="1:53" s="687" customFormat="1">
      <c r="A79" s="687">
        <v>2016</v>
      </c>
      <c r="B79" s="863"/>
      <c r="C79" s="958" t="s">
        <v>1335</v>
      </c>
      <c r="D79" s="958"/>
      <c r="E79" s="687">
        <v>0</v>
      </c>
      <c r="G79" s="293">
        <v>0</v>
      </c>
      <c r="H79" s="179">
        <v>0</v>
      </c>
      <c r="I79" s="179">
        <v>0</v>
      </c>
      <c r="J79" s="294">
        <v>23</v>
      </c>
      <c r="K79" s="295">
        <f t="shared" ref="K79:K85" si="14">G79/J79*100</f>
        <v>0</v>
      </c>
      <c r="L79" s="295">
        <f t="shared" ref="L79:L85" si="15">H79/J79*100</f>
        <v>0</v>
      </c>
      <c r="M79" s="295">
        <f t="shared" ref="M79:M85" si="16">I79/J79*100</f>
        <v>0</v>
      </c>
      <c r="N79" s="296">
        <f t="shared" ref="N79:N85" si="17">SUM(K79:M79)</f>
        <v>0</v>
      </c>
      <c r="O79" s="297">
        <v>0</v>
      </c>
      <c r="P79" s="295">
        <v>0</v>
      </c>
      <c r="Q79" s="295">
        <v>0</v>
      </c>
      <c r="R79" s="298">
        <v>0</v>
      </c>
      <c r="S79" s="687">
        <v>7</v>
      </c>
      <c r="T79" s="838"/>
      <c r="U79" s="863"/>
      <c r="V79" s="689" t="s">
        <v>801</v>
      </c>
      <c r="Y79" s="533"/>
      <c r="Z79" s="532"/>
      <c r="AC79" s="533"/>
      <c r="AD79" s="532"/>
      <c r="AG79" s="533"/>
      <c r="AL79" s="532"/>
      <c r="AO79" s="533"/>
      <c r="AP79" s="532"/>
      <c r="AS79" s="533"/>
      <c r="AW79" s="533"/>
      <c r="BA79" s="534"/>
    </row>
    <row r="80" spans="1:53" s="687" customFormat="1">
      <c r="A80" s="687">
        <v>2016</v>
      </c>
      <c r="B80" s="863"/>
      <c r="C80" s="958" t="s">
        <v>1335</v>
      </c>
      <c r="D80" s="958"/>
      <c r="E80" s="687">
        <v>366</v>
      </c>
      <c r="G80" s="293">
        <v>0</v>
      </c>
      <c r="H80" s="179">
        <v>0</v>
      </c>
      <c r="I80" s="179">
        <v>0</v>
      </c>
      <c r="J80" s="294">
        <v>23</v>
      </c>
      <c r="K80" s="295">
        <f t="shared" si="14"/>
        <v>0</v>
      </c>
      <c r="L80" s="295">
        <f t="shared" si="15"/>
        <v>0</v>
      </c>
      <c r="M80" s="295">
        <f t="shared" si="16"/>
        <v>0</v>
      </c>
      <c r="N80" s="296">
        <f t="shared" si="17"/>
        <v>0</v>
      </c>
      <c r="O80" s="297">
        <v>0</v>
      </c>
      <c r="P80" s="295">
        <v>0</v>
      </c>
      <c r="Q80" s="295">
        <v>0</v>
      </c>
      <c r="R80" s="298">
        <v>0</v>
      </c>
      <c r="S80" s="687">
        <v>7</v>
      </c>
      <c r="T80" s="838"/>
      <c r="U80" s="863"/>
      <c r="V80" s="689" t="s">
        <v>801</v>
      </c>
      <c r="Y80" s="533"/>
      <c r="Z80" s="532"/>
      <c r="AC80" s="533"/>
      <c r="AD80" s="532"/>
      <c r="AG80" s="533"/>
      <c r="AL80" s="532"/>
      <c r="AO80" s="533"/>
      <c r="AP80" s="532"/>
      <c r="AS80" s="533"/>
      <c r="AW80" s="533"/>
      <c r="BA80" s="534"/>
    </row>
    <row r="81" spans="1:53" s="726" customFormat="1">
      <c r="A81" s="726">
        <v>2017</v>
      </c>
      <c r="B81" s="836"/>
      <c r="C81" s="958" t="s">
        <v>1335</v>
      </c>
      <c r="D81" s="958"/>
      <c r="E81" s="726">
        <v>3</v>
      </c>
      <c r="G81" s="293">
        <v>0</v>
      </c>
      <c r="H81" s="179">
        <v>0</v>
      </c>
      <c r="I81" s="179">
        <v>0</v>
      </c>
      <c r="J81" s="294">
        <v>23</v>
      </c>
      <c r="K81" s="295">
        <f t="shared" si="14"/>
        <v>0</v>
      </c>
      <c r="L81" s="295">
        <f t="shared" si="15"/>
        <v>0</v>
      </c>
      <c r="M81" s="295">
        <f t="shared" si="16"/>
        <v>0</v>
      </c>
      <c r="N81" s="296">
        <f t="shared" si="17"/>
        <v>0</v>
      </c>
      <c r="O81" s="297">
        <v>0</v>
      </c>
      <c r="P81" s="295">
        <v>0</v>
      </c>
      <c r="Q81" s="295">
        <v>0</v>
      </c>
      <c r="R81" s="298">
        <v>0</v>
      </c>
      <c r="S81" s="726">
        <v>7</v>
      </c>
      <c r="T81" s="838"/>
      <c r="U81" s="863"/>
      <c r="V81" s="729" t="s">
        <v>801</v>
      </c>
      <c r="Y81" s="533"/>
      <c r="Z81" s="532"/>
      <c r="AC81" s="533"/>
      <c r="AD81" s="532"/>
      <c r="AG81" s="533"/>
      <c r="AL81" s="532"/>
      <c r="AO81" s="533"/>
      <c r="AP81" s="532"/>
      <c r="AS81" s="533"/>
      <c r="AW81" s="533"/>
      <c r="BA81" s="534"/>
    </row>
    <row r="82" spans="1:53" s="727" customFormat="1">
      <c r="A82" s="727">
        <v>2017</v>
      </c>
      <c r="B82" s="830">
        <v>42739</v>
      </c>
      <c r="C82" s="950" t="s">
        <v>1387</v>
      </c>
      <c r="D82" s="950"/>
      <c r="E82" s="727">
        <v>29</v>
      </c>
      <c r="F82" s="727">
        <v>1</v>
      </c>
      <c r="G82" s="74">
        <v>4</v>
      </c>
      <c r="H82" s="75">
        <v>0</v>
      </c>
      <c r="I82" s="75">
        <v>22</v>
      </c>
      <c r="J82" s="76">
        <v>27</v>
      </c>
      <c r="K82" s="77">
        <f t="shared" si="14"/>
        <v>14.814814814814813</v>
      </c>
      <c r="L82" s="77">
        <f t="shared" si="15"/>
        <v>0</v>
      </c>
      <c r="M82" s="77">
        <f t="shared" si="16"/>
        <v>81.481481481481481</v>
      </c>
      <c r="N82" s="78">
        <f t="shared" si="17"/>
        <v>96.296296296296291</v>
      </c>
      <c r="O82" s="79">
        <v>6.1</v>
      </c>
      <c r="P82" s="77">
        <v>0</v>
      </c>
      <c r="Q82" s="77">
        <v>46.8</v>
      </c>
      <c r="R82" s="80">
        <v>52.9</v>
      </c>
      <c r="S82" s="727">
        <v>2</v>
      </c>
      <c r="T82" s="839">
        <v>42715</v>
      </c>
      <c r="U82" s="830">
        <v>42739</v>
      </c>
      <c r="V82" s="147" t="s">
        <v>924</v>
      </c>
      <c r="W82" s="727" t="s">
        <v>20</v>
      </c>
      <c r="X82" s="727" t="s">
        <v>12</v>
      </c>
      <c r="Y82" s="493">
        <v>46.8</v>
      </c>
      <c r="Z82" s="492" t="s">
        <v>1389</v>
      </c>
      <c r="AA82" s="727" t="s">
        <v>107</v>
      </c>
      <c r="AB82" s="727" t="s">
        <v>11</v>
      </c>
      <c r="AC82" s="493">
        <v>6.1</v>
      </c>
      <c r="AD82" s="492"/>
      <c r="AG82" s="493"/>
      <c r="AL82" s="492"/>
      <c r="AO82" s="493"/>
      <c r="AP82" s="492"/>
      <c r="AS82" s="493"/>
      <c r="AW82" s="493"/>
      <c r="BA82" s="494"/>
    </row>
    <row r="83" spans="1:53" s="727" customFormat="1">
      <c r="A83" s="727">
        <v>2017</v>
      </c>
      <c r="B83" s="864">
        <v>42768</v>
      </c>
      <c r="C83" s="950" t="s">
        <v>1387</v>
      </c>
      <c r="D83" s="950"/>
      <c r="E83" s="727">
        <v>7</v>
      </c>
      <c r="F83" s="502">
        <v>0</v>
      </c>
      <c r="G83" s="74">
        <v>4</v>
      </c>
      <c r="H83" s="75">
        <v>0</v>
      </c>
      <c r="I83" s="75">
        <v>23</v>
      </c>
      <c r="J83" s="76">
        <v>27</v>
      </c>
      <c r="K83" s="77">
        <f t="shared" si="14"/>
        <v>14.814814814814813</v>
      </c>
      <c r="L83" s="77">
        <f t="shared" si="15"/>
        <v>0</v>
      </c>
      <c r="M83" s="77">
        <f t="shared" si="16"/>
        <v>85.18518518518519</v>
      </c>
      <c r="N83" s="78">
        <f t="shared" si="17"/>
        <v>100</v>
      </c>
      <c r="O83" s="79">
        <v>6.1</v>
      </c>
      <c r="P83" s="77">
        <v>0</v>
      </c>
      <c r="Q83" s="77">
        <v>46.8</v>
      </c>
      <c r="R83" s="80">
        <v>52.9</v>
      </c>
      <c r="S83" s="727">
        <v>2</v>
      </c>
      <c r="T83" s="839"/>
      <c r="U83" s="830"/>
      <c r="V83" s="147" t="s">
        <v>924</v>
      </c>
      <c r="W83" s="727" t="s">
        <v>20</v>
      </c>
      <c r="X83" s="727" t="s">
        <v>12</v>
      </c>
      <c r="Y83" s="493">
        <v>46.8</v>
      </c>
      <c r="Z83" s="492" t="s">
        <v>1389</v>
      </c>
      <c r="AA83" s="727" t="s">
        <v>107</v>
      </c>
      <c r="AB83" s="727" t="s">
        <v>11</v>
      </c>
      <c r="AC83" s="493">
        <v>6.1</v>
      </c>
      <c r="AD83" s="492"/>
      <c r="AG83" s="493"/>
      <c r="AL83" s="492"/>
      <c r="AO83" s="493"/>
      <c r="AP83" s="492"/>
      <c r="AS83" s="493"/>
      <c r="AW83" s="493"/>
      <c r="BA83" s="494"/>
    </row>
    <row r="84" spans="1:53" s="727" customFormat="1">
      <c r="A84" s="727">
        <v>2017</v>
      </c>
      <c r="B84" s="864">
        <v>42775</v>
      </c>
      <c r="C84" s="950" t="s">
        <v>1387</v>
      </c>
      <c r="D84" s="950"/>
      <c r="E84" s="727">
        <v>140</v>
      </c>
      <c r="F84" s="502">
        <v>0</v>
      </c>
      <c r="G84" s="74">
        <v>4</v>
      </c>
      <c r="H84" s="75">
        <v>0</v>
      </c>
      <c r="I84" s="75">
        <v>22</v>
      </c>
      <c r="J84" s="76">
        <v>27</v>
      </c>
      <c r="K84" s="77">
        <f t="shared" si="14"/>
        <v>14.814814814814813</v>
      </c>
      <c r="L84" s="77">
        <f t="shared" si="15"/>
        <v>0</v>
      </c>
      <c r="M84" s="77">
        <f t="shared" si="16"/>
        <v>81.481481481481481</v>
      </c>
      <c r="N84" s="78">
        <f t="shared" si="17"/>
        <v>96.296296296296291</v>
      </c>
      <c r="O84" s="79">
        <v>6.1</v>
      </c>
      <c r="P84" s="77">
        <v>0</v>
      </c>
      <c r="Q84" s="77">
        <v>46.8</v>
      </c>
      <c r="R84" s="80">
        <v>52.9</v>
      </c>
      <c r="S84" s="727">
        <v>2</v>
      </c>
      <c r="T84" s="839"/>
      <c r="U84" s="830"/>
      <c r="V84" s="147" t="s">
        <v>924</v>
      </c>
      <c r="W84" s="727" t="s">
        <v>20</v>
      </c>
      <c r="X84" s="727" t="s">
        <v>12</v>
      </c>
      <c r="Y84" s="493">
        <v>46.8</v>
      </c>
      <c r="Z84" s="492" t="s">
        <v>1389</v>
      </c>
      <c r="AA84" s="727" t="s">
        <v>107</v>
      </c>
      <c r="AB84" s="727" t="s">
        <v>11</v>
      </c>
      <c r="AC84" s="493">
        <v>6.1</v>
      </c>
      <c r="AD84" s="492"/>
      <c r="AG84" s="493"/>
      <c r="AL84" s="492"/>
      <c r="AO84" s="493"/>
      <c r="AP84" s="492"/>
      <c r="AS84" s="493"/>
      <c r="AW84" s="493"/>
      <c r="BA84" s="494"/>
    </row>
    <row r="85" spans="1:53" s="726" customFormat="1">
      <c r="A85" s="726">
        <v>2017</v>
      </c>
      <c r="B85" s="863">
        <v>42915</v>
      </c>
      <c r="C85" s="958" t="s">
        <v>1388</v>
      </c>
      <c r="D85" s="958"/>
      <c r="E85" s="726">
        <v>105</v>
      </c>
      <c r="F85" s="726">
        <v>5</v>
      </c>
      <c r="G85" s="293">
        <v>4</v>
      </c>
      <c r="H85" s="179">
        <v>0</v>
      </c>
      <c r="I85" s="179">
        <v>23</v>
      </c>
      <c r="J85" s="294">
        <v>28</v>
      </c>
      <c r="K85" s="295">
        <f t="shared" si="14"/>
        <v>14.285714285714285</v>
      </c>
      <c r="L85" s="295">
        <f t="shared" si="15"/>
        <v>0</v>
      </c>
      <c r="M85" s="295">
        <f t="shared" si="16"/>
        <v>82.142857142857139</v>
      </c>
      <c r="N85" s="296">
        <f t="shared" si="17"/>
        <v>96.428571428571416</v>
      </c>
      <c r="O85" s="297">
        <v>4.5999999999999996</v>
      </c>
      <c r="P85" s="295">
        <v>0</v>
      </c>
      <c r="Q85" s="295">
        <v>46.8</v>
      </c>
      <c r="R85" s="298">
        <v>51.4</v>
      </c>
      <c r="S85" s="726">
        <v>2</v>
      </c>
      <c r="T85" s="838"/>
      <c r="U85" s="863">
        <v>42915</v>
      </c>
      <c r="V85" s="388" t="s">
        <v>924</v>
      </c>
      <c r="W85" s="726" t="s">
        <v>20</v>
      </c>
      <c r="X85" s="726" t="s">
        <v>12</v>
      </c>
      <c r="Y85" s="533">
        <v>46.8</v>
      </c>
      <c r="Z85" s="532" t="s">
        <v>1389</v>
      </c>
      <c r="AA85" s="726" t="s">
        <v>107</v>
      </c>
      <c r="AB85" s="751" t="s">
        <v>11</v>
      </c>
      <c r="AC85" s="533">
        <v>4.5999999999999996</v>
      </c>
      <c r="AD85" s="532"/>
      <c r="AG85" s="533"/>
      <c r="AL85" s="532"/>
      <c r="AO85" s="533"/>
      <c r="AP85" s="532"/>
      <c r="AS85" s="533"/>
      <c r="AW85" s="533"/>
      <c r="BA85" s="534"/>
    </row>
    <row r="86" spans="1:53" s="726" customFormat="1">
      <c r="A86" s="726">
        <v>2017</v>
      </c>
      <c r="B86" s="862">
        <v>43020</v>
      </c>
      <c r="C86" s="958" t="s">
        <v>1388</v>
      </c>
      <c r="D86" s="958"/>
      <c r="E86" s="726">
        <v>81</v>
      </c>
      <c r="F86" s="428">
        <v>0</v>
      </c>
      <c r="G86" s="293">
        <v>4</v>
      </c>
      <c r="H86" s="179">
        <v>0</v>
      </c>
      <c r="I86" s="179">
        <v>22</v>
      </c>
      <c r="J86" s="294">
        <v>27</v>
      </c>
      <c r="K86" s="295">
        <f t="shared" ref="K86" si="18">G86/J86*100</f>
        <v>14.814814814814813</v>
      </c>
      <c r="L86" s="295">
        <f t="shared" ref="L86" si="19">H86/J86*100</f>
        <v>0</v>
      </c>
      <c r="M86" s="295">
        <f t="shared" ref="M86" si="20">I86/J86*100</f>
        <v>81.481481481481481</v>
      </c>
      <c r="N86" s="296">
        <f t="shared" ref="N86" si="21">SUM(K86:M86)</f>
        <v>96.296296296296291</v>
      </c>
      <c r="O86" s="297">
        <v>4.5999999999999996</v>
      </c>
      <c r="P86" s="295">
        <v>0</v>
      </c>
      <c r="Q86" s="295">
        <v>46.8</v>
      </c>
      <c r="R86" s="298">
        <v>51.4</v>
      </c>
      <c r="S86" s="726">
        <v>2</v>
      </c>
      <c r="T86" s="838"/>
      <c r="U86" s="863"/>
      <c r="V86" s="388" t="s">
        <v>924</v>
      </c>
      <c r="W86" s="726" t="s">
        <v>20</v>
      </c>
      <c r="X86" s="726" t="s">
        <v>12</v>
      </c>
      <c r="Y86" s="533">
        <v>46.8</v>
      </c>
      <c r="Z86" s="532" t="s">
        <v>1389</v>
      </c>
      <c r="AA86" s="726" t="s">
        <v>107</v>
      </c>
      <c r="AB86" s="751" t="s">
        <v>11</v>
      </c>
      <c r="AC86" s="533">
        <v>4.5999999999999996</v>
      </c>
      <c r="AD86" s="532"/>
      <c r="AG86" s="533"/>
      <c r="AL86" s="532"/>
      <c r="AO86" s="533"/>
      <c r="AP86" s="532"/>
      <c r="AS86" s="533"/>
      <c r="AW86" s="533"/>
      <c r="BA86" s="534"/>
    </row>
    <row r="87" spans="1:53" s="770" customFormat="1">
      <c r="A87" s="770">
        <v>2018</v>
      </c>
      <c r="B87" s="862"/>
      <c r="C87" s="958" t="s">
        <v>1388</v>
      </c>
      <c r="D87" s="958"/>
      <c r="E87" s="770">
        <v>28</v>
      </c>
      <c r="F87" s="428"/>
      <c r="G87" s="293">
        <v>4</v>
      </c>
      <c r="H87" s="179">
        <v>0</v>
      </c>
      <c r="I87" s="179">
        <v>22</v>
      </c>
      <c r="J87" s="294">
        <v>27</v>
      </c>
      <c r="K87" s="295">
        <f t="shared" ref="K87:K89" si="22">G87/J87*100</f>
        <v>14.814814814814813</v>
      </c>
      <c r="L87" s="295">
        <f t="shared" ref="L87:L89" si="23">H87/J87*100</f>
        <v>0</v>
      </c>
      <c r="M87" s="295">
        <f t="shared" ref="M87:M89" si="24">I87/J87*100</f>
        <v>81.481481481481481</v>
      </c>
      <c r="N87" s="296">
        <f t="shared" ref="N87:N89" si="25">SUM(K87:M87)</f>
        <v>96.296296296296291</v>
      </c>
      <c r="O87" s="297">
        <v>4.5999999999999996</v>
      </c>
      <c r="P87" s="295">
        <v>0</v>
      </c>
      <c r="Q87" s="295">
        <v>46.8</v>
      </c>
      <c r="R87" s="298">
        <v>51.4</v>
      </c>
      <c r="S87" s="770">
        <v>2</v>
      </c>
      <c r="T87" s="838"/>
      <c r="U87" s="863"/>
      <c r="V87" s="388" t="s">
        <v>924</v>
      </c>
      <c r="W87" s="770" t="s">
        <v>20</v>
      </c>
      <c r="X87" s="770" t="s">
        <v>12</v>
      </c>
      <c r="Y87" s="533">
        <v>46.8</v>
      </c>
      <c r="Z87" s="532" t="s">
        <v>1389</v>
      </c>
      <c r="AA87" s="770" t="s">
        <v>107</v>
      </c>
      <c r="AB87" s="770" t="s">
        <v>11</v>
      </c>
      <c r="AC87" s="533">
        <v>4.5999999999999996</v>
      </c>
      <c r="AD87" s="532"/>
      <c r="AG87" s="533"/>
      <c r="AL87" s="532"/>
      <c r="AO87" s="533"/>
      <c r="AP87" s="532"/>
      <c r="AS87" s="533"/>
      <c r="AW87" s="533"/>
      <c r="BA87" s="534"/>
    </row>
    <row r="88" spans="1:53" s="771" customFormat="1">
      <c r="A88" s="771">
        <v>2018</v>
      </c>
      <c r="B88" s="830">
        <v>43129</v>
      </c>
      <c r="C88" s="950" t="s">
        <v>1406</v>
      </c>
      <c r="D88" s="950"/>
      <c r="E88" s="771">
        <v>295</v>
      </c>
      <c r="F88" s="771">
        <v>2</v>
      </c>
      <c r="G88" s="74">
        <v>4</v>
      </c>
      <c r="H88" s="75">
        <v>0</v>
      </c>
      <c r="I88" s="75">
        <v>22</v>
      </c>
      <c r="J88" s="76">
        <v>28</v>
      </c>
      <c r="K88" s="77">
        <f t="shared" si="22"/>
        <v>14.285714285714285</v>
      </c>
      <c r="L88" s="77">
        <f t="shared" si="23"/>
        <v>0</v>
      </c>
      <c r="M88" s="77">
        <f t="shared" si="24"/>
        <v>78.571428571428569</v>
      </c>
      <c r="N88" s="78">
        <f t="shared" si="25"/>
        <v>92.857142857142861</v>
      </c>
      <c r="O88" s="79">
        <v>4.5999999999999996</v>
      </c>
      <c r="P88" s="77">
        <v>0</v>
      </c>
      <c r="Q88" s="77">
        <v>46.8</v>
      </c>
      <c r="R88" s="80">
        <v>51.4</v>
      </c>
      <c r="S88" s="771">
        <v>2</v>
      </c>
      <c r="T88" s="839"/>
      <c r="U88" s="830">
        <v>43129</v>
      </c>
      <c r="V88" s="147" t="s">
        <v>924</v>
      </c>
      <c r="W88" s="771" t="s">
        <v>20</v>
      </c>
      <c r="X88" s="771" t="s">
        <v>12</v>
      </c>
      <c r="Y88" s="493">
        <v>46.8</v>
      </c>
      <c r="Z88" s="492" t="s">
        <v>1389</v>
      </c>
      <c r="AA88" s="771" t="s">
        <v>107</v>
      </c>
      <c r="AB88" s="771" t="s">
        <v>11</v>
      </c>
      <c r="AC88" s="493">
        <v>4.5999999999999996</v>
      </c>
      <c r="AD88" s="492"/>
      <c r="AG88" s="493"/>
      <c r="AL88" s="492"/>
      <c r="AO88" s="493"/>
      <c r="AP88" s="492"/>
      <c r="AS88" s="493"/>
      <c r="AW88" s="493"/>
      <c r="BA88" s="494"/>
    </row>
    <row r="89" spans="1:53" s="771" customFormat="1">
      <c r="A89" s="771">
        <v>2018</v>
      </c>
      <c r="B89" s="864">
        <v>43424</v>
      </c>
      <c r="C89" s="950" t="s">
        <v>1406</v>
      </c>
      <c r="D89" s="950"/>
      <c r="E89" s="771">
        <v>42</v>
      </c>
      <c r="F89" s="502">
        <v>0</v>
      </c>
      <c r="G89" s="74">
        <v>4</v>
      </c>
      <c r="H89" s="75">
        <v>0</v>
      </c>
      <c r="I89" s="75">
        <v>21</v>
      </c>
      <c r="J89" s="76">
        <v>26</v>
      </c>
      <c r="K89" s="77">
        <f t="shared" si="22"/>
        <v>15.384615384615385</v>
      </c>
      <c r="L89" s="77">
        <f t="shared" si="23"/>
        <v>0</v>
      </c>
      <c r="M89" s="77">
        <f t="shared" si="24"/>
        <v>80.769230769230774</v>
      </c>
      <c r="N89" s="78">
        <f t="shared" si="25"/>
        <v>96.15384615384616</v>
      </c>
      <c r="O89" s="79">
        <v>4.5999999999999996</v>
      </c>
      <c r="P89" s="77">
        <v>0</v>
      </c>
      <c r="Q89" s="77">
        <v>46.8</v>
      </c>
      <c r="R89" s="80">
        <v>51.4</v>
      </c>
      <c r="S89" s="771">
        <v>2</v>
      </c>
      <c r="T89" s="839"/>
      <c r="U89" s="830"/>
      <c r="V89" s="147" t="s">
        <v>924</v>
      </c>
      <c r="W89" s="771" t="s">
        <v>20</v>
      </c>
      <c r="X89" s="771" t="s">
        <v>12</v>
      </c>
      <c r="Y89" s="493">
        <v>46.8</v>
      </c>
      <c r="Z89" s="492" t="s">
        <v>1389</v>
      </c>
      <c r="AA89" s="771" t="s">
        <v>107</v>
      </c>
      <c r="AB89" s="771" t="s">
        <v>11</v>
      </c>
      <c r="AC89" s="493">
        <v>4.5999999999999996</v>
      </c>
      <c r="AD89" s="492"/>
      <c r="AG89" s="493"/>
      <c r="AL89" s="492"/>
      <c r="AO89" s="493"/>
      <c r="AP89" s="492"/>
      <c r="AS89" s="493"/>
      <c r="AW89" s="493"/>
      <c r="BA89" s="494"/>
    </row>
    <row r="90" spans="1:53" s="813" customFormat="1">
      <c r="A90" s="813">
        <v>2019</v>
      </c>
      <c r="B90" s="852"/>
      <c r="C90" s="950" t="s">
        <v>1406</v>
      </c>
      <c r="D90" s="950"/>
      <c r="E90" s="813">
        <v>113</v>
      </c>
      <c r="G90" s="74">
        <v>4</v>
      </c>
      <c r="H90" s="75">
        <v>0</v>
      </c>
      <c r="I90" s="75">
        <v>21</v>
      </c>
      <c r="J90" s="76">
        <v>26</v>
      </c>
      <c r="K90" s="77">
        <f t="shared" ref="K90:K94" si="26">G90/J90*100</f>
        <v>15.384615384615385</v>
      </c>
      <c r="L90" s="77">
        <f t="shared" ref="L90:L94" si="27">H90/J90*100</f>
        <v>0</v>
      </c>
      <c r="M90" s="77">
        <f t="shared" ref="M90:M94" si="28">I90/J90*100</f>
        <v>80.769230769230774</v>
      </c>
      <c r="N90" s="78">
        <f t="shared" ref="N90:N94" si="29">SUM(K90:M90)</f>
        <v>96.15384615384616</v>
      </c>
      <c r="O90" s="79">
        <v>4.5999999999999996</v>
      </c>
      <c r="P90" s="77">
        <v>0</v>
      </c>
      <c r="Q90" s="77">
        <v>46.8</v>
      </c>
      <c r="R90" s="80">
        <v>51.4</v>
      </c>
      <c r="S90" s="813">
        <v>2</v>
      </c>
      <c r="T90" s="839"/>
      <c r="U90" s="830"/>
      <c r="V90" s="147" t="s">
        <v>924</v>
      </c>
      <c r="W90" s="813" t="s">
        <v>20</v>
      </c>
      <c r="X90" s="813" t="s">
        <v>12</v>
      </c>
      <c r="Y90" s="493">
        <v>46.8</v>
      </c>
      <c r="Z90" s="492" t="s">
        <v>1389</v>
      </c>
      <c r="AA90" s="813" t="s">
        <v>107</v>
      </c>
      <c r="AB90" s="813" t="s">
        <v>11</v>
      </c>
      <c r="AC90" s="493">
        <v>4.5999999999999996</v>
      </c>
      <c r="AD90" s="492"/>
      <c r="AG90" s="493"/>
      <c r="AL90" s="492"/>
      <c r="AO90" s="493"/>
      <c r="AP90" s="492"/>
      <c r="AS90" s="493"/>
      <c r="AW90" s="493"/>
      <c r="BA90" s="494"/>
    </row>
    <row r="91" spans="1:53" s="813" customFormat="1">
      <c r="A91" s="813">
        <v>2019</v>
      </c>
      <c r="B91" s="864">
        <v>43579</v>
      </c>
      <c r="C91" s="950" t="s">
        <v>1406</v>
      </c>
      <c r="D91" s="950"/>
      <c r="E91" s="813">
        <v>82</v>
      </c>
      <c r="F91" s="502">
        <v>0</v>
      </c>
      <c r="G91" s="74">
        <v>4</v>
      </c>
      <c r="H91" s="75">
        <v>0</v>
      </c>
      <c r="I91" s="75">
        <v>22</v>
      </c>
      <c r="J91" s="76">
        <v>26</v>
      </c>
      <c r="K91" s="77">
        <f t="shared" si="26"/>
        <v>15.384615384615385</v>
      </c>
      <c r="L91" s="77">
        <f t="shared" si="27"/>
        <v>0</v>
      </c>
      <c r="M91" s="77">
        <f t="shared" si="28"/>
        <v>84.615384615384613</v>
      </c>
      <c r="N91" s="78">
        <f t="shared" si="29"/>
        <v>100</v>
      </c>
      <c r="O91" s="79">
        <v>4.5999999999999996</v>
      </c>
      <c r="P91" s="77">
        <v>0</v>
      </c>
      <c r="Q91" s="77">
        <v>46.8</v>
      </c>
      <c r="R91" s="80">
        <v>51.4</v>
      </c>
      <c r="S91" s="813">
        <v>2</v>
      </c>
      <c r="T91" s="839"/>
      <c r="U91" s="830"/>
      <c r="V91" s="147" t="s">
        <v>924</v>
      </c>
      <c r="W91" s="813" t="s">
        <v>20</v>
      </c>
      <c r="X91" s="813" t="s">
        <v>12</v>
      </c>
      <c r="Y91" s="493">
        <v>46.8</v>
      </c>
      <c r="Z91" s="492" t="s">
        <v>1389</v>
      </c>
      <c r="AA91" s="813" t="s">
        <v>107</v>
      </c>
      <c r="AB91" s="813" t="s">
        <v>11</v>
      </c>
      <c r="AC91" s="493">
        <v>4.5999999999999996</v>
      </c>
      <c r="AD91" s="492"/>
      <c r="AG91" s="493"/>
      <c r="AL91" s="492"/>
      <c r="AO91" s="493"/>
      <c r="AP91" s="492"/>
      <c r="AS91" s="493"/>
      <c r="AW91" s="493"/>
      <c r="BA91" s="494"/>
    </row>
    <row r="92" spans="1:53" s="813" customFormat="1">
      <c r="A92" s="813">
        <v>2019</v>
      </c>
      <c r="B92" s="864">
        <v>43661</v>
      </c>
      <c r="C92" s="950" t="s">
        <v>1406</v>
      </c>
      <c r="D92" s="950"/>
      <c r="E92" s="813">
        <v>43</v>
      </c>
      <c r="F92" s="502">
        <v>0</v>
      </c>
      <c r="G92" s="74">
        <v>3</v>
      </c>
      <c r="H92" s="75">
        <v>0</v>
      </c>
      <c r="I92" s="75">
        <v>21</v>
      </c>
      <c r="J92" s="76">
        <v>25</v>
      </c>
      <c r="K92" s="77">
        <f t="shared" si="26"/>
        <v>12</v>
      </c>
      <c r="L92" s="77">
        <f t="shared" si="27"/>
        <v>0</v>
      </c>
      <c r="M92" s="77">
        <f t="shared" si="28"/>
        <v>84</v>
      </c>
      <c r="N92" s="78">
        <f t="shared" si="29"/>
        <v>96</v>
      </c>
      <c r="O92" s="79">
        <v>4.5999999999999996</v>
      </c>
      <c r="P92" s="77">
        <v>0</v>
      </c>
      <c r="Q92" s="77">
        <v>46.8</v>
      </c>
      <c r="R92" s="80">
        <v>51.4</v>
      </c>
      <c r="S92" s="813">
        <v>2</v>
      </c>
      <c r="T92" s="839"/>
      <c r="U92" s="830"/>
      <c r="V92" s="147" t="s">
        <v>924</v>
      </c>
      <c r="W92" s="813" t="s">
        <v>20</v>
      </c>
      <c r="X92" s="813" t="s">
        <v>12</v>
      </c>
      <c r="Y92" s="493">
        <v>46.8</v>
      </c>
      <c r="Z92" s="492" t="s">
        <v>1389</v>
      </c>
      <c r="AA92" s="813" t="s">
        <v>107</v>
      </c>
      <c r="AB92" s="813" t="s">
        <v>11</v>
      </c>
      <c r="AC92" s="493">
        <v>4.5999999999999996</v>
      </c>
      <c r="AD92" s="492"/>
      <c r="AG92" s="493"/>
      <c r="AL92" s="492"/>
      <c r="AO92" s="493"/>
      <c r="AP92" s="492"/>
      <c r="AS92" s="493"/>
      <c r="AW92" s="493"/>
      <c r="BA92" s="494"/>
    </row>
    <row r="93" spans="1:53" s="813" customFormat="1">
      <c r="A93" s="813">
        <v>2019</v>
      </c>
      <c r="B93" s="830">
        <v>43704</v>
      </c>
      <c r="C93" s="950" t="s">
        <v>1406</v>
      </c>
      <c r="D93" s="950"/>
      <c r="E93" s="813">
        <v>69</v>
      </c>
      <c r="F93" s="820">
        <v>4</v>
      </c>
      <c r="G93" s="74">
        <v>0</v>
      </c>
      <c r="H93" s="75">
        <v>0</v>
      </c>
      <c r="I93" s="75">
        <v>21</v>
      </c>
      <c r="J93" s="76">
        <v>22</v>
      </c>
      <c r="K93" s="77">
        <f t="shared" si="26"/>
        <v>0</v>
      </c>
      <c r="L93" s="77">
        <f t="shared" si="27"/>
        <v>0</v>
      </c>
      <c r="M93" s="77">
        <f t="shared" si="28"/>
        <v>95.454545454545453</v>
      </c>
      <c r="N93" s="78">
        <f t="shared" si="29"/>
        <v>95.454545454545453</v>
      </c>
      <c r="O93" s="79">
        <v>0</v>
      </c>
      <c r="P93" s="77">
        <v>0</v>
      </c>
      <c r="Q93" s="77">
        <v>46.8</v>
      </c>
      <c r="R93" s="80">
        <f>SUM(O93:Q93)</f>
        <v>46.8</v>
      </c>
      <c r="S93" s="813">
        <v>4</v>
      </c>
      <c r="T93" s="839"/>
      <c r="U93" s="830"/>
      <c r="V93" s="147" t="s">
        <v>924</v>
      </c>
      <c r="W93" s="813" t="s">
        <v>20</v>
      </c>
      <c r="X93" s="813" t="s">
        <v>12</v>
      </c>
      <c r="Y93" s="493">
        <v>46.8</v>
      </c>
      <c r="Z93" s="492"/>
      <c r="AC93" s="493"/>
      <c r="AD93" s="492"/>
      <c r="AG93" s="493"/>
      <c r="AL93" s="492"/>
      <c r="AO93" s="493"/>
      <c r="AP93" s="492"/>
      <c r="AS93" s="493"/>
      <c r="AW93" s="493"/>
      <c r="BA93" s="494"/>
    </row>
    <row r="94" spans="1:53" s="814" customFormat="1">
      <c r="A94" s="814">
        <v>2019</v>
      </c>
      <c r="B94" s="863">
        <v>43773</v>
      </c>
      <c r="C94" s="958" t="s">
        <v>1434</v>
      </c>
      <c r="D94" s="958"/>
      <c r="E94" s="814">
        <v>58</v>
      </c>
      <c r="F94" s="814">
        <v>5</v>
      </c>
      <c r="G94" s="293">
        <v>16</v>
      </c>
      <c r="H94" s="179">
        <v>0</v>
      </c>
      <c r="I94" s="179">
        <v>0</v>
      </c>
      <c r="J94" s="294">
        <v>18</v>
      </c>
      <c r="K94" s="295">
        <f t="shared" si="26"/>
        <v>88.888888888888886</v>
      </c>
      <c r="L94" s="295">
        <f t="shared" si="27"/>
        <v>0</v>
      </c>
      <c r="M94" s="295">
        <f t="shared" si="28"/>
        <v>0</v>
      </c>
      <c r="N94" s="296">
        <f t="shared" si="29"/>
        <v>88.888888888888886</v>
      </c>
      <c r="O94" s="297">
        <v>20.9</v>
      </c>
      <c r="P94" s="295">
        <v>0</v>
      </c>
      <c r="Q94" s="295">
        <v>0</v>
      </c>
      <c r="R94" s="298">
        <f>SUM(O94:Q94)</f>
        <v>20.9</v>
      </c>
      <c r="S94" s="814">
        <v>4</v>
      </c>
      <c r="T94" s="838"/>
      <c r="U94" s="863">
        <v>43773</v>
      </c>
      <c r="V94" s="388" t="s">
        <v>912</v>
      </c>
      <c r="W94" s="814" t="s">
        <v>22</v>
      </c>
      <c r="X94" s="814" t="s">
        <v>11</v>
      </c>
      <c r="Y94" s="533">
        <v>20.9</v>
      </c>
      <c r="Z94" s="532"/>
      <c r="AC94" s="533"/>
      <c r="AD94" s="532"/>
      <c r="AG94" s="533"/>
      <c r="AL94" s="532"/>
      <c r="AO94" s="533"/>
      <c r="AP94" s="532"/>
      <c r="AS94" s="533"/>
      <c r="AW94" s="533"/>
      <c r="BA94" s="534"/>
    </row>
    <row r="95" spans="1:53">
      <c r="B95" s="2"/>
      <c r="C95" s="2"/>
      <c r="D95" s="2"/>
      <c r="E95" s="2"/>
      <c r="F95" s="2"/>
      <c r="G95" s="2"/>
      <c r="H95" s="2"/>
      <c r="I95" s="2"/>
      <c r="J95" s="2"/>
      <c r="K95" s="2"/>
      <c r="L95" s="2"/>
      <c r="M95" s="2"/>
      <c r="N95" s="2"/>
    </row>
    <row r="96" spans="1:53" s="2" customFormat="1" ht="18" customHeight="1">
      <c r="B96" s="22" t="s">
        <v>1269</v>
      </c>
    </row>
    <row r="97" spans="1:30" s="2" customFormat="1" ht="9" customHeight="1"/>
    <row r="98" spans="1:30" s="317" customFormat="1" ht="9" customHeight="1">
      <c r="A98" s="315"/>
      <c r="B98" s="316" t="s">
        <v>1220</v>
      </c>
      <c r="C98" s="316"/>
      <c r="D98" s="316"/>
      <c r="E98" s="316"/>
      <c r="F98" s="316"/>
      <c r="G98" s="316" t="s">
        <v>1221</v>
      </c>
      <c r="H98" s="316"/>
      <c r="I98" s="316"/>
      <c r="J98" s="316"/>
      <c r="K98" s="316"/>
      <c r="L98" s="316"/>
      <c r="M98" s="316"/>
      <c r="N98" s="316"/>
      <c r="R98" s="895" t="s">
        <v>1222</v>
      </c>
      <c r="S98" s="895"/>
      <c r="T98" s="895"/>
      <c r="U98" s="895"/>
      <c r="V98" s="895"/>
      <c r="W98" s="895"/>
      <c r="X98" s="318"/>
      <c r="Y98" s="318"/>
      <c r="AA98" s="318"/>
      <c r="AB98" s="318"/>
      <c r="AC98" s="318"/>
      <c r="AD98" s="318"/>
    </row>
    <row r="99" spans="1:30" s="322" customFormat="1" ht="9" customHeight="1">
      <c r="A99" s="319"/>
      <c r="B99" s="320" t="s">
        <v>1224</v>
      </c>
      <c r="C99" s="321"/>
      <c r="D99" s="321"/>
      <c r="E99" s="321"/>
      <c r="F99" s="321"/>
      <c r="G99" s="320" t="s">
        <v>1223</v>
      </c>
      <c r="H99" s="321"/>
      <c r="I99" s="321"/>
      <c r="J99" s="321"/>
      <c r="K99" s="321"/>
      <c r="L99" s="321"/>
      <c r="M99" s="321"/>
      <c r="N99" s="321"/>
      <c r="R99" s="323" t="s">
        <v>1225</v>
      </c>
      <c r="S99" s="324"/>
      <c r="T99" s="325"/>
      <c r="U99" s="325"/>
      <c r="V99" s="325"/>
      <c r="W99" s="323" t="s">
        <v>1226</v>
      </c>
      <c r="X99" s="325"/>
      <c r="Y99" s="325"/>
      <c r="AA99" s="325"/>
      <c r="AB99" s="325"/>
      <c r="AC99" s="325"/>
      <c r="AD99" s="325"/>
    </row>
    <row r="100" spans="1:30" s="307" customFormat="1" ht="12" customHeight="1">
      <c r="A100" s="326" t="s">
        <v>3</v>
      </c>
      <c r="B100" s="327" t="s">
        <v>8</v>
      </c>
      <c r="C100" s="327" t="s">
        <v>9</v>
      </c>
      <c r="D100" s="327" t="s">
        <v>10</v>
      </c>
      <c r="E100" s="328" t="s">
        <v>1200</v>
      </c>
      <c r="F100" s="327"/>
      <c r="G100" s="307" t="s">
        <v>3</v>
      </c>
      <c r="H100" s="896" t="s">
        <v>0</v>
      </c>
      <c r="I100" s="896"/>
      <c r="J100" s="896" t="s">
        <v>1</v>
      </c>
      <c r="K100" s="896"/>
      <c r="L100" s="896" t="s">
        <v>2</v>
      </c>
      <c r="M100" s="896"/>
      <c r="N100" s="897" t="s">
        <v>1200</v>
      </c>
      <c r="O100" s="897"/>
      <c r="P100" s="329"/>
      <c r="Q100" s="329"/>
      <c r="R100" s="330" t="s">
        <v>3</v>
      </c>
      <c r="S100" s="331" t="s">
        <v>136</v>
      </c>
      <c r="T100" s="329" t="s">
        <v>134</v>
      </c>
      <c r="U100" s="327" t="s">
        <v>135</v>
      </c>
      <c r="V100" s="329"/>
      <c r="W100" s="332" t="s">
        <v>26</v>
      </c>
    </row>
    <row r="101" spans="1:30" ht="9" customHeight="1">
      <c r="A101" s="1">
        <v>1990</v>
      </c>
      <c r="B101" s="8">
        <f>(K7*($E7/187))</f>
        <v>0</v>
      </c>
      <c r="C101" s="8">
        <f>(L7*($E7/187))</f>
        <v>0</v>
      </c>
      <c r="D101" s="8">
        <f>(M7*($E7/187))</f>
        <v>91.304347826086953</v>
      </c>
      <c r="E101" s="52">
        <f t="shared" ref="E101:E127" si="30">B101+C101+D101</f>
        <v>91.304347826086953</v>
      </c>
      <c r="F101" s="12"/>
      <c r="G101" s="12">
        <v>1990</v>
      </c>
      <c r="H101" s="928">
        <f>(O7/$R7*100*($E7/187))</f>
        <v>0</v>
      </c>
      <c r="I101" s="928"/>
      <c r="J101" s="928">
        <f>(P7/$R7*100*($E7/187))</f>
        <v>0</v>
      </c>
      <c r="K101" s="928"/>
      <c r="L101" s="933">
        <f>(Q7/$R7*100*($E7/187))</f>
        <v>100</v>
      </c>
      <c r="M101" s="933"/>
      <c r="N101" s="939">
        <f t="shared" ref="N101:N123" si="31">H101+J101+L101</f>
        <v>100</v>
      </c>
      <c r="O101" s="939"/>
      <c r="P101" s="12"/>
      <c r="Q101" s="12"/>
      <c r="R101" s="12">
        <v>1990</v>
      </c>
      <c r="S101" s="8">
        <f>(O7*($E7/187))</f>
        <v>0</v>
      </c>
      <c r="T101" s="8">
        <f>(P7*($E7/187))</f>
        <v>0</v>
      </c>
      <c r="U101" s="8">
        <f>(Q7*($E7/187))</f>
        <v>66.400000000000006</v>
      </c>
      <c r="V101" s="12"/>
      <c r="W101" s="7">
        <f>S101+T101+U101</f>
        <v>66.400000000000006</v>
      </c>
      <c r="X101" s="68"/>
      <c r="Y101" s="199" t="s">
        <v>1206</v>
      </c>
      <c r="Z101" s="68"/>
      <c r="AA101" s="68"/>
    </row>
    <row r="102" spans="1:30" ht="9" customHeight="1">
      <c r="A102" s="1">
        <v>1991</v>
      </c>
      <c r="B102" s="8">
        <f>(K8*($E8/365))+(K9*($E9/365))</f>
        <v>3.3309300648882476</v>
      </c>
      <c r="C102" s="8">
        <f>(L8*($E8/365))+(L9*($E9/365))</f>
        <v>0</v>
      </c>
      <c r="D102" s="8">
        <f>(M8*($E8/365))+(M9*($E9/365))</f>
        <v>86.476912949437306</v>
      </c>
      <c r="E102" s="52">
        <f t="shared" si="30"/>
        <v>89.807843014325556</v>
      </c>
      <c r="F102" s="12"/>
      <c r="G102" s="12">
        <v>1991</v>
      </c>
      <c r="H102" s="928">
        <f>(O8/$R8*100*($E8/365))+(O9/$R9*100*($E9/365))</f>
        <v>1.9493670886075947</v>
      </c>
      <c r="I102" s="928"/>
      <c r="J102" s="928">
        <f>(P8/$R8*100*($E8/365))+(P9/$R9*100*($E9/365))</f>
        <v>0</v>
      </c>
      <c r="K102" s="928"/>
      <c r="L102" s="928">
        <f>(Q8/$R8*100*($E8/365))+(Q9/$R9*100*($E9/365))</f>
        <v>98.050632911392412</v>
      </c>
      <c r="M102" s="928"/>
      <c r="N102" s="939">
        <f t="shared" si="31"/>
        <v>100</v>
      </c>
      <c r="O102" s="939"/>
      <c r="P102" s="12"/>
      <c r="Q102" s="12"/>
      <c r="R102" s="12">
        <v>1991</v>
      </c>
      <c r="S102" s="8">
        <f>(O8*($E8/365))+(O9*($E9/365))</f>
        <v>1.5399999999999998</v>
      </c>
      <c r="T102" s="8">
        <f>(P8*($E8/365))+(P9*($E9/365))</f>
        <v>0</v>
      </c>
      <c r="U102" s="8">
        <f>(Q8*($E8/365))+(Q9*($E9/365))</f>
        <v>67.51808219178082</v>
      </c>
      <c r="V102" s="12"/>
      <c r="W102" s="7">
        <f t="shared" ref="W102:W124" si="32">S102+T102+U102</f>
        <v>69.058082191780827</v>
      </c>
    </row>
    <row r="103" spans="1:30" ht="9" customHeight="1">
      <c r="A103" s="1">
        <v>1992</v>
      </c>
      <c r="B103" s="8">
        <f>(K10*($E10/366))+(K11*($E11/366))</f>
        <v>13.675582398619499</v>
      </c>
      <c r="C103" s="8">
        <f>(L10*($E10/366))+(L11*($E11/366))</f>
        <v>0</v>
      </c>
      <c r="D103" s="8">
        <f>(M10*($E10/366))+(M11*($E11/366))</f>
        <v>71.979436295657166</v>
      </c>
      <c r="E103" s="52">
        <f t="shared" si="30"/>
        <v>85.655018694276663</v>
      </c>
      <c r="F103" s="12"/>
      <c r="G103" s="12">
        <v>1992</v>
      </c>
      <c r="H103" s="928">
        <f>(O10/$R10*100*($E10/366))+(O11/$R11*100*($E11/366))</f>
        <v>8.0033893615549552</v>
      </c>
      <c r="I103" s="928"/>
      <c r="J103" s="928">
        <f>(P10/$R10*100*($E10/366))+(P11/$R11*100*($E11/366))</f>
        <v>0</v>
      </c>
      <c r="K103" s="928"/>
      <c r="L103" s="928">
        <f>(Q10/$R10*100*($E10/366))+(Q11/$R11*100*($E11/366))</f>
        <v>91.996610638445048</v>
      </c>
      <c r="M103" s="928"/>
      <c r="N103" s="939">
        <f t="shared" si="31"/>
        <v>100</v>
      </c>
      <c r="O103" s="939"/>
      <c r="P103" s="12"/>
      <c r="Q103" s="12"/>
      <c r="R103" s="12">
        <v>1992</v>
      </c>
      <c r="S103" s="8">
        <f>(O10*($E10/366))+(O11*($E11/366))</f>
        <v>6.3226775956284147</v>
      </c>
      <c r="T103" s="8">
        <f>(P10*($E10/366))+(P11*($E11/366))</f>
        <v>0</v>
      </c>
      <c r="U103" s="8">
        <f>(Q10*($E10/366))+(Q11*($E11/366))</f>
        <v>66.692896174863392</v>
      </c>
      <c r="V103" s="12"/>
      <c r="W103" s="7">
        <f t="shared" si="32"/>
        <v>73.015573770491812</v>
      </c>
    </row>
    <row r="104" spans="1:30" ht="9" customHeight="1">
      <c r="A104" s="1">
        <v>1993</v>
      </c>
      <c r="B104" s="8">
        <f>(K12*($E12/365))+(K13*($E13/365))</f>
        <v>0</v>
      </c>
      <c r="C104" s="8">
        <f>(L12*($E12/365))+(L13*($E13/365))</f>
        <v>0</v>
      </c>
      <c r="D104" s="8">
        <f>(M12*($E12/365))+(M13*($E13/365))</f>
        <v>95</v>
      </c>
      <c r="E104" s="52">
        <f t="shared" si="30"/>
        <v>95</v>
      </c>
      <c r="F104" s="12"/>
      <c r="G104" s="12">
        <v>1993</v>
      </c>
      <c r="H104" s="928">
        <f>(O12/$R12*100*($E12/365))+(O13/$R13*100*($E13/365))</f>
        <v>0</v>
      </c>
      <c r="I104" s="928"/>
      <c r="J104" s="928">
        <f>(P12/$R12*100*($E12/365))+(P13/$R13*100*($E13/365))</f>
        <v>0</v>
      </c>
      <c r="K104" s="928"/>
      <c r="L104" s="928">
        <f>(Q12/$R12*100*($E12/365))+(Q13/$R13*100*($E13/365))</f>
        <v>100</v>
      </c>
      <c r="M104" s="928"/>
      <c r="N104" s="939">
        <f t="shared" si="31"/>
        <v>100</v>
      </c>
      <c r="O104" s="939"/>
      <c r="P104" s="12"/>
      <c r="Q104" s="12"/>
      <c r="R104" s="12">
        <v>1993</v>
      </c>
      <c r="S104" s="8">
        <f>(O12*($E12/365))+(O13*($E13/365))</f>
        <v>0</v>
      </c>
      <c r="T104" s="8">
        <f>(P12*($E12/365))+(P13*($E13/365))</f>
        <v>0</v>
      </c>
      <c r="U104" s="8">
        <f>(Q12*($E12/365))+(Q13*($E13/365))</f>
        <v>34.299999999999997</v>
      </c>
      <c r="V104" s="12"/>
      <c r="W104" s="7">
        <f t="shared" si="32"/>
        <v>34.299999999999997</v>
      </c>
    </row>
    <row r="105" spans="1:30" ht="9" customHeight="1">
      <c r="A105" s="1">
        <v>1994</v>
      </c>
      <c r="B105" s="8">
        <f>(K14*($E14/365))+(K15*($E15/365))</f>
        <v>3.387297633872977</v>
      </c>
      <c r="C105" s="8">
        <f>(L14*($E14/365))+(L15*($E15/365))</f>
        <v>0</v>
      </c>
      <c r="D105" s="8">
        <f>(M14*($E14/365))+(M15*($E15/365))</f>
        <v>86.701120797011214</v>
      </c>
      <c r="E105" s="52">
        <f t="shared" si="30"/>
        <v>90.08841843088419</v>
      </c>
      <c r="F105" s="12"/>
      <c r="G105" s="12">
        <v>1994</v>
      </c>
      <c r="H105" s="928">
        <f>(O14/$R14*100*($E14/365))+(O15/$R15*100*($E15/365))</f>
        <v>7.6076661475383807</v>
      </c>
      <c r="I105" s="928"/>
      <c r="J105" s="928">
        <f>(P14/$R14*100*($E14/365))+(P15/$R15*100*($E15/365))</f>
        <v>0</v>
      </c>
      <c r="K105" s="928"/>
      <c r="L105" s="928">
        <f>(Q14/$R14*100*($E14/365))+(Q15/$R15*100*($E15/365))</f>
        <v>92.392333852461633</v>
      </c>
      <c r="M105" s="928"/>
      <c r="N105" s="939">
        <f t="shared" si="31"/>
        <v>100.00000000000001</v>
      </c>
      <c r="O105" s="939"/>
      <c r="P105" s="12"/>
      <c r="Q105" s="12"/>
      <c r="R105" s="12">
        <v>1994</v>
      </c>
      <c r="S105" s="8">
        <f>(O14*($E14/365))+(O15*($E15/365))</f>
        <v>3.2789041095890417</v>
      </c>
      <c r="T105" s="8">
        <f>(P14*($E14/365))+(P15*($E15/365))</f>
        <v>0</v>
      </c>
      <c r="U105" s="8">
        <f>(Q14*($E14/365))+(Q15*($E15/365))</f>
        <v>34.299999999999997</v>
      </c>
      <c r="V105" s="12"/>
      <c r="W105" s="7">
        <f t="shared" si="32"/>
        <v>37.57890410958904</v>
      </c>
    </row>
    <row r="106" spans="1:30" ht="9" customHeight="1">
      <c r="A106" s="1">
        <v>1995</v>
      </c>
      <c r="B106" s="8">
        <f>(K16*($E16/365))+(K17*($E17/365))</f>
        <v>8.9393939393939394</v>
      </c>
      <c r="C106" s="8">
        <f>(L16*($E16/365))+(L17*($E17/365))</f>
        <v>0</v>
      </c>
      <c r="D106" s="8">
        <f>(M16*($E16/365))+(M17*($E17/365))</f>
        <v>75.681818181818187</v>
      </c>
      <c r="E106" s="52">
        <f t="shared" si="30"/>
        <v>84.621212121212125</v>
      </c>
      <c r="F106" s="12"/>
      <c r="G106" s="12">
        <v>1995</v>
      </c>
      <c r="H106" s="928">
        <f>(O16/$R16*100*($E16/365))+(O17/$R17*100*($E17/365))</f>
        <v>20.41763341067286</v>
      </c>
      <c r="I106" s="928"/>
      <c r="J106" s="928">
        <f>(P16/$R16*100*($E16/365))+(P17/$R17*100*($E17/365))</f>
        <v>0</v>
      </c>
      <c r="K106" s="928"/>
      <c r="L106" s="928">
        <f>(Q16/$R16*100*($E16/365))+(Q17/$R17*100*($E17/365))</f>
        <v>79.582366589327165</v>
      </c>
      <c r="M106" s="928"/>
      <c r="N106" s="939">
        <f t="shared" si="31"/>
        <v>100.00000000000003</v>
      </c>
      <c r="O106" s="939"/>
      <c r="P106" s="12"/>
      <c r="Q106" s="12"/>
      <c r="R106" s="12">
        <v>1995</v>
      </c>
      <c r="S106" s="8">
        <f>(O16*($E16/365))+(O17*($E17/365))</f>
        <v>8.8000000000000007</v>
      </c>
      <c r="T106" s="8">
        <f>(P16*($E16/365))+(P17*($E17/365))</f>
        <v>0</v>
      </c>
      <c r="U106" s="8">
        <f>(Q16*($E16/365))+(Q17*($E17/365))</f>
        <v>34.299999999999997</v>
      </c>
      <c r="V106" s="12"/>
      <c r="W106" s="7">
        <f t="shared" si="32"/>
        <v>43.099999999999994</v>
      </c>
    </row>
    <row r="107" spans="1:30" ht="9" customHeight="1">
      <c r="A107" s="1">
        <v>1996</v>
      </c>
      <c r="B107" s="8">
        <f>(K18*($E18/366))+(K19*($E19/366))+(K20*($E20/366))</f>
        <v>9.1530054644808736</v>
      </c>
      <c r="C107" s="8">
        <f>(L18*($E18/366))+(L19*($E19/366))+(L20*($E20/366))</f>
        <v>0.27322404371584696</v>
      </c>
      <c r="D107" s="8">
        <f>(M18*($E18/366))+(M19*($E19/366))+(M20*($E20/366))</f>
        <v>87.500000000000014</v>
      </c>
      <c r="E107" s="52">
        <f t="shared" si="30"/>
        <v>96.926229508196741</v>
      </c>
      <c r="F107" s="12"/>
      <c r="G107" s="12">
        <v>1996</v>
      </c>
      <c r="H107" s="928">
        <f>(O18/$R18*100*($E18/366))+(O19/$R19*100*($E19/366))+(O20/$R20*100*($E20/366))</f>
        <v>17.054415030648371</v>
      </c>
      <c r="I107" s="928"/>
      <c r="J107" s="928">
        <f>(P18/$R18*100*($E18/366))+(P19/$R19*100*($E19/366))+(P20/$R20*100*($E20/366))</f>
        <v>0.68306010928961747</v>
      </c>
      <c r="K107" s="928"/>
      <c r="L107" s="928">
        <f>(Q18/$R18*100*($E18/366))+(Q19/$R19*100*($E19/366))+(Q20/$R20*100*($E20/366))</f>
        <v>82.262524860062001</v>
      </c>
      <c r="M107" s="928"/>
      <c r="N107" s="939">
        <f t="shared" si="31"/>
        <v>99.999999999999986</v>
      </c>
      <c r="O107" s="939"/>
      <c r="P107" s="12"/>
      <c r="Q107" s="12"/>
      <c r="R107" s="12">
        <v>1996</v>
      </c>
      <c r="S107" s="8">
        <f>(O18*($E18/366))+(O19*($E19/366))+(O20*($E20/366))</f>
        <v>7.8601092896174869</v>
      </c>
      <c r="T107" s="8">
        <f>(P18*($E18/366))+(P19*($E19/366))+(P20*($E20/366))</f>
        <v>0.39890710382513661</v>
      </c>
      <c r="U107" s="8">
        <f>(Q18*($E18/366))+(Q19*($E19/366))+(Q20*($E20/366))</f>
        <v>33.272677595628409</v>
      </c>
      <c r="V107" s="12"/>
      <c r="W107" s="7">
        <f t="shared" si="32"/>
        <v>41.53169398907103</v>
      </c>
    </row>
    <row r="108" spans="1:30" ht="9" customHeight="1">
      <c r="A108" s="1">
        <v>1997</v>
      </c>
      <c r="B108" s="8">
        <f>(K21*($E21/365))+(K22*($E22/365))</f>
        <v>65</v>
      </c>
      <c r="C108" s="8">
        <f>(L21*($E21/365))+(L22*($E22/365))</f>
        <v>5</v>
      </c>
      <c r="D108" s="8">
        <f>(M21*($E21/365))+(M22*($E22/365))</f>
        <v>25</v>
      </c>
      <c r="E108" s="52">
        <f t="shared" si="30"/>
        <v>95</v>
      </c>
      <c r="F108" s="12"/>
      <c r="G108" s="12">
        <v>1997</v>
      </c>
      <c r="H108" s="928">
        <f>(O21/$R21*100*($E21/365))+(O22/$R22*100*($E22/365))</f>
        <v>60.958904109589042</v>
      </c>
      <c r="I108" s="928"/>
      <c r="J108" s="928">
        <f>(P21/$R21*100*($E21/365))+(P22/$R22*100*($E22/365))</f>
        <v>12.5</v>
      </c>
      <c r="K108" s="928"/>
      <c r="L108" s="928">
        <f>(Q21/$R21*100*($E21/365))+(Q22/$R22*100*($E22/365))</f>
        <v>26.541095890410958</v>
      </c>
      <c r="M108" s="928"/>
      <c r="N108" s="939">
        <f t="shared" si="31"/>
        <v>100</v>
      </c>
      <c r="O108" s="939"/>
      <c r="P108" s="12"/>
      <c r="Q108" s="12"/>
      <c r="R108" s="12">
        <v>1997</v>
      </c>
      <c r="S108" s="8">
        <f>(O21*($E21/365))+(O22*($E22/365))</f>
        <v>35.6</v>
      </c>
      <c r="T108" s="8">
        <f>(P21*($E21/365))+(P22*($E22/365))</f>
        <v>7.3</v>
      </c>
      <c r="U108" s="8">
        <f>(Q21*($E21/365))+(Q22*($E22/365))</f>
        <v>15.5</v>
      </c>
      <c r="V108" s="12"/>
      <c r="W108" s="7">
        <f t="shared" si="32"/>
        <v>58.4</v>
      </c>
    </row>
    <row r="109" spans="1:30" ht="9" customHeight="1">
      <c r="A109" s="1">
        <v>1998</v>
      </c>
      <c r="B109" s="8">
        <f>(K23*($E23/365))+(K24*($E24/365))+(K25*($E25/365))</f>
        <v>55.423352902804965</v>
      </c>
      <c r="C109" s="8">
        <f>(L23*($E23/365))+(L24*($E24/365))+(L25*($E25/365))</f>
        <v>4.8193085453359421</v>
      </c>
      <c r="D109" s="8">
        <f>(M23*($E23/365))+(M24*($E24/365))+(M25*($E25/365))</f>
        <v>31.115459882583163</v>
      </c>
      <c r="E109" s="52">
        <f t="shared" si="30"/>
        <v>91.358121330724074</v>
      </c>
      <c r="F109" s="12"/>
      <c r="G109" s="12">
        <v>1998</v>
      </c>
      <c r="H109" s="928">
        <f>(O23/$R23*100*($E23/365))+(O24/$R24*100*($E24/365))+(O25/$R25*100*($E25/365))</f>
        <v>53.997081261618597</v>
      </c>
      <c r="I109" s="928"/>
      <c r="J109" s="928">
        <f>(P23/$R23*100*($E23/365))+(P24/$R24*100*($E24/365))+(P25/$R25*100*($E25/365))</f>
        <v>11.072435202522913</v>
      </c>
      <c r="K109" s="928"/>
      <c r="L109" s="928">
        <f>(Q23/$R23*100*($E23/365))+(Q24/$R24*100*($E24/365))+(Q25/$R25*100*($E25/365))</f>
        <v>34.9304835358585</v>
      </c>
      <c r="M109" s="928"/>
      <c r="N109" s="939">
        <f t="shared" si="31"/>
        <v>100.00000000000001</v>
      </c>
      <c r="O109" s="939"/>
      <c r="P109" s="12"/>
      <c r="Q109" s="12"/>
      <c r="R109" s="12">
        <v>1998</v>
      </c>
      <c r="S109" s="8">
        <f>(O23*($E23/365))+(O24*($E24/365))+(O25*($E25/365))</f>
        <v>35.6</v>
      </c>
      <c r="T109" s="8">
        <f>(P23*($E23/365))+(P24*($E24/365))+(P25*($E25/365))</f>
        <v>7.3</v>
      </c>
      <c r="U109" s="8">
        <f>(Q23*($E23/365))+(Q24*($E24/365))+(Q25*($E25/365))</f>
        <v>23.437260273972605</v>
      </c>
      <c r="V109" s="12"/>
      <c r="W109" s="7">
        <f t="shared" si="32"/>
        <v>66.337260273972603</v>
      </c>
    </row>
    <row r="110" spans="1:30" ht="9" customHeight="1">
      <c r="A110" s="1">
        <v>1999</v>
      </c>
      <c r="B110" s="8">
        <f>(K26*($E26/365))+(K27*($E27/365))</f>
        <v>52.859317242878895</v>
      </c>
      <c r="C110" s="8">
        <f>(L26*($E26/365))+(L27*($E27/365))</f>
        <v>4.8053924766253537</v>
      </c>
      <c r="D110" s="8">
        <f>(M26*($E26/365))+(M27*($E27/365))</f>
        <v>33.333333333333329</v>
      </c>
      <c r="E110" s="52">
        <f t="shared" si="30"/>
        <v>90.998043052837573</v>
      </c>
      <c r="F110" s="12"/>
      <c r="G110" s="12">
        <v>1999</v>
      </c>
      <c r="H110" s="928">
        <f>(O26/$R26*100*($E26/365))+(O27/$R27*100*($E27/365))</f>
        <v>51.756494597903966</v>
      </c>
      <c r="I110" s="928"/>
      <c r="J110" s="928">
        <f>(P26/$R26*100*($E26/365))+(P27/$R27*100*($E27/365))</f>
        <v>10.61298906080615</v>
      </c>
      <c r="K110" s="928"/>
      <c r="L110" s="928">
        <f>(Q26/$R26*100*($E26/365))+(Q27/$R27*100*($E27/365))</f>
        <v>37.630516341289891</v>
      </c>
      <c r="M110" s="928"/>
      <c r="N110" s="939">
        <f t="shared" si="31"/>
        <v>100</v>
      </c>
      <c r="O110" s="939"/>
      <c r="P110" s="12"/>
      <c r="Q110" s="12"/>
      <c r="R110" s="12">
        <v>1999</v>
      </c>
      <c r="S110" s="8">
        <f>(O26*($E26/365))+(O27*($E27/365))</f>
        <v>35.6</v>
      </c>
      <c r="T110" s="8">
        <f>(P26*($E26/365))+(P27*($E27/365))</f>
        <v>7.3</v>
      </c>
      <c r="U110" s="8">
        <f>(Q26*($E26/365))+(Q27*($E27/365))</f>
        <v>25.991780821917811</v>
      </c>
      <c r="V110" s="12"/>
      <c r="W110" s="7">
        <f t="shared" si="32"/>
        <v>68.891780821917806</v>
      </c>
    </row>
    <row r="111" spans="1:30" ht="9" customHeight="1">
      <c r="A111" s="1">
        <v>2000</v>
      </c>
      <c r="B111" s="8">
        <f>(K28*($E28/366))+(K29*($E29/366))</f>
        <v>60.443230115361267</v>
      </c>
      <c r="C111" s="8">
        <f>(L28*($E28/366))+(L29*($E29/366))</f>
        <v>5.4948391013964786</v>
      </c>
      <c r="D111" s="8">
        <f>(M28*($E28/366))+(M29*($E29/366))</f>
        <v>34.061930783242254</v>
      </c>
      <c r="E111" s="52">
        <f t="shared" si="30"/>
        <v>100</v>
      </c>
      <c r="F111" s="12"/>
      <c r="G111" s="12">
        <v>2000</v>
      </c>
      <c r="H111" s="928">
        <f>(O28/$R28*100*($E28/366))+(O29/$R29*100*($E29/366))</f>
        <v>60.292686578336699</v>
      </c>
      <c r="I111" s="928"/>
      <c r="J111" s="928">
        <f>(P28/$R28*100*($E28/366))+(P29/$R29*100*($E29/366))</f>
        <v>12.363387978142077</v>
      </c>
      <c r="K111" s="928"/>
      <c r="L111" s="928">
        <f>(Q28/$R28*100*($E28/366))+(Q29/$R29*100*($E29/366))</f>
        <v>27.343925443521218</v>
      </c>
      <c r="M111" s="928"/>
      <c r="N111" s="939">
        <f t="shared" si="31"/>
        <v>99.999999999999986</v>
      </c>
      <c r="O111" s="939"/>
      <c r="P111" s="12"/>
      <c r="Q111" s="12"/>
      <c r="R111" s="12">
        <v>2000</v>
      </c>
      <c r="S111" s="8">
        <f>(O28*($E28/366))+(O29*($E29/366))</f>
        <v>35.210928961748635</v>
      </c>
      <c r="T111" s="8">
        <f>(P28*($E28/366))+(P29*($E29/366))</f>
        <v>7.220218579234972</v>
      </c>
      <c r="U111" s="8">
        <f>(Q28*($E28/366))+(Q29*($E29/366))</f>
        <v>15.821311475409836</v>
      </c>
      <c r="V111" s="12"/>
      <c r="W111" s="7">
        <f t="shared" si="32"/>
        <v>58.252459016393445</v>
      </c>
    </row>
    <row r="112" spans="1:30" ht="9" customHeight="1">
      <c r="A112" s="1">
        <v>2001</v>
      </c>
      <c r="B112" s="8">
        <f>(K30*($E30/365))+(K31*($E31/365))</f>
        <v>0</v>
      </c>
      <c r="C112" s="8">
        <f>(L30*($E30/365))+(L31*($E31/365))</f>
        <v>0</v>
      </c>
      <c r="D112" s="8">
        <f>(M30*($E30/365))+(M31*($E31/365))</f>
        <v>100</v>
      </c>
      <c r="E112" s="52">
        <f t="shared" si="30"/>
        <v>100</v>
      </c>
      <c r="F112" s="12"/>
      <c r="G112" s="12">
        <v>2001</v>
      </c>
      <c r="H112" s="928">
        <f>(O30/$R30*100*($E30/365))+(O31/$R31*100*($E31/365))</f>
        <v>0</v>
      </c>
      <c r="I112" s="928"/>
      <c r="J112" s="928">
        <f>(P30/$R30*100*($E30/365))+(P31/$R31*100*($E31/365))</f>
        <v>0</v>
      </c>
      <c r="K112" s="928"/>
      <c r="L112" s="928">
        <f>(Q30/$R30*100*($E30/365))+(Q31/$R31*100*($E31/365))</f>
        <v>100</v>
      </c>
      <c r="M112" s="928"/>
      <c r="N112" s="939">
        <f t="shared" si="31"/>
        <v>100</v>
      </c>
      <c r="O112" s="939"/>
      <c r="P112" s="12"/>
      <c r="Q112" s="12"/>
      <c r="R112" s="12">
        <v>2001</v>
      </c>
      <c r="S112" s="8">
        <f>(O30*($E30/365))+(O31*($E31/365))</f>
        <v>0</v>
      </c>
      <c r="T112" s="8">
        <f>(P30*($E30/365))+(P31*($E31/365))</f>
        <v>0</v>
      </c>
      <c r="U112" s="8">
        <f>(Q30*($E30/365))+(Q31*($E31/365))</f>
        <v>44.9</v>
      </c>
      <c r="V112" s="12"/>
      <c r="W112" s="7">
        <f t="shared" si="32"/>
        <v>44.9</v>
      </c>
    </row>
    <row r="113" spans="1:23" ht="9" customHeight="1">
      <c r="A113" s="1">
        <v>2002</v>
      </c>
      <c r="B113" s="8">
        <f>(K32*($E32/365))+(K33*($E33/365))</f>
        <v>0</v>
      </c>
      <c r="C113" s="8">
        <f>(L32*($E32/365))+(L33*($E33/365))</f>
        <v>0</v>
      </c>
      <c r="D113" s="8">
        <f>(M32*($E32/365))+(M33*($E33/365))</f>
        <v>100</v>
      </c>
      <c r="E113" s="52">
        <f t="shared" si="30"/>
        <v>100</v>
      </c>
      <c r="F113" s="12"/>
      <c r="G113" s="12">
        <v>2002</v>
      </c>
      <c r="H113" s="928">
        <f>(O32/$R32*100*($E32/365))+(O33/$R33*100*($E33/365))</f>
        <v>0</v>
      </c>
      <c r="I113" s="928"/>
      <c r="J113" s="928">
        <f>(P32/$R32*100*($E32/365))+(P33/$R33*100*($E33/365))</f>
        <v>0</v>
      </c>
      <c r="K113" s="928"/>
      <c r="L113" s="928">
        <f>(Q32/$R32*100*($E32/365))+(Q33/$R33*100*($E33/365))</f>
        <v>100</v>
      </c>
      <c r="M113" s="928"/>
      <c r="N113" s="939">
        <f t="shared" si="31"/>
        <v>100</v>
      </c>
      <c r="O113" s="939"/>
      <c r="P113" s="12"/>
      <c r="Q113" s="12"/>
      <c r="R113" s="12">
        <v>2002</v>
      </c>
      <c r="S113" s="8">
        <f>(O32*($E32/365))+(O33*($E33/365))</f>
        <v>0</v>
      </c>
      <c r="T113" s="8">
        <f>(P32*($E32/365))+(P33*($E33/365))</f>
        <v>0</v>
      </c>
      <c r="U113" s="8">
        <f>(Q32*($E32/365))+(Q33*($E33/365))</f>
        <v>44.9</v>
      </c>
      <c r="V113" s="12"/>
      <c r="W113" s="7">
        <f t="shared" si="32"/>
        <v>44.9</v>
      </c>
    </row>
    <row r="114" spans="1:23" ht="9" customHeight="1">
      <c r="A114" s="1">
        <v>2003</v>
      </c>
      <c r="B114" s="8">
        <f>(K34*($E34/365))+(K35*($E35/365))</f>
        <v>0</v>
      </c>
      <c r="C114" s="8">
        <f>(L34*($E34/365))+(L35*($E35/365))</f>
        <v>0</v>
      </c>
      <c r="D114" s="8">
        <f>(M34*($E34/365))+(M35*($E35/365))</f>
        <v>100</v>
      </c>
      <c r="E114" s="52">
        <f t="shared" si="30"/>
        <v>100</v>
      </c>
      <c r="F114" s="12"/>
      <c r="G114" s="12">
        <v>2003</v>
      </c>
      <c r="H114" s="928">
        <f>(O34/$R34*100*($E34/365))+(O35/$R35*100*($E35/365))</f>
        <v>0</v>
      </c>
      <c r="I114" s="928"/>
      <c r="J114" s="928">
        <f>(P34/$R34*100*($E34/365))+(P35/$R35*100*($E35/365))</f>
        <v>0</v>
      </c>
      <c r="K114" s="928"/>
      <c r="L114" s="928">
        <f>(Q34/$R34*100*($E34/365))+(Q35/$R35*100*($E35/365))</f>
        <v>100</v>
      </c>
      <c r="M114" s="928"/>
      <c r="N114" s="939">
        <f t="shared" si="31"/>
        <v>100</v>
      </c>
      <c r="O114" s="939"/>
      <c r="P114" s="12"/>
      <c r="Q114" s="12"/>
      <c r="R114" s="12">
        <v>2003</v>
      </c>
      <c r="S114" s="8">
        <f>(O34*($E34/365))+(O35*($E35/365))</f>
        <v>0</v>
      </c>
      <c r="T114" s="8">
        <f>(P34*($E34/365))+(P35*($E35/365))</f>
        <v>0</v>
      </c>
      <c r="U114" s="8">
        <f>(Q34*($E34/365))+(Q35*($E35/365))</f>
        <v>44.9</v>
      </c>
      <c r="V114" s="12"/>
      <c r="W114" s="7">
        <f t="shared" si="32"/>
        <v>44.9</v>
      </c>
    </row>
    <row r="115" spans="1:23" ht="9" customHeight="1">
      <c r="A115" s="1">
        <v>2004</v>
      </c>
      <c r="B115" s="8">
        <f>(K36*($E36/366))+(K37*($E37/366))</f>
        <v>0.32786885245901642</v>
      </c>
      <c r="C115" s="8">
        <f>(L36*($E36/366))+(L37*($E37/366))</f>
        <v>0.22950819672131151</v>
      </c>
      <c r="D115" s="8">
        <f>(M36*($E36/366))+(M37*($E37/366))</f>
        <v>99.409836065573771</v>
      </c>
      <c r="E115" s="52">
        <f t="shared" si="30"/>
        <v>99.967213114754102</v>
      </c>
      <c r="F115" s="12"/>
      <c r="G115" s="12">
        <v>2004</v>
      </c>
      <c r="H115" s="928">
        <f>(O36/$R36*100*($E36/366))+(O37/$R37*100*($E37/366))</f>
        <v>0.34212401995723452</v>
      </c>
      <c r="I115" s="928"/>
      <c r="J115" s="928">
        <f>(P36/$R36*100*($E36/366))+(P37/$R37*100*($E37/366))</f>
        <v>0.21917320028510337</v>
      </c>
      <c r="K115" s="928"/>
      <c r="L115" s="928">
        <f>(Q36/$R36*100*($E36/366))+(Q37/$R37*100*($E37/366))</f>
        <v>99.438702779757662</v>
      </c>
      <c r="M115" s="928"/>
      <c r="N115" s="939">
        <f t="shared" si="31"/>
        <v>100</v>
      </c>
      <c r="O115" s="939"/>
      <c r="P115" s="12"/>
      <c r="Q115" s="12"/>
      <c r="R115" s="12">
        <v>2004</v>
      </c>
      <c r="S115" s="8">
        <f>(O36*($E36/366))+(O37*($E37/366))</f>
        <v>0.15737704918032788</v>
      </c>
      <c r="T115" s="8">
        <f>(P36*($E36/366))+(P37*($E37/366))</f>
        <v>0.10081967213114755</v>
      </c>
      <c r="U115" s="8">
        <f>(Q36*($E36/366))+(Q37*($E37/366))</f>
        <v>44.650819672131149</v>
      </c>
      <c r="V115" s="12"/>
      <c r="W115" s="7">
        <f t="shared" si="32"/>
        <v>44.909016393442627</v>
      </c>
    </row>
    <row r="116" spans="1:23" ht="9" customHeight="1">
      <c r="A116" s="1">
        <v>2005</v>
      </c>
      <c r="B116" s="8">
        <f>(K38*($E38/365))+(K39*($E39/365))</f>
        <v>41.57534246575343</v>
      </c>
      <c r="C116" s="8">
        <f>(L38*($E38/365))+(L39*($E39/365))</f>
        <v>25.164383561643834</v>
      </c>
      <c r="D116" s="8">
        <f>(M38*($E38/365))+(M39*($E39/365))</f>
        <v>29.102739726027398</v>
      </c>
      <c r="E116" s="52">
        <f t="shared" si="30"/>
        <v>95.842465753424662</v>
      </c>
      <c r="F116" s="12"/>
      <c r="G116" s="12">
        <v>2005</v>
      </c>
      <c r="H116" s="928">
        <f>(O38/$R38*100*($E38/365))+(O39/$R39*100*($E39/365))</f>
        <v>41.739130434782609</v>
      </c>
      <c r="I116" s="928"/>
      <c r="J116" s="928">
        <f>(P38/$R38*100*($E38/365))+(P39/$R39*100*($E39/365))</f>
        <v>26.739130434782609</v>
      </c>
      <c r="K116" s="928"/>
      <c r="L116" s="928">
        <f>(Q38/$R38*100*($E38/365))+(Q39/$R39*100*($E39/365))</f>
        <v>31.521739130434785</v>
      </c>
      <c r="M116" s="928"/>
      <c r="N116" s="939">
        <f t="shared" si="31"/>
        <v>100</v>
      </c>
      <c r="O116" s="939"/>
      <c r="P116" s="12"/>
      <c r="Q116" s="12"/>
      <c r="R116" s="12">
        <v>2005</v>
      </c>
      <c r="S116" s="8">
        <f>(O38*($E38/365))+(O39*($E39/365))</f>
        <v>19.2</v>
      </c>
      <c r="T116" s="8">
        <f>(P38*($E38/365))+(P39*($E39/365))</f>
        <v>12.3</v>
      </c>
      <c r="U116" s="8">
        <f>(Q38*($E38/365))+(Q39*($E39/365))</f>
        <v>14.5</v>
      </c>
      <c r="V116" s="12"/>
      <c r="W116" s="7">
        <f t="shared" si="32"/>
        <v>46</v>
      </c>
    </row>
    <row r="117" spans="1:23" ht="9" customHeight="1">
      <c r="A117" s="1">
        <v>2006</v>
      </c>
      <c r="B117" s="8">
        <f>(K40*($E40/365))+(K41*($E41/365))+(K42*($E42/365))+(K43*($E43/365))</f>
        <v>42.126265634306144</v>
      </c>
      <c r="C117" s="8">
        <f>(L40*($E40/365))+(L41*($E41/365))+(L42*($E42/365))+(L43*($E43/365))</f>
        <v>25.354377605717691</v>
      </c>
      <c r="D117" s="8">
        <f>(M40*($E40/365))+(M41*($E41/365))+(M42*($E42/365))+(M43*($E43/365))</f>
        <v>28.251935675997622</v>
      </c>
      <c r="E117" s="52">
        <f t="shared" si="30"/>
        <v>95.732578916021453</v>
      </c>
      <c r="F117" s="12"/>
      <c r="G117" s="12">
        <v>2006</v>
      </c>
      <c r="H117" s="928">
        <f>(O40/$R40*100*($E40/365))+(O41/$R41*100*($E41/365))+(O42/$R42*100*($E42/365))+(O43/$R43*100*($E43/365))</f>
        <v>41.739130434782609</v>
      </c>
      <c r="I117" s="928"/>
      <c r="J117" s="928">
        <f>(P40/$R40*100*($E40/365))+(P41/$R41*100*($E41/365))+(P42/$R42*100*($E42/365))+(P43/$R43*100*($E43/365))</f>
        <v>26.739130434782609</v>
      </c>
      <c r="K117" s="928"/>
      <c r="L117" s="928">
        <f>(Q40/$R40*100*($E40/365))+(Q41/$R41*100*($E41/365))+(Q42/$R42*100*($E42/365))+(Q43/$R43*100*($E43/365))</f>
        <v>31.521739130434785</v>
      </c>
      <c r="M117" s="928"/>
      <c r="N117" s="939">
        <f t="shared" si="31"/>
        <v>100</v>
      </c>
      <c r="O117" s="939"/>
      <c r="P117" s="12"/>
      <c r="Q117" s="12"/>
      <c r="R117" s="12">
        <v>2006</v>
      </c>
      <c r="S117" s="8">
        <f>(O40*($E40/365))+(O41*($E41/365))+(O42*($E42/365))+(O43*($E43/365))</f>
        <v>19.2</v>
      </c>
      <c r="T117" s="8">
        <f>(P40*($E40/365))+(P41*($E41/365))+(P42*($E42/365))+(P43*($E43/365))</f>
        <v>12.300000000000002</v>
      </c>
      <c r="U117" s="8">
        <f>(Q40*($E40/365))+(Q41*($E41/365))+(Q42*($E42/365))+(Q43*($E43/365))</f>
        <v>14.5</v>
      </c>
      <c r="V117" s="12"/>
      <c r="W117" s="7">
        <f t="shared" si="32"/>
        <v>46</v>
      </c>
    </row>
    <row r="118" spans="1:23" ht="9" customHeight="1">
      <c r="A118" s="1">
        <v>2007</v>
      </c>
      <c r="B118" s="8">
        <f>(K44*($E44/365))+(K45*($E45/365))+(K46*($E46/365))+(K47*($E47/365))</f>
        <v>69.904276977815144</v>
      </c>
      <c r="C118" s="8">
        <f>(L44*($E44/365))+(L45*($E45/365))+(L46*($E46/365))+(L47*($E47/365))</f>
        <v>19.816495190492319</v>
      </c>
      <c r="D118" s="8">
        <f>(M44*($E44/365))+(M45*($E45/365))+(M46*($E46/365))+(M47*($E47/365))</f>
        <v>7.8379988088147714</v>
      </c>
      <c r="E118" s="52">
        <f t="shared" si="30"/>
        <v>97.558770977122236</v>
      </c>
      <c r="F118" s="12"/>
      <c r="G118" s="12">
        <v>2007</v>
      </c>
      <c r="H118" s="928">
        <f>(O44/$R44*100*($E44/365))+(O45/$R45*100*($E45/365))+(O46/$R46*100*($E46/365))+(O47/$R47*100*($E47/365))</f>
        <v>64.143601181047472</v>
      </c>
      <c r="I118" s="928"/>
      <c r="J118" s="928">
        <f>(P44/$R44*100*($E44/365))+(P45/$R45*100*($E45/365))+(P46/$R46*100*($E46/365))+(P47/$R47*100*($E47/365))</f>
        <v>27.738471481251501</v>
      </c>
      <c r="K118" s="928"/>
      <c r="L118" s="928">
        <f>(Q44/$R44*100*($E44/365))+(Q45/$R45*100*($E45/365))+(Q46/$R46*100*($E46/365))+(Q47/$R47*100*($E47/365))</f>
        <v>8.1179273377010137</v>
      </c>
      <c r="M118" s="928"/>
      <c r="N118" s="939">
        <f t="shared" si="31"/>
        <v>100</v>
      </c>
      <c r="O118" s="939"/>
      <c r="P118" s="12"/>
      <c r="Q118" s="12"/>
      <c r="R118" s="12">
        <v>2007</v>
      </c>
      <c r="S118" s="8">
        <f>(O44*($E44/365))+(O45*($E45/365))+(O46*($E46/365))+(O47*($E47/365))</f>
        <v>17.492328767123286</v>
      </c>
      <c r="T118" s="8">
        <f>(P44*($E44/365))+(P45*($E45/365))+(P46*($E46/365))+(P47*($E47/365))</f>
        <v>8.067945205479452</v>
      </c>
      <c r="U118" s="8">
        <f>(Q44*($E44/365))+(Q45*($E45/365))+(Q46*($E46/365))+(Q47*($E47/365))</f>
        <v>3.7342465753424658</v>
      </c>
      <c r="V118" s="12"/>
      <c r="W118" s="7">
        <f t="shared" si="32"/>
        <v>29.294520547945204</v>
      </c>
    </row>
    <row r="119" spans="1:23" ht="9" customHeight="1">
      <c r="A119" s="1">
        <v>2008</v>
      </c>
      <c r="B119" s="8">
        <f>(K48*($E48/366))+(K49*($E49/366))</f>
        <v>75.682294775833824</v>
      </c>
      <c r="C119" s="8">
        <f>(L48*($E48/366))+(L49*($E49/366))</f>
        <v>17.164898746383802</v>
      </c>
      <c r="D119" s="8">
        <f>(M48*($E48/366))+(M49*($E49/366))</f>
        <v>1.3010668748373664</v>
      </c>
      <c r="E119" s="52">
        <f t="shared" si="30"/>
        <v>94.148260397054983</v>
      </c>
      <c r="F119" s="12"/>
      <c r="G119" s="12">
        <v>2008</v>
      </c>
      <c r="H119" s="928">
        <f>(O48/$R48*100*($E48/366))+(O49/$R49*100*($E49/366))</f>
        <v>71.346574476550188</v>
      </c>
      <c r="I119" s="928"/>
      <c r="J119" s="928">
        <f>(P48/$R48*100*($E48/366))+(P49/$R49*100*($E49/366))</f>
        <v>27.317753749563998</v>
      </c>
      <c r="K119" s="928"/>
      <c r="L119" s="928">
        <f>(Q48/$R48*100*($E48/366))+(Q49/$R49*100*($E49/366))</f>
        <v>1.3356717738857897</v>
      </c>
      <c r="M119" s="928"/>
      <c r="N119" s="939">
        <f t="shared" si="31"/>
        <v>99.999999999999972</v>
      </c>
      <c r="O119" s="939"/>
      <c r="P119" s="12"/>
      <c r="Q119" s="12"/>
      <c r="R119" s="12">
        <v>2008</v>
      </c>
      <c r="S119" s="8">
        <f>(O48*($E48/366))+(O49*($E49/366))</f>
        <v>17.37814207650273</v>
      </c>
      <c r="T119" s="8">
        <f>(P48*($E48/366))+(P49*($E49/366))</f>
        <v>6.4196721311475402</v>
      </c>
      <c r="U119" s="8">
        <f>(Q48*($E48/366))+(Q49*($E49/366))</f>
        <v>0.8989071038251365</v>
      </c>
      <c r="V119" s="12"/>
      <c r="W119" s="7">
        <f t="shared" si="32"/>
        <v>24.696721311475407</v>
      </c>
    </row>
    <row r="120" spans="1:23" ht="9" customHeight="1">
      <c r="A120" s="1">
        <v>2009</v>
      </c>
      <c r="B120" s="8">
        <f>(K50*($E50/365))+(K51*($E51/365))+(K52*($E52/365))</f>
        <v>57.242546333601929</v>
      </c>
      <c r="C120" s="8">
        <f>(L50*($E50/365))+(L51*($E51/365))+(L52*($E52/365))</f>
        <v>0.58017727639000805</v>
      </c>
      <c r="D120" s="8">
        <f>(M50*($E50/365))+(M51*($E51/365))+(M52*($E52/365))</f>
        <v>35.61643835616438</v>
      </c>
      <c r="E120" s="52">
        <f t="shared" si="30"/>
        <v>93.43916196615632</v>
      </c>
      <c r="F120" s="12"/>
      <c r="G120" s="12">
        <v>2009</v>
      </c>
      <c r="H120" s="928">
        <f>(O50/$R50*100*($E50/365))+(O51/$R51*100*($E51/365))+(O52/$R52*100*($E52/365))</f>
        <v>63.039333481938286</v>
      </c>
      <c r="I120" s="928"/>
      <c r="J120" s="928">
        <f>(P50/$R50*100*($E50/365))+(P51/$R51*100*($E51/365))+(P52/$R52*100*($E52/365))</f>
        <v>0.39692616104243233</v>
      </c>
      <c r="K120" s="928"/>
      <c r="L120" s="928">
        <f>(Q50/$R50*100*($E50/365))+(Q51/$R51*100*($E51/365))+(Q52/$R52*100*($E52/365))</f>
        <v>36.563740357019277</v>
      </c>
      <c r="M120" s="928"/>
      <c r="N120" s="939">
        <f t="shared" si="31"/>
        <v>100</v>
      </c>
      <c r="O120" s="939"/>
      <c r="P120" s="12"/>
      <c r="Q120" s="12"/>
      <c r="R120" s="12">
        <v>2009</v>
      </c>
      <c r="S120" s="8">
        <f>(O50*($E50/365))+(O51*($E51/365))+(O52*($E52/365))</f>
        <v>34.4</v>
      </c>
      <c r="T120" s="8">
        <f>(P50*($E50/365))+(P51*($E51/365))+(P52*($E52/365))</f>
        <v>0.16273972602739725</v>
      </c>
      <c r="U120" s="8">
        <f>(Q50*($E50/365))+(Q51*($E51/365))+(Q52*($E52/365))</f>
        <v>24.607397260273974</v>
      </c>
      <c r="V120" s="12"/>
      <c r="W120" s="7">
        <f t="shared" si="32"/>
        <v>59.170136986301372</v>
      </c>
    </row>
    <row r="121" spans="1:23" ht="9" customHeight="1">
      <c r="A121" s="1">
        <v>2010</v>
      </c>
      <c r="B121" s="8">
        <f>(K53*($E53/365))+(K54*($E54/365))+(K55*($E55/365))</f>
        <v>52.457695406929886</v>
      </c>
      <c r="C121" s="8">
        <f>(L53*($E53/365))+(L54*($E54/365))+(L55*($E55/365))</f>
        <v>23.52941176470588</v>
      </c>
      <c r="D121" s="8">
        <f>(M53*($E53/365))+(M54*($E54/365))+(M55*($E55/365))</f>
        <v>1.9339242546333599</v>
      </c>
      <c r="E121" s="52">
        <f t="shared" si="30"/>
        <v>77.921031426269124</v>
      </c>
      <c r="F121" s="12"/>
      <c r="G121" s="12">
        <v>2010</v>
      </c>
      <c r="H121" s="928">
        <f>(O53/$R53*100*($E53/365))+(O54/$R54*100*($E54/365))+(O55/$R55*100*($E55/365))</f>
        <v>81.623594750129286</v>
      </c>
      <c r="I121" s="928"/>
      <c r="J121" s="928">
        <f>(P53/$R53*100*($E53/365))+(P54/$R54*100*($E54/365))+(P55/$R55*100*($E55/365))</f>
        <v>15.307002646562587</v>
      </c>
      <c r="K121" s="928"/>
      <c r="L121" s="928">
        <f>(Q53/$R53*100*($E53/365))+(Q54/$R54*100*($E54/365))+(Q55/$R55*100*($E55/365))</f>
        <v>3.0694026033081343</v>
      </c>
      <c r="M121" s="928"/>
      <c r="N121" s="939">
        <f t="shared" si="31"/>
        <v>100</v>
      </c>
      <c r="O121" s="939"/>
      <c r="P121" s="12"/>
      <c r="Q121" s="12"/>
      <c r="R121" s="12">
        <v>2010</v>
      </c>
      <c r="S121" s="8">
        <f>(O53*($E53/365))+(O54*($E54/365))+(O55*($E55/365))</f>
        <v>35.287671232876711</v>
      </c>
      <c r="T121" s="8">
        <f>(P53*($E53/365))+(P54*($E54/365))+(P55*($E55/365))</f>
        <v>6.5999999999999988</v>
      </c>
      <c r="U121" s="8">
        <f>(Q53*($E53/365))+(Q54*($E54/365))+(Q55*($E55/365))</f>
        <v>1.4794520547945207</v>
      </c>
      <c r="V121" s="12"/>
      <c r="W121" s="7">
        <f t="shared" si="32"/>
        <v>43.367123287671234</v>
      </c>
    </row>
    <row r="122" spans="1:23" ht="9" customHeight="1">
      <c r="A122" s="1">
        <v>2011</v>
      </c>
      <c r="B122" s="8">
        <f>(K56*($E56/365))+(K57*($E57/365))+(K58*($E58/365))+(K59*($E59/365))</f>
        <v>61.950935625391715</v>
      </c>
      <c r="C122" s="8">
        <f>(L56*($E56/365))+(L57*($E57/365))+(L58*($E58/365))+(L59*($E59/365))</f>
        <v>23.160533619840628</v>
      </c>
      <c r="D122" s="8">
        <f>(M56*($E56/365))+(M57*($E57/365))+(M58*($E58/365))+(M59*($E59/365))</f>
        <v>5.7901334049601569</v>
      </c>
      <c r="E122" s="52">
        <f t="shared" si="30"/>
        <v>90.901602650192501</v>
      </c>
      <c r="F122" s="12"/>
      <c r="G122" s="12">
        <v>2011</v>
      </c>
      <c r="H122" s="928">
        <f>(O56/$R56*100*($E56/365))+(O57/$R57*100*($E57/365))+(O58/$R58*100*($E58/365))+(O59/$R59*100*($E59/365))</f>
        <v>76.970954356846462</v>
      </c>
      <c r="I122" s="928"/>
      <c r="J122" s="928">
        <f>(P56/$R56*100*($E56/365))+(P57/$R57*100*($E57/365))+(P58/$R58*100*($E58/365))+(P59/$R59*100*($E59/365))</f>
        <v>13.692946058091286</v>
      </c>
      <c r="K122" s="928"/>
      <c r="L122" s="928">
        <f>(Q56/$R56*100*($E56/365))+(Q57/$R57*100*($E57/365))+(Q58/$R58*100*($E58/365))+(Q59/$R59*100*($E59/365))</f>
        <v>9.3360995850622412</v>
      </c>
      <c r="M122" s="928"/>
      <c r="N122" s="939">
        <f t="shared" si="31"/>
        <v>99.999999999999986</v>
      </c>
      <c r="O122" s="939"/>
      <c r="P122" s="12"/>
      <c r="Q122" s="12"/>
      <c r="R122" s="12">
        <v>2011</v>
      </c>
      <c r="S122" s="8">
        <f>(O56*($E56/365))+(O57*($E57/365))+(O58*($E58/365))+(O59*($E59/365))</f>
        <v>37.1</v>
      </c>
      <c r="T122" s="8">
        <f>(P56*($E56/365))+(P57*($E57/365))+(P58*($E58/365))+(P59*($E59/365))</f>
        <v>6.6</v>
      </c>
      <c r="U122" s="8">
        <f>(Q56*($E56/365))+(Q57*($E57/365))+(Q58*($E58/365))+(Q59*($E59/365))</f>
        <v>4.5</v>
      </c>
      <c r="V122" s="12"/>
      <c r="W122" s="7">
        <f t="shared" si="32"/>
        <v>48.2</v>
      </c>
    </row>
    <row r="123" spans="1:23" ht="9" customHeight="1">
      <c r="A123" s="1">
        <v>2012</v>
      </c>
      <c r="B123" s="8">
        <f>(K60*($E60/366))+(K61*($E61/366))+(K62*($E62/366))+(K63*($E63/366))+(K64*($E64/366))</f>
        <v>39.948872397616682</v>
      </c>
      <c r="C123" s="8">
        <f>(L60*($E60/366))+(L61*($E61/366))+(L62*($E62/366))+(L63*($E63/366))+(L64*($E64/366))</f>
        <v>8.8492017572056145</v>
      </c>
      <c r="D123" s="8">
        <f>(M60*($E60/366))+(M61*($E61/366))+(M62*($E62/366))+(M63*($E63/366))+(M64*($E64/366))</f>
        <v>34.350569973772359</v>
      </c>
      <c r="E123" s="52">
        <f t="shared" si="30"/>
        <v>83.148644128594654</v>
      </c>
      <c r="F123" s="12"/>
      <c r="G123" s="12">
        <v>2012</v>
      </c>
      <c r="H123" s="928">
        <f>(O60/$R60*100*($E60/366))+(O61/$R61*100*($E61/366))+(O62/$R62*100*($E62/366))+(O63/$R63*100*($E63/366))+(O64/$R64*100*($E64/366))</f>
        <v>50.515694096012012</v>
      </c>
      <c r="I123" s="928"/>
      <c r="J123" s="928">
        <f>(P60/$R60*100*($E60/366))+(P61/$R61*100*($E61/366))+(P62/$R62*100*($E62/366))+(P63/$R63*100*($E63/366))+(P64/$R64*100*($E64/366))</f>
        <v>6.2985595794918341</v>
      </c>
      <c r="K123" s="928"/>
      <c r="L123" s="928">
        <f>(Q60/$R60*100*($E60/366))+(Q61/$R61*100*($E61/366))+(Q62/$R62*100*($E62/366))+(Q63/$R63*100*($E63/366))+(Q64/$R64*100*($E64/366))</f>
        <v>43.185746324496158</v>
      </c>
      <c r="M123" s="928"/>
      <c r="N123" s="939">
        <f t="shared" si="31"/>
        <v>100</v>
      </c>
      <c r="O123" s="939"/>
      <c r="P123" s="12"/>
      <c r="Q123" s="12"/>
      <c r="R123" s="12">
        <v>2012</v>
      </c>
      <c r="S123" s="8">
        <f>(O60*($E60/366))+(O61*($E61/366))+(O62*($E62/366))+(O63*($E63/366))+(O64*($E64/366))</f>
        <v>25.787431693989074</v>
      </c>
      <c r="T123" s="8">
        <f>(P60*($E60/366))+(P61*($E61/366))+(P62*($E62/366))+(P63*($E63/366))+(P64*($E64/366))</f>
        <v>3.1398907103825136</v>
      </c>
      <c r="U123" s="8">
        <f>(Q60*($E60/366))+(Q61*($E61/366))+(Q62*($E62/366))+(Q63*($E63/366))+(Q64*($E64/366))</f>
        <v>23.201639344262297</v>
      </c>
      <c r="V123" s="12"/>
      <c r="W123" s="7">
        <f t="shared" si="32"/>
        <v>52.128961748633884</v>
      </c>
    </row>
    <row r="124" spans="1:23" ht="9" customHeight="1">
      <c r="A124" s="1">
        <v>2013</v>
      </c>
      <c r="B124" s="8">
        <f>(K65*($E65/365))+(K66*($E66/365))</f>
        <v>40</v>
      </c>
      <c r="C124" s="8">
        <f>(L65*($E65/365))+(L66*($E66/365))</f>
        <v>4</v>
      </c>
      <c r="D124" s="8">
        <f>(M65*($E65/365))+(M66*($E66/365))</f>
        <v>53.139726027397259</v>
      </c>
      <c r="E124" s="52">
        <f t="shared" si="30"/>
        <v>97.139726027397259</v>
      </c>
      <c r="F124" s="12"/>
      <c r="G124" s="12">
        <v>2013</v>
      </c>
      <c r="H124" s="928">
        <f>(O65/$R65*100*($E65/365))+(O66/$R66*100*($E66/365))</f>
        <v>38.059701492537314</v>
      </c>
      <c r="I124" s="928"/>
      <c r="J124" s="928">
        <f>(P65/$R65*100*($E65/365))+(P66/$R66*100*($E66/365))</f>
        <v>5.0746268656716413</v>
      </c>
      <c r="K124" s="928"/>
      <c r="L124" s="928">
        <f>(Q65/$R65*100*($E65/365))+(Q66/$R66*100*($E66/365))</f>
        <v>56.865671641791039</v>
      </c>
      <c r="M124" s="928"/>
      <c r="N124" s="939">
        <f t="shared" ref="N124:N129" si="33">H124+J124+L124</f>
        <v>100</v>
      </c>
      <c r="O124" s="939"/>
      <c r="P124" s="12"/>
      <c r="Q124" s="12"/>
      <c r="R124" s="12">
        <v>2013</v>
      </c>
      <c r="S124" s="8">
        <f>(O65*($E65/365))+(O66*($E66/365))</f>
        <v>25.5</v>
      </c>
      <c r="T124" s="8">
        <f>(P65*($E65/365))+(P66*($E66/365))</f>
        <v>3.4</v>
      </c>
      <c r="U124" s="8">
        <f>(Q65*($E65/365))+(Q66*($E66/365))</f>
        <v>38.1</v>
      </c>
      <c r="V124" s="12"/>
      <c r="W124" s="7">
        <f t="shared" si="32"/>
        <v>67</v>
      </c>
    </row>
    <row r="125" spans="1:23" ht="9" customHeight="1">
      <c r="A125" s="1">
        <v>2014</v>
      </c>
      <c r="B125" s="8">
        <f>(K67*($E67/365))+(K68*($E68/365))+(K69*($E69/365))+(K70*($E70/365))+(K71*($E71/365))+(K72*($E72/365))+(K73*($E73/365))+(K74*($E74/365))</f>
        <v>5.7105853051058535</v>
      </c>
      <c r="C125" s="8">
        <f>(L67*($E67/365))+(L68*($E68/365))+(L69*($E69/365))+(L70*($E70/365))+(L71*($E71/365))+(L72*($E72/365))+(L73*($E73/365))+(L74*($E74/365))</f>
        <v>10.136718076444103</v>
      </c>
      <c r="D125" s="8">
        <f>(M67*($E67/365))+(M68*($E68/365))+(M69*($E69/365))+(M70*($E70/365))+(M71*($E71/365))+(M72*($E72/365))+(M73*($E73/365))+(M74*($E74/365))</f>
        <v>64.700910048855263</v>
      </c>
      <c r="E125" s="52">
        <f t="shared" si="30"/>
        <v>80.548213430405212</v>
      </c>
      <c r="F125" s="12"/>
      <c r="G125" s="12">
        <v>2014</v>
      </c>
      <c r="H125" s="928">
        <f>(O67/$R67*100*($E67/365))+(O68/$R68*100*($E68/365))+(O69/$R69*100*($E69/365))+(O70/$R70*100*($E70/365))+(O71/$R71*100*($E71/365))+(O72/$R72*100*($E72/365))+(O73/$R73*100*($E73/365))+(O74/$R74*100*($E74/365))</f>
        <v>6.153605580625122</v>
      </c>
      <c r="I125" s="928"/>
      <c r="J125" s="928">
        <f>(P67/$R67*100*($E67/365))+(P68/$R68*100*($E68/365))+(P69/$R69*100*($E69/365))+(P70/$R70*100*($E70/365))+(P71/$R71*100*($E71/365))+(P72/$R72*100*($E72/365))+(P73/$R73*100*($E73/365))+(P74/$R74*100*($E74/365))</f>
        <v>14.034191597510397</v>
      </c>
      <c r="K125" s="928"/>
      <c r="L125" s="928">
        <f>(Q67/$R67*100*($E67/365))+(Q68/$R68*100*($E68/365))+(Q69/$R69*100*($E69/365))+(Q70/$R70*100*($E70/365))+(Q71/$R71*100*($E71/365))+(Q72/$R72*100*($E72/365))+(Q73/$R73*100*($E73/365))+(Q74/$R74*100*($E74/365))</f>
        <v>79.812202821864489</v>
      </c>
      <c r="M125" s="928"/>
      <c r="N125" s="939">
        <f t="shared" si="33"/>
        <v>100</v>
      </c>
      <c r="O125" s="939"/>
      <c r="P125" s="12"/>
      <c r="Q125" s="12"/>
      <c r="R125" s="12">
        <v>2014</v>
      </c>
      <c r="S125" s="8">
        <f>(O67*($E67/365))+(O68*($E68/365))+(O69*($E69/365))+(O70*($E70/365))+(O71*($E71/365))+(O72*($E72/365))+(O73*($E73/365))+(O74*($E74/365))</f>
        <v>4.0767123287671234</v>
      </c>
      <c r="T125" s="8">
        <f>(P67*($E67/365))+(P68*($E68/365))+(P69*($E69/365))+(P70*($E70/365))+(P71*($E71/365))+(P72*($E72/365))+(P73*($E73/365))+(P74*($E74/365))</f>
        <v>7.2446575342465769</v>
      </c>
      <c r="U125" s="8">
        <f>(Q67*($E67/365))+(Q68*($E68/365))+(Q69*($E69/365))+(Q70*($E70/365))+(Q71*($E71/365))+(Q72*($E72/365))+(Q73*($E73/365))+(Q74*($E74/365))</f>
        <v>41.847397260273979</v>
      </c>
      <c r="V125" s="12"/>
      <c r="W125" s="7">
        <f>S125+T125+U125</f>
        <v>53.16876712328768</v>
      </c>
    </row>
    <row r="126" spans="1:23" s="625" customFormat="1" ht="9" customHeight="1">
      <c r="A126" s="625">
        <v>2015</v>
      </c>
      <c r="B126" s="620">
        <f>(K75*($E75/365))+(K76*($E76/365))+(K77*($E77/365))+(K78*($E78/365))</f>
        <v>7.9947814742335295</v>
      </c>
      <c r="C126" s="620">
        <f>(L75*($E75/365))+(L76*($E76/365))+(L77*($E77/365))+(L78*($E78/365))</f>
        <v>7.9947814742335295</v>
      </c>
      <c r="D126" s="620">
        <f>(M75*($E75/365))+(M76*($E76/365))+(M77*($E77/365))+(M78*($E78/365))</f>
        <v>63.686888454011743</v>
      </c>
      <c r="E126" s="52">
        <f t="shared" si="30"/>
        <v>79.676451402478804</v>
      </c>
      <c r="F126" s="12"/>
      <c r="G126" s="12">
        <v>2015</v>
      </c>
      <c r="H126" s="928">
        <f>(O75/$R75*100*($E75/365))+(O76/$R76*100*($E76/365))+(O77/$R77*100*($E77/365))</f>
        <v>6.7052568165745559</v>
      </c>
      <c r="I126" s="928"/>
      <c r="J126" s="928">
        <f>(P75/$R75*100*($E75/365))+(P76/$R76*100*($E76/365))+(P77/$R77*100*($E77/365))</f>
        <v>5.364205453259645</v>
      </c>
      <c r="K126" s="928"/>
      <c r="L126" s="928">
        <f>(Q75/$R75*100*($E75/365))+(Q76/$R76*100*($E76/365))+(Q77/$R77*100*($E77/365))</f>
        <v>75.601770606878119</v>
      </c>
      <c r="M126" s="928"/>
      <c r="N126" s="939">
        <f t="shared" si="33"/>
        <v>87.671232876712324</v>
      </c>
      <c r="O126" s="939"/>
      <c r="P126" s="12"/>
      <c r="Q126" s="12"/>
      <c r="R126" s="12">
        <v>2015</v>
      </c>
      <c r="S126" s="620">
        <f>(O75*($E75/365))+(O76*($E76/365))+(O77*($E77/365))+(O78*($E78/365))</f>
        <v>3.506849315068493</v>
      </c>
      <c r="T126" s="620">
        <f>(P75*($E75/365))+(P76*($E76/365))+(P77*($E77/365))+(P78*($E78/365))</f>
        <v>2.8054794520547945</v>
      </c>
      <c r="U126" s="620">
        <f>(Q75*($E75/365))+(Q76*($E76/365))+(Q77*($E77/365))+(Q78*($E78/365))</f>
        <v>39.539726027397258</v>
      </c>
      <c r="V126" s="12"/>
      <c r="W126" s="623">
        <f>S126+T126+U126</f>
        <v>45.852054794520548</v>
      </c>
    </row>
    <row r="127" spans="1:23">
      <c r="A127" s="1">
        <v>2016</v>
      </c>
      <c r="B127" s="684">
        <f>(K79*($E79/366))+(K80*($E80/366))</f>
        <v>0</v>
      </c>
      <c r="C127" s="684">
        <f>(L79*($E79/366))+(L80*($E80/366))</f>
        <v>0</v>
      </c>
      <c r="D127" s="684">
        <f>(M79*($E79/366))+(M80*($E80/366))</f>
        <v>0</v>
      </c>
      <c r="E127" s="52">
        <f t="shared" si="30"/>
        <v>0</v>
      </c>
      <c r="G127" s="12">
        <v>2016</v>
      </c>
      <c r="H127" s="928">
        <v>0</v>
      </c>
      <c r="I127" s="928"/>
      <c r="J127" s="928">
        <v>0</v>
      </c>
      <c r="K127" s="928"/>
      <c r="L127" s="928">
        <v>0</v>
      </c>
      <c r="M127" s="928"/>
      <c r="N127" s="939">
        <f t="shared" si="33"/>
        <v>0</v>
      </c>
      <c r="O127" s="939"/>
      <c r="R127" s="12">
        <v>2016</v>
      </c>
      <c r="S127" s="684">
        <f>(O79*($E79/366))+(O80*($E80/366))</f>
        <v>0</v>
      </c>
      <c r="T127" s="684">
        <f>(P79*($E79/366))+(P80*($E80/366))</f>
        <v>0</v>
      </c>
      <c r="U127" s="684">
        <f>(Q79*($E79/366))+(Q80*($E80/366))</f>
        <v>0</v>
      </c>
      <c r="V127" s="12"/>
      <c r="W127" s="688">
        <f>S127+T127+U127</f>
        <v>0</v>
      </c>
    </row>
    <row r="128" spans="1:23" s="749" customFormat="1">
      <c r="A128" s="749">
        <v>2017</v>
      </c>
      <c r="B128" s="744">
        <f>(K81*($E81/365))+(K82*($E82/365))+(K83*($E83/365))+(K84*($E84/365))+(K85*($E85/365))+(K86*($E86/365))</f>
        <v>14.540842212075088</v>
      </c>
      <c r="C128" s="744">
        <f>(L81*($E81/365))+(L82*($E82/365))+(L83*($E83/365))+(L84*($E84/365))+(L85*($E85/365))+(L86*($E86/365))</f>
        <v>0</v>
      </c>
      <c r="D128" s="744">
        <f>(M81*($E81/365))+(M82*($E82/365))+(M83*($E83/365))+(M84*($E84/365))+(M85*($E85/365))+(M86*($E86/365))</f>
        <v>81.073059360730582</v>
      </c>
      <c r="E128" s="52">
        <f t="shared" ref="E128" si="34">B128+C128+D128</f>
        <v>95.613901572805673</v>
      </c>
      <c r="G128" s="12">
        <v>2017</v>
      </c>
      <c r="H128" s="928">
        <f>(O82/$R82*100*($E82/365))+(O83/$R83*100*($E83/365))+(O84/$R84*100*($E84/365))+(O85/$R85*100*($E85/365))+(O86/$R86*100*($E86/365))</f>
        <v>10.120769980036414</v>
      </c>
      <c r="I128" s="928"/>
      <c r="J128" s="928">
        <f>(P82/$R82*100*($E82/365))+(P83/$R83*100*($E83/365))+(P84/$R84*100*($E84/365))+(P85/$R85*100*($E85/365))+(P86/$R86*100*($E86/365))</f>
        <v>0</v>
      </c>
      <c r="K128" s="928"/>
      <c r="L128" s="928">
        <f>(Q82/$R82*100*($E82/365))+(Q83/$R83*100*($E83/365))+(Q84/$R84*100*($E84/365))+(Q85/$R85*100*($E85/365))+(Q86/$R86*100*($E86/365))</f>
        <v>89.057312211744403</v>
      </c>
      <c r="M128" s="928"/>
      <c r="N128" s="939">
        <f t="shared" si="33"/>
        <v>99.178082191780817</v>
      </c>
      <c r="O128" s="939"/>
      <c r="R128" s="12">
        <v>2017</v>
      </c>
      <c r="S128" s="744">
        <f>(O81*($E81/365))+(O82*($E82/365))+(O83*($E83/365))+(O84*($E84/365))+(O85*($E85/365))+(O86*($E86/365))</f>
        <v>5.285479452054795</v>
      </c>
      <c r="T128" s="744">
        <f>(P81*($E81/365))+(P82*($E82/365))+(P83*($E83/365))+(P84*($E84/365))+(P85*($E85/365))+(P86*($E86/365))</f>
        <v>0</v>
      </c>
      <c r="U128" s="744">
        <f>(Q81*($E81/365))+(Q82*($E82/365))+(Q83*($E83/365))+(Q84*($E84/365))+(Q85*($E85/365))+(Q86*($E86/365))</f>
        <v>46.415342465753426</v>
      </c>
      <c r="V128" s="12"/>
      <c r="W128" s="746">
        <f>S128+T128+U128</f>
        <v>51.70082191780822</v>
      </c>
    </row>
    <row r="129" spans="1:24">
      <c r="A129" s="1">
        <v>2018</v>
      </c>
      <c r="B129" s="772">
        <f>(K87*($E87/365))+(K88*($E88/365))+(K89*($E89/365))</f>
        <v>14.452751713025684</v>
      </c>
      <c r="C129" s="772">
        <f>(L87*($E87/365))+(L88*($E88/365))+(L89*($E89/365))</f>
        <v>0</v>
      </c>
      <c r="D129" s="772">
        <f>(M87*($E87/365))+(M88*($E88/365))+(M89*($E89/365))</f>
        <v>79.047563294138641</v>
      </c>
      <c r="E129" s="52">
        <f t="shared" ref="E129" si="35">B129+C129+D129</f>
        <v>93.500315007164318</v>
      </c>
      <c r="G129" s="12">
        <v>2018</v>
      </c>
      <c r="H129" s="928">
        <f>(O87/$R87*100*($E87/365))+(O88/$R88*100*($E88/365))+(O89/$R89*100*($E89/365))</f>
        <v>8.9494163424124515</v>
      </c>
      <c r="I129" s="928"/>
      <c r="J129" s="928">
        <f>(P87/$R87*100*($E87/365))+(P88/$R88*100*($E88/365))+(P89/$R89*100*($E89/365))</f>
        <v>0</v>
      </c>
      <c r="K129" s="928"/>
      <c r="L129" s="928">
        <f>(Q87/$R87*100*($E87/365))+(Q88/$R88*100*($E88/365))+(Q89/$R89*100*($E89/365))</f>
        <v>91.050583657587552</v>
      </c>
      <c r="M129" s="928"/>
      <c r="N129" s="939">
        <f t="shared" si="33"/>
        <v>100</v>
      </c>
      <c r="O129" s="939"/>
      <c r="R129" s="12">
        <v>2018</v>
      </c>
      <c r="S129" s="772">
        <f>(O87*($E87/365))+(O88*($E88/365))+(O89*($E89/365))</f>
        <v>4.5999999999999996</v>
      </c>
      <c r="T129" s="772">
        <f t="shared" ref="T129:U129" si="36">(P87*($E87/365))+(P88*($E88/365))+(P89*($E89/365))</f>
        <v>0</v>
      </c>
      <c r="U129" s="772">
        <f t="shared" si="36"/>
        <v>46.8</v>
      </c>
      <c r="V129" s="12"/>
      <c r="W129" s="774">
        <f>S129+T129+U129</f>
        <v>51.4</v>
      </c>
    </row>
    <row r="130" spans="1:24">
      <c r="A130" s="816">
        <v>2019</v>
      </c>
      <c r="B130" s="812">
        <f>(K90*($E90/365))+(K91*($E91/365))+(K92*($E92/365))+(K93*(E93/365))+(K94*(E94/365))</f>
        <v>23.757686453576866</v>
      </c>
      <c r="C130" s="812">
        <f>(L90*($E90/365))+(L91*($E91/365))+(L92*($E92/365))+(L93*(E93/365))+(L94*(E94/365))</f>
        <v>0</v>
      </c>
      <c r="D130" s="812">
        <f>(M90*($E90/365))+(M91*($E91/365))+(M92*($E92/365))+(M93*(E93/365))+(M94*(E94/365))</f>
        <v>71.955474662323979</v>
      </c>
      <c r="E130" s="52">
        <f t="shared" ref="E130" si="37">B130+C130+D130</f>
        <v>95.713161115900846</v>
      </c>
      <c r="F130" s="816"/>
      <c r="G130" s="12">
        <v>2019</v>
      </c>
      <c r="H130" s="928">
        <f>(O90/$R90*100*($E90/365))+(O91/$R91*100*($E91/365))+(O92/$R92*100*($E92/365))+(O93/R93*100*(E93/365))+(O94/R94*100*(E94/365))</f>
        <v>21.725920793134698</v>
      </c>
      <c r="I130" s="928"/>
      <c r="J130" s="928">
        <f>(P90/$R90*100*($E90/365))+(P91/$R91*100*($E91/365))+(P92/$R92*100*($E92/365))+(P93/R93*100*(E93/365))+(P94/R94*100*(E94/365))</f>
        <v>0</v>
      </c>
      <c r="K130" s="928"/>
      <c r="L130" s="928">
        <f>(Q90/$R90*100*($E90/365))+(Q91/$R91*100*($E91/365))+(Q92/$R92*100*($E92/365))+(Q93/R93*100*(E93/365))+(Q94/R94*100*(E94/365))</f>
        <v>78.274079206865309</v>
      </c>
      <c r="M130" s="928"/>
      <c r="N130" s="939">
        <f t="shared" ref="N130" si="38">H130+J130+L130</f>
        <v>100</v>
      </c>
      <c r="O130" s="939"/>
      <c r="P130" s="816"/>
      <c r="Q130" s="816"/>
      <c r="R130" s="12">
        <v>2019</v>
      </c>
      <c r="S130" s="812">
        <f>(O90*($E90/365))+(O91*($E91/365))+(O92*($E92/365))+(O93*(E93/365))+(O94*(E94/365))</f>
        <v>6.3205479452054796</v>
      </c>
      <c r="T130" s="812">
        <f>(P90*($E90/365))+(P91*($E91/365))+(P92*($E92/365))+(P93*(E93/365))+(P94*(E94/365))</f>
        <v>0</v>
      </c>
      <c r="U130" s="812">
        <f>(Q90*($E90/365))+(Q91*($E91/365))+(Q92*($E92/365))+(Q93*(E93/365))+(Q94*(E94/365))</f>
        <v>39.363287671232875</v>
      </c>
      <c r="V130" s="12"/>
      <c r="W130" s="815">
        <f t="shared" ref="W130" si="39">S130+T130+U130</f>
        <v>45.683835616438358</v>
      </c>
      <c r="X130" s="816"/>
    </row>
    <row r="131" spans="1:24">
      <c r="A131" s="816"/>
      <c r="G131" s="12"/>
      <c r="Q131" s="816"/>
      <c r="R131" s="12"/>
    </row>
  </sheetData>
  <mergeCells count="235">
    <mergeCell ref="L130:M130"/>
    <mergeCell ref="J130:K130"/>
    <mergeCell ref="H130:I130"/>
    <mergeCell ref="N130:O130"/>
    <mergeCell ref="C90:D90"/>
    <mergeCell ref="C92:D92"/>
    <mergeCell ref="C93:D93"/>
    <mergeCell ref="C94:D94"/>
    <mergeCell ref="C91:D91"/>
    <mergeCell ref="H128:I128"/>
    <mergeCell ref="J128:K128"/>
    <mergeCell ref="L128:M128"/>
    <mergeCell ref="N128:O128"/>
    <mergeCell ref="N127:O127"/>
    <mergeCell ref="N119:O119"/>
    <mergeCell ref="L120:M120"/>
    <mergeCell ref="H118:I118"/>
    <mergeCell ref="J118:K118"/>
    <mergeCell ref="L118:M118"/>
    <mergeCell ref="N118:O118"/>
    <mergeCell ref="H126:I126"/>
    <mergeCell ref="J126:K126"/>
    <mergeCell ref="L126:M126"/>
    <mergeCell ref="N126:O126"/>
    <mergeCell ref="C81:D81"/>
    <mergeCell ref="C82:D82"/>
    <mergeCell ref="C83:D83"/>
    <mergeCell ref="C85:D85"/>
    <mergeCell ref="C84:D84"/>
    <mergeCell ref="C86:D86"/>
    <mergeCell ref="H127:I127"/>
    <mergeCell ref="J127:K127"/>
    <mergeCell ref="L127:M127"/>
    <mergeCell ref="H113:I113"/>
    <mergeCell ref="J113:K113"/>
    <mergeCell ref="L113:M113"/>
    <mergeCell ref="H110:I110"/>
    <mergeCell ref="J110:K110"/>
    <mergeCell ref="L110:M110"/>
    <mergeCell ref="H103:I103"/>
    <mergeCell ref="J103:K103"/>
    <mergeCell ref="L103:M103"/>
    <mergeCell ref="H115:I115"/>
    <mergeCell ref="J115:K115"/>
    <mergeCell ref="L115:M115"/>
    <mergeCell ref="L111:M111"/>
    <mergeCell ref="H120:I120"/>
    <mergeCell ref="J120:K120"/>
    <mergeCell ref="H125:I125"/>
    <mergeCell ref="J125:K125"/>
    <mergeCell ref="L125:M125"/>
    <mergeCell ref="N125:O125"/>
    <mergeCell ref="H123:I123"/>
    <mergeCell ref="J123:K123"/>
    <mergeCell ref="L123:M123"/>
    <mergeCell ref="N123:O123"/>
    <mergeCell ref="H122:I122"/>
    <mergeCell ref="J122:K122"/>
    <mergeCell ref="L122:M122"/>
    <mergeCell ref="N122:O122"/>
    <mergeCell ref="H119:I119"/>
    <mergeCell ref="J119:K119"/>
    <mergeCell ref="N120:O120"/>
    <mergeCell ref="H117:I117"/>
    <mergeCell ref="J117:K117"/>
    <mergeCell ref="L117:M117"/>
    <mergeCell ref="N117:O117"/>
    <mergeCell ref="H121:I121"/>
    <mergeCell ref="J121:K121"/>
    <mergeCell ref="L121:M121"/>
    <mergeCell ref="N121:O121"/>
    <mergeCell ref="L119:M119"/>
    <mergeCell ref="N111:O111"/>
    <mergeCell ref="H112:I112"/>
    <mergeCell ref="J112:K112"/>
    <mergeCell ref="L112:M112"/>
    <mergeCell ref="N112:O112"/>
    <mergeCell ref="N113:O113"/>
    <mergeCell ref="H114:I114"/>
    <mergeCell ref="J114:K114"/>
    <mergeCell ref="L114:M114"/>
    <mergeCell ref="N114:O114"/>
    <mergeCell ref="N115:O115"/>
    <mergeCell ref="H116:I116"/>
    <mergeCell ref="J116:K116"/>
    <mergeCell ref="L116:M116"/>
    <mergeCell ref="J106:K106"/>
    <mergeCell ref="L106:M106"/>
    <mergeCell ref="N106:O106"/>
    <mergeCell ref="H107:I107"/>
    <mergeCell ref="J107:K107"/>
    <mergeCell ref="L107:M107"/>
    <mergeCell ref="N107:O107"/>
    <mergeCell ref="H108:I108"/>
    <mergeCell ref="J108:K108"/>
    <mergeCell ref="L108:M108"/>
    <mergeCell ref="N108:O108"/>
    <mergeCell ref="H106:I106"/>
    <mergeCell ref="N116:O116"/>
    <mergeCell ref="H109:I109"/>
    <mergeCell ref="J109:K109"/>
    <mergeCell ref="L109:M109"/>
    <mergeCell ref="N109:O109"/>
    <mergeCell ref="N110:O110"/>
    <mergeCell ref="H111:I111"/>
    <mergeCell ref="J111:K111"/>
    <mergeCell ref="N103:O103"/>
    <mergeCell ref="H104:I104"/>
    <mergeCell ref="J104:K104"/>
    <mergeCell ref="L104:M104"/>
    <mergeCell ref="N104:O104"/>
    <mergeCell ref="H105:I105"/>
    <mergeCell ref="J105:K105"/>
    <mergeCell ref="L105:M105"/>
    <mergeCell ref="N105:O105"/>
    <mergeCell ref="N101:O101"/>
    <mergeCell ref="R98:W98"/>
    <mergeCell ref="H100:I100"/>
    <mergeCell ref="J100:K100"/>
    <mergeCell ref="L100:M100"/>
    <mergeCell ref="N100:O100"/>
    <mergeCell ref="H102:I102"/>
    <mergeCell ref="J102:K102"/>
    <mergeCell ref="L102:M102"/>
    <mergeCell ref="N102:O102"/>
    <mergeCell ref="C59:D59"/>
    <mergeCell ref="H101:I101"/>
    <mergeCell ref="J101:K101"/>
    <mergeCell ref="C63:D63"/>
    <mergeCell ref="C60:D60"/>
    <mergeCell ref="L101:M101"/>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A4:A5"/>
    <mergeCell ref="B4:B5"/>
    <mergeCell ref="C4:D5"/>
    <mergeCell ref="E4:E5"/>
    <mergeCell ref="F4:F5"/>
    <mergeCell ref="O4:R4"/>
    <mergeCell ref="AH4:AK4"/>
    <mergeCell ref="S4:S5"/>
    <mergeCell ref="T4:T5"/>
    <mergeCell ref="U4:U5"/>
    <mergeCell ref="V4:Y4"/>
    <mergeCell ref="AD4:AG4"/>
    <mergeCell ref="G4:J4"/>
    <mergeCell ref="K4:N4"/>
    <mergeCell ref="C15:D15"/>
    <mergeCell ref="C11:D11"/>
    <mergeCell ref="C12:D12"/>
    <mergeCell ref="C16:D16"/>
    <mergeCell ref="C17:D17"/>
    <mergeCell ref="C18:D18"/>
    <mergeCell ref="C19:D19"/>
    <mergeCell ref="G3:M3"/>
    <mergeCell ref="O3:Q3"/>
    <mergeCell ref="C87:D87"/>
    <mergeCell ref="C88:D88"/>
    <mergeCell ref="C89:D89"/>
    <mergeCell ref="H129:I129"/>
    <mergeCell ref="L129:M129"/>
    <mergeCell ref="N129:O129"/>
    <mergeCell ref="J129:K129"/>
    <mergeCell ref="AT4:AW4"/>
    <mergeCell ref="AX4:BA4"/>
    <mergeCell ref="C65:D65"/>
    <mergeCell ref="H124:I124"/>
    <mergeCell ref="J124:K124"/>
    <mergeCell ref="L124:M124"/>
    <mergeCell ref="N124:O124"/>
    <mergeCell ref="Z4:AC4"/>
    <mergeCell ref="C9:D9"/>
    <mergeCell ref="C10:D10"/>
    <mergeCell ref="AL4:AO4"/>
    <mergeCell ref="AP4:AS4"/>
    <mergeCell ref="C7:D7"/>
    <mergeCell ref="C8:D8"/>
    <mergeCell ref="C13:D13"/>
    <mergeCell ref="C6:D6"/>
    <mergeCell ref="C14:D14"/>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A133"/>
  <sheetViews>
    <sheetView zoomScale="150" zoomScaleNormal="120" workbookViewId="0">
      <pane xSplit="1" ySplit="5" topLeftCell="B32" activePane="bottomRight" state="frozen"/>
      <selection pane="topRight" activeCell="B1" sqref="B1"/>
      <selection pane="bottomLeft" activeCell="A6" sqref="A6"/>
      <selection pane="bottomRight" activeCell="C65" sqref="C65:D65"/>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146</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85" customFormat="1">
      <c r="A6" s="185">
        <v>1990</v>
      </c>
      <c r="B6" s="852"/>
      <c r="C6" s="935" t="s">
        <v>1268</v>
      </c>
      <c r="D6" s="935"/>
      <c r="E6" s="185">
        <v>177</v>
      </c>
      <c r="G6" s="498"/>
      <c r="H6" s="548"/>
      <c r="I6" s="548"/>
      <c r="J6" s="500"/>
      <c r="K6" s="496"/>
      <c r="L6" s="496"/>
      <c r="M6" s="496"/>
      <c r="N6" s="499"/>
      <c r="O6" s="495"/>
      <c r="P6" s="496"/>
      <c r="Q6" s="496"/>
      <c r="R6" s="497"/>
      <c r="T6" s="839"/>
      <c r="U6" s="852"/>
      <c r="V6" s="82"/>
      <c r="Y6" s="83"/>
      <c r="AD6" s="82"/>
      <c r="AG6" s="83"/>
      <c r="AL6" s="82"/>
      <c r="AO6" s="83"/>
      <c r="AP6" s="82"/>
      <c r="AS6" s="83"/>
      <c r="AW6" s="83"/>
      <c r="BA6" s="84"/>
    </row>
    <row r="7" spans="1:53" s="292" customFormat="1">
      <c r="A7" s="292">
        <v>1990</v>
      </c>
      <c r="B7" s="836">
        <v>33051</v>
      </c>
      <c r="C7" s="916" t="s">
        <v>1071</v>
      </c>
      <c r="D7" s="916"/>
      <c r="E7" s="292">
        <v>188</v>
      </c>
      <c r="F7" s="292" t="s">
        <v>338</v>
      </c>
      <c r="G7" s="539">
        <v>15</v>
      </c>
      <c r="H7" s="549">
        <v>8</v>
      </c>
      <c r="I7" s="549"/>
      <c r="J7" s="541">
        <v>23</v>
      </c>
      <c r="K7" s="537">
        <f>G7/J7*100</f>
        <v>65.217391304347828</v>
      </c>
      <c r="L7" s="537">
        <f>H7/J7*100</f>
        <v>34.782608695652172</v>
      </c>
      <c r="M7" s="537">
        <f>I7/J7*100</f>
        <v>0</v>
      </c>
      <c r="N7" s="540">
        <f>K7+L7+M7</f>
        <v>100</v>
      </c>
      <c r="O7" s="536">
        <v>36.700000000000003</v>
      </c>
      <c r="P7" s="537">
        <v>20.7</v>
      </c>
      <c r="Q7" s="537"/>
      <c r="R7" s="538">
        <f t="shared" ref="R7:R60" si="0">SUM(O7:Q7)</f>
        <v>57.400000000000006</v>
      </c>
      <c r="S7" s="292">
        <v>3</v>
      </c>
      <c r="T7" s="838">
        <v>33033</v>
      </c>
      <c r="U7" s="836">
        <v>33051</v>
      </c>
      <c r="V7" s="299" t="s">
        <v>1056</v>
      </c>
      <c r="W7" s="292" t="s">
        <v>22</v>
      </c>
      <c r="X7" s="292" t="s">
        <v>11</v>
      </c>
      <c r="Y7" s="300">
        <v>32</v>
      </c>
      <c r="Z7" s="292" t="s">
        <v>887</v>
      </c>
      <c r="AA7" s="292" t="s">
        <v>17</v>
      </c>
      <c r="AB7" s="292" t="s">
        <v>18</v>
      </c>
      <c r="AC7" s="292">
        <v>20.7</v>
      </c>
      <c r="AD7" s="299" t="s">
        <v>1057</v>
      </c>
      <c r="AE7" s="292" t="s">
        <v>88</v>
      </c>
      <c r="AF7" s="292" t="s">
        <v>11</v>
      </c>
      <c r="AG7" s="300">
        <v>4.7</v>
      </c>
      <c r="AL7" s="299"/>
      <c r="AO7" s="300"/>
      <c r="AP7" s="299"/>
      <c r="AS7" s="300"/>
      <c r="AW7" s="300"/>
      <c r="BA7" s="301"/>
    </row>
    <row r="8" spans="1:53" s="292" customFormat="1">
      <c r="A8" s="292">
        <v>1991</v>
      </c>
      <c r="B8" s="836"/>
      <c r="C8" s="916" t="s">
        <v>1071</v>
      </c>
      <c r="D8" s="916"/>
      <c r="E8" s="292">
        <v>112</v>
      </c>
      <c r="G8" s="539">
        <v>15</v>
      </c>
      <c r="H8" s="549">
        <v>8</v>
      </c>
      <c r="I8" s="549"/>
      <c r="J8" s="541">
        <v>23</v>
      </c>
      <c r="K8" s="537">
        <f>G8/J8*100</f>
        <v>65.217391304347828</v>
      </c>
      <c r="L8" s="537">
        <f>H8/J8*100</f>
        <v>34.782608695652172</v>
      </c>
      <c r="M8" s="537">
        <f>I8/J8*100</f>
        <v>0</v>
      </c>
      <c r="N8" s="540">
        <f>K8+L8+M8</f>
        <v>100</v>
      </c>
      <c r="O8" s="536">
        <v>36.700000000000003</v>
      </c>
      <c r="P8" s="537">
        <v>20.7</v>
      </c>
      <c r="Q8" s="537"/>
      <c r="R8" s="538">
        <f t="shared" si="0"/>
        <v>57.400000000000006</v>
      </c>
      <c r="S8" s="292">
        <v>3</v>
      </c>
      <c r="T8" s="838"/>
      <c r="U8" s="836"/>
      <c r="V8" s="299" t="s">
        <v>1056</v>
      </c>
      <c r="W8" s="292" t="s">
        <v>22</v>
      </c>
      <c r="X8" s="292" t="s">
        <v>11</v>
      </c>
      <c r="Y8" s="300">
        <v>32</v>
      </c>
      <c r="Z8" s="292" t="s">
        <v>887</v>
      </c>
      <c r="AA8" s="292" t="s">
        <v>17</v>
      </c>
      <c r="AB8" s="292" t="s">
        <v>18</v>
      </c>
      <c r="AC8" s="292">
        <v>20.7</v>
      </c>
      <c r="AD8" s="299" t="s">
        <v>1057</v>
      </c>
      <c r="AE8" s="292" t="s">
        <v>88</v>
      </c>
      <c r="AF8" s="292" t="s">
        <v>11</v>
      </c>
      <c r="AG8" s="300">
        <v>4.7</v>
      </c>
      <c r="AL8" s="299"/>
      <c r="AO8" s="300"/>
      <c r="AP8" s="299"/>
      <c r="AS8" s="300"/>
      <c r="AW8" s="300"/>
      <c r="BA8" s="301"/>
    </row>
    <row r="9" spans="1:53" s="185" customFormat="1">
      <c r="A9" s="185">
        <v>1991</v>
      </c>
      <c r="B9" s="852">
        <v>33351</v>
      </c>
      <c r="C9" s="917" t="s">
        <v>1072</v>
      </c>
      <c r="D9" s="917"/>
      <c r="E9" s="185">
        <v>253</v>
      </c>
      <c r="F9" s="185">
        <v>5</v>
      </c>
      <c r="G9" s="498">
        <v>14</v>
      </c>
      <c r="H9" s="548">
        <v>9</v>
      </c>
      <c r="I9" s="548"/>
      <c r="J9" s="500">
        <v>23</v>
      </c>
      <c r="K9" s="496">
        <f>G9/J9*100</f>
        <v>60.869565217391312</v>
      </c>
      <c r="L9" s="496">
        <f>H9/J9*100</f>
        <v>39.130434782608695</v>
      </c>
      <c r="M9" s="496">
        <f>I9/J9*100</f>
        <v>0</v>
      </c>
      <c r="N9" s="499">
        <f>K9+L9+M9</f>
        <v>100</v>
      </c>
      <c r="O9" s="495">
        <v>36.700000000000003</v>
      </c>
      <c r="P9" s="496">
        <v>20.7</v>
      </c>
      <c r="Q9" s="496"/>
      <c r="R9" s="497">
        <f t="shared" si="0"/>
        <v>57.400000000000006</v>
      </c>
      <c r="S9" s="185">
        <v>3</v>
      </c>
      <c r="T9" s="839"/>
      <c r="U9" s="852">
        <v>33351</v>
      </c>
      <c r="V9" s="82" t="s">
        <v>1056</v>
      </c>
      <c r="W9" s="185" t="s">
        <v>22</v>
      </c>
      <c r="X9" s="185" t="s">
        <v>11</v>
      </c>
      <c r="Y9" s="83">
        <v>32</v>
      </c>
      <c r="Z9" s="185" t="s">
        <v>887</v>
      </c>
      <c r="AA9" s="185" t="s">
        <v>17</v>
      </c>
      <c r="AB9" s="185" t="s">
        <v>18</v>
      </c>
      <c r="AC9" s="185">
        <v>20.7</v>
      </c>
      <c r="AD9" s="82" t="s">
        <v>1057</v>
      </c>
      <c r="AE9" s="185" t="s">
        <v>88</v>
      </c>
      <c r="AF9" s="185" t="s">
        <v>11</v>
      </c>
      <c r="AG9" s="83">
        <v>4.7</v>
      </c>
      <c r="AL9" s="82"/>
      <c r="AO9" s="83"/>
      <c r="AP9" s="82"/>
      <c r="AS9" s="83"/>
      <c r="AW9" s="83"/>
      <c r="BA9" s="84"/>
    </row>
    <row r="10" spans="1:53" s="185" customFormat="1">
      <c r="A10" s="185">
        <v>1992</v>
      </c>
      <c r="B10" s="852"/>
      <c r="C10" s="917" t="s">
        <v>1072</v>
      </c>
      <c r="D10" s="917"/>
      <c r="E10" s="185">
        <v>175</v>
      </c>
      <c r="G10" s="498">
        <v>14</v>
      </c>
      <c r="H10" s="548">
        <v>9</v>
      </c>
      <c r="I10" s="548"/>
      <c r="J10" s="500">
        <v>23</v>
      </c>
      <c r="K10" s="496">
        <f>G10/J10*100</f>
        <v>60.869565217391312</v>
      </c>
      <c r="L10" s="496">
        <f>H10/J10*100</f>
        <v>39.130434782608695</v>
      </c>
      <c r="M10" s="496">
        <f>I10/J10*100</f>
        <v>0</v>
      </c>
      <c r="N10" s="499">
        <f>K10+L10+M10</f>
        <v>100</v>
      </c>
      <c r="O10" s="495">
        <v>36.700000000000003</v>
      </c>
      <c r="P10" s="496">
        <v>20.7</v>
      </c>
      <c r="Q10" s="496"/>
      <c r="R10" s="497">
        <f t="shared" si="0"/>
        <v>57.400000000000006</v>
      </c>
      <c r="S10" s="185">
        <v>3</v>
      </c>
      <c r="T10" s="839"/>
      <c r="U10" s="852"/>
      <c r="V10" s="82" t="s">
        <v>1056</v>
      </c>
      <c r="W10" s="185" t="s">
        <v>22</v>
      </c>
      <c r="X10" s="185" t="s">
        <v>11</v>
      </c>
      <c r="Y10" s="83">
        <v>32</v>
      </c>
      <c r="Z10" s="185" t="s">
        <v>887</v>
      </c>
      <c r="AA10" s="185" t="s">
        <v>17</v>
      </c>
      <c r="AB10" s="185" t="s">
        <v>18</v>
      </c>
      <c r="AC10" s="185">
        <v>20.7</v>
      </c>
      <c r="AD10" s="82" t="s">
        <v>1057</v>
      </c>
      <c r="AE10" s="185" t="s">
        <v>88</v>
      </c>
      <c r="AF10" s="185" t="s">
        <v>11</v>
      </c>
      <c r="AG10" s="83">
        <v>4.7</v>
      </c>
      <c r="AL10" s="82"/>
      <c r="AO10" s="83"/>
      <c r="AP10" s="82"/>
      <c r="AS10" s="83"/>
      <c r="AW10" s="83"/>
      <c r="BA10" s="84"/>
    </row>
    <row r="11" spans="1:53" s="292" customFormat="1">
      <c r="A11" s="292">
        <v>1992</v>
      </c>
      <c r="B11" s="863">
        <v>33779</v>
      </c>
      <c r="C11" s="916" t="s">
        <v>883</v>
      </c>
      <c r="D11" s="916"/>
      <c r="E11" s="292">
        <v>191</v>
      </c>
      <c r="F11" s="292">
        <v>1</v>
      </c>
      <c r="G11" s="539">
        <v>17</v>
      </c>
      <c r="H11" s="549"/>
      <c r="I11" s="549"/>
      <c r="J11" s="541">
        <v>17</v>
      </c>
      <c r="K11" s="537">
        <f t="shared" ref="K11:K54" si="1">G11/J11*100</f>
        <v>100</v>
      </c>
      <c r="L11" s="537">
        <f>H11/J11*100</f>
        <v>0</v>
      </c>
      <c r="M11" s="537">
        <f t="shared" ref="M11:M54" si="2">I11/J11*100</f>
        <v>0</v>
      </c>
      <c r="N11" s="540">
        <f t="shared" ref="N11:N60" si="3">SUM(K11:M11)</f>
        <v>100</v>
      </c>
      <c r="O11" s="536">
        <v>59.3</v>
      </c>
      <c r="P11" s="537"/>
      <c r="Q11" s="537"/>
      <c r="R11" s="538">
        <f t="shared" si="0"/>
        <v>59.3</v>
      </c>
      <c r="S11" s="292">
        <v>2</v>
      </c>
      <c r="T11" s="838">
        <v>33761</v>
      </c>
      <c r="U11" s="863">
        <v>33779</v>
      </c>
      <c r="V11" s="299" t="s">
        <v>881</v>
      </c>
      <c r="W11" s="292" t="s">
        <v>297</v>
      </c>
      <c r="X11" s="292" t="s">
        <v>11</v>
      </c>
      <c r="Y11" s="300">
        <v>49.3</v>
      </c>
      <c r="Z11" s="292" t="s">
        <v>882</v>
      </c>
      <c r="AA11" s="292" t="s">
        <v>27</v>
      </c>
      <c r="AB11" s="292" t="s">
        <v>11</v>
      </c>
      <c r="AC11" s="292">
        <v>10</v>
      </c>
      <c r="AD11" s="299"/>
      <c r="AG11" s="300"/>
      <c r="AL11" s="299"/>
      <c r="AO11" s="300"/>
      <c r="AP11" s="299"/>
      <c r="AS11" s="300"/>
      <c r="AW11" s="300"/>
      <c r="BA11" s="301"/>
    </row>
    <row r="12" spans="1:53" s="292" customFormat="1">
      <c r="A12" s="292">
        <v>1993</v>
      </c>
      <c r="B12" s="836"/>
      <c r="C12" s="916" t="s">
        <v>883</v>
      </c>
      <c r="D12" s="916"/>
      <c r="E12" s="292">
        <v>11</v>
      </c>
      <c r="G12" s="539">
        <v>17</v>
      </c>
      <c r="H12" s="549"/>
      <c r="I12" s="549"/>
      <c r="J12" s="541">
        <v>17</v>
      </c>
      <c r="K12" s="537">
        <f t="shared" si="1"/>
        <v>100</v>
      </c>
      <c r="L12" s="537">
        <f t="shared" ref="L12:L54" si="4">H12/J12*100</f>
        <v>0</v>
      </c>
      <c r="M12" s="537">
        <f t="shared" si="2"/>
        <v>0</v>
      </c>
      <c r="N12" s="540">
        <f t="shared" si="3"/>
        <v>100</v>
      </c>
      <c r="O12" s="536">
        <v>59.3</v>
      </c>
      <c r="P12" s="537"/>
      <c r="Q12" s="537"/>
      <c r="R12" s="538">
        <f t="shared" si="0"/>
        <v>59.3</v>
      </c>
      <c r="S12" s="292">
        <v>2</v>
      </c>
      <c r="T12" s="838"/>
      <c r="U12" s="836"/>
      <c r="V12" s="299" t="s">
        <v>881</v>
      </c>
      <c r="W12" s="292" t="s">
        <v>297</v>
      </c>
      <c r="X12" s="292" t="s">
        <v>11</v>
      </c>
      <c r="Y12" s="300">
        <v>49.3</v>
      </c>
      <c r="Z12" s="292" t="s">
        <v>882</v>
      </c>
      <c r="AA12" s="292" t="s">
        <v>27</v>
      </c>
      <c r="AB12" s="292" t="s">
        <v>11</v>
      </c>
      <c r="AC12" s="292">
        <v>10</v>
      </c>
      <c r="AD12" s="299"/>
      <c r="AG12" s="300"/>
      <c r="AL12" s="299"/>
      <c r="AO12" s="300"/>
      <c r="AP12" s="299"/>
      <c r="AS12" s="300"/>
      <c r="AW12" s="300"/>
      <c r="BA12" s="301"/>
    </row>
    <row r="13" spans="1:53" s="292" customFormat="1">
      <c r="A13" s="292">
        <v>1993</v>
      </c>
      <c r="B13" s="862">
        <v>33981</v>
      </c>
      <c r="C13" s="916" t="s">
        <v>883</v>
      </c>
      <c r="D13" s="916"/>
      <c r="E13" s="292">
        <v>66</v>
      </c>
      <c r="F13" s="381">
        <v>0</v>
      </c>
      <c r="G13" s="539">
        <v>19</v>
      </c>
      <c r="H13" s="549"/>
      <c r="I13" s="549"/>
      <c r="J13" s="541">
        <v>19</v>
      </c>
      <c r="K13" s="537">
        <f t="shared" si="1"/>
        <v>100</v>
      </c>
      <c r="L13" s="537">
        <f t="shared" si="4"/>
        <v>0</v>
      </c>
      <c r="M13" s="537">
        <f t="shared" si="2"/>
        <v>0</v>
      </c>
      <c r="N13" s="540">
        <f t="shared" si="3"/>
        <v>100</v>
      </c>
      <c r="O13" s="536">
        <v>59.3</v>
      </c>
      <c r="P13" s="537"/>
      <c r="Q13" s="537"/>
      <c r="R13" s="538">
        <f t="shared" si="0"/>
        <v>59.3</v>
      </c>
      <c r="S13" s="292">
        <v>2</v>
      </c>
      <c r="T13" s="838"/>
      <c r="U13" s="863"/>
      <c r="V13" s="299" t="s">
        <v>881</v>
      </c>
      <c r="W13" s="292" t="s">
        <v>297</v>
      </c>
      <c r="X13" s="292" t="s">
        <v>11</v>
      </c>
      <c r="Y13" s="300">
        <v>49.3</v>
      </c>
      <c r="Z13" s="292" t="s">
        <v>882</v>
      </c>
      <c r="AA13" s="292" t="s">
        <v>27</v>
      </c>
      <c r="AB13" s="292" t="s">
        <v>11</v>
      </c>
      <c r="AC13" s="292">
        <v>10</v>
      </c>
      <c r="AD13" s="299"/>
      <c r="AG13" s="300"/>
      <c r="AL13" s="299"/>
      <c r="AO13" s="300"/>
      <c r="AP13" s="299"/>
      <c r="AS13" s="300"/>
      <c r="AW13" s="300"/>
      <c r="BA13" s="301"/>
    </row>
    <row r="14" spans="1:53" s="185" customFormat="1">
      <c r="A14" s="185">
        <v>1993</v>
      </c>
      <c r="B14" s="830">
        <v>34047</v>
      </c>
      <c r="C14" s="917" t="s">
        <v>884</v>
      </c>
      <c r="D14" s="917"/>
      <c r="E14" s="185">
        <v>243</v>
      </c>
      <c r="F14" s="185">
        <v>4</v>
      </c>
      <c r="G14" s="498">
        <v>16</v>
      </c>
      <c r="H14" s="548"/>
      <c r="I14" s="548"/>
      <c r="J14" s="500">
        <v>16</v>
      </c>
      <c r="K14" s="496">
        <f t="shared" si="1"/>
        <v>100</v>
      </c>
      <c r="L14" s="496">
        <f t="shared" si="4"/>
        <v>0</v>
      </c>
      <c r="M14" s="496">
        <f t="shared" si="2"/>
        <v>0</v>
      </c>
      <c r="N14" s="499">
        <f t="shared" si="3"/>
        <v>100</v>
      </c>
      <c r="O14" s="495">
        <v>49.3</v>
      </c>
      <c r="P14" s="496"/>
      <c r="Q14" s="496"/>
      <c r="R14" s="497">
        <f t="shared" si="0"/>
        <v>49.3</v>
      </c>
      <c r="S14" s="185">
        <v>4</v>
      </c>
      <c r="T14" s="839"/>
      <c r="U14" s="830">
        <v>34047</v>
      </c>
      <c r="V14" s="82" t="s">
        <v>881</v>
      </c>
      <c r="W14" s="185" t="s">
        <v>297</v>
      </c>
      <c r="X14" s="185" t="s">
        <v>11</v>
      </c>
      <c r="Y14" s="83">
        <v>49.3</v>
      </c>
      <c r="AD14" s="82"/>
      <c r="AG14" s="83"/>
      <c r="AL14" s="82"/>
      <c r="AO14" s="83"/>
      <c r="AP14" s="82"/>
      <c r="AS14" s="83"/>
      <c r="AW14" s="83"/>
      <c r="BA14" s="84"/>
    </row>
    <row r="15" spans="1:53" s="292" customFormat="1">
      <c r="A15" s="292">
        <v>1993</v>
      </c>
      <c r="B15" s="863">
        <v>34290</v>
      </c>
      <c r="C15" s="916" t="s">
        <v>885</v>
      </c>
      <c r="D15" s="916"/>
      <c r="E15" s="292">
        <f xml:space="preserve"> 365-E14-E13-E12</f>
        <v>45</v>
      </c>
      <c r="F15" s="292">
        <v>7</v>
      </c>
      <c r="G15" s="539">
        <v>19</v>
      </c>
      <c r="H15" s="549"/>
      <c r="I15" s="549"/>
      <c r="J15" s="541">
        <v>19</v>
      </c>
      <c r="K15" s="537">
        <f t="shared" si="1"/>
        <v>100</v>
      </c>
      <c r="L15" s="537">
        <f t="shared" si="4"/>
        <v>0</v>
      </c>
      <c r="M15" s="537">
        <f t="shared" si="2"/>
        <v>0</v>
      </c>
      <c r="N15" s="540">
        <f t="shared" si="3"/>
        <v>100</v>
      </c>
      <c r="O15" s="536">
        <v>59.3</v>
      </c>
      <c r="P15" s="537"/>
      <c r="Q15" s="537"/>
      <c r="R15" s="538">
        <f t="shared" si="0"/>
        <v>59.3</v>
      </c>
      <c r="S15" s="292">
        <v>2</v>
      </c>
      <c r="T15" s="838"/>
      <c r="U15" s="863">
        <v>34290</v>
      </c>
      <c r="V15" s="299" t="s">
        <v>881</v>
      </c>
      <c r="W15" s="292" t="s">
        <v>297</v>
      </c>
      <c r="X15" s="292" t="s">
        <v>11</v>
      </c>
      <c r="Y15" s="300">
        <v>49.3</v>
      </c>
      <c r="Z15" s="292" t="s">
        <v>882</v>
      </c>
      <c r="AA15" s="292" t="s">
        <v>27</v>
      </c>
      <c r="AB15" s="292" t="s">
        <v>11</v>
      </c>
      <c r="AC15" s="292">
        <v>10</v>
      </c>
      <c r="AD15" s="299"/>
      <c r="AG15" s="300"/>
      <c r="AL15" s="299"/>
      <c r="AO15" s="300"/>
      <c r="AP15" s="299"/>
      <c r="AS15" s="300"/>
      <c r="AW15" s="300"/>
      <c r="BA15" s="301"/>
    </row>
    <row r="16" spans="1:53" s="292" customFormat="1">
      <c r="A16" s="292">
        <v>1994</v>
      </c>
      <c r="B16" s="863"/>
      <c r="C16" s="916" t="s">
        <v>885</v>
      </c>
      <c r="D16" s="916"/>
      <c r="E16" s="292">
        <v>74</v>
      </c>
      <c r="G16" s="539">
        <v>19</v>
      </c>
      <c r="H16" s="549"/>
      <c r="I16" s="549"/>
      <c r="J16" s="541">
        <v>19</v>
      </c>
      <c r="K16" s="537">
        <f t="shared" si="1"/>
        <v>100</v>
      </c>
      <c r="L16" s="537">
        <f t="shared" si="4"/>
        <v>0</v>
      </c>
      <c r="M16" s="537">
        <f t="shared" si="2"/>
        <v>0</v>
      </c>
      <c r="N16" s="540">
        <f t="shared" si="3"/>
        <v>100</v>
      </c>
      <c r="O16" s="536">
        <v>59.3</v>
      </c>
      <c r="P16" s="537"/>
      <c r="Q16" s="537"/>
      <c r="R16" s="538">
        <f t="shared" si="0"/>
        <v>59.3</v>
      </c>
      <c r="S16" s="292">
        <v>2</v>
      </c>
      <c r="T16" s="838"/>
      <c r="U16" s="863"/>
      <c r="V16" s="299" t="s">
        <v>881</v>
      </c>
      <c r="W16" s="292" t="s">
        <v>297</v>
      </c>
      <c r="X16" s="292" t="s">
        <v>11</v>
      </c>
      <c r="Y16" s="300">
        <v>49.3</v>
      </c>
      <c r="Z16" s="292" t="s">
        <v>882</v>
      </c>
      <c r="AA16" s="292" t="s">
        <v>27</v>
      </c>
      <c r="AB16" s="292" t="s">
        <v>11</v>
      </c>
      <c r="AC16" s="292">
        <v>10</v>
      </c>
      <c r="AD16" s="299"/>
      <c r="AG16" s="300"/>
      <c r="AL16" s="299"/>
      <c r="AO16" s="300"/>
      <c r="AP16" s="299"/>
      <c r="AS16" s="300"/>
      <c r="AW16" s="300"/>
      <c r="BA16" s="301"/>
    </row>
    <row r="17" spans="1:53" s="185" customFormat="1">
      <c r="A17" s="185">
        <v>1994</v>
      </c>
      <c r="B17" s="830">
        <v>34409</v>
      </c>
      <c r="C17" s="917" t="s">
        <v>1207</v>
      </c>
      <c r="D17" s="917"/>
      <c r="E17" s="185">
        <v>271</v>
      </c>
      <c r="F17" s="185">
        <v>5</v>
      </c>
      <c r="G17" s="498">
        <v>6</v>
      </c>
      <c r="H17" s="548">
        <v>5</v>
      </c>
      <c r="I17" s="548">
        <v>7</v>
      </c>
      <c r="J17" s="500">
        <v>18</v>
      </c>
      <c r="K17" s="496">
        <f t="shared" si="1"/>
        <v>33.333333333333329</v>
      </c>
      <c r="L17" s="496">
        <f t="shared" si="4"/>
        <v>27.777777777777779</v>
      </c>
      <c r="M17" s="496">
        <f t="shared" si="2"/>
        <v>38.888888888888893</v>
      </c>
      <c r="N17" s="499">
        <f t="shared" si="3"/>
        <v>100</v>
      </c>
      <c r="O17" s="495">
        <v>13.3</v>
      </c>
      <c r="P17" s="496">
        <v>12</v>
      </c>
      <c r="Q17" s="496">
        <v>19.3</v>
      </c>
      <c r="R17" s="497">
        <f t="shared" si="0"/>
        <v>44.6</v>
      </c>
      <c r="S17" s="185">
        <v>5</v>
      </c>
      <c r="T17" s="839"/>
      <c r="U17" s="830">
        <v>34409</v>
      </c>
      <c r="V17" s="82" t="s">
        <v>886</v>
      </c>
      <c r="W17" s="185" t="s">
        <v>895</v>
      </c>
      <c r="X17" s="185" t="s">
        <v>12</v>
      </c>
      <c r="Y17" s="83">
        <v>19.3</v>
      </c>
      <c r="Z17" s="185" t="s">
        <v>887</v>
      </c>
      <c r="AA17" s="185" t="s">
        <v>17</v>
      </c>
      <c r="AB17" s="185" t="s">
        <v>18</v>
      </c>
      <c r="AC17" s="185">
        <v>12</v>
      </c>
      <c r="AD17" s="82" t="s">
        <v>1208</v>
      </c>
      <c r="AE17" s="185" t="s">
        <v>330</v>
      </c>
      <c r="AF17" s="185" t="s">
        <v>11</v>
      </c>
      <c r="AG17" s="83">
        <v>5.3</v>
      </c>
      <c r="AH17" s="185" t="s">
        <v>1058</v>
      </c>
      <c r="AI17" s="185" t="s">
        <v>107</v>
      </c>
      <c r="AJ17" s="185" t="s">
        <v>11</v>
      </c>
      <c r="AK17" s="185">
        <v>4.7</v>
      </c>
      <c r="AL17" s="82" t="s">
        <v>1209</v>
      </c>
      <c r="AM17" s="185" t="s">
        <v>330</v>
      </c>
      <c r="AN17" s="185" t="s">
        <v>11</v>
      </c>
      <c r="AO17" s="83">
        <v>3.3</v>
      </c>
      <c r="AP17" s="82"/>
      <c r="AS17" s="83"/>
      <c r="AW17" s="83"/>
      <c r="BA17" s="84"/>
    </row>
    <row r="18" spans="1:53" s="292" customFormat="1">
      <c r="A18" s="292">
        <v>1994</v>
      </c>
      <c r="B18" s="863">
        <v>34680</v>
      </c>
      <c r="C18" s="916" t="s">
        <v>1210</v>
      </c>
      <c r="D18" s="916"/>
      <c r="E18" s="292">
        <f>365-E17-E16</f>
        <v>20</v>
      </c>
      <c r="F18" s="292">
        <v>1</v>
      </c>
      <c r="G18" s="539">
        <v>14</v>
      </c>
      <c r="H18" s="549"/>
      <c r="I18" s="549">
        <v>4</v>
      </c>
      <c r="J18" s="541">
        <v>18</v>
      </c>
      <c r="K18" s="537">
        <f t="shared" si="1"/>
        <v>77.777777777777786</v>
      </c>
      <c r="L18" s="537">
        <f t="shared" si="4"/>
        <v>0</v>
      </c>
      <c r="M18" s="537">
        <f t="shared" si="2"/>
        <v>22.222222222222221</v>
      </c>
      <c r="N18" s="540">
        <f t="shared" si="3"/>
        <v>100</v>
      </c>
      <c r="O18" s="536">
        <v>46.5</v>
      </c>
      <c r="P18" s="537"/>
      <c r="Q18" s="537">
        <v>8.1</v>
      </c>
      <c r="R18" s="538">
        <f t="shared" si="0"/>
        <v>54.6</v>
      </c>
      <c r="S18" s="292">
        <v>2</v>
      </c>
      <c r="T18" s="838">
        <v>34608</v>
      </c>
      <c r="U18" s="863">
        <v>34680</v>
      </c>
      <c r="V18" s="299" t="s">
        <v>881</v>
      </c>
      <c r="W18" s="292" t="s">
        <v>297</v>
      </c>
      <c r="X18" s="292" t="s">
        <v>11</v>
      </c>
      <c r="Y18" s="300">
        <v>40.5</v>
      </c>
      <c r="Z18" s="292" t="s">
        <v>891</v>
      </c>
      <c r="AA18" s="292" t="s">
        <v>308</v>
      </c>
      <c r="AB18" s="292" t="s">
        <v>12</v>
      </c>
      <c r="AC18" s="292">
        <v>8.1</v>
      </c>
      <c r="AD18" s="299" t="s">
        <v>882</v>
      </c>
      <c r="AE18" s="292" t="s">
        <v>27</v>
      </c>
      <c r="AF18" s="292" t="s">
        <v>11</v>
      </c>
      <c r="AG18" s="300">
        <v>6</v>
      </c>
      <c r="AL18" s="299"/>
      <c r="AO18" s="300"/>
      <c r="AP18" s="299"/>
      <c r="AS18" s="300"/>
      <c r="AW18" s="300"/>
      <c r="BA18" s="301"/>
    </row>
    <row r="19" spans="1:53" s="292" customFormat="1">
      <c r="A19" s="292">
        <v>1995</v>
      </c>
      <c r="B19" s="863"/>
      <c r="C19" s="916" t="s">
        <v>1210</v>
      </c>
      <c r="D19" s="916"/>
      <c r="E19" s="292">
        <v>0</v>
      </c>
      <c r="G19" s="539">
        <v>14</v>
      </c>
      <c r="H19" s="549"/>
      <c r="I19" s="549">
        <v>4</v>
      </c>
      <c r="J19" s="541">
        <v>18</v>
      </c>
      <c r="K19" s="537">
        <f t="shared" si="1"/>
        <v>77.777777777777786</v>
      </c>
      <c r="L19" s="537">
        <f t="shared" si="4"/>
        <v>0</v>
      </c>
      <c r="M19" s="537">
        <f t="shared" si="2"/>
        <v>22.222222222222221</v>
      </c>
      <c r="N19" s="540">
        <f t="shared" si="3"/>
        <v>100</v>
      </c>
      <c r="O19" s="536">
        <v>46.5</v>
      </c>
      <c r="P19" s="537"/>
      <c r="Q19" s="537">
        <v>8.1</v>
      </c>
      <c r="R19" s="538">
        <f t="shared" si="0"/>
        <v>54.6</v>
      </c>
      <c r="S19" s="292">
        <v>2</v>
      </c>
      <c r="T19" s="838"/>
      <c r="U19" s="836"/>
      <c r="V19" s="299" t="s">
        <v>881</v>
      </c>
      <c r="W19" s="292" t="s">
        <v>297</v>
      </c>
      <c r="X19" s="292" t="s">
        <v>11</v>
      </c>
      <c r="Y19" s="300">
        <v>40.5</v>
      </c>
      <c r="Z19" s="292" t="s">
        <v>891</v>
      </c>
      <c r="AA19" s="292" t="s">
        <v>308</v>
      </c>
      <c r="AB19" s="292" t="s">
        <v>12</v>
      </c>
      <c r="AC19" s="292">
        <v>8.1</v>
      </c>
      <c r="AD19" s="299" t="s">
        <v>882</v>
      </c>
      <c r="AE19" s="292" t="s">
        <v>27</v>
      </c>
      <c r="AF19" s="292" t="s">
        <v>11</v>
      </c>
      <c r="AG19" s="300">
        <v>6</v>
      </c>
      <c r="AL19" s="299"/>
      <c r="AO19" s="300"/>
      <c r="AP19" s="299"/>
      <c r="AS19" s="300"/>
      <c r="AW19" s="300"/>
      <c r="BA19" s="301"/>
    </row>
    <row r="20" spans="1:53" s="292" customFormat="1">
      <c r="A20" s="292">
        <v>1995</v>
      </c>
      <c r="B20" s="863"/>
      <c r="C20" s="916" t="s">
        <v>1210</v>
      </c>
      <c r="D20" s="916"/>
      <c r="E20" s="292">
        <v>365</v>
      </c>
      <c r="G20" s="539">
        <v>14</v>
      </c>
      <c r="H20" s="549"/>
      <c r="I20" s="549">
        <v>4</v>
      </c>
      <c r="J20" s="541">
        <v>18</v>
      </c>
      <c r="K20" s="537">
        <f t="shared" si="1"/>
        <v>77.777777777777786</v>
      </c>
      <c r="L20" s="537">
        <f t="shared" si="4"/>
        <v>0</v>
      </c>
      <c r="M20" s="537">
        <f t="shared" si="2"/>
        <v>22.222222222222221</v>
      </c>
      <c r="N20" s="540">
        <f t="shared" si="3"/>
        <v>100</v>
      </c>
      <c r="O20" s="536">
        <v>46.5</v>
      </c>
      <c r="P20" s="537"/>
      <c r="Q20" s="537">
        <v>8.1</v>
      </c>
      <c r="R20" s="538">
        <f t="shared" si="0"/>
        <v>54.6</v>
      </c>
      <c r="S20" s="292">
        <v>2</v>
      </c>
      <c r="T20" s="838"/>
      <c r="U20" s="836"/>
      <c r="V20" s="299" t="s">
        <v>881</v>
      </c>
      <c r="W20" s="292" t="s">
        <v>297</v>
      </c>
      <c r="X20" s="292" t="s">
        <v>11</v>
      </c>
      <c r="Y20" s="300">
        <v>40.5</v>
      </c>
      <c r="Z20" s="292" t="s">
        <v>891</v>
      </c>
      <c r="AA20" s="292" t="s">
        <v>308</v>
      </c>
      <c r="AB20" s="292" t="s">
        <v>12</v>
      </c>
      <c r="AC20" s="292">
        <v>8.1</v>
      </c>
      <c r="AD20" s="299" t="s">
        <v>882</v>
      </c>
      <c r="AE20" s="292" t="s">
        <v>27</v>
      </c>
      <c r="AF20" s="292" t="s">
        <v>11</v>
      </c>
      <c r="AG20" s="300">
        <v>6</v>
      </c>
      <c r="AL20" s="299"/>
      <c r="AO20" s="300"/>
      <c r="AP20" s="299"/>
      <c r="AS20" s="300"/>
      <c r="AW20" s="300"/>
      <c r="BA20" s="301"/>
    </row>
    <row r="21" spans="1:53" s="292" customFormat="1">
      <c r="A21" s="292">
        <v>1996</v>
      </c>
      <c r="B21" s="863"/>
      <c r="C21" s="916" t="s">
        <v>1210</v>
      </c>
      <c r="D21" s="916"/>
      <c r="E21" s="292">
        <v>0</v>
      </c>
      <c r="G21" s="539">
        <v>14</v>
      </c>
      <c r="H21" s="549"/>
      <c r="I21" s="549">
        <v>4</v>
      </c>
      <c r="J21" s="541">
        <v>18</v>
      </c>
      <c r="K21" s="537">
        <f t="shared" si="1"/>
        <v>77.777777777777786</v>
      </c>
      <c r="L21" s="537">
        <f t="shared" si="4"/>
        <v>0</v>
      </c>
      <c r="M21" s="537">
        <f t="shared" si="2"/>
        <v>22.222222222222221</v>
      </c>
      <c r="N21" s="540">
        <f t="shared" si="3"/>
        <v>100</v>
      </c>
      <c r="O21" s="536">
        <v>46.5</v>
      </c>
      <c r="P21" s="537"/>
      <c r="Q21" s="537">
        <v>8.1</v>
      </c>
      <c r="R21" s="538">
        <f t="shared" si="0"/>
        <v>54.6</v>
      </c>
      <c r="S21" s="292">
        <v>2</v>
      </c>
      <c r="T21" s="838"/>
      <c r="U21" s="836"/>
      <c r="V21" s="299" t="s">
        <v>881</v>
      </c>
      <c r="W21" s="292" t="s">
        <v>297</v>
      </c>
      <c r="X21" s="292" t="s">
        <v>11</v>
      </c>
      <c r="Y21" s="300">
        <v>40.5</v>
      </c>
      <c r="Z21" s="292" t="s">
        <v>891</v>
      </c>
      <c r="AA21" s="292" t="s">
        <v>308</v>
      </c>
      <c r="AB21" s="292" t="s">
        <v>12</v>
      </c>
      <c r="AC21" s="292">
        <v>8.1</v>
      </c>
      <c r="AD21" s="299" t="s">
        <v>882</v>
      </c>
      <c r="AE21" s="292" t="s">
        <v>27</v>
      </c>
      <c r="AF21" s="292" t="s">
        <v>11</v>
      </c>
      <c r="AG21" s="300">
        <v>6</v>
      </c>
      <c r="AL21" s="299"/>
      <c r="AO21" s="300"/>
      <c r="AP21" s="299"/>
      <c r="AS21" s="300"/>
      <c r="AW21" s="300"/>
      <c r="BA21" s="301"/>
    </row>
    <row r="22" spans="1:53" s="292" customFormat="1">
      <c r="A22" s="292">
        <v>1996</v>
      </c>
      <c r="B22" s="863"/>
      <c r="C22" s="916" t="s">
        <v>1210</v>
      </c>
      <c r="D22" s="916"/>
      <c r="E22" s="292">
        <v>366</v>
      </c>
      <c r="G22" s="539">
        <v>14</v>
      </c>
      <c r="H22" s="549"/>
      <c r="I22" s="549">
        <v>4</v>
      </c>
      <c r="J22" s="541">
        <v>18</v>
      </c>
      <c r="K22" s="537">
        <f t="shared" si="1"/>
        <v>77.777777777777786</v>
      </c>
      <c r="L22" s="537">
        <f t="shared" si="4"/>
        <v>0</v>
      </c>
      <c r="M22" s="537">
        <f t="shared" si="2"/>
        <v>22.222222222222221</v>
      </c>
      <c r="N22" s="540">
        <f t="shared" si="3"/>
        <v>100</v>
      </c>
      <c r="O22" s="536">
        <v>46.5</v>
      </c>
      <c r="P22" s="537"/>
      <c r="Q22" s="537">
        <v>8.1</v>
      </c>
      <c r="R22" s="538">
        <f t="shared" si="0"/>
        <v>54.6</v>
      </c>
      <c r="S22" s="292">
        <v>2</v>
      </c>
      <c r="T22" s="838"/>
      <c r="U22" s="836"/>
      <c r="V22" s="299" t="s">
        <v>881</v>
      </c>
      <c r="W22" s="292" t="s">
        <v>297</v>
      </c>
      <c r="X22" s="292" t="s">
        <v>11</v>
      </c>
      <c r="Y22" s="300">
        <v>40.5</v>
      </c>
      <c r="Z22" s="292" t="s">
        <v>891</v>
      </c>
      <c r="AA22" s="292" t="s">
        <v>308</v>
      </c>
      <c r="AB22" s="292" t="s">
        <v>12</v>
      </c>
      <c r="AC22" s="292">
        <v>8.1</v>
      </c>
      <c r="AD22" s="299" t="s">
        <v>882</v>
      </c>
      <c r="AE22" s="292" t="s">
        <v>27</v>
      </c>
      <c r="AF22" s="292" t="s">
        <v>11</v>
      </c>
      <c r="AG22" s="300">
        <v>6</v>
      </c>
      <c r="AL22" s="299"/>
      <c r="AO22" s="300"/>
      <c r="AP22" s="299"/>
      <c r="AS22" s="300"/>
      <c r="AW22" s="300"/>
      <c r="BA22" s="301"/>
    </row>
    <row r="23" spans="1:53" s="292" customFormat="1">
      <c r="A23" s="292">
        <v>1997</v>
      </c>
      <c r="B23" s="863"/>
      <c r="C23" s="916" t="s">
        <v>1210</v>
      </c>
      <c r="D23" s="916"/>
      <c r="E23" s="292">
        <v>0</v>
      </c>
      <c r="G23" s="539">
        <v>14</v>
      </c>
      <c r="H23" s="549"/>
      <c r="I23" s="549">
        <v>4</v>
      </c>
      <c r="J23" s="541">
        <v>18</v>
      </c>
      <c r="K23" s="537">
        <f t="shared" si="1"/>
        <v>77.777777777777786</v>
      </c>
      <c r="L23" s="537">
        <f t="shared" si="4"/>
        <v>0</v>
      </c>
      <c r="M23" s="537">
        <f t="shared" si="2"/>
        <v>22.222222222222221</v>
      </c>
      <c r="N23" s="540">
        <f t="shared" si="3"/>
        <v>100</v>
      </c>
      <c r="O23" s="536">
        <v>46.5</v>
      </c>
      <c r="P23" s="537"/>
      <c r="Q23" s="537">
        <v>8.1</v>
      </c>
      <c r="R23" s="538">
        <f t="shared" si="0"/>
        <v>54.6</v>
      </c>
      <c r="S23" s="292">
        <v>2</v>
      </c>
      <c r="T23" s="838"/>
      <c r="U23" s="836"/>
      <c r="V23" s="299" t="s">
        <v>881</v>
      </c>
      <c r="W23" s="292" t="s">
        <v>297</v>
      </c>
      <c r="X23" s="292" t="s">
        <v>11</v>
      </c>
      <c r="Y23" s="300">
        <v>40.5</v>
      </c>
      <c r="Z23" s="292" t="s">
        <v>891</v>
      </c>
      <c r="AA23" s="292" t="s">
        <v>308</v>
      </c>
      <c r="AB23" s="292" t="s">
        <v>12</v>
      </c>
      <c r="AC23" s="292">
        <v>8.1</v>
      </c>
      <c r="AD23" s="299" t="s">
        <v>882</v>
      </c>
      <c r="AE23" s="292" t="s">
        <v>27</v>
      </c>
      <c r="AF23" s="292" t="s">
        <v>11</v>
      </c>
      <c r="AG23" s="300">
        <v>6</v>
      </c>
      <c r="AL23" s="299"/>
      <c r="AO23" s="300"/>
      <c r="AP23" s="299"/>
      <c r="AS23" s="300"/>
      <c r="AW23" s="300"/>
      <c r="BA23" s="301"/>
    </row>
    <row r="24" spans="1:53" s="292" customFormat="1">
      <c r="A24" s="292">
        <v>1997</v>
      </c>
      <c r="B24" s="863"/>
      <c r="C24" s="916" t="s">
        <v>1210</v>
      </c>
      <c r="D24" s="916"/>
      <c r="E24" s="292">
        <v>365</v>
      </c>
      <c r="G24" s="539">
        <v>14</v>
      </c>
      <c r="H24" s="549"/>
      <c r="I24" s="549">
        <v>4</v>
      </c>
      <c r="J24" s="541">
        <v>18</v>
      </c>
      <c r="K24" s="537">
        <f t="shared" si="1"/>
        <v>77.777777777777786</v>
      </c>
      <c r="L24" s="537">
        <f t="shared" si="4"/>
        <v>0</v>
      </c>
      <c r="M24" s="537">
        <f t="shared" si="2"/>
        <v>22.222222222222221</v>
      </c>
      <c r="N24" s="540">
        <f t="shared" si="3"/>
        <v>100</v>
      </c>
      <c r="O24" s="536">
        <v>46.5</v>
      </c>
      <c r="P24" s="537"/>
      <c r="Q24" s="537">
        <v>8.1</v>
      </c>
      <c r="R24" s="538">
        <f t="shared" si="0"/>
        <v>54.6</v>
      </c>
      <c r="S24" s="292">
        <v>2</v>
      </c>
      <c r="T24" s="838"/>
      <c r="U24" s="836"/>
      <c r="V24" s="299" t="s">
        <v>881</v>
      </c>
      <c r="W24" s="292" t="s">
        <v>297</v>
      </c>
      <c r="X24" s="292" t="s">
        <v>11</v>
      </c>
      <c r="Y24" s="300">
        <v>40.5</v>
      </c>
      <c r="Z24" s="292" t="s">
        <v>891</v>
      </c>
      <c r="AA24" s="292" t="s">
        <v>308</v>
      </c>
      <c r="AB24" s="292" t="s">
        <v>12</v>
      </c>
      <c r="AC24" s="292">
        <v>8.1</v>
      </c>
      <c r="AD24" s="299" t="s">
        <v>882</v>
      </c>
      <c r="AE24" s="292" t="s">
        <v>27</v>
      </c>
      <c r="AF24" s="292" t="s">
        <v>11</v>
      </c>
      <c r="AG24" s="300">
        <v>6</v>
      </c>
      <c r="AL24" s="299"/>
      <c r="AO24" s="300"/>
      <c r="AP24" s="299"/>
      <c r="AS24" s="300"/>
      <c r="AW24" s="300"/>
      <c r="BA24" s="301"/>
    </row>
    <row r="25" spans="1:53" s="292" customFormat="1">
      <c r="A25" s="292">
        <v>1998</v>
      </c>
      <c r="B25" s="863"/>
      <c r="C25" s="916" t="s">
        <v>1210</v>
      </c>
      <c r="D25" s="916"/>
      <c r="E25" s="292">
        <v>57</v>
      </c>
      <c r="G25" s="539">
        <v>14</v>
      </c>
      <c r="H25" s="549"/>
      <c r="I25" s="549">
        <v>4</v>
      </c>
      <c r="J25" s="541">
        <v>18</v>
      </c>
      <c r="K25" s="537">
        <f t="shared" si="1"/>
        <v>77.777777777777786</v>
      </c>
      <c r="L25" s="537">
        <f t="shared" si="4"/>
        <v>0</v>
      </c>
      <c r="M25" s="537">
        <f t="shared" si="2"/>
        <v>22.222222222222221</v>
      </c>
      <c r="N25" s="540">
        <f t="shared" si="3"/>
        <v>100</v>
      </c>
      <c r="O25" s="536">
        <v>46.5</v>
      </c>
      <c r="P25" s="537"/>
      <c r="Q25" s="537">
        <v>8.1</v>
      </c>
      <c r="R25" s="538">
        <f t="shared" si="0"/>
        <v>54.6</v>
      </c>
      <c r="S25" s="292">
        <v>2</v>
      </c>
      <c r="T25" s="838"/>
      <c r="U25" s="836"/>
      <c r="V25" s="299" t="s">
        <v>881</v>
      </c>
      <c r="W25" s="292" t="s">
        <v>297</v>
      </c>
      <c r="X25" s="292" t="s">
        <v>11</v>
      </c>
      <c r="Y25" s="300">
        <v>40.5</v>
      </c>
      <c r="Z25" s="292" t="s">
        <v>891</v>
      </c>
      <c r="AA25" s="292" t="s">
        <v>308</v>
      </c>
      <c r="AB25" s="292" t="s">
        <v>12</v>
      </c>
      <c r="AC25" s="292">
        <v>8.1</v>
      </c>
      <c r="AD25" s="299" t="s">
        <v>882</v>
      </c>
      <c r="AE25" s="292" t="s">
        <v>27</v>
      </c>
      <c r="AF25" s="292" t="s">
        <v>11</v>
      </c>
      <c r="AG25" s="300">
        <v>6</v>
      </c>
      <c r="AL25" s="299"/>
      <c r="AO25" s="300"/>
      <c r="AP25" s="299"/>
      <c r="AS25" s="300"/>
      <c r="AW25" s="300"/>
      <c r="BA25" s="301"/>
    </row>
    <row r="26" spans="1:53" s="292" customFormat="1">
      <c r="A26" s="292">
        <v>1998</v>
      </c>
      <c r="B26" s="862">
        <v>35853</v>
      </c>
      <c r="C26" s="916" t="s">
        <v>1210</v>
      </c>
      <c r="D26" s="916"/>
      <c r="E26" s="292">
        <v>221</v>
      </c>
      <c r="F26" s="381">
        <v>0</v>
      </c>
      <c r="G26" s="539">
        <v>13</v>
      </c>
      <c r="H26" s="549"/>
      <c r="I26" s="549">
        <v>4</v>
      </c>
      <c r="J26" s="541">
        <v>18</v>
      </c>
      <c r="K26" s="537">
        <f>G26/J26*100</f>
        <v>72.222222222222214</v>
      </c>
      <c r="L26" s="537">
        <f>H26/J26*100</f>
        <v>0</v>
      </c>
      <c r="M26" s="537">
        <f>I26/J26*100</f>
        <v>22.222222222222221</v>
      </c>
      <c r="N26" s="540">
        <f>SUM(K26:M26)</f>
        <v>94.444444444444429</v>
      </c>
      <c r="O26" s="536">
        <v>46.5</v>
      </c>
      <c r="P26" s="537"/>
      <c r="Q26" s="537">
        <v>8.1</v>
      </c>
      <c r="R26" s="538">
        <f>SUM(O26:Q26)</f>
        <v>54.6</v>
      </c>
      <c r="S26" s="292">
        <v>2</v>
      </c>
      <c r="T26" s="838"/>
      <c r="U26" s="836"/>
      <c r="V26" s="299" t="s">
        <v>881</v>
      </c>
      <c r="W26" s="292" t="s">
        <v>297</v>
      </c>
      <c r="X26" s="292" t="s">
        <v>11</v>
      </c>
      <c r="Y26" s="300">
        <v>40.5</v>
      </c>
      <c r="Z26" s="292" t="s">
        <v>891</v>
      </c>
      <c r="AA26" s="292" t="s">
        <v>308</v>
      </c>
      <c r="AB26" s="292" t="s">
        <v>12</v>
      </c>
      <c r="AC26" s="292">
        <v>8.1</v>
      </c>
      <c r="AD26" s="299" t="s">
        <v>882</v>
      </c>
      <c r="AE26" s="292" t="s">
        <v>27</v>
      </c>
      <c r="AF26" s="292" t="s">
        <v>11</v>
      </c>
      <c r="AG26" s="300">
        <v>6</v>
      </c>
      <c r="AL26" s="299"/>
      <c r="AO26" s="300"/>
      <c r="AP26" s="299"/>
      <c r="AS26" s="300"/>
      <c r="AW26" s="300"/>
      <c r="BA26" s="301"/>
    </row>
    <row r="27" spans="1:53" s="292" customFormat="1">
      <c r="A27" s="292">
        <v>1998</v>
      </c>
      <c r="B27" s="862">
        <v>36074</v>
      </c>
      <c r="C27" s="916" t="s">
        <v>1210</v>
      </c>
      <c r="D27" s="916"/>
      <c r="E27" s="292">
        <v>55</v>
      </c>
      <c r="F27" s="381">
        <v>0</v>
      </c>
      <c r="G27" s="539">
        <v>12</v>
      </c>
      <c r="H27" s="549"/>
      <c r="I27" s="549">
        <v>5</v>
      </c>
      <c r="J27" s="541">
        <v>18</v>
      </c>
      <c r="K27" s="537">
        <f t="shared" si="1"/>
        <v>66.666666666666657</v>
      </c>
      <c r="L27" s="537">
        <f t="shared" si="4"/>
        <v>0</v>
      </c>
      <c r="M27" s="537">
        <f t="shared" si="2"/>
        <v>27.777777777777779</v>
      </c>
      <c r="N27" s="540">
        <f t="shared" si="3"/>
        <v>94.444444444444429</v>
      </c>
      <c r="O27" s="536">
        <v>46.5</v>
      </c>
      <c r="P27" s="537"/>
      <c r="Q27" s="537">
        <v>8.1</v>
      </c>
      <c r="R27" s="538">
        <f t="shared" si="0"/>
        <v>54.6</v>
      </c>
      <c r="S27" s="292">
        <v>2</v>
      </c>
      <c r="T27" s="838"/>
      <c r="U27" s="836"/>
      <c r="V27" s="299" t="s">
        <v>881</v>
      </c>
      <c r="W27" s="292" t="s">
        <v>297</v>
      </c>
      <c r="X27" s="292" t="s">
        <v>11</v>
      </c>
      <c r="Y27" s="300">
        <v>40.5</v>
      </c>
      <c r="Z27" s="292" t="s">
        <v>891</v>
      </c>
      <c r="AA27" s="292" t="s">
        <v>308</v>
      </c>
      <c r="AB27" s="292" t="s">
        <v>12</v>
      </c>
      <c r="AC27" s="292">
        <v>8.1</v>
      </c>
      <c r="AD27" s="299" t="s">
        <v>882</v>
      </c>
      <c r="AE27" s="292" t="s">
        <v>27</v>
      </c>
      <c r="AF27" s="292" t="s">
        <v>11</v>
      </c>
      <c r="AG27" s="300">
        <v>6</v>
      </c>
      <c r="AL27" s="299"/>
      <c r="AO27" s="300"/>
      <c r="AP27" s="299"/>
      <c r="AS27" s="300"/>
      <c r="AW27" s="300"/>
      <c r="BA27" s="301"/>
    </row>
    <row r="28" spans="1:53" s="185" customFormat="1">
      <c r="A28" s="185">
        <v>1998</v>
      </c>
      <c r="B28" s="830">
        <v>36129</v>
      </c>
      <c r="C28" s="917" t="s">
        <v>890</v>
      </c>
      <c r="D28" s="917"/>
      <c r="E28" s="185">
        <v>32</v>
      </c>
      <c r="F28" s="185">
        <v>1</v>
      </c>
      <c r="G28" s="498">
        <v>11</v>
      </c>
      <c r="H28" s="548">
        <v>3</v>
      </c>
      <c r="I28" s="548">
        <v>6</v>
      </c>
      <c r="J28" s="500">
        <v>20</v>
      </c>
      <c r="K28" s="496">
        <f t="shared" si="1"/>
        <v>55.000000000000007</v>
      </c>
      <c r="L28" s="496">
        <f t="shared" si="4"/>
        <v>15</v>
      </c>
      <c r="M28" s="496">
        <f t="shared" si="2"/>
        <v>30</v>
      </c>
      <c r="N28" s="499">
        <f t="shared" si="3"/>
        <v>100</v>
      </c>
      <c r="O28" s="495">
        <v>36.700000000000003</v>
      </c>
      <c r="P28" s="496">
        <v>10</v>
      </c>
      <c r="Q28" s="496">
        <v>15.3</v>
      </c>
      <c r="R28" s="497">
        <f t="shared" si="0"/>
        <v>62</v>
      </c>
      <c r="S28" s="185">
        <v>3</v>
      </c>
      <c r="T28" s="839">
        <v>36069</v>
      </c>
      <c r="U28" s="830">
        <v>36129</v>
      </c>
      <c r="V28" s="82" t="s">
        <v>888</v>
      </c>
      <c r="W28" s="185" t="s">
        <v>309</v>
      </c>
      <c r="X28" s="185" t="s">
        <v>11</v>
      </c>
      <c r="Y28" s="83">
        <v>28</v>
      </c>
      <c r="Z28" s="185" t="s">
        <v>886</v>
      </c>
      <c r="AA28" s="185" t="s">
        <v>116</v>
      </c>
      <c r="AB28" s="185" t="s">
        <v>12</v>
      </c>
      <c r="AC28" s="185">
        <v>15.3</v>
      </c>
      <c r="AD28" s="82" t="s">
        <v>896</v>
      </c>
      <c r="AE28" s="185" t="s">
        <v>94</v>
      </c>
      <c r="AF28" s="185" t="s">
        <v>18</v>
      </c>
      <c r="AG28" s="83">
        <v>10</v>
      </c>
      <c r="AH28" s="185" t="s">
        <v>892</v>
      </c>
      <c r="AI28" s="185" t="s">
        <v>897</v>
      </c>
      <c r="AJ28" s="185" t="s">
        <v>11</v>
      </c>
      <c r="AK28" s="185">
        <v>8.6999999999999993</v>
      </c>
      <c r="AL28" s="82"/>
      <c r="AO28" s="83"/>
      <c r="AP28" s="82"/>
      <c r="AS28" s="83"/>
      <c r="AW28" s="83"/>
      <c r="BA28" s="84"/>
    </row>
    <row r="29" spans="1:53" s="185" customFormat="1">
      <c r="A29" s="185">
        <v>1999</v>
      </c>
      <c r="B29" s="830"/>
      <c r="C29" s="917" t="s">
        <v>890</v>
      </c>
      <c r="D29" s="917"/>
      <c r="E29" s="185">
        <v>0</v>
      </c>
      <c r="G29" s="498">
        <v>11</v>
      </c>
      <c r="H29" s="548">
        <v>3</v>
      </c>
      <c r="I29" s="548">
        <v>6</v>
      </c>
      <c r="J29" s="500">
        <v>20</v>
      </c>
      <c r="K29" s="496">
        <f t="shared" si="1"/>
        <v>55.000000000000007</v>
      </c>
      <c r="L29" s="496">
        <f t="shared" si="4"/>
        <v>15</v>
      </c>
      <c r="M29" s="496">
        <f t="shared" si="2"/>
        <v>30</v>
      </c>
      <c r="N29" s="499">
        <f t="shared" si="3"/>
        <v>100</v>
      </c>
      <c r="O29" s="495">
        <v>36.700000000000003</v>
      </c>
      <c r="P29" s="496">
        <v>10</v>
      </c>
      <c r="Q29" s="496">
        <v>15.3</v>
      </c>
      <c r="R29" s="497">
        <f t="shared" si="0"/>
        <v>62</v>
      </c>
      <c r="S29" s="185">
        <v>3</v>
      </c>
      <c r="T29" s="839"/>
      <c r="U29" s="852"/>
      <c r="V29" s="82" t="s">
        <v>888</v>
      </c>
      <c r="W29" s="185" t="s">
        <v>309</v>
      </c>
      <c r="X29" s="185" t="s">
        <v>11</v>
      </c>
      <c r="Y29" s="83">
        <v>28</v>
      </c>
      <c r="Z29" s="185" t="s">
        <v>886</v>
      </c>
      <c r="AA29" s="185" t="s">
        <v>116</v>
      </c>
      <c r="AB29" s="185" t="s">
        <v>12</v>
      </c>
      <c r="AC29" s="185">
        <v>15.3</v>
      </c>
      <c r="AD29" s="82" t="s">
        <v>896</v>
      </c>
      <c r="AE29" s="185" t="s">
        <v>94</v>
      </c>
      <c r="AF29" s="185" t="s">
        <v>18</v>
      </c>
      <c r="AG29" s="83">
        <v>10</v>
      </c>
      <c r="AH29" s="185" t="s">
        <v>892</v>
      </c>
      <c r="AI29" s="185" t="s">
        <v>897</v>
      </c>
      <c r="AJ29" s="185" t="s">
        <v>11</v>
      </c>
      <c r="AK29" s="185">
        <v>8.6999999999999993</v>
      </c>
      <c r="AL29" s="82"/>
      <c r="AO29" s="83"/>
      <c r="AP29" s="82"/>
      <c r="AS29" s="83"/>
      <c r="AW29" s="83"/>
      <c r="BA29" s="84"/>
    </row>
    <row r="30" spans="1:53" s="185" customFormat="1">
      <c r="A30" s="185">
        <v>1999</v>
      </c>
      <c r="B30" s="830"/>
      <c r="C30" s="917" t="s">
        <v>890</v>
      </c>
      <c r="D30" s="917"/>
      <c r="E30" s="185">
        <v>365</v>
      </c>
      <c r="G30" s="498">
        <v>11</v>
      </c>
      <c r="H30" s="548">
        <v>3</v>
      </c>
      <c r="I30" s="548">
        <v>6</v>
      </c>
      <c r="J30" s="500">
        <v>20</v>
      </c>
      <c r="K30" s="496">
        <f t="shared" si="1"/>
        <v>55.000000000000007</v>
      </c>
      <c r="L30" s="496">
        <f t="shared" si="4"/>
        <v>15</v>
      </c>
      <c r="M30" s="496">
        <f t="shared" si="2"/>
        <v>30</v>
      </c>
      <c r="N30" s="499">
        <f t="shared" si="3"/>
        <v>100</v>
      </c>
      <c r="O30" s="495">
        <v>36.700000000000003</v>
      </c>
      <c r="P30" s="496">
        <v>10</v>
      </c>
      <c r="Q30" s="496">
        <v>15.3</v>
      </c>
      <c r="R30" s="497">
        <f t="shared" si="0"/>
        <v>62</v>
      </c>
      <c r="S30" s="185">
        <v>3</v>
      </c>
      <c r="T30" s="839"/>
      <c r="U30" s="852"/>
      <c r="V30" s="82" t="s">
        <v>888</v>
      </c>
      <c r="W30" s="185" t="s">
        <v>309</v>
      </c>
      <c r="X30" s="185" t="s">
        <v>11</v>
      </c>
      <c r="Y30" s="83">
        <v>28</v>
      </c>
      <c r="Z30" s="185" t="s">
        <v>886</v>
      </c>
      <c r="AA30" s="185" t="s">
        <v>116</v>
      </c>
      <c r="AB30" s="185" t="s">
        <v>12</v>
      </c>
      <c r="AC30" s="185">
        <v>15.3</v>
      </c>
      <c r="AD30" s="82" t="s">
        <v>896</v>
      </c>
      <c r="AE30" s="185" t="s">
        <v>94</v>
      </c>
      <c r="AF30" s="185" t="s">
        <v>18</v>
      </c>
      <c r="AG30" s="83">
        <v>10</v>
      </c>
      <c r="AH30" s="185" t="s">
        <v>892</v>
      </c>
      <c r="AI30" s="185" t="s">
        <v>897</v>
      </c>
      <c r="AJ30" s="185" t="s">
        <v>11</v>
      </c>
      <c r="AK30" s="185">
        <v>8.6999999999999993</v>
      </c>
      <c r="AL30" s="82"/>
      <c r="AO30" s="83"/>
      <c r="AP30" s="82"/>
      <c r="AS30" s="83"/>
      <c r="AW30" s="83"/>
      <c r="BA30" s="84"/>
    </row>
    <row r="31" spans="1:53" s="185" customFormat="1">
      <c r="A31" s="185">
        <v>2000</v>
      </c>
      <c r="B31" s="830"/>
      <c r="C31" s="917" t="s">
        <v>890</v>
      </c>
      <c r="D31" s="917"/>
      <c r="E31" s="185">
        <v>0</v>
      </c>
      <c r="G31" s="498">
        <v>11</v>
      </c>
      <c r="H31" s="548">
        <v>3</v>
      </c>
      <c r="I31" s="548">
        <v>6</v>
      </c>
      <c r="J31" s="500">
        <v>20</v>
      </c>
      <c r="K31" s="496">
        <f t="shared" si="1"/>
        <v>55.000000000000007</v>
      </c>
      <c r="L31" s="496">
        <f t="shared" si="4"/>
        <v>15</v>
      </c>
      <c r="M31" s="496">
        <f t="shared" si="2"/>
        <v>30</v>
      </c>
      <c r="N31" s="499">
        <f t="shared" si="3"/>
        <v>100</v>
      </c>
      <c r="O31" s="495">
        <v>36.700000000000003</v>
      </c>
      <c r="P31" s="496">
        <v>10</v>
      </c>
      <c r="Q31" s="496">
        <v>15.3</v>
      </c>
      <c r="R31" s="497">
        <f t="shared" si="0"/>
        <v>62</v>
      </c>
      <c r="S31" s="185">
        <v>3</v>
      </c>
      <c r="T31" s="839"/>
      <c r="U31" s="852"/>
      <c r="V31" s="82" t="s">
        <v>888</v>
      </c>
      <c r="W31" s="185" t="s">
        <v>309</v>
      </c>
      <c r="X31" s="185" t="s">
        <v>11</v>
      </c>
      <c r="Y31" s="83">
        <v>28</v>
      </c>
      <c r="Z31" s="185" t="s">
        <v>886</v>
      </c>
      <c r="AA31" s="185" t="s">
        <v>116</v>
      </c>
      <c r="AB31" s="185" t="s">
        <v>12</v>
      </c>
      <c r="AC31" s="185">
        <v>15.3</v>
      </c>
      <c r="AD31" s="82" t="s">
        <v>896</v>
      </c>
      <c r="AE31" s="185" t="s">
        <v>94</v>
      </c>
      <c r="AF31" s="185" t="s">
        <v>18</v>
      </c>
      <c r="AG31" s="83">
        <v>10</v>
      </c>
      <c r="AH31" s="185" t="s">
        <v>892</v>
      </c>
      <c r="AI31" s="185" t="s">
        <v>897</v>
      </c>
      <c r="AJ31" s="185" t="s">
        <v>11</v>
      </c>
      <c r="AK31" s="185">
        <v>8.6999999999999993</v>
      </c>
      <c r="AL31" s="82"/>
      <c r="AO31" s="83"/>
      <c r="AP31" s="82"/>
      <c r="AS31" s="83"/>
      <c r="AW31" s="83"/>
      <c r="BA31" s="84"/>
    </row>
    <row r="32" spans="1:53" s="185" customFormat="1">
      <c r="A32" s="185">
        <v>2000</v>
      </c>
      <c r="B32" s="830"/>
      <c r="C32" s="917" t="s">
        <v>890</v>
      </c>
      <c r="D32" s="917"/>
      <c r="E32" s="185">
        <v>366</v>
      </c>
      <c r="G32" s="498">
        <v>11</v>
      </c>
      <c r="H32" s="548">
        <v>3</v>
      </c>
      <c r="I32" s="548">
        <v>6</v>
      </c>
      <c r="J32" s="500">
        <v>20</v>
      </c>
      <c r="K32" s="496">
        <f t="shared" si="1"/>
        <v>55.000000000000007</v>
      </c>
      <c r="L32" s="496">
        <f t="shared" si="4"/>
        <v>15</v>
      </c>
      <c r="M32" s="496">
        <f t="shared" si="2"/>
        <v>30</v>
      </c>
      <c r="N32" s="499">
        <f t="shared" si="3"/>
        <v>100</v>
      </c>
      <c r="O32" s="495">
        <v>36.700000000000003</v>
      </c>
      <c r="P32" s="496">
        <v>10</v>
      </c>
      <c r="Q32" s="496">
        <v>15.3</v>
      </c>
      <c r="R32" s="497">
        <f t="shared" si="0"/>
        <v>62</v>
      </c>
      <c r="S32" s="185">
        <v>3</v>
      </c>
      <c r="T32" s="839"/>
      <c r="U32" s="852"/>
      <c r="V32" s="82" t="s">
        <v>888</v>
      </c>
      <c r="W32" s="185" t="s">
        <v>309</v>
      </c>
      <c r="X32" s="185" t="s">
        <v>11</v>
      </c>
      <c r="Y32" s="83">
        <v>28</v>
      </c>
      <c r="Z32" s="185" t="s">
        <v>886</v>
      </c>
      <c r="AA32" s="185" t="s">
        <v>116</v>
      </c>
      <c r="AB32" s="185" t="s">
        <v>12</v>
      </c>
      <c r="AC32" s="185">
        <v>15.3</v>
      </c>
      <c r="AD32" s="82" t="s">
        <v>896</v>
      </c>
      <c r="AE32" s="185" t="s">
        <v>94</v>
      </c>
      <c r="AF32" s="185" t="s">
        <v>18</v>
      </c>
      <c r="AG32" s="83">
        <v>10</v>
      </c>
      <c r="AH32" s="185" t="s">
        <v>892</v>
      </c>
      <c r="AI32" s="185" t="s">
        <v>897</v>
      </c>
      <c r="AJ32" s="185" t="s">
        <v>11</v>
      </c>
      <c r="AK32" s="185">
        <v>8.6999999999999993</v>
      </c>
      <c r="AL32" s="82"/>
      <c r="AO32" s="83"/>
      <c r="AP32" s="82"/>
      <c r="AS32" s="83"/>
      <c r="AW32" s="83"/>
      <c r="BA32" s="84"/>
    </row>
    <row r="33" spans="1:53" s="185" customFormat="1">
      <c r="A33" s="185">
        <v>2001</v>
      </c>
      <c r="B33" s="830"/>
      <c r="C33" s="917" t="s">
        <v>890</v>
      </c>
      <c r="D33" s="917"/>
      <c r="E33" s="185">
        <v>0</v>
      </c>
      <c r="G33" s="498">
        <v>11</v>
      </c>
      <c r="H33" s="548">
        <v>3</v>
      </c>
      <c r="I33" s="548">
        <v>6</v>
      </c>
      <c r="J33" s="500">
        <v>20</v>
      </c>
      <c r="K33" s="496">
        <f t="shared" si="1"/>
        <v>55.000000000000007</v>
      </c>
      <c r="L33" s="496">
        <f t="shared" si="4"/>
        <v>15</v>
      </c>
      <c r="M33" s="496">
        <f t="shared" si="2"/>
        <v>30</v>
      </c>
      <c r="N33" s="499">
        <f t="shared" si="3"/>
        <v>100</v>
      </c>
      <c r="O33" s="495">
        <v>36.700000000000003</v>
      </c>
      <c r="P33" s="496">
        <v>10</v>
      </c>
      <c r="Q33" s="496">
        <v>15.3</v>
      </c>
      <c r="R33" s="497">
        <f t="shared" si="0"/>
        <v>62</v>
      </c>
      <c r="S33" s="185">
        <v>3</v>
      </c>
      <c r="T33" s="839"/>
      <c r="U33" s="852"/>
      <c r="V33" s="82" t="s">
        <v>888</v>
      </c>
      <c r="W33" s="185" t="s">
        <v>309</v>
      </c>
      <c r="X33" s="185" t="s">
        <v>11</v>
      </c>
      <c r="Y33" s="83">
        <v>28</v>
      </c>
      <c r="Z33" s="185" t="s">
        <v>886</v>
      </c>
      <c r="AA33" s="185" t="s">
        <v>116</v>
      </c>
      <c r="AB33" s="185" t="s">
        <v>12</v>
      </c>
      <c r="AC33" s="185">
        <v>15.3</v>
      </c>
      <c r="AD33" s="82" t="s">
        <v>896</v>
      </c>
      <c r="AE33" s="185" t="s">
        <v>94</v>
      </c>
      <c r="AF33" s="185" t="s">
        <v>18</v>
      </c>
      <c r="AG33" s="83">
        <v>10</v>
      </c>
      <c r="AH33" s="185" t="s">
        <v>892</v>
      </c>
      <c r="AI33" s="185" t="s">
        <v>897</v>
      </c>
      <c r="AJ33" s="185" t="s">
        <v>11</v>
      </c>
      <c r="AK33" s="185">
        <v>8.6999999999999993</v>
      </c>
      <c r="AL33" s="82"/>
      <c r="AO33" s="83"/>
      <c r="AP33" s="82"/>
      <c r="AS33" s="83"/>
      <c r="AW33" s="83"/>
      <c r="BA33" s="84"/>
    </row>
    <row r="34" spans="1:53" s="185" customFormat="1">
      <c r="A34" s="185">
        <v>2001</v>
      </c>
      <c r="B34" s="830"/>
      <c r="C34" s="917" t="s">
        <v>890</v>
      </c>
      <c r="D34" s="917"/>
      <c r="E34" s="185">
        <v>365</v>
      </c>
      <c r="G34" s="498">
        <v>11</v>
      </c>
      <c r="H34" s="548">
        <v>3</v>
      </c>
      <c r="I34" s="548">
        <v>6</v>
      </c>
      <c r="J34" s="500">
        <v>20</v>
      </c>
      <c r="K34" s="496">
        <f t="shared" si="1"/>
        <v>55.000000000000007</v>
      </c>
      <c r="L34" s="496">
        <f t="shared" si="4"/>
        <v>15</v>
      </c>
      <c r="M34" s="496">
        <f t="shared" si="2"/>
        <v>30</v>
      </c>
      <c r="N34" s="499">
        <f t="shared" si="3"/>
        <v>100</v>
      </c>
      <c r="O34" s="495">
        <v>36.700000000000003</v>
      </c>
      <c r="P34" s="496">
        <v>10</v>
      </c>
      <c r="Q34" s="496">
        <v>15.3</v>
      </c>
      <c r="R34" s="497">
        <f t="shared" si="0"/>
        <v>62</v>
      </c>
      <c r="S34" s="185">
        <v>3</v>
      </c>
      <c r="T34" s="839"/>
      <c r="U34" s="852"/>
      <c r="V34" s="82" t="s">
        <v>888</v>
      </c>
      <c r="W34" s="185" t="s">
        <v>309</v>
      </c>
      <c r="X34" s="185" t="s">
        <v>11</v>
      </c>
      <c r="Y34" s="83">
        <v>28</v>
      </c>
      <c r="Z34" s="185" t="s">
        <v>886</v>
      </c>
      <c r="AA34" s="185" t="s">
        <v>116</v>
      </c>
      <c r="AB34" s="185" t="s">
        <v>12</v>
      </c>
      <c r="AC34" s="185">
        <v>15.3</v>
      </c>
      <c r="AD34" s="82" t="s">
        <v>896</v>
      </c>
      <c r="AE34" s="185" t="s">
        <v>94</v>
      </c>
      <c r="AF34" s="185" t="s">
        <v>18</v>
      </c>
      <c r="AG34" s="83">
        <v>10</v>
      </c>
      <c r="AH34" s="185" t="s">
        <v>892</v>
      </c>
      <c r="AI34" s="185" t="s">
        <v>897</v>
      </c>
      <c r="AJ34" s="185" t="s">
        <v>11</v>
      </c>
      <c r="AK34" s="185">
        <v>8.6999999999999993</v>
      </c>
      <c r="AL34" s="82"/>
      <c r="AO34" s="83"/>
      <c r="AP34" s="82"/>
      <c r="AS34" s="83"/>
      <c r="AW34" s="83"/>
      <c r="BA34" s="84"/>
    </row>
    <row r="35" spans="1:53" s="185" customFormat="1">
      <c r="A35" s="185">
        <v>2002</v>
      </c>
      <c r="B35" s="830"/>
      <c r="C35" s="917" t="s">
        <v>890</v>
      </c>
      <c r="D35" s="917"/>
      <c r="E35" s="185">
        <v>319</v>
      </c>
      <c r="G35" s="498">
        <v>11</v>
      </c>
      <c r="H35" s="548">
        <v>3</v>
      </c>
      <c r="I35" s="548">
        <v>6</v>
      </c>
      <c r="J35" s="500">
        <v>20</v>
      </c>
      <c r="K35" s="496">
        <f t="shared" si="1"/>
        <v>55.000000000000007</v>
      </c>
      <c r="L35" s="496">
        <f t="shared" si="4"/>
        <v>15</v>
      </c>
      <c r="M35" s="496">
        <f t="shared" si="2"/>
        <v>30</v>
      </c>
      <c r="N35" s="499">
        <f t="shared" si="3"/>
        <v>100</v>
      </c>
      <c r="O35" s="495">
        <v>36.700000000000003</v>
      </c>
      <c r="P35" s="496">
        <v>10</v>
      </c>
      <c r="Q35" s="496">
        <v>15.3</v>
      </c>
      <c r="R35" s="497">
        <f t="shared" si="0"/>
        <v>62</v>
      </c>
      <c r="S35" s="185">
        <v>3</v>
      </c>
      <c r="T35" s="839"/>
      <c r="U35" s="852"/>
      <c r="V35" s="82" t="s">
        <v>888</v>
      </c>
      <c r="W35" s="185" t="s">
        <v>309</v>
      </c>
      <c r="X35" s="185" t="s">
        <v>11</v>
      </c>
      <c r="Y35" s="83">
        <v>28</v>
      </c>
      <c r="Z35" s="185" t="s">
        <v>886</v>
      </c>
      <c r="AA35" s="185" t="s">
        <v>116</v>
      </c>
      <c r="AB35" s="185" t="s">
        <v>12</v>
      </c>
      <c r="AC35" s="185">
        <v>15.3</v>
      </c>
      <c r="AD35" s="82" t="s">
        <v>896</v>
      </c>
      <c r="AE35" s="185" t="s">
        <v>94</v>
      </c>
      <c r="AF35" s="185" t="s">
        <v>18</v>
      </c>
      <c r="AG35" s="83">
        <v>10</v>
      </c>
      <c r="AH35" s="185" t="s">
        <v>892</v>
      </c>
      <c r="AI35" s="185" t="s">
        <v>897</v>
      </c>
      <c r="AJ35" s="185" t="s">
        <v>11</v>
      </c>
      <c r="AK35" s="185">
        <v>8.6999999999999993</v>
      </c>
      <c r="AL35" s="82"/>
      <c r="AO35" s="83"/>
      <c r="AP35" s="82"/>
      <c r="AS35" s="83"/>
      <c r="AW35" s="83"/>
      <c r="BA35" s="84"/>
    </row>
    <row r="36" spans="1:53" s="292" customFormat="1">
      <c r="A36" s="292">
        <v>2002</v>
      </c>
      <c r="B36" s="863">
        <v>37576</v>
      </c>
      <c r="C36" s="916" t="s">
        <v>1211</v>
      </c>
      <c r="D36" s="916"/>
      <c r="E36" s="292">
        <f>365-E35</f>
        <v>46</v>
      </c>
      <c r="F36" s="292">
        <v>1</v>
      </c>
      <c r="G36" s="539">
        <v>3</v>
      </c>
      <c r="H36" s="549">
        <v>13</v>
      </c>
      <c r="I36" s="549"/>
      <c r="J36" s="541">
        <v>16</v>
      </c>
      <c r="K36" s="537">
        <f t="shared" si="1"/>
        <v>18.75</v>
      </c>
      <c r="L36" s="537">
        <f t="shared" si="4"/>
        <v>81.25</v>
      </c>
      <c r="M36" s="537">
        <f t="shared" si="2"/>
        <v>0</v>
      </c>
      <c r="N36" s="540">
        <f t="shared" si="3"/>
        <v>100</v>
      </c>
      <c r="O36" s="536">
        <v>10</v>
      </c>
      <c r="P36" s="537">
        <v>42</v>
      </c>
      <c r="Q36" s="537"/>
      <c r="R36" s="538">
        <f t="shared" si="0"/>
        <v>52</v>
      </c>
      <c r="S36" s="292">
        <v>2</v>
      </c>
      <c r="T36" s="838">
        <v>37520</v>
      </c>
      <c r="U36" s="863">
        <v>37576</v>
      </c>
      <c r="V36" s="299" t="s">
        <v>893</v>
      </c>
      <c r="W36" s="292" t="s">
        <v>82</v>
      </c>
      <c r="X36" s="292" t="s">
        <v>18</v>
      </c>
      <c r="Y36" s="300">
        <v>18.7</v>
      </c>
      <c r="Z36" s="292" t="s">
        <v>896</v>
      </c>
      <c r="AA36" s="292" t="s">
        <v>94</v>
      </c>
      <c r="AB36" s="292" t="s">
        <v>18</v>
      </c>
      <c r="AC36" s="292">
        <v>13.3</v>
      </c>
      <c r="AD36" s="299" t="s">
        <v>887</v>
      </c>
      <c r="AE36" s="292" t="s">
        <v>17</v>
      </c>
      <c r="AF36" s="292" t="s">
        <v>18</v>
      </c>
      <c r="AG36" s="300">
        <v>10</v>
      </c>
      <c r="AH36" s="292" t="s">
        <v>894</v>
      </c>
      <c r="AI36" s="292" t="s">
        <v>898</v>
      </c>
      <c r="AJ36" s="292" t="s">
        <v>11</v>
      </c>
      <c r="AK36" s="292">
        <v>10</v>
      </c>
      <c r="AL36" s="299"/>
      <c r="AO36" s="300"/>
      <c r="AP36" s="299"/>
      <c r="AS36" s="300"/>
      <c r="AW36" s="300"/>
      <c r="BA36" s="301"/>
    </row>
    <row r="37" spans="1:53" s="292" customFormat="1">
      <c r="A37" s="292">
        <v>2003</v>
      </c>
      <c r="B37" s="863"/>
      <c r="C37" s="916" t="s">
        <v>1211</v>
      </c>
      <c r="D37" s="916"/>
      <c r="E37" s="292">
        <v>0</v>
      </c>
      <c r="G37" s="539">
        <v>3</v>
      </c>
      <c r="H37" s="549">
        <v>13</v>
      </c>
      <c r="I37" s="549"/>
      <c r="J37" s="541">
        <v>16</v>
      </c>
      <c r="K37" s="537">
        <f t="shared" si="1"/>
        <v>18.75</v>
      </c>
      <c r="L37" s="537">
        <f t="shared" si="4"/>
        <v>81.25</v>
      </c>
      <c r="M37" s="537">
        <f t="shared" si="2"/>
        <v>0</v>
      </c>
      <c r="N37" s="540">
        <f t="shared" si="3"/>
        <v>100</v>
      </c>
      <c r="O37" s="536">
        <v>10</v>
      </c>
      <c r="P37" s="537">
        <v>42</v>
      </c>
      <c r="Q37" s="537"/>
      <c r="R37" s="538">
        <f t="shared" si="0"/>
        <v>52</v>
      </c>
      <c r="S37" s="292">
        <v>2</v>
      </c>
      <c r="T37" s="838"/>
      <c r="U37" s="836"/>
      <c r="V37" s="299" t="s">
        <v>893</v>
      </c>
      <c r="W37" s="292" t="s">
        <v>82</v>
      </c>
      <c r="X37" s="292" t="s">
        <v>18</v>
      </c>
      <c r="Y37" s="300">
        <v>18.7</v>
      </c>
      <c r="Z37" s="292" t="s">
        <v>896</v>
      </c>
      <c r="AA37" s="292" t="s">
        <v>94</v>
      </c>
      <c r="AB37" s="292" t="s">
        <v>18</v>
      </c>
      <c r="AC37" s="292">
        <v>13.3</v>
      </c>
      <c r="AD37" s="299" t="s">
        <v>887</v>
      </c>
      <c r="AE37" s="292" t="s">
        <v>17</v>
      </c>
      <c r="AF37" s="292" t="s">
        <v>18</v>
      </c>
      <c r="AG37" s="300">
        <v>10</v>
      </c>
      <c r="AH37" s="292" t="s">
        <v>894</v>
      </c>
      <c r="AI37" s="292" t="s">
        <v>898</v>
      </c>
      <c r="AJ37" s="292" t="s">
        <v>11</v>
      </c>
      <c r="AK37" s="292">
        <v>10</v>
      </c>
      <c r="AL37" s="299"/>
      <c r="AO37" s="300"/>
      <c r="AP37" s="299"/>
      <c r="AS37" s="300"/>
      <c r="AW37" s="300"/>
      <c r="BA37" s="301"/>
    </row>
    <row r="38" spans="1:53" s="292" customFormat="1">
      <c r="A38" s="292">
        <v>2003</v>
      </c>
      <c r="B38" s="863"/>
      <c r="C38" s="916" t="s">
        <v>1211</v>
      </c>
      <c r="D38" s="916"/>
      <c r="E38" s="292">
        <v>365</v>
      </c>
      <c r="G38" s="539">
        <v>3</v>
      </c>
      <c r="H38" s="549">
        <v>13</v>
      </c>
      <c r="I38" s="549"/>
      <c r="J38" s="541">
        <v>16</v>
      </c>
      <c r="K38" s="537">
        <f t="shared" si="1"/>
        <v>18.75</v>
      </c>
      <c r="L38" s="537">
        <f t="shared" si="4"/>
        <v>81.25</v>
      </c>
      <c r="M38" s="537">
        <f t="shared" si="2"/>
        <v>0</v>
      </c>
      <c r="N38" s="540">
        <f t="shared" si="3"/>
        <v>100</v>
      </c>
      <c r="O38" s="536">
        <v>10</v>
      </c>
      <c r="P38" s="537">
        <v>42</v>
      </c>
      <c r="Q38" s="537"/>
      <c r="R38" s="538">
        <f t="shared" si="0"/>
        <v>52</v>
      </c>
      <c r="S38" s="292">
        <v>2</v>
      </c>
      <c r="T38" s="838"/>
      <c r="U38" s="836"/>
      <c r="V38" s="299" t="s">
        <v>893</v>
      </c>
      <c r="W38" s="292" t="s">
        <v>82</v>
      </c>
      <c r="X38" s="292" t="s">
        <v>18</v>
      </c>
      <c r="Y38" s="300">
        <v>18.7</v>
      </c>
      <c r="Z38" s="292" t="s">
        <v>896</v>
      </c>
      <c r="AA38" s="292" t="s">
        <v>94</v>
      </c>
      <c r="AB38" s="292" t="s">
        <v>18</v>
      </c>
      <c r="AC38" s="292">
        <v>13.3</v>
      </c>
      <c r="AD38" s="299" t="s">
        <v>887</v>
      </c>
      <c r="AE38" s="292" t="s">
        <v>17</v>
      </c>
      <c r="AF38" s="292" t="s">
        <v>18</v>
      </c>
      <c r="AG38" s="300">
        <v>10</v>
      </c>
      <c r="AH38" s="292" t="s">
        <v>894</v>
      </c>
      <c r="AI38" s="292" t="s">
        <v>898</v>
      </c>
      <c r="AJ38" s="292" t="s">
        <v>11</v>
      </c>
      <c r="AK38" s="292">
        <v>10</v>
      </c>
      <c r="AL38" s="299"/>
      <c r="AO38" s="300"/>
      <c r="AP38" s="299"/>
      <c r="AS38" s="300"/>
      <c r="AW38" s="300"/>
      <c r="BA38" s="301"/>
    </row>
    <row r="39" spans="1:53" s="292" customFormat="1">
      <c r="A39" s="292">
        <v>2004</v>
      </c>
      <c r="B39" s="863"/>
      <c r="C39" s="916" t="s">
        <v>1211</v>
      </c>
      <c r="D39" s="916"/>
      <c r="E39" s="292">
        <v>0</v>
      </c>
      <c r="G39" s="539">
        <v>3</v>
      </c>
      <c r="H39" s="549">
        <v>13</v>
      </c>
      <c r="I39" s="549"/>
      <c r="J39" s="541">
        <v>16</v>
      </c>
      <c r="K39" s="537">
        <f t="shared" si="1"/>
        <v>18.75</v>
      </c>
      <c r="L39" s="537">
        <f t="shared" si="4"/>
        <v>81.25</v>
      </c>
      <c r="M39" s="537">
        <f t="shared" si="2"/>
        <v>0</v>
      </c>
      <c r="N39" s="540">
        <f t="shared" si="3"/>
        <v>100</v>
      </c>
      <c r="O39" s="536">
        <v>10</v>
      </c>
      <c r="P39" s="537">
        <v>42</v>
      </c>
      <c r="Q39" s="537"/>
      <c r="R39" s="538">
        <f t="shared" si="0"/>
        <v>52</v>
      </c>
      <c r="S39" s="292">
        <v>2</v>
      </c>
      <c r="T39" s="838"/>
      <c r="U39" s="836"/>
      <c r="V39" s="299" t="s">
        <v>893</v>
      </c>
      <c r="W39" s="292" t="s">
        <v>82</v>
      </c>
      <c r="X39" s="292" t="s">
        <v>18</v>
      </c>
      <c r="Y39" s="300">
        <v>18.7</v>
      </c>
      <c r="Z39" s="292" t="s">
        <v>896</v>
      </c>
      <c r="AA39" s="292" t="s">
        <v>94</v>
      </c>
      <c r="AB39" s="292" t="s">
        <v>18</v>
      </c>
      <c r="AC39" s="292">
        <v>13.3</v>
      </c>
      <c r="AD39" s="299" t="s">
        <v>887</v>
      </c>
      <c r="AE39" s="292" t="s">
        <v>17</v>
      </c>
      <c r="AF39" s="292" t="s">
        <v>18</v>
      </c>
      <c r="AG39" s="300">
        <v>10</v>
      </c>
      <c r="AH39" s="292" t="s">
        <v>894</v>
      </c>
      <c r="AI39" s="292" t="s">
        <v>898</v>
      </c>
      <c r="AJ39" s="292" t="s">
        <v>11</v>
      </c>
      <c r="AK39" s="292">
        <v>10</v>
      </c>
      <c r="AL39" s="299"/>
      <c r="AO39" s="300"/>
      <c r="AP39" s="299"/>
      <c r="AS39" s="300"/>
      <c r="AW39" s="300"/>
      <c r="BA39" s="301"/>
    </row>
    <row r="40" spans="1:53" s="292" customFormat="1">
      <c r="A40" s="292">
        <v>2004</v>
      </c>
      <c r="B40" s="863"/>
      <c r="C40" s="916" t="s">
        <v>1211</v>
      </c>
      <c r="D40" s="916"/>
      <c r="E40" s="292">
        <v>366</v>
      </c>
      <c r="G40" s="539">
        <v>3</v>
      </c>
      <c r="H40" s="549">
        <v>13</v>
      </c>
      <c r="I40" s="549"/>
      <c r="J40" s="541">
        <v>16</v>
      </c>
      <c r="K40" s="537">
        <f t="shared" si="1"/>
        <v>18.75</v>
      </c>
      <c r="L40" s="537">
        <f t="shared" si="4"/>
        <v>81.25</v>
      </c>
      <c r="M40" s="537">
        <f t="shared" si="2"/>
        <v>0</v>
      </c>
      <c r="N40" s="540">
        <f t="shared" si="3"/>
        <v>100</v>
      </c>
      <c r="O40" s="536">
        <v>10</v>
      </c>
      <c r="P40" s="537">
        <v>42</v>
      </c>
      <c r="Q40" s="537"/>
      <c r="R40" s="538">
        <f t="shared" si="0"/>
        <v>52</v>
      </c>
      <c r="S40" s="292">
        <v>2</v>
      </c>
      <c r="T40" s="838"/>
      <c r="U40" s="836"/>
      <c r="V40" s="299" t="s">
        <v>893</v>
      </c>
      <c r="W40" s="292" t="s">
        <v>82</v>
      </c>
      <c r="X40" s="292" t="s">
        <v>18</v>
      </c>
      <c r="Y40" s="300">
        <v>18.7</v>
      </c>
      <c r="Z40" s="292" t="s">
        <v>896</v>
      </c>
      <c r="AA40" s="292" t="s">
        <v>94</v>
      </c>
      <c r="AB40" s="292" t="s">
        <v>18</v>
      </c>
      <c r="AC40" s="292">
        <v>13.3</v>
      </c>
      <c r="AD40" s="299" t="s">
        <v>887</v>
      </c>
      <c r="AE40" s="292" t="s">
        <v>17</v>
      </c>
      <c r="AF40" s="292" t="s">
        <v>18</v>
      </c>
      <c r="AG40" s="300">
        <v>10</v>
      </c>
      <c r="AH40" s="292" t="s">
        <v>894</v>
      </c>
      <c r="AI40" s="292" t="s">
        <v>898</v>
      </c>
      <c r="AJ40" s="292" t="s">
        <v>11</v>
      </c>
      <c r="AK40" s="292">
        <v>10</v>
      </c>
      <c r="AL40" s="299"/>
      <c r="AO40" s="300"/>
      <c r="AP40" s="299"/>
      <c r="AS40" s="300"/>
      <c r="AW40" s="300"/>
      <c r="BA40" s="301"/>
    </row>
    <row r="41" spans="1:53" s="292" customFormat="1">
      <c r="A41" s="292">
        <v>2005</v>
      </c>
      <c r="B41" s="863"/>
      <c r="C41" s="916" t="s">
        <v>1211</v>
      </c>
      <c r="D41" s="916"/>
      <c r="E41" s="292">
        <v>0</v>
      </c>
      <c r="G41" s="539">
        <v>3</v>
      </c>
      <c r="H41" s="549">
        <v>13</v>
      </c>
      <c r="I41" s="549"/>
      <c r="J41" s="541">
        <v>16</v>
      </c>
      <c r="K41" s="537">
        <f t="shared" si="1"/>
        <v>18.75</v>
      </c>
      <c r="L41" s="537">
        <f t="shared" si="4"/>
        <v>81.25</v>
      </c>
      <c r="M41" s="537">
        <f t="shared" si="2"/>
        <v>0</v>
      </c>
      <c r="N41" s="540">
        <f t="shared" si="3"/>
        <v>100</v>
      </c>
      <c r="O41" s="536">
        <v>10</v>
      </c>
      <c r="P41" s="537">
        <v>42</v>
      </c>
      <c r="Q41" s="537"/>
      <c r="R41" s="538">
        <f t="shared" si="0"/>
        <v>52</v>
      </c>
      <c r="S41" s="292">
        <v>2</v>
      </c>
      <c r="T41" s="838"/>
      <c r="U41" s="836"/>
      <c r="V41" s="299" t="s">
        <v>893</v>
      </c>
      <c r="W41" s="292" t="s">
        <v>82</v>
      </c>
      <c r="X41" s="292" t="s">
        <v>18</v>
      </c>
      <c r="Y41" s="300">
        <v>18.7</v>
      </c>
      <c r="Z41" s="292" t="s">
        <v>896</v>
      </c>
      <c r="AA41" s="292" t="s">
        <v>94</v>
      </c>
      <c r="AB41" s="292" t="s">
        <v>18</v>
      </c>
      <c r="AC41" s="292">
        <v>13.3</v>
      </c>
      <c r="AD41" s="299" t="s">
        <v>887</v>
      </c>
      <c r="AE41" s="292" t="s">
        <v>17</v>
      </c>
      <c r="AF41" s="292" t="s">
        <v>18</v>
      </c>
      <c r="AG41" s="300">
        <v>10</v>
      </c>
      <c r="AH41" s="292" t="s">
        <v>894</v>
      </c>
      <c r="AI41" s="292" t="s">
        <v>898</v>
      </c>
      <c r="AJ41" s="292" t="s">
        <v>11</v>
      </c>
      <c r="AK41" s="292">
        <v>10</v>
      </c>
      <c r="AL41" s="299"/>
      <c r="AO41" s="300"/>
      <c r="AP41" s="299"/>
      <c r="AS41" s="300"/>
      <c r="AW41" s="300"/>
      <c r="BA41" s="301"/>
    </row>
    <row r="42" spans="1:53" s="292" customFormat="1">
      <c r="A42" s="292">
        <v>2005</v>
      </c>
      <c r="B42" s="863"/>
      <c r="C42" s="916" t="s">
        <v>1211</v>
      </c>
      <c r="D42" s="916"/>
      <c r="E42" s="292">
        <v>365</v>
      </c>
      <c r="G42" s="539">
        <v>3</v>
      </c>
      <c r="H42" s="549">
        <v>13</v>
      </c>
      <c r="I42" s="549"/>
      <c r="J42" s="541">
        <v>16</v>
      </c>
      <c r="K42" s="537">
        <f t="shared" si="1"/>
        <v>18.75</v>
      </c>
      <c r="L42" s="537">
        <f t="shared" si="4"/>
        <v>81.25</v>
      </c>
      <c r="M42" s="537">
        <f t="shared" si="2"/>
        <v>0</v>
      </c>
      <c r="N42" s="540">
        <f t="shared" si="3"/>
        <v>100</v>
      </c>
      <c r="O42" s="536">
        <v>10</v>
      </c>
      <c r="P42" s="537">
        <v>42</v>
      </c>
      <c r="Q42" s="537"/>
      <c r="R42" s="538">
        <f t="shared" si="0"/>
        <v>52</v>
      </c>
      <c r="S42" s="292">
        <v>2</v>
      </c>
      <c r="T42" s="838"/>
      <c r="U42" s="836"/>
      <c r="V42" s="299" t="s">
        <v>893</v>
      </c>
      <c r="W42" s="292" t="s">
        <v>82</v>
      </c>
      <c r="X42" s="292" t="s">
        <v>18</v>
      </c>
      <c r="Y42" s="300">
        <v>18.7</v>
      </c>
      <c r="Z42" s="292" t="s">
        <v>896</v>
      </c>
      <c r="AA42" s="292" t="s">
        <v>94</v>
      </c>
      <c r="AB42" s="292" t="s">
        <v>18</v>
      </c>
      <c r="AC42" s="292">
        <v>13.3</v>
      </c>
      <c r="AD42" s="299" t="s">
        <v>887</v>
      </c>
      <c r="AE42" s="292" t="s">
        <v>17</v>
      </c>
      <c r="AF42" s="292" t="s">
        <v>18</v>
      </c>
      <c r="AG42" s="300">
        <v>10</v>
      </c>
      <c r="AH42" s="292" t="s">
        <v>894</v>
      </c>
      <c r="AI42" s="292" t="s">
        <v>898</v>
      </c>
      <c r="AJ42" s="292" t="s">
        <v>11</v>
      </c>
      <c r="AK42" s="292">
        <v>10</v>
      </c>
      <c r="AL42" s="299"/>
      <c r="AO42" s="300"/>
      <c r="AP42" s="299"/>
      <c r="AS42" s="300"/>
      <c r="AW42" s="300"/>
      <c r="BA42" s="301"/>
    </row>
    <row r="43" spans="1:53" s="292" customFormat="1">
      <c r="A43" s="292">
        <v>2006</v>
      </c>
      <c r="B43" s="863"/>
      <c r="C43" s="916" t="s">
        <v>1211</v>
      </c>
      <c r="D43" s="916"/>
      <c r="E43" s="292">
        <v>38</v>
      </c>
      <c r="G43" s="539">
        <v>3</v>
      </c>
      <c r="H43" s="549">
        <v>13</v>
      </c>
      <c r="I43" s="549"/>
      <c r="J43" s="541">
        <v>16</v>
      </c>
      <c r="K43" s="537">
        <f t="shared" si="1"/>
        <v>18.75</v>
      </c>
      <c r="L43" s="537">
        <f t="shared" si="4"/>
        <v>81.25</v>
      </c>
      <c r="M43" s="537">
        <f t="shared" si="2"/>
        <v>0</v>
      </c>
      <c r="N43" s="540">
        <f t="shared" si="3"/>
        <v>100</v>
      </c>
      <c r="O43" s="536">
        <v>10</v>
      </c>
      <c r="P43" s="537">
        <v>42</v>
      </c>
      <c r="Q43" s="537"/>
      <c r="R43" s="538">
        <f t="shared" si="0"/>
        <v>52</v>
      </c>
      <c r="S43" s="292">
        <v>2</v>
      </c>
      <c r="T43" s="838"/>
      <c r="U43" s="836"/>
      <c r="V43" s="299" t="s">
        <v>893</v>
      </c>
      <c r="W43" s="292" t="s">
        <v>82</v>
      </c>
      <c r="X43" s="292" t="s">
        <v>18</v>
      </c>
      <c r="Y43" s="300">
        <v>18.7</v>
      </c>
      <c r="Z43" s="292" t="s">
        <v>896</v>
      </c>
      <c r="AA43" s="292" t="s">
        <v>94</v>
      </c>
      <c r="AB43" s="292" t="s">
        <v>18</v>
      </c>
      <c r="AC43" s="292">
        <v>13.3</v>
      </c>
      <c r="AD43" s="299" t="s">
        <v>887</v>
      </c>
      <c r="AE43" s="292" t="s">
        <v>17</v>
      </c>
      <c r="AF43" s="292" t="s">
        <v>18</v>
      </c>
      <c r="AG43" s="300">
        <v>10</v>
      </c>
      <c r="AH43" s="292" t="s">
        <v>894</v>
      </c>
      <c r="AI43" s="292" t="s">
        <v>898</v>
      </c>
      <c r="AJ43" s="292" t="s">
        <v>11</v>
      </c>
      <c r="AK43" s="292">
        <v>10</v>
      </c>
      <c r="AL43" s="299"/>
      <c r="AO43" s="300"/>
      <c r="AP43" s="299"/>
      <c r="AS43" s="300"/>
      <c r="AW43" s="300"/>
      <c r="BA43" s="301"/>
    </row>
    <row r="44" spans="1:53" s="197" customFormat="1">
      <c r="A44" s="197">
        <v>2006</v>
      </c>
      <c r="B44" s="830">
        <v>38756</v>
      </c>
      <c r="C44" s="917" t="s">
        <v>1213</v>
      </c>
      <c r="D44" s="917"/>
      <c r="E44" s="197">
        <v>50</v>
      </c>
      <c r="F44" s="197">
        <v>4</v>
      </c>
      <c r="G44" s="498">
        <v>3</v>
      </c>
      <c r="H44" s="548">
        <v>12</v>
      </c>
      <c r="I44" s="548"/>
      <c r="J44" s="500">
        <v>16</v>
      </c>
      <c r="K44" s="496">
        <f>G44/J44*100</f>
        <v>18.75</v>
      </c>
      <c r="L44" s="496">
        <f>H44/J44*100</f>
        <v>75</v>
      </c>
      <c r="M44" s="496">
        <f>I44/J44*100</f>
        <v>0</v>
      </c>
      <c r="N44" s="499">
        <f>SUM(K44:M44)</f>
        <v>93.75</v>
      </c>
      <c r="O44" s="495">
        <v>10</v>
      </c>
      <c r="P44" s="496">
        <v>32</v>
      </c>
      <c r="Q44" s="496"/>
      <c r="R44" s="497">
        <f>SUM(O44:Q44)</f>
        <v>42</v>
      </c>
      <c r="S44" s="197">
        <v>5</v>
      </c>
      <c r="T44" s="839"/>
      <c r="U44" s="830">
        <v>38756</v>
      </c>
      <c r="V44" s="82" t="s">
        <v>899</v>
      </c>
      <c r="W44" s="197" t="s">
        <v>82</v>
      </c>
      <c r="X44" s="197" t="s">
        <v>18</v>
      </c>
      <c r="Y44" s="83">
        <v>18.7</v>
      </c>
      <c r="Z44" s="197" t="s">
        <v>896</v>
      </c>
      <c r="AA44" s="197" t="s">
        <v>94</v>
      </c>
      <c r="AB44" s="197" t="s">
        <v>18</v>
      </c>
      <c r="AC44" s="197">
        <v>13.3</v>
      </c>
      <c r="AD44" s="82" t="s">
        <v>889</v>
      </c>
      <c r="AE44" s="197" t="s">
        <v>898</v>
      </c>
      <c r="AF44" s="197" t="s">
        <v>11</v>
      </c>
      <c r="AG44" s="83">
        <v>10</v>
      </c>
      <c r="AL44" s="82"/>
      <c r="AO44" s="83"/>
      <c r="AP44" s="82"/>
      <c r="AS44" s="83"/>
      <c r="AW44" s="83"/>
      <c r="BA44" s="84"/>
    </row>
    <row r="45" spans="1:53" s="185" customFormat="1">
      <c r="A45" s="185">
        <v>2006</v>
      </c>
      <c r="B45" s="864">
        <v>38806</v>
      </c>
      <c r="C45" s="917" t="s">
        <v>1213</v>
      </c>
      <c r="D45" s="917"/>
      <c r="E45" s="185">
        <v>96</v>
      </c>
      <c r="F45" s="139">
        <v>0</v>
      </c>
      <c r="G45" s="498">
        <v>2</v>
      </c>
      <c r="H45" s="548">
        <v>12</v>
      </c>
      <c r="I45" s="548"/>
      <c r="J45" s="500">
        <v>16</v>
      </c>
      <c r="K45" s="496">
        <f>G45/J45*100</f>
        <v>12.5</v>
      </c>
      <c r="L45" s="496">
        <f>H45/J45*100</f>
        <v>75</v>
      </c>
      <c r="M45" s="496">
        <f>I45/J45*100</f>
        <v>0</v>
      </c>
      <c r="N45" s="499">
        <f t="shared" si="3"/>
        <v>87.5</v>
      </c>
      <c r="O45" s="495">
        <v>10</v>
      </c>
      <c r="P45" s="496">
        <v>32</v>
      </c>
      <c r="Q45" s="496"/>
      <c r="R45" s="497">
        <f t="shared" si="0"/>
        <v>42</v>
      </c>
      <c r="S45" s="185">
        <v>5</v>
      </c>
      <c r="T45" s="839"/>
      <c r="U45" s="830"/>
      <c r="V45" s="82" t="s">
        <v>899</v>
      </c>
      <c r="W45" s="185" t="s">
        <v>82</v>
      </c>
      <c r="X45" s="185" t="s">
        <v>18</v>
      </c>
      <c r="Y45" s="83">
        <v>18.7</v>
      </c>
      <c r="Z45" s="185" t="s">
        <v>896</v>
      </c>
      <c r="AA45" s="185" t="s">
        <v>94</v>
      </c>
      <c r="AB45" s="185" t="s">
        <v>18</v>
      </c>
      <c r="AC45" s="185">
        <v>13.3</v>
      </c>
      <c r="AD45" s="82" t="s">
        <v>889</v>
      </c>
      <c r="AE45" s="185" t="s">
        <v>898</v>
      </c>
      <c r="AF45" s="185" t="s">
        <v>11</v>
      </c>
      <c r="AG45" s="83">
        <v>10</v>
      </c>
      <c r="AL45" s="82"/>
      <c r="AO45" s="83"/>
      <c r="AP45" s="82"/>
      <c r="AS45" s="83"/>
      <c r="AW45" s="83"/>
      <c r="BA45" s="84"/>
    </row>
    <row r="46" spans="1:53" s="292" customFormat="1">
      <c r="A46" s="292">
        <v>2006</v>
      </c>
      <c r="B46" s="863">
        <v>38902</v>
      </c>
      <c r="C46" s="916" t="s">
        <v>908</v>
      </c>
      <c r="D46" s="916"/>
      <c r="E46" s="292">
        <v>181</v>
      </c>
      <c r="F46" s="292">
        <v>1</v>
      </c>
      <c r="G46" s="539">
        <v>5</v>
      </c>
      <c r="H46" s="549"/>
      <c r="I46" s="549">
        <v>11</v>
      </c>
      <c r="J46" s="541">
        <v>16</v>
      </c>
      <c r="K46" s="537">
        <f t="shared" si="1"/>
        <v>31.25</v>
      </c>
      <c r="L46" s="537">
        <f t="shared" si="4"/>
        <v>0</v>
      </c>
      <c r="M46" s="537">
        <f t="shared" si="2"/>
        <v>68.75</v>
      </c>
      <c r="N46" s="540">
        <f t="shared" si="3"/>
        <v>100</v>
      </c>
      <c r="O46" s="536">
        <v>23.33</v>
      </c>
      <c r="P46" s="537"/>
      <c r="Q46" s="537">
        <v>33.33</v>
      </c>
      <c r="R46" s="538">
        <f t="shared" si="0"/>
        <v>56.66</v>
      </c>
      <c r="S46" s="292">
        <v>2</v>
      </c>
      <c r="T46" s="838">
        <v>38885</v>
      </c>
      <c r="U46" s="863">
        <v>38902</v>
      </c>
      <c r="V46" s="299" t="s">
        <v>906</v>
      </c>
      <c r="W46" s="292" t="s">
        <v>97</v>
      </c>
      <c r="X46" s="292" t="s">
        <v>12</v>
      </c>
      <c r="Y46" s="300">
        <v>33.299999999999997</v>
      </c>
      <c r="Z46" s="292" t="s">
        <v>882</v>
      </c>
      <c r="AA46" s="292" t="s">
        <v>27</v>
      </c>
      <c r="AB46" s="292" t="s">
        <v>11</v>
      </c>
      <c r="AC46" s="292">
        <v>13.3</v>
      </c>
      <c r="AD46" s="299" t="s">
        <v>900</v>
      </c>
      <c r="AE46" s="292" t="s">
        <v>297</v>
      </c>
      <c r="AF46" s="292" t="s">
        <v>11</v>
      </c>
      <c r="AG46" s="300">
        <v>10</v>
      </c>
      <c r="AL46" s="299"/>
      <c r="AO46" s="300"/>
      <c r="AP46" s="299"/>
      <c r="AS46" s="300"/>
      <c r="AW46" s="300"/>
      <c r="BA46" s="301"/>
    </row>
    <row r="47" spans="1:53" s="292" customFormat="1">
      <c r="A47" s="292">
        <v>2007</v>
      </c>
      <c r="B47" s="863"/>
      <c r="C47" s="916" t="s">
        <v>908</v>
      </c>
      <c r="D47" s="916"/>
      <c r="E47" s="292">
        <v>0</v>
      </c>
      <c r="G47" s="539">
        <v>5</v>
      </c>
      <c r="H47" s="549"/>
      <c r="I47" s="549">
        <v>11</v>
      </c>
      <c r="J47" s="541">
        <v>16</v>
      </c>
      <c r="K47" s="537">
        <f t="shared" si="1"/>
        <v>31.25</v>
      </c>
      <c r="L47" s="537">
        <f t="shared" si="4"/>
        <v>0</v>
      </c>
      <c r="M47" s="537">
        <f t="shared" si="2"/>
        <v>68.75</v>
      </c>
      <c r="N47" s="540">
        <f t="shared" si="3"/>
        <v>100</v>
      </c>
      <c r="O47" s="536">
        <v>23.33</v>
      </c>
      <c r="P47" s="537"/>
      <c r="Q47" s="537">
        <v>33.33</v>
      </c>
      <c r="R47" s="538">
        <f t="shared" si="0"/>
        <v>56.66</v>
      </c>
      <c r="S47" s="292">
        <v>2</v>
      </c>
      <c r="T47" s="838"/>
      <c r="U47" s="863"/>
      <c r="V47" s="299" t="s">
        <v>906</v>
      </c>
      <c r="W47" s="292" t="s">
        <v>97</v>
      </c>
      <c r="X47" s="292" t="s">
        <v>12</v>
      </c>
      <c r="Y47" s="300">
        <v>33.299999999999997</v>
      </c>
      <c r="Z47" s="292" t="s">
        <v>882</v>
      </c>
      <c r="AA47" s="292" t="s">
        <v>27</v>
      </c>
      <c r="AB47" s="292" t="s">
        <v>11</v>
      </c>
      <c r="AC47" s="292">
        <v>13.3</v>
      </c>
      <c r="AD47" s="299" t="s">
        <v>900</v>
      </c>
      <c r="AE47" s="292" t="s">
        <v>297</v>
      </c>
      <c r="AF47" s="292" t="s">
        <v>11</v>
      </c>
      <c r="AG47" s="300">
        <v>10</v>
      </c>
      <c r="AL47" s="299"/>
      <c r="AO47" s="300"/>
      <c r="AP47" s="299"/>
      <c r="AS47" s="300"/>
      <c r="AW47" s="300"/>
      <c r="BA47" s="301"/>
    </row>
    <row r="48" spans="1:53" s="292" customFormat="1">
      <c r="A48" s="292">
        <v>2007</v>
      </c>
      <c r="B48" s="863"/>
      <c r="C48" s="916" t="s">
        <v>908</v>
      </c>
      <c r="D48" s="916"/>
      <c r="E48" s="292">
        <v>365</v>
      </c>
      <c r="G48" s="539">
        <v>5</v>
      </c>
      <c r="H48" s="549"/>
      <c r="I48" s="549">
        <v>11</v>
      </c>
      <c r="J48" s="541">
        <v>16</v>
      </c>
      <c r="K48" s="537">
        <f t="shared" si="1"/>
        <v>31.25</v>
      </c>
      <c r="L48" s="537">
        <f t="shared" si="4"/>
        <v>0</v>
      </c>
      <c r="M48" s="537">
        <f t="shared" si="2"/>
        <v>68.75</v>
      </c>
      <c r="N48" s="540">
        <f t="shared" si="3"/>
        <v>100</v>
      </c>
      <c r="O48" s="536">
        <v>23.33</v>
      </c>
      <c r="P48" s="537"/>
      <c r="Q48" s="537">
        <v>33.33</v>
      </c>
      <c r="R48" s="538">
        <f t="shared" si="0"/>
        <v>56.66</v>
      </c>
      <c r="S48" s="292">
        <v>2</v>
      </c>
      <c r="T48" s="838"/>
      <c r="U48" s="863"/>
      <c r="V48" s="299" t="s">
        <v>906</v>
      </c>
      <c r="W48" s="292" t="s">
        <v>97</v>
      </c>
      <c r="X48" s="292" t="s">
        <v>12</v>
      </c>
      <c r="Y48" s="300">
        <v>33.299999999999997</v>
      </c>
      <c r="Z48" s="292" t="s">
        <v>882</v>
      </c>
      <c r="AA48" s="292" t="s">
        <v>27</v>
      </c>
      <c r="AB48" s="292" t="s">
        <v>11</v>
      </c>
      <c r="AC48" s="292">
        <v>13.3</v>
      </c>
      <c r="AD48" s="299" t="s">
        <v>900</v>
      </c>
      <c r="AE48" s="292" t="s">
        <v>297</v>
      </c>
      <c r="AF48" s="292" t="s">
        <v>11</v>
      </c>
      <c r="AG48" s="300">
        <v>10</v>
      </c>
      <c r="AL48" s="299"/>
      <c r="AO48" s="300"/>
      <c r="AP48" s="299"/>
      <c r="AS48" s="300"/>
      <c r="AW48" s="300"/>
      <c r="BA48" s="301"/>
    </row>
    <row r="49" spans="1:53" s="292" customFormat="1">
      <c r="A49" s="292">
        <v>2008</v>
      </c>
      <c r="B49" s="863"/>
      <c r="C49" s="916" t="s">
        <v>908</v>
      </c>
      <c r="D49" s="916"/>
      <c r="E49" s="292">
        <v>0</v>
      </c>
      <c r="G49" s="539">
        <v>5</v>
      </c>
      <c r="H49" s="549"/>
      <c r="I49" s="549">
        <v>11</v>
      </c>
      <c r="J49" s="541">
        <v>16</v>
      </c>
      <c r="K49" s="537">
        <f t="shared" si="1"/>
        <v>31.25</v>
      </c>
      <c r="L49" s="537">
        <f t="shared" si="4"/>
        <v>0</v>
      </c>
      <c r="M49" s="537">
        <f t="shared" si="2"/>
        <v>68.75</v>
      </c>
      <c r="N49" s="540">
        <f t="shared" si="3"/>
        <v>100</v>
      </c>
      <c r="O49" s="536">
        <v>23.33</v>
      </c>
      <c r="P49" s="537"/>
      <c r="Q49" s="537">
        <v>33.33</v>
      </c>
      <c r="R49" s="538">
        <f t="shared" si="0"/>
        <v>56.66</v>
      </c>
      <c r="S49" s="292">
        <v>2</v>
      </c>
      <c r="T49" s="838"/>
      <c r="U49" s="863"/>
      <c r="V49" s="299" t="s">
        <v>906</v>
      </c>
      <c r="W49" s="292" t="s">
        <v>97</v>
      </c>
      <c r="X49" s="292" t="s">
        <v>12</v>
      </c>
      <c r="Y49" s="300">
        <v>33.299999999999997</v>
      </c>
      <c r="Z49" s="292" t="s">
        <v>882</v>
      </c>
      <c r="AA49" s="292" t="s">
        <v>27</v>
      </c>
      <c r="AB49" s="292" t="s">
        <v>11</v>
      </c>
      <c r="AC49" s="292">
        <v>13.3</v>
      </c>
      <c r="AD49" s="299" t="s">
        <v>900</v>
      </c>
      <c r="AE49" s="292" t="s">
        <v>297</v>
      </c>
      <c r="AF49" s="292" t="s">
        <v>11</v>
      </c>
      <c r="AG49" s="300">
        <v>10</v>
      </c>
      <c r="AL49" s="299"/>
      <c r="AO49" s="300"/>
      <c r="AP49" s="299"/>
      <c r="AS49" s="300"/>
      <c r="AW49" s="300"/>
      <c r="BA49" s="301"/>
    </row>
    <row r="50" spans="1:53" s="292" customFormat="1">
      <c r="A50" s="292">
        <v>2008</v>
      </c>
      <c r="B50" s="863"/>
      <c r="C50" s="916" t="s">
        <v>908</v>
      </c>
      <c r="D50" s="916"/>
      <c r="E50" s="292">
        <v>366</v>
      </c>
      <c r="G50" s="539">
        <v>5</v>
      </c>
      <c r="H50" s="549"/>
      <c r="I50" s="549">
        <v>11</v>
      </c>
      <c r="J50" s="541">
        <v>16</v>
      </c>
      <c r="K50" s="537">
        <f t="shared" si="1"/>
        <v>31.25</v>
      </c>
      <c r="L50" s="537">
        <f t="shared" si="4"/>
        <v>0</v>
      </c>
      <c r="M50" s="537">
        <f t="shared" si="2"/>
        <v>68.75</v>
      </c>
      <c r="N50" s="540">
        <f t="shared" si="3"/>
        <v>100</v>
      </c>
      <c r="O50" s="536">
        <v>23.33</v>
      </c>
      <c r="P50" s="537"/>
      <c r="Q50" s="537">
        <v>33.33</v>
      </c>
      <c r="R50" s="538">
        <f t="shared" si="0"/>
        <v>56.66</v>
      </c>
      <c r="S50" s="292">
        <v>2</v>
      </c>
      <c r="T50" s="838"/>
      <c r="U50" s="863"/>
      <c r="V50" s="299" t="s">
        <v>906</v>
      </c>
      <c r="W50" s="292" t="s">
        <v>97</v>
      </c>
      <c r="X50" s="292" t="s">
        <v>12</v>
      </c>
      <c r="Y50" s="300">
        <v>33.299999999999997</v>
      </c>
      <c r="Z50" s="292" t="s">
        <v>882</v>
      </c>
      <c r="AA50" s="292" t="s">
        <v>27</v>
      </c>
      <c r="AB50" s="292" t="s">
        <v>11</v>
      </c>
      <c r="AC50" s="292">
        <v>13.3</v>
      </c>
      <c r="AD50" s="299" t="s">
        <v>900</v>
      </c>
      <c r="AE50" s="292" t="s">
        <v>297</v>
      </c>
      <c r="AF50" s="292" t="s">
        <v>11</v>
      </c>
      <c r="AG50" s="300">
        <v>10</v>
      </c>
      <c r="AL50" s="299"/>
      <c r="AO50" s="300"/>
      <c r="AP50" s="299"/>
      <c r="AS50" s="300"/>
      <c r="AW50" s="300"/>
      <c r="BA50" s="301"/>
    </row>
    <row r="51" spans="1:53" s="292" customFormat="1">
      <c r="A51" s="292">
        <v>2009</v>
      </c>
      <c r="B51" s="863"/>
      <c r="C51" s="916" t="s">
        <v>908</v>
      </c>
      <c r="D51" s="916"/>
      <c r="E51" s="292">
        <v>239</v>
      </c>
      <c r="G51" s="539">
        <v>5</v>
      </c>
      <c r="H51" s="549"/>
      <c r="I51" s="549">
        <v>11</v>
      </c>
      <c r="J51" s="541">
        <v>16</v>
      </c>
      <c r="K51" s="537">
        <f t="shared" si="1"/>
        <v>31.25</v>
      </c>
      <c r="L51" s="537">
        <f t="shared" si="4"/>
        <v>0</v>
      </c>
      <c r="M51" s="537">
        <f t="shared" si="2"/>
        <v>68.75</v>
      </c>
      <c r="N51" s="540">
        <f t="shared" si="3"/>
        <v>100</v>
      </c>
      <c r="O51" s="536">
        <v>23.33</v>
      </c>
      <c r="P51" s="537"/>
      <c r="Q51" s="537">
        <v>33.33</v>
      </c>
      <c r="R51" s="538">
        <f t="shared" si="0"/>
        <v>56.66</v>
      </c>
      <c r="S51" s="292">
        <v>2</v>
      </c>
      <c r="T51" s="838"/>
      <c r="U51" s="863"/>
      <c r="V51" s="299" t="s">
        <v>906</v>
      </c>
      <c r="W51" s="292" t="s">
        <v>97</v>
      </c>
      <c r="X51" s="292" t="s">
        <v>12</v>
      </c>
      <c r="Y51" s="300">
        <v>33.299999999999997</v>
      </c>
      <c r="Z51" s="292" t="s">
        <v>882</v>
      </c>
      <c r="AA51" s="292" t="s">
        <v>27</v>
      </c>
      <c r="AB51" s="292" t="s">
        <v>11</v>
      </c>
      <c r="AC51" s="292">
        <v>13.3</v>
      </c>
      <c r="AD51" s="299" t="s">
        <v>900</v>
      </c>
      <c r="AE51" s="292" t="s">
        <v>297</v>
      </c>
      <c r="AF51" s="292" t="s">
        <v>11</v>
      </c>
      <c r="AG51" s="300">
        <v>10</v>
      </c>
      <c r="AL51" s="299"/>
      <c r="AO51" s="300"/>
      <c r="AP51" s="299"/>
      <c r="AS51" s="300"/>
      <c r="AW51" s="300"/>
      <c r="BA51" s="301"/>
    </row>
    <row r="52" spans="1:53" s="292" customFormat="1">
      <c r="A52" s="292">
        <v>2009</v>
      </c>
      <c r="B52" s="862">
        <v>40053</v>
      </c>
      <c r="C52" s="916" t="s">
        <v>908</v>
      </c>
      <c r="D52" s="916"/>
      <c r="E52" s="292">
        <f>365-E51</f>
        <v>126</v>
      </c>
      <c r="F52" s="381">
        <v>0</v>
      </c>
      <c r="G52" s="539">
        <v>4</v>
      </c>
      <c r="H52" s="549"/>
      <c r="I52" s="549">
        <v>12</v>
      </c>
      <c r="J52" s="541">
        <v>16</v>
      </c>
      <c r="K52" s="537">
        <f t="shared" si="1"/>
        <v>25</v>
      </c>
      <c r="L52" s="537">
        <f t="shared" si="4"/>
        <v>0</v>
      </c>
      <c r="M52" s="537">
        <f t="shared" si="2"/>
        <v>75</v>
      </c>
      <c r="N52" s="540">
        <f t="shared" si="3"/>
        <v>100</v>
      </c>
      <c r="O52" s="536">
        <v>23.33</v>
      </c>
      <c r="P52" s="537"/>
      <c r="Q52" s="537">
        <v>33.33</v>
      </c>
      <c r="R52" s="538">
        <f t="shared" si="0"/>
        <v>56.66</v>
      </c>
      <c r="S52" s="292">
        <v>2</v>
      </c>
      <c r="T52" s="838"/>
      <c r="U52" s="863"/>
      <c r="V52" s="299" t="s">
        <v>906</v>
      </c>
      <c r="W52" s="292" t="s">
        <v>97</v>
      </c>
      <c r="X52" s="292" t="s">
        <v>12</v>
      </c>
      <c r="Y52" s="300">
        <v>33.299999999999997</v>
      </c>
      <c r="Z52" s="292" t="s">
        <v>882</v>
      </c>
      <c r="AA52" s="292" t="s">
        <v>27</v>
      </c>
      <c r="AB52" s="292" t="s">
        <v>11</v>
      </c>
      <c r="AC52" s="292">
        <v>13.3</v>
      </c>
      <c r="AD52" s="299" t="s">
        <v>900</v>
      </c>
      <c r="AE52" s="292" t="s">
        <v>297</v>
      </c>
      <c r="AF52" s="292" t="s">
        <v>11</v>
      </c>
      <c r="AG52" s="300">
        <v>10</v>
      </c>
      <c r="AL52" s="299"/>
      <c r="AO52" s="300"/>
      <c r="AP52" s="299"/>
      <c r="AS52" s="300"/>
      <c r="AW52" s="300"/>
      <c r="BA52" s="301"/>
    </row>
    <row r="53" spans="1:53" s="292" customFormat="1">
      <c r="A53" s="292">
        <v>2010</v>
      </c>
      <c r="B53" s="863"/>
      <c r="C53" s="916" t="s">
        <v>908</v>
      </c>
      <c r="D53" s="916"/>
      <c r="E53" s="292">
        <v>189</v>
      </c>
      <c r="G53" s="539">
        <v>4</v>
      </c>
      <c r="H53" s="549"/>
      <c r="I53" s="549">
        <v>12</v>
      </c>
      <c r="J53" s="541">
        <v>16</v>
      </c>
      <c r="K53" s="537">
        <f t="shared" si="1"/>
        <v>25</v>
      </c>
      <c r="L53" s="537">
        <f t="shared" si="4"/>
        <v>0</v>
      </c>
      <c r="M53" s="537">
        <f t="shared" si="2"/>
        <v>75</v>
      </c>
      <c r="N53" s="540">
        <f t="shared" si="3"/>
        <v>100</v>
      </c>
      <c r="O53" s="536">
        <v>23.33</v>
      </c>
      <c r="P53" s="537"/>
      <c r="Q53" s="537">
        <v>33.33</v>
      </c>
      <c r="R53" s="538">
        <f t="shared" si="0"/>
        <v>56.66</v>
      </c>
      <c r="S53" s="292">
        <v>2</v>
      </c>
      <c r="T53" s="838"/>
      <c r="U53" s="863"/>
      <c r="V53" s="299" t="s">
        <v>906</v>
      </c>
      <c r="W53" s="292" t="s">
        <v>97</v>
      </c>
      <c r="X53" s="292" t="s">
        <v>12</v>
      </c>
      <c r="Y53" s="300">
        <v>33.299999999999997</v>
      </c>
      <c r="Z53" s="292" t="s">
        <v>882</v>
      </c>
      <c r="AA53" s="292" t="s">
        <v>27</v>
      </c>
      <c r="AB53" s="292" t="s">
        <v>11</v>
      </c>
      <c r="AC53" s="292">
        <v>13.3</v>
      </c>
      <c r="AD53" s="299" t="s">
        <v>900</v>
      </c>
      <c r="AE53" s="292" t="s">
        <v>297</v>
      </c>
      <c r="AF53" s="292" t="s">
        <v>11</v>
      </c>
      <c r="AG53" s="300">
        <v>10</v>
      </c>
      <c r="AL53" s="299"/>
      <c r="AO53" s="300"/>
      <c r="AP53" s="299"/>
      <c r="AS53" s="300"/>
      <c r="AW53" s="300"/>
      <c r="BA53" s="301"/>
    </row>
    <row r="54" spans="1:53" s="185" customFormat="1">
      <c r="A54" s="185">
        <v>2010</v>
      </c>
      <c r="B54" s="830">
        <v>40368</v>
      </c>
      <c r="C54" s="917" t="s">
        <v>901</v>
      </c>
      <c r="D54" s="917"/>
      <c r="E54" s="185">
        <f xml:space="preserve"> 365-E53</f>
        <v>176</v>
      </c>
      <c r="F54" s="185">
        <v>1</v>
      </c>
      <c r="G54" s="498">
        <v>7</v>
      </c>
      <c r="H54" s="548">
        <v>8</v>
      </c>
      <c r="I54" s="548"/>
      <c r="J54" s="500">
        <v>15</v>
      </c>
      <c r="K54" s="496">
        <f t="shared" si="1"/>
        <v>46.666666666666664</v>
      </c>
      <c r="L54" s="496">
        <f t="shared" si="4"/>
        <v>53.333333333333336</v>
      </c>
      <c r="M54" s="496">
        <f t="shared" si="2"/>
        <v>0</v>
      </c>
      <c r="N54" s="499">
        <f t="shared" si="3"/>
        <v>100</v>
      </c>
      <c r="O54" s="495">
        <v>24</v>
      </c>
      <c r="P54" s="496">
        <v>28.66</v>
      </c>
      <c r="Q54" s="496"/>
      <c r="R54" s="497">
        <f t="shared" si="0"/>
        <v>52.66</v>
      </c>
      <c r="S54" s="185">
        <v>2</v>
      </c>
      <c r="T54" s="839">
        <v>40341</v>
      </c>
      <c r="U54" s="830">
        <v>40368</v>
      </c>
      <c r="V54" s="82" t="s">
        <v>899</v>
      </c>
      <c r="W54" s="185" t="s">
        <v>82</v>
      </c>
      <c r="X54" s="185" t="s">
        <v>18</v>
      </c>
      <c r="Y54" s="83">
        <v>18.7</v>
      </c>
      <c r="Z54" s="185" t="s">
        <v>902</v>
      </c>
      <c r="AA54" s="185" t="s">
        <v>904</v>
      </c>
      <c r="AB54" s="185" t="s">
        <v>11</v>
      </c>
      <c r="AC54" s="185">
        <v>14.7</v>
      </c>
      <c r="AD54" s="82" t="s">
        <v>887</v>
      </c>
      <c r="AE54" s="185" t="s">
        <v>17</v>
      </c>
      <c r="AF54" s="185" t="s">
        <v>18</v>
      </c>
      <c r="AG54" s="83">
        <v>10</v>
      </c>
      <c r="AH54" s="185" t="s">
        <v>903</v>
      </c>
      <c r="AI54" s="185" t="s">
        <v>905</v>
      </c>
      <c r="AJ54" s="185" t="s">
        <v>11</v>
      </c>
      <c r="AK54" s="185">
        <v>9.3000000000000007</v>
      </c>
      <c r="AL54" s="82"/>
      <c r="AO54" s="83"/>
      <c r="AP54" s="82"/>
      <c r="AS54" s="83"/>
      <c r="AW54" s="83"/>
      <c r="BA54" s="84"/>
    </row>
    <row r="55" spans="1:53" s="185" customFormat="1">
      <c r="A55" s="185">
        <v>2011</v>
      </c>
      <c r="B55" s="830"/>
      <c r="C55" s="917" t="s">
        <v>901</v>
      </c>
      <c r="D55" s="917"/>
      <c r="E55" s="185">
        <v>331</v>
      </c>
      <c r="G55" s="498">
        <v>7</v>
      </c>
      <c r="H55" s="548">
        <v>8</v>
      </c>
      <c r="I55" s="548"/>
      <c r="J55" s="500">
        <v>15</v>
      </c>
      <c r="K55" s="496">
        <f t="shared" ref="K55:K60" si="5">G55/J55*100</f>
        <v>46.666666666666664</v>
      </c>
      <c r="L55" s="496">
        <f t="shared" ref="L55:L60" si="6">H55/J55*100</f>
        <v>53.333333333333336</v>
      </c>
      <c r="M55" s="496">
        <f t="shared" ref="M55:M60" si="7">I55/J55*100</f>
        <v>0</v>
      </c>
      <c r="N55" s="499">
        <f t="shared" si="3"/>
        <v>100</v>
      </c>
      <c r="O55" s="495">
        <v>24</v>
      </c>
      <c r="P55" s="496">
        <v>28.66</v>
      </c>
      <c r="Q55" s="496"/>
      <c r="R55" s="497">
        <f t="shared" si="0"/>
        <v>52.66</v>
      </c>
      <c r="S55" s="185">
        <v>2</v>
      </c>
      <c r="T55" s="839"/>
      <c r="U55" s="830"/>
      <c r="V55" s="82" t="s">
        <v>899</v>
      </c>
      <c r="W55" s="185" t="s">
        <v>82</v>
      </c>
      <c r="X55" s="185" t="s">
        <v>18</v>
      </c>
      <c r="Y55" s="83">
        <v>18.7</v>
      </c>
      <c r="Z55" s="185" t="s">
        <v>902</v>
      </c>
      <c r="AA55" s="185" t="s">
        <v>904</v>
      </c>
      <c r="AB55" s="185" t="s">
        <v>11</v>
      </c>
      <c r="AC55" s="185">
        <v>14.7</v>
      </c>
      <c r="AD55" s="82" t="s">
        <v>887</v>
      </c>
      <c r="AE55" s="185" t="s">
        <v>17</v>
      </c>
      <c r="AF55" s="185" t="s">
        <v>18</v>
      </c>
      <c r="AG55" s="83">
        <v>10</v>
      </c>
      <c r="AH55" s="185" t="s">
        <v>903</v>
      </c>
      <c r="AI55" s="185" t="s">
        <v>905</v>
      </c>
      <c r="AJ55" s="185" t="s">
        <v>11</v>
      </c>
      <c r="AK55" s="185">
        <v>9.3000000000000007</v>
      </c>
      <c r="AL55" s="82"/>
      <c r="AO55" s="83"/>
      <c r="AP55" s="82"/>
      <c r="AS55" s="83"/>
      <c r="AW55" s="83"/>
      <c r="BA55" s="84"/>
    </row>
    <row r="56" spans="1:53" s="185" customFormat="1">
      <c r="A56" s="185">
        <v>2011</v>
      </c>
      <c r="B56" s="864">
        <v>40875</v>
      </c>
      <c r="C56" s="917" t="s">
        <v>901</v>
      </c>
      <c r="D56" s="917"/>
      <c r="E56" s="185">
        <f xml:space="preserve"> 365-E55</f>
        <v>34</v>
      </c>
      <c r="F56" s="123"/>
      <c r="G56" s="498">
        <v>6</v>
      </c>
      <c r="H56" s="548">
        <v>9</v>
      </c>
      <c r="I56" s="548"/>
      <c r="J56" s="500">
        <v>15</v>
      </c>
      <c r="K56" s="496">
        <f t="shared" si="5"/>
        <v>40</v>
      </c>
      <c r="L56" s="496">
        <f t="shared" si="6"/>
        <v>60</v>
      </c>
      <c r="M56" s="496">
        <f t="shared" si="7"/>
        <v>0</v>
      </c>
      <c r="N56" s="499">
        <f t="shared" si="3"/>
        <v>100</v>
      </c>
      <c r="O56" s="495">
        <v>24</v>
      </c>
      <c r="P56" s="496">
        <v>28.66</v>
      </c>
      <c r="Q56" s="496"/>
      <c r="R56" s="497">
        <f t="shared" si="0"/>
        <v>52.66</v>
      </c>
      <c r="S56" s="185">
        <v>2</v>
      </c>
      <c r="T56" s="839"/>
      <c r="U56" s="830"/>
      <c r="V56" s="82" t="s">
        <v>899</v>
      </c>
      <c r="W56" s="185" t="s">
        <v>82</v>
      </c>
      <c r="X56" s="185" t="s">
        <v>18</v>
      </c>
      <c r="Y56" s="83">
        <v>18.7</v>
      </c>
      <c r="Z56" s="185" t="s">
        <v>902</v>
      </c>
      <c r="AA56" s="185" t="s">
        <v>904</v>
      </c>
      <c r="AB56" s="185" t="s">
        <v>11</v>
      </c>
      <c r="AC56" s="185">
        <v>14.7</v>
      </c>
      <c r="AD56" s="82" t="s">
        <v>887</v>
      </c>
      <c r="AE56" s="185" t="s">
        <v>17</v>
      </c>
      <c r="AF56" s="185" t="s">
        <v>18</v>
      </c>
      <c r="AG56" s="83">
        <v>10</v>
      </c>
      <c r="AH56" s="185" t="s">
        <v>903</v>
      </c>
      <c r="AI56" s="185" t="s">
        <v>905</v>
      </c>
      <c r="AJ56" s="185" t="s">
        <v>11</v>
      </c>
      <c r="AK56" s="185">
        <v>9.3000000000000007</v>
      </c>
      <c r="AL56" s="82"/>
      <c r="AO56" s="83"/>
      <c r="AP56" s="82"/>
      <c r="AS56" s="83"/>
      <c r="AW56" s="83"/>
      <c r="BA56" s="84"/>
    </row>
    <row r="57" spans="1:53" s="185" customFormat="1">
      <c r="A57" s="185">
        <v>2012</v>
      </c>
      <c r="B57" s="830"/>
      <c r="C57" s="917" t="s">
        <v>901</v>
      </c>
      <c r="D57" s="917"/>
      <c r="E57" s="185">
        <v>94</v>
      </c>
      <c r="G57" s="498">
        <v>6</v>
      </c>
      <c r="H57" s="548">
        <v>9</v>
      </c>
      <c r="I57" s="548"/>
      <c r="J57" s="500">
        <v>15</v>
      </c>
      <c r="K57" s="496">
        <f t="shared" si="5"/>
        <v>40</v>
      </c>
      <c r="L57" s="496">
        <f t="shared" si="6"/>
        <v>60</v>
      </c>
      <c r="M57" s="496">
        <f t="shared" si="7"/>
        <v>0</v>
      </c>
      <c r="N57" s="499">
        <f t="shared" si="3"/>
        <v>100</v>
      </c>
      <c r="O57" s="495">
        <v>24</v>
      </c>
      <c r="P57" s="496">
        <v>28.66</v>
      </c>
      <c r="Q57" s="496"/>
      <c r="R57" s="497">
        <f t="shared" si="0"/>
        <v>52.66</v>
      </c>
      <c r="S57" s="185">
        <v>2</v>
      </c>
      <c r="T57" s="839"/>
      <c r="U57" s="830"/>
      <c r="V57" s="82" t="s">
        <v>899</v>
      </c>
      <c r="W57" s="185" t="s">
        <v>82</v>
      </c>
      <c r="X57" s="185" t="s">
        <v>18</v>
      </c>
      <c r="Y57" s="83">
        <v>18.7</v>
      </c>
      <c r="Z57" s="185" t="s">
        <v>902</v>
      </c>
      <c r="AA57" s="185" t="s">
        <v>904</v>
      </c>
      <c r="AB57" s="185" t="s">
        <v>11</v>
      </c>
      <c r="AC57" s="185">
        <v>14.7</v>
      </c>
      <c r="AD57" s="82" t="s">
        <v>887</v>
      </c>
      <c r="AE57" s="185" t="s">
        <v>17</v>
      </c>
      <c r="AF57" s="185" t="s">
        <v>18</v>
      </c>
      <c r="AG57" s="83">
        <v>10</v>
      </c>
      <c r="AH57" s="185" t="s">
        <v>903</v>
      </c>
      <c r="AI57" s="185" t="s">
        <v>905</v>
      </c>
      <c r="AJ57" s="185" t="s">
        <v>11</v>
      </c>
      <c r="AK57" s="185">
        <v>9.3000000000000007</v>
      </c>
      <c r="AL57" s="82"/>
      <c r="AO57" s="83"/>
      <c r="AP57" s="82"/>
      <c r="AS57" s="83"/>
      <c r="AW57" s="83"/>
      <c r="BA57" s="84"/>
    </row>
    <row r="58" spans="1:53" s="292" customFormat="1">
      <c r="A58" s="292">
        <v>2012</v>
      </c>
      <c r="B58" s="863">
        <v>41003</v>
      </c>
      <c r="C58" s="958" t="s">
        <v>907</v>
      </c>
      <c r="D58" s="958"/>
      <c r="E58" s="292">
        <f xml:space="preserve"> 366-E57</f>
        <v>272</v>
      </c>
      <c r="F58" s="292">
        <v>1</v>
      </c>
      <c r="G58" s="539"/>
      <c r="H58" s="549"/>
      <c r="I58" s="549">
        <v>15</v>
      </c>
      <c r="J58" s="541">
        <v>15</v>
      </c>
      <c r="K58" s="537">
        <f t="shared" si="5"/>
        <v>0</v>
      </c>
      <c r="L58" s="537">
        <f t="shared" si="6"/>
        <v>0</v>
      </c>
      <c r="M58" s="537">
        <f t="shared" si="7"/>
        <v>100</v>
      </c>
      <c r="N58" s="540">
        <f t="shared" si="3"/>
        <v>100</v>
      </c>
      <c r="O58" s="536"/>
      <c r="P58" s="537"/>
      <c r="Q58" s="537">
        <v>55.3</v>
      </c>
      <c r="R58" s="538">
        <f t="shared" si="0"/>
        <v>55.3</v>
      </c>
      <c r="S58" s="292">
        <v>1</v>
      </c>
      <c r="T58" s="838">
        <v>40978</v>
      </c>
      <c r="U58" s="863">
        <v>41003</v>
      </c>
      <c r="V58" s="299" t="s">
        <v>906</v>
      </c>
      <c r="W58" s="292" t="s">
        <v>97</v>
      </c>
      <c r="X58" s="292" t="s">
        <v>12</v>
      </c>
      <c r="Y58" s="300">
        <v>55.3</v>
      </c>
      <c r="AD58" s="299"/>
      <c r="AG58" s="300"/>
      <c r="AL58" s="299"/>
      <c r="AO58" s="300"/>
      <c r="AP58" s="299"/>
      <c r="AS58" s="300"/>
      <c r="AW58" s="300"/>
      <c r="BA58" s="301"/>
    </row>
    <row r="59" spans="1:53" s="292" customFormat="1">
      <c r="A59" s="292">
        <v>2013</v>
      </c>
      <c r="B59" s="863"/>
      <c r="C59" s="958" t="s">
        <v>907</v>
      </c>
      <c r="D59" s="958"/>
      <c r="E59" s="292">
        <v>0</v>
      </c>
      <c r="G59" s="539"/>
      <c r="H59" s="549"/>
      <c r="I59" s="549">
        <v>15</v>
      </c>
      <c r="J59" s="541">
        <v>15</v>
      </c>
      <c r="K59" s="537">
        <f t="shared" si="5"/>
        <v>0</v>
      </c>
      <c r="L59" s="537">
        <f t="shared" si="6"/>
        <v>0</v>
      </c>
      <c r="M59" s="537">
        <f t="shared" si="7"/>
        <v>100</v>
      </c>
      <c r="N59" s="540">
        <f t="shared" si="3"/>
        <v>100</v>
      </c>
      <c r="O59" s="536"/>
      <c r="P59" s="537"/>
      <c r="Q59" s="537">
        <v>55.3</v>
      </c>
      <c r="R59" s="538">
        <f t="shared" si="0"/>
        <v>55.3</v>
      </c>
      <c r="S59" s="292">
        <v>1</v>
      </c>
      <c r="T59" s="838"/>
      <c r="U59" s="863"/>
      <c r="V59" s="299" t="s">
        <v>906</v>
      </c>
      <c r="W59" s="292" t="s">
        <v>97</v>
      </c>
      <c r="X59" s="292" t="s">
        <v>12</v>
      </c>
      <c r="Y59" s="300">
        <v>55.3</v>
      </c>
      <c r="AD59" s="299"/>
      <c r="AG59" s="300"/>
      <c r="AL59" s="299"/>
      <c r="AO59" s="300"/>
      <c r="AP59" s="299"/>
      <c r="AS59" s="300"/>
      <c r="AW59" s="300"/>
      <c r="BA59" s="301"/>
    </row>
    <row r="60" spans="1:53" s="292" customFormat="1">
      <c r="A60" s="292">
        <v>2013</v>
      </c>
      <c r="B60" s="863"/>
      <c r="C60" s="958" t="s">
        <v>907</v>
      </c>
      <c r="D60" s="958"/>
      <c r="E60" s="292">
        <v>365</v>
      </c>
      <c r="G60" s="539"/>
      <c r="H60" s="549"/>
      <c r="I60" s="549">
        <v>15</v>
      </c>
      <c r="J60" s="541">
        <v>15</v>
      </c>
      <c r="K60" s="537">
        <f t="shared" si="5"/>
        <v>0</v>
      </c>
      <c r="L60" s="537">
        <f t="shared" si="6"/>
        <v>0</v>
      </c>
      <c r="M60" s="537">
        <f t="shared" si="7"/>
        <v>100</v>
      </c>
      <c r="N60" s="540">
        <f t="shared" si="3"/>
        <v>100</v>
      </c>
      <c r="O60" s="536"/>
      <c r="P60" s="537"/>
      <c r="Q60" s="537">
        <v>55.3</v>
      </c>
      <c r="R60" s="538">
        <f t="shared" si="0"/>
        <v>55.3</v>
      </c>
      <c r="S60" s="292">
        <v>1</v>
      </c>
      <c r="T60" s="838"/>
      <c r="U60" s="863"/>
      <c r="V60" s="299" t="s">
        <v>906</v>
      </c>
      <c r="W60" s="292" t="s">
        <v>97</v>
      </c>
      <c r="X60" s="292" t="s">
        <v>12</v>
      </c>
      <c r="Y60" s="300">
        <v>55.3</v>
      </c>
      <c r="AD60" s="299"/>
      <c r="AG60" s="300"/>
      <c r="AL60" s="299"/>
      <c r="AO60" s="300"/>
      <c r="AP60" s="299"/>
      <c r="AS60" s="300"/>
      <c r="AW60" s="300"/>
      <c r="BA60" s="301"/>
    </row>
    <row r="61" spans="1:53" s="549" customFormat="1">
      <c r="A61" s="549">
        <v>2014</v>
      </c>
      <c r="B61" s="863"/>
      <c r="C61" s="958" t="s">
        <v>907</v>
      </c>
      <c r="D61" s="958"/>
      <c r="E61" s="549">
        <v>0</v>
      </c>
      <c r="G61" s="539"/>
      <c r="I61" s="549">
        <v>15</v>
      </c>
      <c r="J61" s="541">
        <v>15</v>
      </c>
      <c r="K61" s="537">
        <f>G61/J61*100</f>
        <v>0</v>
      </c>
      <c r="L61" s="537">
        <f>H61/J61*100</f>
        <v>0</v>
      </c>
      <c r="M61" s="537">
        <f>I61/J61*100</f>
        <v>100</v>
      </c>
      <c r="N61" s="540">
        <f>SUM(K61:M61)</f>
        <v>100</v>
      </c>
      <c r="O61" s="536"/>
      <c r="P61" s="537"/>
      <c r="Q61" s="537">
        <v>55.3</v>
      </c>
      <c r="R61" s="538">
        <f>SUM(O61:Q61)</f>
        <v>55.3</v>
      </c>
      <c r="S61" s="549">
        <v>1</v>
      </c>
      <c r="T61" s="838"/>
      <c r="U61" s="863"/>
      <c r="V61" s="532" t="s">
        <v>906</v>
      </c>
      <c r="W61" s="549" t="s">
        <v>97</v>
      </c>
      <c r="X61" s="549" t="s">
        <v>12</v>
      </c>
      <c r="Y61" s="533">
        <v>55.3</v>
      </c>
      <c r="AD61" s="532"/>
      <c r="AG61" s="533"/>
      <c r="AL61" s="532"/>
      <c r="AO61" s="533"/>
      <c r="AP61" s="532"/>
      <c r="AS61" s="533"/>
      <c r="AW61" s="533"/>
      <c r="BA61" s="534"/>
    </row>
    <row r="62" spans="1:53" s="549" customFormat="1">
      <c r="A62" s="549">
        <v>2014</v>
      </c>
      <c r="B62" s="863"/>
      <c r="C62" s="958" t="s">
        <v>907</v>
      </c>
      <c r="D62" s="958"/>
      <c r="E62" s="549">
        <v>365</v>
      </c>
      <c r="G62" s="539"/>
      <c r="I62" s="549">
        <v>15</v>
      </c>
      <c r="J62" s="541">
        <v>15</v>
      </c>
      <c r="K62" s="537">
        <f>G62/J62*100</f>
        <v>0</v>
      </c>
      <c r="L62" s="537">
        <f>H62/J62*100</f>
        <v>0</v>
      </c>
      <c r="M62" s="537">
        <f>I62/J62*100</f>
        <v>100</v>
      </c>
      <c r="N62" s="540">
        <f>SUM(K62:M62)</f>
        <v>100</v>
      </c>
      <c r="O62" s="536"/>
      <c r="P62" s="537"/>
      <c r="Q62" s="537">
        <v>55.3</v>
      </c>
      <c r="R62" s="538">
        <f>SUM(O62:Q62)</f>
        <v>55.3</v>
      </c>
      <c r="S62" s="549">
        <v>1</v>
      </c>
      <c r="T62" s="838"/>
      <c r="U62" s="863"/>
      <c r="V62" s="532" t="s">
        <v>906</v>
      </c>
      <c r="W62" s="549" t="s">
        <v>97</v>
      </c>
      <c r="X62" s="549" t="s">
        <v>12</v>
      </c>
      <c r="Y62" s="533">
        <v>55.3</v>
      </c>
      <c r="AD62" s="532"/>
      <c r="AG62" s="533"/>
      <c r="AL62" s="532"/>
      <c r="AO62" s="533"/>
      <c r="AP62" s="532"/>
      <c r="AS62" s="533"/>
      <c r="AW62" s="533"/>
      <c r="BA62" s="534"/>
    </row>
    <row r="63" spans="1:53" s="622" customFormat="1">
      <c r="A63" s="622">
        <v>2015</v>
      </c>
      <c r="B63" s="863"/>
      <c r="C63" s="958" t="s">
        <v>907</v>
      </c>
      <c r="D63" s="958"/>
      <c r="E63" s="622">
        <v>0</v>
      </c>
      <c r="G63" s="539"/>
      <c r="I63" s="622">
        <v>15</v>
      </c>
      <c r="J63" s="541">
        <v>15</v>
      </c>
      <c r="K63" s="537">
        <f t="shared" ref="K63:K65" si="8">G63/J63*100</f>
        <v>0</v>
      </c>
      <c r="L63" s="537">
        <f t="shared" ref="L63:L65" si="9">H63/J63*100</f>
        <v>0</v>
      </c>
      <c r="M63" s="537">
        <f t="shared" ref="M63:M65" si="10">I63/J63*100</f>
        <v>100</v>
      </c>
      <c r="N63" s="540">
        <f t="shared" ref="N63:N65" si="11">SUM(K63:M63)</f>
        <v>100</v>
      </c>
      <c r="O63" s="536"/>
      <c r="P63" s="537"/>
      <c r="Q63" s="537">
        <v>55.3</v>
      </c>
      <c r="R63" s="538">
        <f t="shared" ref="R63:R66" si="12">SUM(O63:Q63)</f>
        <v>55.3</v>
      </c>
      <c r="S63" s="622">
        <v>1</v>
      </c>
      <c r="T63" s="838"/>
      <c r="U63" s="863"/>
      <c r="V63" s="532" t="s">
        <v>906</v>
      </c>
      <c r="W63" s="622" t="s">
        <v>97</v>
      </c>
      <c r="X63" s="622" t="s">
        <v>12</v>
      </c>
      <c r="Y63" s="533">
        <v>55.3</v>
      </c>
      <c r="AD63" s="532"/>
      <c r="AG63" s="533"/>
      <c r="AL63" s="532"/>
      <c r="AO63" s="533"/>
      <c r="AP63" s="532"/>
      <c r="AS63" s="533"/>
      <c r="AW63" s="533"/>
      <c r="BA63" s="534"/>
    </row>
    <row r="64" spans="1:53" s="622" customFormat="1">
      <c r="A64" s="622">
        <v>2015</v>
      </c>
      <c r="B64" s="863"/>
      <c r="C64" s="958" t="s">
        <v>907</v>
      </c>
      <c r="D64" s="958"/>
      <c r="E64" s="622">
        <v>365</v>
      </c>
      <c r="G64" s="539"/>
      <c r="I64" s="622">
        <v>15</v>
      </c>
      <c r="J64" s="541">
        <v>15</v>
      </c>
      <c r="K64" s="537">
        <f t="shared" si="8"/>
        <v>0</v>
      </c>
      <c r="L64" s="537">
        <f t="shared" si="9"/>
        <v>0</v>
      </c>
      <c r="M64" s="537">
        <f t="shared" si="10"/>
        <v>100</v>
      </c>
      <c r="N64" s="540">
        <f t="shared" si="11"/>
        <v>100</v>
      </c>
      <c r="O64" s="536"/>
      <c r="P64" s="537"/>
      <c r="Q64" s="537">
        <v>55.3</v>
      </c>
      <c r="R64" s="538">
        <f t="shared" si="12"/>
        <v>55.3</v>
      </c>
      <c r="S64" s="622">
        <v>1</v>
      </c>
      <c r="T64" s="838"/>
      <c r="U64" s="863"/>
      <c r="V64" s="532" t="s">
        <v>906</v>
      </c>
      <c r="W64" s="622" t="s">
        <v>97</v>
      </c>
      <c r="X64" s="622" t="s">
        <v>12</v>
      </c>
      <c r="Y64" s="533">
        <v>55.3</v>
      </c>
      <c r="AD64" s="532"/>
      <c r="AG64" s="533"/>
      <c r="AL64" s="532"/>
      <c r="AO64" s="533"/>
      <c r="AP64" s="532"/>
      <c r="AS64" s="533"/>
      <c r="AW64" s="533"/>
      <c r="BA64" s="534"/>
    </row>
    <row r="65" spans="1:53" s="687" customFormat="1">
      <c r="A65" s="687">
        <v>2016</v>
      </c>
      <c r="B65" s="863"/>
      <c r="C65" s="958" t="s">
        <v>907</v>
      </c>
      <c r="D65" s="958"/>
      <c r="E65" s="687">
        <v>82</v>
      </c>
      <c r="G65" s="539"/>
      <c r="I65" s="687">
        <v>15</v>
      </c>
      <c r="J65" s="541">
        <v>15</v>
      </c>
      <c r="K65" s="537">
        <f t="shared" si="8"/>
        <v>0</v>
      </c>
      <c r="L65" s="537">
        <f t="shared" si="9"/>
        <v>0</v>
      </c>
      <c r="M65" s="537">
        <f t="shared" si="10"/>
        <v>100</v>
      </c>
      <c r="N65" s="540">
        <f t="shared" si="11"/>
        <v>100</v>
      </c>
      <c r="O65" s="536"/>
      <c r="P65" s="537"/>
      <c r="Q65" s="537">
        <v>55.3</v>
      </c>
      <c r="R65" s="538">
        <f t="shared" si="12"/>
        <v>55.3</v>
      </c>
      <c r="S65" s="687">
        <v>1</v>
      </c>
      <c r="T65" s="838"/>
      <c r="U65" s="863"/>
      <c r="V65" s="532" t="s">
        <v>906</v>
      </c>
      <c r="W65" s="687" t="s">
        <v>97</v>
      </c>
      <c r="X65" s="687" t="s">
        <v>12</v>
      </c>
      <c r="Y65" s="533">
        <v>55.3</v>
      </c>
      <c r="AD65" s="532"/>
      <c r="AG65" s="533"/>
      <c r="AL65" s="532"/>
      <c r="AO65" s="533"/>
      <c r="AP65" s="532"/>
      <c r="AS65" s="533"/>
      <c r="AW65" s="533"/>
      <c r="BA65" s="534"/>
    </row>
    <row r="66" spans="1:53" s="701" customFormat="1">
      <c r="A66" s="701">
        <v>2016</v>
      </c>
      <c r="B66" s="830">
        <v>42452</v>
      </c>
      <c r="C66" s="950" t="s">
        <v>1354</v>
      </c>
      <c r="D66" s="950"/>
      <c r="E66" s="701">
        <v>161</v>
      </c>
      <c r="F66" s="701">
        <v>1</v>
      </c>
      <c r="G66" s="498">
        <v>5</v>
      </c>
      <c r="H66" s="710">
        <v>1</v>
      </c>
      <c r="I66" s="701">
        <v>9</v>
      </c>
      <c r="J66" s="500">
        <v>15</v>
      </c>
      <c r="K66" s="496">
        <f t="shared" ref="K66" si="13">G66/J66*100</f>
        <v>33.333333333333329</v>
      </c>
      <c r="L66" s="496">
        <f t="shared" ref="L66" si="14">H66/J66*100</f>
        <v>6.666666666666667</v>
      </c>
      <c r="M66" s="496">
        <f t="shared" ref="M66" si="15">I66/J66*100</f>
        <v>60</v>
      </c>
      <c r="N66" s="499">
        <f t="shared" ref="N66" si="16">SUM(K66:M66)</f>
        <v>100</v>
      </c>
      <c r="O66" s="495">
        <v>32.700000000000003</v>
      </c>
      <c r="P66" s="496">
        <v>4.7</v>
      </c>
      <c r="Q66" s="496">
        <v>17.3</v>
      </c>
      <c r="R66" s="497">
        <f t="shared" si="12"/>
        <v>54.7</v>
      </c>
      <c r="S66" s="701">
        <v>2</v>
      </c>
      <c r="T66" s="839">
        <v>42434</v>
      </c>
      <c r="U66" s="830">
        <v>42452</v>
      </c>
      <c r="V66" s="492" t="s">
        <v>906</v>
      </c>
      <c r="W66" s="701" t="s">
        <v>307</v>
      </c>
      <c r="X66" s="701" t="s">
        <v>12</v>
      </c>
      <c r="Y66" s="493">
        <v>32.700000000000003</v>
      </c>
      <c r="Z66" s="701" t="s">
        <v>882</v>
      </c>
      <c r="AA66" s="701" t="s">
        <v>27</v>
      </c>
      <c r="AB66" s="701" t="s">
        <v>11</v>
      </c>
      <c r="AC66" s="701">
        <v>10</v>
      </c>
      <c r="AD66" s="492" t="s">
        <v>903</v>
      </c>
      <c r="AE66" s="701" t="s">
        <v>905</v>
      </c>
      <c r="AF66" s="701" t="s">
        <v>11</v>
      </c>
      <c r="AG66" s="493">
        <v>7.3</v>
      </c>
      <c r="AH66" s="710" t="s">
        <v>1355</v>
      </c>
      <c r="AI66" s="710" t="s">
        <v>76</v>
      </c>
      <c r="AJ66" s="710" t="s">
        <v>18</v>
      </c>
      <c r="AK66" s="710">
        <v>4.7</v>
      </c>
      <c r="AL66" s="492"/>
      <c r="AO66" s="493"/>
      <c r="AP66" s="492"/>
      <c r="AS66" s="493"/>
      <c r="AW66" s="493"/>
      <c r="BA66" s="494"/>
    </row>
    <row r="67" spans="1:53" s="701" customFormat="1">
      <c r="A67" s="701">
        <v>2016</v>
      </c>
      <c r="B67" s="864">
        <v>42613</v>
      </c>
      <c r="C67" s="950" t="s">
        <v>1354</v>
      </c>
      <c r="D67" s="950"/>
      <c r="E67" s="701">
        <v>123</v>
      </c>
      <c r="F67" s="502">
        <v>0</v>
      </c>
      <c r="G67" s="498">
        <v>6</v>
      </c>
      <c r="I67" s="701">
        <v>9</v>
      </c>
      <c r="J67" s="500">
        <v>15</v>
      </c>
      <c r="K67" s="496">
        <f t="shared" ref="K67" si="17">G67/J67*100</f>
        <v>40</v>
      </c>
      <c r="L67" s="496">
        <f t="shared" ref="L67" si="18">H67/J67*100</f>
        <v>0</v>
      </c>
      <c r="M67" s="496">
        <f t="shared" ref="M67" si="19">I67/J67*100</f>
        <v>60</v>
      </c>
      <c r="N67" s="499">
        <f t="shared" ref="N67" si="20">SUM(K67:M67)</f>
        <v>100</v>
      </c>
      <c r="O67" s="495">
        <v>32.700000000000003</v>
      </c>
      <c r="P67" s="496">
        <v>4.7</v>
      </c>
      <c r="Q67" s="496">
        <v>17.3</v>
      </c>
      <c r="R67" s="497">
        <f t="shared" ref="R67" si="21">SUM(O67:Q67)</f>
        <v>54.7</v>
      </c>
      <c r="S67" s="701">
        <v>2</v>
      </c>
      <c r="T67" s="839"/>
      <c r="U67" s="830"/>
      <c r="V67" s="492" t="s">
        <v>906</v>
      </c>
      <c r="W67" s="701" t="s">
        <v>307</v>
      </c>
      <c r="X67" s="701" t="s">
        <v>12</v>
      </c>
      <c r="Y67" s="493">
        <v>32.700000000000003</v>
      </c>
      <c r="Z67" s="701" t="s">
        <v>882</v>
      </c>
      <c r="AA67" s="701" t="s">
        <v>27</v>
      </c>
      <c r="AB67" s="701" t="s">
        <v>11</v>
      </c>
      <c r="AC67" s="701">
        <v>10</v>
      </c>
      <c r="AD67" s="492" t="s">
        <v>903</v>
      </c>
      <c r="AE67" s="701" t="s">
        <v>905</v>
      </c>
      <c r="AF67" s="701" t="s">
        <v>11</v>
      </c>
      <c r="AG67" s="493">
        <v>7.3</v>
      </c>
      <c r="AH67" s="710"/>
      <c r="AI67" s="710"/>
      <c r="AJ67" s="710"/>
      <c r="AK67" s="710"/>
      <c r="AL67" s="492"/>
      <c r="AO67" s="493"/>
      <c r="AP67" s="492"/>
      <c r="AS67" s="493"/>
      <c r="AW67" s="493"/>
      <c r="BA67" s="494"/>
    </row>
    <row r="68" spans="1:53" s="732" customFormat="1">
      <c r="A68" s="732">
        <v>2017</v>
      </c>
      <c r="B68" s="864"/>
      <c r="C68" s="950" t="s">
        <v>1354</v>
      </c>
      <c r="D68" s="950"/>
      <c r="E68" s="732">
        <v>0</v>
      </c>
      <c r="F68" s="502"/>
      <c r="G68" s="498">
        <v>6</v>
      </c>
      <c r="I68" s="732">
        <v>9</v>
      </c>
      <c r="J68" s="500">
        <v>15</v>
      </c>
      <c r="K68" s="496">
        <f t="shared" ref="K68:K69" si="22">G68/J68*100</f>
        <v>40</v>
      </c>
      <c r="L68" s="496">
        <f t="shared" ref="L68:L69" si="23">H68/J68*100</f>
        <v>0</v>
      </c>
      <c r="M68" s="496">
        <f t="shared" ref="M68:M69" si="24">I68/J68*100</f>
        <v>60</v>
      </c>
      <c r="N68" s="499">
        <f t="shared" ref="N68:N69" si="25">SUM(K68:M68)</f>
        <v>100</v>
      </c>
      <c r="O68" s="495">
        <v>32.700000000000003</v>
      </c>
      <c r="P68" s="496">
        <v>4.7</v>
      </c>
      <c r="Q68" s="496">
        <v>17.3</v>
      </c>
      <c r="R68" s="497">
        <f t="shared" ref="R68:R69" si="26">SUM(O68:Q68)</f>
        <v>54.7</v>
      </c>
      <c r="S68" s="732">
        <v>2</v>
      </c>
      <c r="T68" s="839"/>
      <c r="U68" s="830"/>
      <c r="V68" s="492" t="s">
        <v>906</v>
      </c>
      <c r="W68" s="732" t="s">
        <v>307</v>
      </c>
      <c r="X68" s="732" t="s">
        <v>12</v>
      </c>
      <c r="Y68" s="493">
        <v>32.700000000000003</v>
      </c>
      <c r="Z68" s="732" t="s">
        <v>882</v>
      </c>
      <c r="AA68" s="732" t="s">
        <v>27</v>
      </c>
      <c r="AB68" s="732" t="s">
        <v>11</v>
      </c>
      <c r="AC68" s="732">
        <v>10</v>
      </c>
      <c r="AD68" s="492" t="s">
        <v>903</v>
      </c>
      <c r="AE68" s="732" t="s">
        <v>905</v>
      </c>
      <c r="AF68" s="732" t="s">
        <v>11</v>
      </c>
      <c r="AG68" s="493">
        <v>7.3</v>
      </c>
      <c r="AL68" s="492"/>
      <c r="AO68" s="493"/>
      <c r="AP68" s="492"/>
      <c r="AS68" s="493"/>
      <c r="AW68" s="493"/>
      <c r="BA68" s="494"/>
    </row>
    <row r="69" spans="1:53" s="732" customFormat="1">
      <c r="A69" s="732">
        <v>2017</v>
      </c>
      <c r="B69" s="864"/>
      <c r="C69" s="950" t="s">
        <v>1354</v>
      </c>
      <c r="D69" s="950"/>
      <c r="E69" s="732">
        <v>365</v>
      </c>
      <c r="F69" s="502"/>
      <c r="G69" s="498">
        <v>6</v>
      </c>
      <c r="I69" s="732">
        <v>9</v>
      </c>
      <c r="J69" s="500">
        <v>15</v>
      </c>
      <c r="K69" s="496">
        <f t="shared" si="22"/>
        <v>40</v>
      </c>
      <c r="L69" s="496">
        <f t="shared" si="23"/>
        <v>0</v>
      </c>
      <c r="M69" s="496">
        <f t="shared" si="24"/>
        <v>60</v>
      </c>
      <c r="N69" s="499">
        <f t="shared" si="25"/>
        <v>100</v>
      </c>
      <c r="O69" s="495">
        <v>32.700000000000003</v>
      </c>
      <c r="P69" s="496">
        <v>4.7</v>
      </c>
      <c r="Q69" s="496">
        <v>17.3</v>
      </c>
      <c r="R69" s="497">
        <f t="shared" si="26"/>
        <v>54.7</v>
      </c>
      <c r="S69" s="732">
        <v>2</v>
      </c>
      <c r="T69" s="839"/>
      <c r="U69" s="830"/>
      <c r="V69" s="492" t="s">
        <v>906</v>
      </c>
      <c r="W69" s="732" t="s">
        <v>307</v>
      </c>
      <c r="X69" s="732" t="s">
        <v>12</v>
      </c>
      <c r="Y69" s="493">
        <v>32.700000000000003</v>
      </c>
      <c r="Z69" s="732" t="s">
        <v>882</v>
      </c>
      <c r="AA69" s="732" t="s">
        <v>27</v>
      </c>
      <c r="AB69" s="732" t="s">
        <v>11</v>
      </c>
      <c r="AC69" s="732">
        <v>10</v>
      </c>
      <c r="AD69" s="492" t="s">
        <v>903</v>
      </c>
      <c r="AE69" s="732" t="s">
        <v>905</v>
      </c>
      <c r="AF69" s="732" t="s">
        <v>11</v>
      </c>
      <c r="AG69" s="493">
        <v>7.3</v>
      </c>
      <c r="AL69" s="492"/>
      <c r="AO69" s="493"/>
      <c r="AP69" s="492"/>
      <c r="AS69" s="493"/>
      <c r="AW69" s="493"/>
      <c r="BA69" s="494"/>
    </row>
    <row r="70" spans="1:53" s="771" customFormat="1">
      <c r="A70" s="771">
        <v>2018</v>
      </c>
      <c r="B70" s="864"/>
      <c r="C70" s="950" t="s">
        <v>1354</v>
      </c>
      <c r="D70" s="950"/>
      <c r="E70" s="771">
        <v>52</v>
      </c>
      <c r="F70" s="502"/>
      <c r="G70" s="498">
        <v>6</v>
      </c>
      <c r="I70" s="771">
        <v>9</v>
      </c>
      <c r="J70" s="500">
        <v>15</v>
      </c>
      <c r="K70" s="496">
        <f t="shared" ref="K70" si="27">G70/J70*100</f>
        <v>40</v>
      </c>
      <c r="L70" s="496">
        <f t="shared" ref="L70" si="28">H70/J70*100</f>
        <v>0</v>
      </c>
      <c r="M70" s="496">
        <f t="shared" ref="M70" si="29">I70/J70*100</f>
        <v>60</v>
      </c>
      <c r="N70" s="499">
        <f t="shared" ref="N70" si="30">SUM(K70:M70)</f>
        <v>100</v>
      </c>
      <c r="O70" s="495">
        <v>32.700000000000003</v>
      </c>
      <c r="P70" s="496">
        <v>4.7</v>
      </c>
      <c r="Q70" s="496">
        <v>17.3</v>
      </c>
      <c r="R70" s="497">
        <f t="shared" ref="R70:R71" si="31">SUM(O70:Q70)</f>
        <v>54.7</v>
      </c>
      <c r="S70" s="771">
        <v>2</v>
      </c>
      <c r="T70" s="839"/>
      <c r="U70" s="830"/>
      <c r="V70" s="492" t="s">
        <v>906</v>
      </c>
      <c r="W70" s="771" t="s">
        <v>307</v>
      </c>
      <c r="X70" s="771" t="s">
        <v>12</v>
      </c>
      <c r="Y70" s="493">
        <v>32.700000000000003</v>
      </c>
      <c r="Z70" s="771" t="s">
        <v>882</v>
      </c>
      <c r="AA70" s="771" t="s">
        <v>27</v>
      </c>
      <c r="AB70" s="771" t="s">
        <v>11</v>
      </c>
      <c r="AC70" s="771">
        <v>10</v>
      </c>
      <c r="AD70" s="492" t="s">
        <v>903</v>
      </c>
      <c r="AE70" s="771" t="s">
        <v>905</v>
      </c>
      <c r="AF70" s="771" t="s">
        <v>11</v>
      </c>
      <c r="AG70" s="493">
        <v>7.3</v>
      </c>
      <c r="AL70" s="492"/>
      <c r="AO70" s="493"/>
      <c r="AP70" s="492"/>
      <c r="AS70" s="493"/>
      <c r="AW70" s="493"/>
      <c r="BA70" s="494"/>
    </row>
    <row r="71" spans="1:53" s="770" customFormat="1">
      <c r="A71" s="770">
        <v>2018</v>
      </c>
      <c r="B71" s="863">
        <v>43153</v>
      </c>
      <c r="C71" s="958" t="s">
        <v>1462</v>
      </c>
      <c r="D71" s="958"/>
      <c r="E71" s="770">
        <v>313</v>
      </c>
      <c r="F71" s="770">
        <v>2</v>
      </c>
      <c r="G71" s="539">
        <v>6</v>
      </c>
      <c r="I71" s="770">
        <v>9</v>
      </c>
      <c r="J71" s="541">
        <v>15</v>
      </c>
      <c r="K71" s="537">
        <f t="shared" ref="K71" si="32">G71/J71*100</f>
        <v>40</v>
      </c>
      <c r="L71" s="537">
        <f t="shared" ref="L71" si="33">H71/J71*100</f>
        <v>0</v>
      </c>
      <c r="M71" s="537">
        <f t="shared" ref="M71" si="34">I71/J71*100</f>
        <v>60</v>
      </c>
      <c r="N71" s="540">
        <f t="shared" ref="N71" si="35">SUM(K71:M71)</f>
        <v>100</v>
      </c>
      <c r="O71" s="536">
        <v>32.700000000000003</v>
      </c>
      <c r="P71" s="537">
        <v>4.7</v>
      </c>
      <c r="Q71" s="537">
        <v>17.3</v>
      </c>
      <c r="R71" s="538">
        <f t="shared" si="31"/>
        <v>54.7</v>
      </c>
      <c r="S71" s="770">
        <v>2</v>
      </c>
      <c r="T71" s="838"/>
      <c r="U71" s="863">
        <v>43153</v>
      </c>
      <c r="V71" s="532" t="s">
        <v>906</v>
      </c>
      <c r="W71" s="770" t="s">
        <v>307</v>
      </c>
      <c r="X71" s="770" t="s">
        <v>12</v>
      </c>
      <c r="Y71" s="533">
        <v>32.700000000000003</v>
      </c>
      <c r="Z71" s="770" t="s">
        <v>882</v>
      </c>
      <c r="AA71" s="770" t="s">
        <v>27</v>
      </c>
      <c r="AB71" s="770" t="s">
        <v>11</v>
      </c>
      <c r="AC71" s="770">
        <v>10</v>
      </c>
      <c r="AD71" s="532" t="s">
        <v>903</v>
      </c>
      <c r="AE71" s="770" t="s">
        <v>905</v>
      </c>
      <c r="AF71" s="770" t="s">
        <v>11</v>
      </c>
      <c r="AG71" s="533">
        <v>7.3</v>
      </c>
      <c r="AL71" s="532"/>
      <c r="AO71" s="533"/>
      <c r="AP71" s="532"/>
      <c r="AS71" s="533"/>
      <c r="AW71" s="533"/>
      <c r="BA71" s="534"/>
    </row>
    <row r="72" spans="1:53" s="814" customFormat="1">
      <c r="A72" s="814">
        <v>2019</v>
      </c>
      <c r="B72" s="863"/>
      <c r="C72" s="958" t="s">
        <v>1462</v>
      </c>
      <c r="D72" s="958"/>
      <c r="E72" s="814">
        <v>0</v>
      </c>
      <c r="G72" s="539">
        <v>6</v>
      </c>
      <c r="I72" s="814">
        <v>9</v>
      </c>
      <c r="J72" s="541">
        <v>15</v>
      </c>
      <c r="K72" s="537">
        <f t="shared" ref="K72:K73" si="36">G72/J72*100</f>
        <v>40</v>
      </c>
      <c r="L72" s="537">
        <f t="shared" ref="L72:L73" si="37">H72/J72*100</f>
        <v>0</v>
      </c>
      <c r="M72" s="537">
        <f t="shared" ref="M72:M73" si="38">I72/J72*100</f>
        <v>60</v>
      </c>
      <c r="N72" s="540">
        <f t="shared" ref="N72:N73" si="39">SUM(K72:M72)</f>
        <v>100</v>
      </c>
      <c r="O72" s="536">
        <v>32.700000000000003</v>
      </c>
      <c r="P72" s="537">
        <v>4.7</v>
      </c>
      <c r="Q72" s="537">
        <v>17.3</v>
      </c>
      <c r="R72" s="538">
        <f t="shared" ref="R72:R73" si="40">SUM(O72:Q72)</f>
        <v>54.7</v>
      </c>
      <c r="S72" s="814">
        <v>2</v>
      </c>
      <c r="T72" s="838"/>
      <c r="U72" s="863"/>
      <c r="V72" s="532" t="s">
        <v>906</v>
      </c>
      <c r="W72" s="814" t="s">
        <v>307</v>
      </c>
      <c r="X72" s="814" t="s">
        <v>12</v>
      </c>
      <c r="Y72" s="533">
        <v>32.700000000000003</v>
      </c>
      <c r="Z72" s="814" t="s">
        <v>882</v>
      </c>
      <c r="AA72" s="814" t="s">
        <v>27</v>
      </c>
      <c r="AB72" s="814" t="s">
        <v>11</v>
      </c>
      <c r="AC72" s="814">
        <v>10</v>
      </c>
      <c r="AD72" s="532" t="s">
        <v>903</v>
      </c>
      <c r="AE72" s="814" t="s">
        <v>905</v>
      </c>
      <c r="AF72" s="814" t="s">
        <v>11</v>
      </c>
      <c r="AG72" s="533">
        <v>7.3</v>
      </c>
      <c r="AL72" s="532"/>
      <c r="AO72" s="533"/>
      <c r="AP72" s="532"/>
      <c r="AS72" s="533"/>
      <c r="AW72" s="533"/>
      <c r="BA72" s="534"/>
    </row>
    <row r="73" spans="1:53" s="814" customFormat="1">
      <c r="A73" s="814">
        <v>2019</v>
      </c>
      <c r="B73" s="863"/>
      <c r="C73" s="958" t="s">
        <v>1462</v>
      </c>
      <c r="D73" s="958"/>
      <c r="E73" s="814">
        <v>365</v>
      </c>
      <c r="G73" s="539">
        <v>6</v>
      </c>
      <c r="I73" s="814">
        <v>9</v>
      </c>
      <c r="J73" s="541">
        <v>15</v>
      </c>
      <c r="K73" s="537">
        <f t="shared" si="36"/>
        <v>40</v>
      </c>
      <c r="L73" s="537">
        <f t="shared" si="37"/>
        <v>0</v>
      </c>
      <c r="M73" s="537">
        <f t="shared" si="38"/>
        <v>60</v>
      </c>
      <c r="N73" s="540">
        <f t="shared" si="39"/>
        <v>100</v>
      </c>
      <c r="O73" s="536">
        <v>32.700000000000003</v>
      </c>
      <c r="P73" s="537">
        <v>4.7</v>
      </c>
      <c r="Q73" s="537">
        <v>17.3</v>
      </c>
      <c r="R73" s="538">
        <f t="shared" si="40"/>
        <v>54.7</v>
      </c>
      <c r="S73" s="814">
        <v>2</v>
      </c>
      <c r="T73" s="838"/>
      <c r="U73" s="863"/>
      <c r="V73" s="532" t="s">
        <v>906</v>
      </c>
      <c r="W73" s="814" t="s">
        <v>307</v>
      </c>
      <c r="X73" s="814" t="s">
        <v>12</v>
      </c>
      <c r="Y73" s="533">
        <v>32.700000000000003</v>
      </c>
      <c r="Z73" s="814" t="s">
        <v>882</v>
      </c>
      <c r="AA73" s="814" t="s">
        <v>27</v>
      </c>
      <c r="AB73" s="814" t="s">
        <v>11</v>
      </c>
      <c r="AC73" s="814">
        <v>10</v>
      </c>
      <c r="AD73" s="532" t="s">
        <v>903</v>
      </c>
      <c r="AE73" s="814" t="s">
        <v>905</v>
      </c>
      <c r="AF73" s="814" t="s">
        <v>11</v>
      </c>
      <c r="AG73" s="533">
        <v>7.3</v>
      </c>
      <c r="AL73" s="532"/>
      <c r="AO73" s="533"/>
      <c r="AP73" s="532"/>
      <c r="AS73" s="533"/>
      <c r="AW73" s="533"/>
      <c r="BA73" s="534"/>
    </row>
    <row r="74" spans="1:53" s="732" customFormat="1">
      <c r="B74" s="143"/>
      <c r="C74" s="733"/>
      <c r="D74" s="733"/>
      <c r="F74" s="502"/>
      <c r="J74" s="734"/>
      <c r="K74" s="496"/>
      <c r="L74" s="496"/>
      <c r="M74" s="496"/>
      <c r="N74" s="499"/>
      <c r="O74" s="496"/>
      <c r="P74" s="496"/>
      <c r="Q74" s="496"/>
      <c r="R74" s="499"/>
      <c r="T74" s="730"/>
      <c r="U74" s="118"/>
    </row>
    <row r="75" spans="1:53">
      <c r="B75" s="2"/>
      <c r="C75" s="2"/>
      <c r="D75" s="2"/>
      <c r="E75" s="2"/>
      <c r="F75" s="2"/>
      <c r="G75" s="2"/>
      <c r="H75" s="2"/>
      <c r="I75" s="2"/>
      <c r="J75" s="2"/>
      <c r="K75" s="2"/>
      <c r="L75" s="2"/>
      <c r="M75" s="2"/>
      <c r="N75" s="2"/>
    </row>
    <row r="76" spans="1:53">
      <c r="B76" s="2"/>
      <c r="C76" s="2"/>
      <c r="D76" s="2"/>
      <c r="E76" s="2"/>
      <c r="F76" s="2"/>
      <c r="G76" s="2"/>
      <c r="H76" s="2"/>
      <c r="I76" s="2"/>
      <c r="J76" s="2"/>
      <c r="K76" s="2"/>
      <c r="L76" s="2"/>
      <c r="M76" s="2"/>
      <c r="N76" s="2"/>
    </row>
    <row r="77" spans="1:53" s="2" customFormat="1" ht="18" customHeight="1">
      <c r="B77" s="22" t="s">
        <v>1269</v>
      </c>
    </row>
    <row r="78" spans="1:53" s="2" customFormat="1" ht="9" customHeight="1"/>
    <row r="79" spans="1:53" s="317" customFormat="1" ht="9" customHeight="1">
      <c r="A79" s="315"/>
      <c r="B79" s="316" t="s">
        <v>1220</v>
      </c>
      <c r="C79" s="316"/>
      <c r="D79" s="316"/>
      <c r="E79" s="316"/>
      <c r="F79" s="316"/>
      <c r="G79" s="316" t="s">
        <v>1221</v>
      </c>
      <c r="H79" s="316"/>
      <c r="I79" s="316"/>
      <c r="J79" s="316"/>
      <c r="K79" s="316"/>
      <c r="L79" s="316"/>
      <c r="M79" s="316"/>
      <c r="N79" s="316"/>
      <c r="R79" s="895" t="s">
        <v>1222</v>
      </c>
      <c r="S79" s="895"/>
      <c r="T79" s="895"/>
      <c r="U79" s="895"/>
      <c r="V79" s="895"/>
      <c r="W79" s="895"/>
      <c r="X79" s="318"/>
      <c r="Y79" s="318"/>
      <c r="AA79" s="318"/>
      <c r="AB79" s="318"/>
      <c r="AC79" s="318"/>
      <c r="AD79" s="318"/>
    </row>
    <row r="80" spans="1:53" s="322" customFormat="1" ht="9" customHeight="1">
      <c r="A80" s="319"/>
      <c r="B80" s="320" t="s">
        <v>1224</v>
      </c>
      <c r="C80" s="321"/>
      <c r="D80" s="321"/>
      <c r="E80" s="321"/>
      <c r="F80" s="321"/>
      <c r="G80" s="320" t="s">
        <v>1223</v>
      </c>
      <c r="H80" s="321"/>
      <c r="I80" s="321"/>
      <c r="J80" s="321"/>
      <c r="K80" s="321"/>
      <c r="L80" s="321"/>
      <c r="M80" s="321"/>
      <c r="N80" s="321"/>
      <c r="R80" s="323" t="s">
        <v>1225</v>
      </c>
      <c r="S80" s="324"/>
      <c r="T80" s="325"/>
      <c r="U80" s="325"/>
      <c r="V80" s="325"/>
      <c r="W80" s="323" t="s">
        <v>1226</v>
      </c>
      <c r="X80" s="325"/>
      <c r="Y80" s="325"/>
      <c r="AA80" s="325"/>
      <c r="AB80" s="325"/>
      <c r="AC80" s="325"/>
      <c r="AD80" s="325"/>
    </row>
    <row r="81" spans="1:26" s="307" customFormat="1" ht="12" customHeight="1">
      <c r="A81" s="326" t="s">
        <v>3</v>
      </c>
      <c r="B81" s="327" t="s">
        <v>8</v>
      </c>
      <c r="C81" s="327" t="s">
        <v>9</v>
      </c>
      <c r="D81" s="327" t="s">
        <v>10</v>
      </c>
      <c r="E81" s="328" t="s">
        <v>1200</v>
      </c>
      <c r="F81" s="327"/>
      <c r="G81" s="307" t="s">
        <v>3</v>
      </c>
      <c r="H81" s="896" t="s">
        <v>0</v>
      </c>
      <c r="I81" s="896"/>
      <c r="J81" s="896" t="s">
        <v>1</v>
      </c>
      <c r="K81" s="896"/>
      <c r="L81" s="896" t="s">
        <v>2</v>
      </c>
      <c r="M81" s="896"/>
      <c r="N81" s="897" t="s">
        <v>1200</v>
      </c>
      <c r="O81" s="897"/>
      <c r="P81" s="329"/>
      <c r="Q81" s="329"/>
      <c r="R81" s="330" t="s">
        <v>3</v>
      </c>
      <c r="S81" s="331" t="s">
        <v>136</v>
      </c>
      <c r="T81" s="329" t="s">
        <v>134</v>
      </c>
      <c r="U81" s="327" t="s">
        <v>135</v>
      </c>
      <c r="V81" s="329"/>
      <c r="W81" s="332" t="s">
        <v>26</v>
      </c>
    </row>
    <row r="82" spans="1:26" ht="9" customHeight="1">
      <c r="A82" s="1">
        <v>1990</v>
      </c>
      <c r="B82" s="8">
        <f>(K7*($E7/188))</f>
        <v>65.217391304347828</v>
      </c>
      <c r="C82" s="8">
        <f>(L7*($E7/188))</f>
        <v>34.782608695652172</v>
      </c>
      <c r="D82" s="8">
        <f>(M7*($E7/188))</f>
        <v>0</v>
      </c>
      <c r="E82" s="52">
        <f>B82+C82+D82</f>
        <v>100</v>
      </c>
      <c r="F82" s="12"/>
      <c r="G82" s="12">
        <v>1990</v>
      </c>
      <c r="H82" s="928">
        <f>((O7/$R7*100*($E7/188)))</f>
        <v>63.937282229965156</v>
      </c>
      <c r="I82" s="928"/>
      <c r="J82" s="928">
        <f>((P7/$R7*100*($E7/188)))</f>
        <v>36.062717770034844</v>
      </c>
      <c r="K82" s="928"/>
      <c r="L82" s="928">
        <f>((Q7/$R7*100*($E7/188)))</f>
        <v>0</v>
      </c>
      <c r="M82" s="928"/>
      <c r="N82" s="939">
        <f>H82+J82+L82</f>
        <v>100</v>
      </c>
      <c r="O82" s="939"/>
      <c r="P82" s="12"/>
      <c r="Q82" s="12"/>
      <c r="R82" s="12">
        <v>1990</v>
      </c>
      <c r="S82" s="8">
        <f>(O7*($E7/188))</f>
        <v>36.700000000000003</v>
      </c>
      <c r="T82" s="8">
        <f>(P7*($E7/188))</f>
        <v>20.7</v>
      </c>
      <c r="U82" s="8">
        <f>(Q7*($E7/188))</f>
        <v>0</v>
      </c>
      <c r="V82" s="12"/>
      <c r="W82" s="7">
        <f>S82+T82+U82</f>
        <v>57.400000000000006</v>
      </c>
      <c r="X82" s="68"/>
      <c r="Y82" s="199" t="s">
        <v>1212</v>
      </c>
      <c r="Z82" s="68"/>
    </row>
    <row r="83" spans="1:26" ht="9" customHeight="1">
      <c r="A83" s="1">
        <v>1991</v>
      </c>
      <c r="B83" s="8">
        <f>(K8*($E8/365))+(K9*($E9/365))</f>
        <v>62.203692674210849</v>
      </c>
      <c r="C83" s="8">
        <f>(L8*($E8/365))+(L9*($E9/365))</f>
        <v>37.796307325789158</v>
      </c>
      <c r="D83" s="8">
        <f>(M8*($E8/365))+(M9*($E9/365))</f>
        <v>0</v>
      </c>
      <c r="E83" s="52">
        <f>B83+C83+D83</f>
        <v>100</v>
      </c>
      <c r="F83" s="12"/>
      <c r="G83" s="12">
        <v>1991</v>
      </c>
      <c r="H83" s="928">
        <f>(O8/$R8*100*($E8/365))+(O9/$R9*100*($E9/365))</f>
        <v>63.937282229965163</v>
      </c>
      <c r="I83" s="928"/>
      <c r="J83" s="928">
        <f>(P8/$R8*100*($E8/365))+(P9/$R9*100*($E9/365))</f>
        <v>36.062717770034844</v>
      </c>
      <c r="K83" s="928"/>
      <c r="L83" s="928">
        <f>(Q8/$R8*100*($E8/365))+(Q9/$R9*100*($E9/365))</f>
        <v>0</v>
      </c>
      <c r="M83" s="928"/>
      <c r="N83" s="939">
        <f>H83+J83+L83</f>
        <v>100</v>
      </c>
      <c r="O83" s="939"/>
      <c r="P83" s="12"/>
      <c r="Q83" s="12"/>
      <c r="R83" s="12">
        <v>1991</v>
      </c>
      <c r="S83" s="8">
        <f>(O8*($E8/365))+(O9*($E9/365))</f>
        <v>36.700000000000003</v>
      </c>
      <c r="T83" s="8">
        <f>(P8*($E8/365))+(P9*($E9/365))</f>
        <v>20.700000000000003</v>
      </c>
      <c r="U83" s="8">
        <f>(Q8*($E8/365))+(Q9*($E9/365))</f>
        <v>0</v>
      </c>
      <c r="V83" s="12"/>
      <c r="W83" s="7">
        <f>S83+T83+U83</f>
        <v>57.400000000000006</v>
      </c>
      <c r="X83" s="68"/>
      <c r="Y83" s="68"/>
      <c r="Z83" s="68"/>
    </row>
    <row r="84" spans="1:26" ht="9" customHeight="1">
      <c r="A84" s="1">
        <v>1992</v>
      </c>
      <c r="B84" s="8">
        <f>(K10*($E10/366))+(K11*($E11/366))</f>
        <v>81.290092658588748</v>
      </c>
      <c r="C84" s="8">
        <f>(L10*($E10/366))+(L11*($E11/366))</f>
        <v>18.70990734141126</v>
      </c>
      <c r="D84" s="8">
        <f>(M10*($E10/366))+(M11*($E11/366))</f>
        <v>0</v>
      </c>
      <c r="E84" s="52">
        <f>B84+C84+D84</f>
        <v>100</v>
      </c>
      <c r="F84" s="12"/>
      <c r="G84" s="12">
        <v>1992</v>
      </c>
      <c r="H84" s="928">
        <f>(O10/$R10*100*($E10/366))+(O11/$R11*100*($E11/366))</f>
        <v>82.756897241103559</v>
      </c>
      <c r="I84" s="928"/>
      <c r="J84" s="928">
        <f>(P10/$R10*100*($E10/366))+(P11/$R11*100*($E11/366))</f>
        <v>17.243102758896441</v>
      </c>
      <c r="K84" s="928"/>
      <c r="L84" s="928">
        <f>(Q10/$R10*100*($E10/366))+(Q11/$R11*100*($E11/366))</f>
        <v>0</v>
      </c>
      <c r="M84" s="928"/>
      <c r="N84" s="939">
        <f>H84+J84+L84</f>
        <v>100</v>
      </c>
      <c r="O84" s="939"/>
      <c r="P84" s="12"/>
      <c r="Q84" s="12"/>
      <c r="R84" s="12">
        <v>1992</v>
      </c>
      <c r="S84" s="8">
        <f>(O10*($E10/366))+(O11*($E11/366))</f>
        <v>48.49398907103825</v>
      </c>
      <c r="T84" s="8">
        <f>(P10*($E10/366))+(P11*($E11/366))</f>
        <v>9.8975409836065573</v>
      </c>
      <c r="U84" s="8">
        <f>(Q10*($E10/366))+(Q11*($E11/366))</f>
        <v>0</v>
      </c>
      <c r="V84" s="12"/>
      <c r="W84" s="7">
        <f>S84+T84+U84</f>
        <v>58.391530054644804</v>
      </c>
    </row>
    <row r="85" spans="1:26" ht="9" customHeight="1">
      <c r="A85" s="1">
        <v>1993</v>
      </c>
      <c r="B85" s="8">
        <f>(K12*($E12/365))+(K13*($E13/365))+(K14*($E14/365))+(K15*($E15/365))</f>
        <v>100</v>
      </c>
      <c r="C85" s="8">
        <f>(L12*($E12/365))+(L13*($E13/365))+(L14*($E14/365))+(L15*($E15/365))</f>
        <v>0</v>
      </c>
      <c r="D85" s="8">
        <f>(M12*($E12/365))+(M13*($E13/365))+(M14*($E14/365))+(M15*($E15/365))</f>
        <v>0</v>
      </c>
      <c r="E85" s="52">
        <f t="shared" ref="E85:E104" si="41">B85+C85+D85</f>
        <v>100</v>
      </c>
      <c r="F85" s="12"/>
      <c r="G85" s="12">
        <v>1993</v>
      </c>
      <c r="H85" s="928">
        <f>(O12/$R12*100*($E12/365))+(O13/$R13*100*($E13/365))+(O14/$R14*100*($E14/365))+(O15/$R15*100*($E15/365))</f>
        <v>100</v>
      </c>
      <c r="I85" s="928"/>
      <c r="J85" s="928">
        <f>(P12/$R12*100*($E12/365))+(P13/$R13*100*($E13/365))+(P14/$R14*100*($E14/365))+(P15/$R15*100*($E15/365))</f>
        <v>0</v>
      </c>
      <c r="K85" s="928"/>
      <c r="L85" s="928">
        <f>(Q12/$R12*100*($E12/365))+(Q13/$R13*100*($E13/365))+(Q14/$R14*100*($E14/365))+(Q15/$R15*100*($E15/365))</f>
        <v>0</v>
      </c>
      <c r="M85" s="928"/>
      <c r="N85" s="939">
        <f t="shared" ref="N85:N104" si="42">H85+J85+L85</f>
        <v>100</v>
      </c>
      <c r="O85" s="939"/>
      <c r="P85" s="12"/>
      <c r="Q85" s="12"/>
      <c r="R85" s="12">
        <v>1993</v>
      </c>
      <c r="S85" s="8">
        <f>(O12*($E12/365))+(O13*($E13/365))+(O14*($E14/365))+(O15*($E15/365))</f>
        <v>52.642465753424666</v>
      </c>
      <c r="T85" s="8">
        <f>(P12*($E12/365))+(P13*($E13/365))+(P14*($E14/365))+(P15*($E15/365))</f>
        <v>0</v>
      </c>
      <c r="U85" s="8">
        <f>(Q12*($E12/365))+(Q13*($E13/365))+(Q14*($E14/365))+(Q15*($E15/365))</f>
        <v>0</v>
      </c>
      <c r="V85" s="12"/>
      <c r="W85" s="7">
        <f t="shared" ref="W85:W104" si="43">S85+T85+U85</f>
        <v>52.642465753424666</v>
      </c>
    </row>
    <row r="86" spans="1:26" ht="9" customHeight="1">
      <c r="A86" s="1">
        <v>1994</v>
      </c>
      <c r="B86" s="8">
        <f>(K16*($E16/365))+(K17*($E17/365))+(K18*($E18/365))</f>
        <v>49.284627092846264</v>
      </c>
      <c r="C86" s="8">
        <f>(L16*($E16/365))+(L17*($E17/365))+(L18*($E18/365))</f>
        <v>20.624048706240487</v>
      </c>
      <c r="D86" s="8">
        <f>(M16*($E16/365))+(M17*($E17/365))+(M18*($E18/365))</f>
        <v>30.091324200913242</v>
      </c>
      <c r="E86" s="52">
        <f t="shared" si="41"/>
        <v>100</v>
      </c>
      <c r="F86" s="12"/>
      <c r="G86" s="12">
        <v>1994</v>
      </c>
      <c r="H86" s="928">
        <f>(O16/$R16*100*($E16/365))+(O17/$R17*100*($E17/365))+(O18/$R18*100*($E18/365))</f>
        <v>47.081333802262606</v>
      </c>
      <c r="I86" s="928"/>
      <c r="J86" s="928">
        <f>(P16/$R16*100*($E16/365))+(P17/$R17*100*($E17/365))+(P18/$R18*100*($E18/365))</f>
        <v>19.976657042815894</v>
      </c>
      <c r="K86" s="928"/>
      <c r="L86" s="928">
        <f>(Q16/$R16*100*($E16/365))+(Q17/$R17*100*($E17/365))+(Q18/$R18*100*($E18/365))</f>
        <v>32.942009154921493</v>
      </c>
      <c r="M86" s="928"/>
      <c r="N86" s="939">
        <f t="shared" si="42"/>
        <v>100</v>
      </c>
      <c r="O86" s="939"/>
      <c r="P86" s="12"/>
      <c r="Q86" s="12"/>
      <c r="R86" s="12">
        <v>1994</v>
      </c>
      <c r="S86" s="8">
        <f>(O16*($E16/365))+(O17*($E17/365))+(O18*($E18/365))</f>
        <v>24.445205479452053</v>
      </c>
      <c r="T86" s="8">
        <f>(P16*($E16/365))+(P17*($E17/365))+(P18*($E18/365))</f>
        <v>8.9095890410958898</v>
      </c>
      <c r="U86" s="8">
        <f>(Q16*($E16/365))+(Q17*($E17/365))+(Q18*($E18/365))</f>
        <v>14.773424657534246</v>
      </c>
      <c r="V86" s="12"/>
      <c r="W86" s="7">
        <f t="shared" si="43"/>
        <v>48.12821917808219</v>
      </c>
    </row>
    <row r="87" spans="1:26" ht="9" customHeight="1">
      <c r="A87" s="1">
        <v>1995</v>
      </c>
      <c r="B87" s="8">
        <f>(K19*($E19/365))+(K20*($E20/365))</f>
        <v>77.777777777777786</v>
      </c>
      <c r="C87" s="8">
        <f>(L19*($E19/365))+(L20*($E20/365))</f>
        <v>0</v>
      </c>
      <c r="D87" s="8">
        <f>(M19*($E19/365))+(M20*($E20/365))</f>
        <v>22.222222222222221</v>
      </c>
      <c r="E87" s="52">
        <f t="shared" si="41"/>
        <v>100</v>
      </c>
      <c r="F87" s="12"/>
      <c r="G87" s="12">
        <v>1995</v>
      </c>
      <c r="H87" s="928">
        <f>(O19/$R19*100*($E19/365))+(O20/$R20*100*($E20/365))</f>
        <v>85.164835164835168</v>
      </c>
      <c r="I87" s="928"/>
      <c r="J87" s="928">
        <f>(P19/$R19*100*($E19/365))+(P20/$R20*100*($E20/365))</f>
        <v>0</v>
      </c>
      <c r="K87" s="928"/>
      <c r="L87" s="928">
        <f>(Q19/$R19*100*($E19/365))+(Q20/$R20*100*($E20/365))</f>
        <v>14.835164835164836</v>
      </c>
      <c r="M87" s="928"/>
      <c r="N87" s="939">
        <f t="shared" si="42"/>
        <v>100</v>
      </c>
      <c r="O87" s="939"/>
      <c r="P87" s="12"/>
      <c r="Q87" s="12"/>
      <c r="R87" s="12">
        <v>1995</v>
      </c>
      <c r="S87" s="8">
        <f>(O19*($E19/365))+(O20*($E20/365))</f>
        <v>46.5</v>
      </c>
      <c r="T87" s="8">
        <f>(P19*($E19/365))+(P20*($E20/365))</f>
        <v>0</v>
      </c>
      <c r="U87" s="8">
        <f>(Q19*($E19/365))+(Q20*($E20/365))</f>
        <v>8.1</v>
      </c>
      <c r="V87" s="12"/>
      <c r="W87" s="7">
        <f t="shared" si="43"/>
        <v>54.6</v>
      </c>
    </row>
    <row r="88" spans="1:26" ht="9" customHeight="1">
      <c r="A88" s="1">
        <v>1996</v>
      </c>
      <c r="B88" s="8">
        <f>(K21*($E21/366))+(K22*($E22/366))</f>
        <v>77.777777777777786</v>
      </c>
      <c r="C88" s="8">
        <f>(L21*($E21/366))+(L22*($E22/366))</f>
        <v>0</v>
      </c>
      <c r="D88" s="8">
        <f>(M21*($E21/366))+(M22*($E22/366))</f>
        <v>22.222222222222221</v>
      </c>
      <c r="E88" s="52">
        <f t="shared" si="41"/>
        <v>100</v>
      </c>
      <c r="F88" s="12"/>
      <c r="G88" s="12">
        <v>1996</v>
      </c>
      <c r="H88" s="928">
        <f>(O21/$R21*100*($E21/366))+(O22/$R22*100*($E22/366))</f>
        <v>85.164835164835168</v>
      </c>
      <c r="I88" s="928"/>
      <c r="J88" s="928">
        <f>(P21/$R21*100*($E21/366))+(P22/$R22*100*($E22/366))</f>
        <v>0</v>
      </c>
      <c r="K88" s="928"/>
      <c r="L88" s="928">
        <f>(Q21/$R21*100*($E21/366))+(Q22/$R22*100*($E22/366))</f>
        <v>14.835164835164836</v>
      </c>
      <c r="M88" s="928"/>
      <c r="N88" s="939">
        <f t="shared" si="42"/>
        <v>100</v>
      </c>
      <c r="O88" s="939"/>
      <c r="P88" s="12"/>
      <c r="Q88" s="12"/>
      <c r="R88" s="12">
        <v>1996</v>
      </c>
      <c r="S88" s="8">
        <f>(O21*($E21/366))+(O22*($E22/366))</f>
        <v>46.5</v>
      </c>
      <c r="T88" s="8">
        <f>(P21*($E21/366))+(P22*($E22/366))</f>
        <v>0</v>
      </c>
      <c r="U88" s="8">
        <f>(Q21*($E21/366))+(Q22*($E22/366))</f>
        <v>8.1</v>
      </c>
      <c r="V88" s="12"/>
      <c r="W88" s="7">
        <f t="shared" si="43"/>
        <v>54.6</v>
      </c>
    </row>
    <row r="89" spans="1:26" ht="9" customHeight="1">
      <c r="A89" s="1">
        <v>1997</v>
      </c>
      <c r="B89" s="8">
        <f>(K23*($E23/365))+(K24*($E24/365))</f>
        <v>77.777777777777786</v>
      </c>
      <c r="C89" s="8">
        <f>(L23*($E23/365))+(L24*($E24/365))</f>
        <v>0</v>
      </c>
      <c r="D89" s="8">
        <f>(M23*($E23/365))+(M24*($E24/365))</f>
        <v>22.222222222222221</v>
      </c>
      <c r="E89" s="52">
        <f t="shared" si="41"/>
        <v>100</v>
      </c>
      <c r="F89" s="12"/>
      <c r="G89" s="12">
        <v>1997</v>
      </c>
      <c r="H89" s="928">
        <f>(O23/$R23*100*($E23/365))+(O24/$R24*100*($E24/365))</f>
        <v>85.164835164835168</v>
      </c>
      <c r="I89" s="928"/>
      <c r="J89" s="928">
        <f>(P23/$R23*100*($E23/365))+(P24/$R24*100*($E24/365))</f>
        <v>0</v>
      </c>
      <c r="K89" s="928"/>
      <c r="L89" s="928">
        <f>(Q23/$R23*100*($E23/365))+(Q24/$R24*100*($E24/365))</f>
        <v>14.835164835164836</v>
      </c>
      <c r="M89" s="928"/>
      <c r="N89" s="939">
        <f t="shared" si="42"/>
        <v>100</v>
      </c>
      <c r="O89" s="939"/>
      <c r="P89" s="12"/>
      <c r="Q89" s="12"/>
      <c r="R89" s="12">
        <v>1997</v>
      </c>
      <c r="S89" s="8">
        <f>(O23*($E23/365))+(O24*($E24/365))</f>
        <v>46.5</v>
      </c>
      <c r="T89" s="8">
        <f>(P23*($E23/365))+(P24*($E24/365))</f>
        <v>0</v>
      </c>
      <c r="U89" s="8">
        <f>(Q23*($E23/365))+(Q24*($E24/365))</f>
        <v>8.1</v>
      </c>
      <c r="V89" s="12"/>
      <c r="W89" s="7">
        <f t="shared" si="43"/>
        <v>54.6</v>
      </c>
    </row>
    <row r="90" spans="1:26" ht="9" customHeight="1">
      <c r="A90" s="1">
        <v>1998</v>
      </c>
      <c r="B90" s="8">
        <f>(K25*($E25/365))+(K26*($E26/365))+(K27*($E27/365))+(K28*($E28/365))</f>
        <v>70.742770167427707</v>
      </c>
      <c r="C90" s="8">
        <f>(L25*($E25/365))+(L26*($E26/365))+(L27*($E27/365))+(L28*($E28/365))</f>
        <v>1.3150684931506849</v>
      </c>
      <c r="D90" s="8">
        <f>(M25*($E25/365))+(M26*($E26/365))+(M27*($E27/365))+(M28*($E28/365))</f>
        <v>23.741248097412477</v>
      </c>
      <c r="E90" s="52">
        <f t="shared" si="41"/>
        <v>95.799086757990878</v>
      </c>
      <c r="F90" s="12"/>
      <c r="G90" s="12">
        <v>1998</v>
      </c>
      <c r="H90" s="928">
        <f>(O25/$R25*100*($E25/365))+(O26/$R26*100*($E26/365))+(O27/$R27*100*($E27/365))+(O28/$R28*100*($E28/365))</f>
        <v>82.887900433636176</v>
      </c>
      <c r="I90" s="928"/>
      <c r="J90" s="928">
        <f>(P25/$R25*100*($E25/365))+(P26/$R26*100*($E26/365))+(P27/$R27*100*($E27/365))+(P28/$R28*100*($E28/365))</f>
        <v>1.4140521431727795</v>
      </c>
      <c r="K90" s="928"/>
      <c r="L90" s="928">
        <f>(Q25/$R25*100*($E25/365))+(Q26/$R26*100*($E26/365))+(Q27/$R27*100*($E27/365))+(Q28/$R28*100*($E28/365))</f>
        <v>15.69804742319104</v>
      </c>
      <c r="M90" s="928"/>
      <c r="N90" s="939">
        <f t="shared" si="42"/>
        <v>100</v>
      </c>
      <c r="O90" s="939"/>
      <c r="P90" s="12"/>
      <c r="Q90" s="12"/>
      <c r="R90" s="12">
        <v>1998</v>
      </c>
      <c r="S90" s="8">
        <f>(O25*($E25/365))+(O26*($E26/365))+(O27*($E27/365))+(O28*($E28/365))</f>
        <v>45.640821917808211</v>
      </c>
      <c r="T90" s="8">
        <f>(P25*($E25/365))+(P26*($E26/365))+(P27*($E27/365))+(P28*($E28/365))</f>
        <v>0.87671232876712324</v>
      </c>
      <c r="U90" s="8">
        <f>(Q25*($E25/365))+(Q26*($E26/365))+(Q27*($E27/365))+(Q28*($E28/365))</f>
        <v>8.731232876712328</v>
      </c>
      <c r="V90" s="12"/>
      <c r="W90" s="7">
        <f t="shared" si="43"/>
        <v>55.248767123287664</v>
      </c>
    </row>
    <row r="91" spans="1:26" ht="9" customHeight="1">
      <c r="A91" s="1">
        <v>1999</v>
      </c>
      <c r="B91" s="8">
        <f>(K29*($E29/365))+(K30*($E30/365))</f>
        <v>55.000000000000007</v>
      </c>
      <c r="C91" s="8">
        <f>(L29*($E29/365))+(L30*($E30/365))</f>
        <v>15</v>
      </c>
      <c r="D91" s="8">
        <f>(M29*($E29/365))+(M30*($E30/365))</f>
        <v>30</v>
      </c>
      <c r="E91" s="52">
        <f t="shared" si="41"/>
        <v>100</v>
      </c>
      <c r="F91" s="12"/>
      <c r="G91" s="12">
        <v>1999</v>
      </c>
      <c r="H91" s="928">
        <f>(O29/$R29*100*($E29/365))+(O30/$R30*100*($E30/365))</f>
        <v>59.193548387096783</v>
      </c>
      <c r="I91" s="928"/>
      <c r="J91" s="928">
        <f>(P29/$R29*100*($E29/365))+(P30/$R30*100*($E30/365))</f>
        <v>16.129032258064516</v>
      </c>
      <c r="K91" s="928"/>
      <c r="L91" s="928">
        <f>(Q29/$R29*100*($E29/365))+(Q30/$R30*100*($E30/365))</f>
        <v>24.677419354838712</v>
      </c>
      <c r="M91" s="928"/>
      <c r="N91" s="939">
        <f t="shared" si="42"/>
        <v>100</v>
      </c>
      <c r="O91" s="939"/>
      <c r="P91" s="12"/>
      <c r="Q91" s="12"/>
      <c r="R91" s="12">
        <v>1999</v>
      </c>
      <c r="S91" s="8">
        <f>(O29*($E29/365))+(O30*($E30/365))</f>
        <v>36.700000000000003</v>
      </c>
      <c r="T91" s="8">
        <f>(P29*($E29/365))+(P30*($E30/365))</f>
        <v>10</v>
      </c>
      <c r="U91" s="8">
        <f>(Q29*($E29/365))+(Q30*($E30/365))</f>
        <v>15.3</v>
      </c>
      <c r="V91" s="12"/>
      <c r="W91" s="7">
        <f t="shared" si="43"/>
        <v>62</v>
      </c>
    </row>
    <row r="92" spans="1:26" ht="9" customHeight="1">
      <c r="A92" s="1">
        <v>2000</v>
      </c>
      <c r="B92" s="8">
        <f>(K31*($E31/366))+(K32*($E32/366))</f>
        <v>55.000000000000007</v>
      </c>
      <c r="C92" s="8">
        <f>(L31*($E31/366))+(L32*($E32/366))</f>
        <v>15</v>
      </c>
      <c r="D92" s="8">
        <f>(M31*($E31/366))+(M32*($E32/366))</f>
        <v>30</v>
      </c>
      <c r="E92" s="52">
        <f t="shared" si="41"/>
        <v>100</v>
      </c>
      <c r="F92" s="12"/>
      <c r="G92" s="12">
        <v>2000</v>
      </c>
      <c r="H92" s="928">
        <f>(O31/$R31*100*($E31/366))+(O32/$R32*100*($E32/366))</f>
        <v>59.193548387096783</v>
      </c>
      <c r="I92" s="928"/>
      <c r="J92" s="928">
        <f>(P31/$R31*100*($E31/366))+(P32/$R32*100*($E32/366))</f>
        <v>16.129032258064516</v>
      </c>
      <c r="K92" s="928"/>
      <c r="L92" s="928">
        <f>(Q31/$R31*100*($E31/366))+(Q32/$R32*100*($E32/366))</f>
        <v>24.677419354838712</v>
      </c>
      <c r="M92" s="928"/>
      <c r="N92" s="939">
        <f t="shared" si="42"/>
        <v>100</v>
      </c>
      <c r="O92" s="939"/>
      <c r="P92" s="12"/>
      <c r="Q92" s="12"/>
      <c r="R92" s="12">
        <v>2000</v>
      </c>
      <c r="S92" s="8">
        <f>(O31*($E31/366))+(O32*($E32/366))</f>
        <v>36.700000000000003</v>
      </c>
      <c r="T92" s="8">
        <f>(P31*($E31/366))+(P32*($E32/366))</f>
        <v>10</v>
      </c>
      <c r="U92" s="8">
        <f>(Q31*($E31/366))+(Q32*($E32/366))</f>
        <v>15.3</v>
      </c>
      <c r="V92" s="12"/>
      <c r="W92" s="7">
        <f t="shared" si="43"/>
        <v>62</v>
      </c>
    </row>
    <row r="93" spans="1:26" ht="9" customHeight="1">
      <c r="A93" s="1">
        <v>2001</v>
      </c>
      <c r="B93" s="8">
        <f>(K33*($E33/365))+(K34*($E34/365))</f>
        <v>55.000000000000007</v>
      </c>
      <c r="C93" s="8">
        <f>(L33*($E33/365))+(L34*($E34/365))</f>
        <v>15</v>
      </c>
      <c r="D93" s="8">
        <f>(M33*($E33/365))+(M34*($E34/365))</f>
        <v>30</v>
      </c>
      <c r="E93" s="52">
        <f t="shared" si="41"/>
        <v>100</v>
      </c>
      <c r="F93" s="12"/>
      <c r="G93" s="12">
        <v>2001</v>
      </c>
      <c r="H93" s="928">
        <f>(O33/$R33*100*($E33/365))+(O34/$R34*100*($E34/365))</f>
        <v>59.193548387096783</v>
      </c>
      <c r="I93" s="928"/>
      <c r="J93" s="928">
        <f>(P33/$R33*100*($E33/365))+(P34/$R34*100*($E34/365))</f>
        <v>16.129032258064516</v>
      </c>
      <c r="K93" s="928"/>
      <c r="L93" s="928">
        <f>(Q33/$R33*100*($E33/365))+(Q34/$R34*100*($E34/365))</f>
        <v>24.677419354838712</v>
      </c>
      <c r="M93" s="928"/>
      <c r="N93" s="939">
        <f t="shared" si="42"/>
        <v>100</v>
      </c>
      <c r="O93" s="939"/>
      <c r="P93" s="12"/>
      <c r="Q93" s="12"/>
      <c r="R93" s="12">
        <v>2001</v>
      </c>
      <c r="S93" s="8">
        <f>(O33*($E33/365))+(O34*($E34/365))</f>
        <v>36.700000000000003</v>
      </c>
      <c r="T93" s="8">
        <f>(P33*($E33/365))+(P34*($E34/365))</f>
        <v>10</v>
      </c>
      <c r="U93" s="8">
        <f>(Q33*($E33/365))+(Q34*($E34/365))</f>
        <v>15.3</v>
      </c>
      <c r="V93" s="12"/>
      <c r="W93" s="7">
        <f t="shared" si="43"/>
        <v>62</v>
      </c>
    </row>
    <row r="94" spans="1:26" ht="9" customHeight="1">
      <c r="A94" s="1">
        <v>2002</v>
      </c>
      <c r="B94" s="8">
        <f>(K35*($E35/365))+(K36*($E36/365))</f>
        <v>50.43150684931507</v>
      </c>
      <c r="C94" s="8">
        <f>(L35*($E35/365))+(L36*($E36/365))</f>
        <v>23.349315068493148</v>
      </c>
      <c r="D94" s="8">
        <f>(M35*($E35/365))+(M36*($E36/365))</f>
        <v>26.219178082191778</v>
      </c>
      <c r="E94" s="52">
        <f t="shared" si="41"/>
        <v>100</v>
      </c>
      <c r="F94" s="12"/>
      <c r="G94" s="12">
        <v>2002</v>
      </c>
      <c r="H94" s="928">
        <f>(O35/$R35*100*($E35/365))+(O36/$R36*100*($E36/365))</f>
        <v>54.157143342737697</v>
      </c>
      <c r="I94" s="928"/>
      <c r="J94" s="928">
        <f>(P35/$R35*100*($E35/365))+(P36/$R36*100*($E36/365))</f>
        <v>24.275468234814234</v>
      </c>
      <c r="K94" s="928"/>
      <c r="L94" s="928">
        <f>(Q35/$R35*100*($E35/365))+(Q36/$R36*100*($E36/365))</f>
        <v>21.567388422448079</v>
      </c>
      <c r="M94" s="928"/>
      <c r="N94" s="939">
        <f t="shared" si="42"/>
        <v>100.00000000000001</v>
      </c>
      <c r="O94" s="939"/>
      <c r="P94" s="12"/>
      <c r="Q94" s="12"/>
      <c r="R94" s="12">
        <v>2002</v>
      </c>
      <c r="S94" s="8">
        <f>(O35*($E35/365))+(O36*($E36/365))</f>
        <v>33.335068493150686</v>
      </c>
      <c r="T94" s="8">
        <f>(P35*($E35/365))+(P36*($E36/365))</f>
        <v>14.032876712328768</v>
      </c>
      <c r="U94" s="8">
        <f>(Q35*($E35/365))+(Q36*($E36/365))</f>
        <v>13.371780821917808</v>
      </c>
      <c r="V94" s="12"/>
      <c r="W94" s="7">
        <f t="shared" si="43"/>
        <v>60.739726027397268</v>
      </c>
    </row>
    <row r="95" spans="1:26" ht="9" customHeight="1">
      <c r="A95" s="1">
        <v>2003</v>
      </c>
      <c r="B95" s="8">
        <f>(K37*($E37/365))+(K38*($E38/365))</f>
        <v>18.75</v>
      </c>
      <c r="C95" s="8">
        <f>(L37*($E37/365))+(L38*($E38/365))</f>
        <v>81.25</v>
      </c>
      <c r="D95" s="8">
        <f>(M37*($E37/365))+(M38*($E38/365))</f>
        <v>0</v>
      </c>
      <c r="E95" s="52">
        <f t="shared" si="41"/>
        <v>100</v>
      </c>
      <c r="F95" s="12"/>
      <c r="G95" s="12">
        <v>2003</v>
      </c>
      <c r="H95" s="928">
        <f>(O37/$R37*100*($E37/365))+(O38/$R38*100*($E38/365))</f>
        <v>19.230769230769234</v>
      </c>
      <c r="I95" s="928"/>
      <c r="J95" s="928">
        <f>(P37/$R37*100*($E37/365))+(P38/$R38*100*($E38/365))</f>
        <v>80.769230769230774</v>
      </c>
      <c r="K95" s="928"/>
      <c r="L95" s="928">
        <f>(Q37/$R37*100*($E37/365))+(Q38/$R38*100*($E38/365))</f>
        <v>0</v>
      </c>
      <c r="M95" s="928"/>
      <c r="N95" s="939">
        <f t="shared" si="42"/>
        <v>100</v>
      </c>
      <c r="O95" s="939"/>
      <c r="P95" s="12"/>
      <c r="Q95" s="12"/>
      <c r="R95" s="12">
        <v>2003</v>
      </c>
      <c r="S95" s="8">
        <f>(O37*($E37/365))+(O38*($E38/365))</f>
        <v>10</v>
      </c>
      <c r="T95" s="8">
        <f>(P37*($E37/365))+(P38*($E38/365))</f>
        <v>42</v>
      </c>
      <c r="U95" s="8">
        <f>(Q37*($E37/365))+(Q38*($E38/365))</f>
        <v>0</v>
      </c>
      <c r="V95" s="12"/>
      <c r="W95" s="7">
        <f t="shared" si="43"/>
        <v>52</v>
      </c>
    </row>
    <row r="96" spans="1:26" ht="9" customHeight="1">
      <c r="A96" s="1">
        <v>2004</v>
      </c>
      <c r="B96" s="8">
        <f>(K39*($E39/366))+(K40*($E40/366))</f>
        <v>18.75</v>
      </c>
      <c r="C96" s="8">
        <f>(L39*($E39/366))+(L40*($E40/366))</f>
        <v>81.25</v>
      </c>
      <c r="D96" s="8">
        <f>(M39*($E39/366))+(M40*($E40/366))</f>
        <v>0</v>
      </c>
      <c r="E96" s="52">
        <f t="shared" si="41"/>
        <v>100</v>
      </c>
      <c r="F96" s="12"/>
      <c r="G96" s="12">
        <v>2004</v>
      </c>
      <c r="H96" s="928">
        <f>(O39/$R39*100*($E39/366))+(O40/$R40*100*($E40/366))</f>
        <v>19.230769230769234</v>
      </c>
      <c r="I96" s="928"/>
      <c r="J96" s="928">
        <f>(P39/$R39*100*($E39/366))+(P40/$R40*100*($E40/366))</f>
        <v>80.769230769230774</v>
      </c>
      <c r="K96" s="928"/>
      <c r="L96" s="928">
        <f>(Q39/$R39*100*($E39/366))+(Q40/$R40*100*($E40/366))</f>
        <v>0</v>
      </c>
      <c r="M96" s="928"/>
      <c r="N96" s="939">
        <f t="shared" si="42"/>
        <v>100</v>
      </c>
      <c r="O96" s="939"/>
      <c r="P96" s="12"/>
      <c r="Q96" s="12"/>
      <c r="R96" s="12">
        <v>2004</v>
      </c>
      <c r="S96" s="8">
        <f>(O39*($E39/366))+(O40*($E40/366))</f>
        <v>10</v>
      </c>
      <c r="T96" s="8">
        <f>(P39*($E39/366))+(P40*($E40/366))</f>
        <v>42</v>
      </c>
      <c r="U96" s="8">
        <f>(Q39*($E39/366))+(Q40*($E40/366))</f>
        <v>0</v>
      </c>
      <c r="V96" s="12"/>
      <c r="W96" s="7">
        <f t="shared" si="43"/>
        <v>52</v>
      </c>
    </row>
    <row r="97" spans="1:23" ht="9" customHeight="1">
      <c r="A97" s="1">
        <v>2005</v>
      </c>
      <c r="B97" s="8">
        <f>(K41*($E41/365))+(K42*($E42/365))</f>
        <v>18.75</v>
      </c>
      <c r="C97" s="8">
        <f>(L41*($E41/365))+(L42*($E42/365))</f>
        <v>81.25</v>
      </c>
      <c r="D97" s="8">
        <f>(M41*($E41/365))+(M42*($E42/365))</f>
        <v>0</v>
      </c>
      <c r="E97" s="52">
        <f t="shared" si="41"/>
        <v>100</v>
      </c>
      <c r="F97" s="12"/>
      <c r="G97" s="12">
        <v>2005</v>
      </c>
      <c r="H97" s="928">
        <f>(O41/$R41*100*($E41/365))+(O42/$R42*100*($E42/365))</f>
        <v>19.230769230769234</v>
      </c>
      <c r="I97" s="928"/>
      <c r="J97" s="928">
        <f>(P41/$R41*100*($E41/365))+(P42/$R42*100*($E42/365))</f>
        <v>80.769230769230774</v>
      </c>
      <c r="K97" s="928"/>
      <c r="L97" s="928">
        <f>(Q41/$R41*100*($E41/365))+(Q42/$R42*100*($E42/365))</f>
        <v>0</v>
      </c>
      <c r="M97" s="928"/>
      <c r="N97" s="939">
        <f t="shared" si="42"/>
        <v>100</v>
      </c>
      <c r="O97" s="939"/>
      <c r="P97" s="12"/>
      <c r="Q97" s="12"/>
      <c r="R97" s="12">
        <v>2005</v>
      </c>
      <c r="S97" s="8">
        <f>(O41*($E41/365))+(O42*($E42/365))</f>
        <v>10</v>
      </c>
      <c r="T97" s="8">
        <f>(P41*($E41/365))+(P42*($E42/365))</f>
        <v>42</v>
      </c>
      <c r="U97" s="8">
        <f>(Q41*($E41/365))+(Q42*($E42/365))</f>
        <v>0</v>
      </c>
      <c r="V97" s="12"/>
      <c r="W97" s="7">
        <f t="shared" si="43"/>
        <v>52</v>
      </c>
    </row>
    <row r="98" spans="1:23" ht="9" customHeight="1">
      <c r="A98" s="1">
        <v>2006</v>
      </c>
      <c r="B98" s="8">
        <f>(K43*($E43/365))+(K44*($E44/365))+(K45*($E45/365))+(K46*($E46/365))</f>
        <v>23.304794520547944</v>
      </c>
      <c r="C98" s="8">
        <f>(L43*($E43/365))+(L44*($E44/365))+(L45*($E45/365))+(L46*($E46/365))</f>
        <v>38.458904109589042</v>
      </c>
      <c r="D98" s="8">
        <f>(M43*($E43/365))+(M44*($E44/365))+(M45*($E45/365))+(M46*($E46/365))</f>
        <v>34.092465753424662</v>
      </c>
      <c r="E98" s="52">
        <f t="shared" si="41"/>
        <v>95.856164383561648</v>
      </c>
      <c r="F98" s="12"/>
      <c r="G98" s="12">
        <v>2006</v>
      </c>
      <c r="H98" s="928">
        <f>(O43/$R43*100*($E43/365))+(O44/$R44*100*($E44/365))+(O45/$R45*100*($E45/365))+(O46/$R46*100*($E46/365))</f>
        <v>31.944419101506075</v>
      </c>
      <c r="I98" s="928"/>
      <c r="J98" s="928">
        <f>(P43/$R43*100*($E43/365))+(P44/$R44*100*($E44/365))+(P45/$R45*100*($E45/365))+(P46/$R46*100*($E46/365))</f>
        <v>38.885041898740525</v>
      </c>
      <c r="K98" s="928"/>
      <c r="L98" s="928">
        <f>(Q43/$R43*100*($E43/365))+(Q44/$R44*100*($E44/365))+(Q45/$R45*100*($E45/365))+(Q46/$R46*100*($E46/365))</f>
        <v>29.170538999753393</v>
      </c>
      <c r="M98" s="928"/>
      <c r="N98" s="939">
        <f t="shared" si="42"/>
        <v>99.999999999999986</v>
      </c>
      <c r="O98" s="939"/>
      <c r="P98" s="12"/>
      <c r="Q98" s="12"/>
      <c r="R98" s="12">
        <v>2006</v>
      </c>
      <c r="S98" s="8">
        <f>(O43*($E43/365))+(O44*($E44/365))+(O45*($E45/365))+(O46*($E46/365))</f>
        <v>16.61021917808219</v>
      </c>
      <c r="T98" s="8">
        <f>(P43*($E43/365))+(P44*($E44/365))+(P45*($E45/365))+(P46*($E46/365))</f>
        <v>17.172602739726024</v>
      </c>
      <c r="U98" s="8">
        <f>(Q43*($E43/365))+(Q44*($E44/365))+(Q45*($E45/365))+(Q46*($E46/365))</f>
        <v>16.528027397260274</v>
      </c>
      <c r="V98" s="12"/>
      <c r="W98" s="7">
        <f t="shared" si="43"/>
        <v>50.310849315068488</v>
      </c>
    </row>
    <row r="99" spans="1:23" ht="9" customHeight="1">
      <c r="A99" s="1">
        <v>2007</v>
      </c>
      <c r="B99" s="8">
        <f>(K47*($E47/365))+(K48*($E48/365))</f>
        <v>31.25</v>
      </c>
      <c r="C99" s="8">
        <f>(L47*($E47/365))+(L48*($E48/365))</f>
        <v>0</v>
      </c>
      <c r="D99" s="8">
        <f>(M47*($E47/365))+(M48*($E48/365))</f>
        <v>68.75</v>
      </c>
      <c r="E99" s="52">
        <f t="shared" si="41"/>
        <v>100</v>
      </c>
      <c r="F99" s="12"/>
      <c r="G99" s="12">
        <v>2007</v>
      </c>
      <c r="H99" s="928">
        <f>(O47/$R47*100*($E47/365))+(O48/$R48*100*($E48/365))</f>
        <v>41.175432403812209</v>
      </c>
      <c r="I99" s="928"/>
      <c r="J99" s="928">
        <f>(P47/$R47*100*($E47/365))+(P48/$R48*100*($E48/365))</f>
        <v>0</v>
      </c>
      <c r="K99" s="928"/>
      <c r="L99" s="928">
        <f>(Q47/$R47*100*($E47/365))+(Q48/$R48*100*($E48/365))</f>
        <v>58.824567596187784</v>
      </c>
      <c r="M99" s="928"/>
      <c r="N99" s="939">
        <f t="shared" si="42"/>
        <v>100</v>
      </c>
      <c r="O99" s="939"/>
      <c r="P99" s="12"/>
      <c r="Q99" s="12"/>
      <c r="R99" s="12">
        <v>2007</v>
      </c>
      <c r="S99" s="8">
        <f>(O47*($E47/365))+(O48*($E48/365))</f>
        <v>23.33</v>
      </c>
      <c r="T99" s="8">
        <f>(P47*($E47/365))+(P48*($E48/365))</f>
        <v>0</v>
      </c>
      <c r="U99" s="8">
        <f>(Q47*($E47/365))+(Q48*($E48/365))</f>
        <v>33.33</v>
      </c>
      <c r="V99" s="12"/>
      <c r="W99" s="7">
        <f t="shared" si="43"/>
        <v>56.66</v>
      </c>
    </row>
    <row r="100" spans="1:23" ht="9" customHeight="1">
      <c r="A100" s="1">
        <v>2008</v>
      </c>
      <c r="B100" s="8">
        <f>(K49*($E49/366))+(K50*($E50/366))</f>
        <v>31.25</v>
      </c>
      <c r="C100" s="8">
        <f>(L49*($E49/366))+(L50*($E50/366))</f>
        <v>0</v>
      </c>
      <c r="D100" s="8">
        <f>(M49*($E49/366))+(M50*($E50/366))</f>
        <v>68.75</v>
      </c>
      <c r="E100" s="52">
        <f t="shared" si="41"/>
        <v>100</v>
      </c>
      <c r="F100" s="12"/>
      <c r="G100" s="12">
        <v>2008</v>
      </c>
      <c r="H100" s="928">
        <f>(O49/$R49*100*($E49/366))+(O50/$R50*100*($E50/366))</f>
        <v>41.175432403812209</v>
      </c>
      <c r="I100" s="928"/>
      <c r="J100" s="928">
        <f>(P49/$R49*100*($E49/366))+(P50/$R50*100*($E50/366))</f>
        <v>0</v>
      </c>
      <c r="K100" s="928"/>
      <c r="L100" s="928">
        <f>(Q49/$R49*100*($E49/366))+(Q50/$R50*100*($E50/366))</f>
        <v>58.824567596187784</v>
      </c>
      <c r="M100" s="928"/>
      <c r="N100" s="939">
        <f t="shared" si="42"/>
        <v>100</v>
      </c>
      <c r="O100" s="939"/>
      <c r="P100" s="12"/>
      <c r="Q100" s="12"/>
      <c r="R100" s="12">
        <v>2008</v>
      </c>
      <c r="S100" s="8">
        <f>(O49*($E49/366))+(O50*($E50/366))</f>
        <v>23.33</v>
      </c>
      <c r="T100" s="8">
        <f>(P49*($E49/366))+(P50*($E50/366))</f>
        <v>0</v>
      </c>
      <c r="U100" s="8">
        <f>(Q49*($E49/366))+(Q50*($E50/366))</f>
        <v>33.33</v>
      </c>
      <c r="V100" s="12"/>
      <c r="W100" s="7">
        <f t="shared" si="43"/>
        <v>56.66</v>
      </c>
    </row>
    <row r="101" spans="1:23" ht="9" customHeight="1">
      <c r="A101" s="1">
        <v>2009</v>
      </c>
      <c r="B101" s="8">
        <f>(K51*($E51/365))+(K52*($E52/365))</f>
        <v>29.092465753424655</v>
      </c>
      <c r="C101" s="8">
        <f>(L51*($E51/365))+(L52*($E52/365))</f>
        <v>0</v>
      </c>
      <c r="D101" s="8">
        <f>(M51*($E51/365))+(M52*($E52/365))</f>
        <v>70.907534246575352</v>
      </c>
      <c r="E101" s="52">
        <f t="shared" si="41"/>
        <v>100</v>
      </c>
      <c r="F101" s="12"/>
      <c r="G101" s="12">
        <v>2009</v>
      </c>
      <c r="H101" s="928">
        <f>(O51/$R51*100*($E51/365))+(O52/$R52*100*($E52/365))</f>
        <v>41.175432403812209</v>
      </c>
      <c r="I101" s="928"/>
      <c r="J101" s="928">
        <f>(P51/$R51*100*($E51/365))+(P52/$R52*100*($E52/365))</f>
        <v>0</v>
      </c>
      <c r="K101" s="928"/>
      <c r="L101" s="928">
        <f>(Q51/$R51*100*($E51/365))+(Q52/$R52*100*($E52/365))</f>
        <v>58.824567596187784</v>
      </c>
      <c r="M101" s="928"/>
      <c r="N101" s="939">
        <f t="shared" si="42"/>
        <v>100</v>
      </c>
      <c r="O101" s="939"/>
      <c r="P101" s="12"/>
      <c r="Q101" s="12"/>
      <c r="R101" s="12">
        <v>2009</v>
      </c>
      <c r="S101" s="8">
        <f>(O51*($E51/365))+(O52*($E52/365))</f>
        <v>23.33</v>
      </c>
      <c r="T101" s="8">
        <f>(P51*($E51/365))+(P52*($E52/365))</f>
        <v>0</v>
      </c>
      <c r="U101" s="8">
        <f>(Q51*($E51/365))+(Q52*($E52/365))</f>
        <v>33.33</v>
      </c>
      <c r="V101" s="12"/>
      <c r="W101" s="7">
        <f t="shared" si="43"/>
        <v>56.66</v>
      </c>
    </row>
    <row r="102" spans="1:23" ht="9" customHeight="1">
      <c r="A102" s="1">
        <v>2010</v>
      </c>
      <c r="B102" s="8">
        <f>(K53*($E53/365))+(K54*($E54/365))</f>
        <v>35.447488584474883</v>
      </c>
      <c r="C102" s="8">
        <f>(L53*($E53/365))+(L54*($E54/365))</f>
        <v>25.716894977168952</v>
      </c>
      <c r="D102" s="8">
        <f>(M53*($E53/365))+(M54*($E54/365))</f>
        <v>38.835616438356162</v>
      </c>
      <c r="E102" s="52">
        <f t="shared" si="41"/>
        <v>100</v>
      </c>
      <c r="F102" s="12"/>
      <c r="G102" s="12">
        <v>2010</v>
      </c>
      <c r="H102" s="928">
        <f>(O53/$R53*100*($E53/365))+(O54/$R54*100*($E54/365))</f>
        <v>43.297055450198371</v>
      </c>
      <c r="I102" s="928"/>
      <c r="J102" s="928">
        <f>(P53/$R53*100*($E53/365))+(P54/$R54*100*($E54/365))</f>
        <v>26.243099958898913</v>
      </c>
      <c r="K102" s="928"/>
      <c r="L102" s="928">
        <f>(Q53/$R53*100*($E53/365))+(Q54/$R54*100*($E54/365))</f>
        <v>30.459844590902716</v>
      </c>
      <c r="M102" s="928"/>
      <c r="N102" s="939">
        <f t="shared" si="42"/>
        <v>100</v>
      </c>
      <c r="O102" s="939"/>
      <c r="P102" s="12"/>
      <c r="Q102" s="12"/>
      <c r="R102" s="12">
        <v>2010</v>
      </c>
      <c r="S102" s="8">
        <f>(O53*($E53/365))+(O54*($E54/365))</f>
        <v>23.653068493150684</v>
      </c>
      <c r="T102" s="8">
        <f>(P53*($E53/365))+(P54*($E54/365))</f>
        <v>13.819616438356165</v>
      </c>
      <c r="U102" s="8">
        <f>(Q53*($E53/365))+(Q54*($E54/365))</f>
        <v>17.258547945205478</v>
      </c>
      <c r="V102" s="12"/>
      <c r="W102" s="7">
        <f t="shared" si="43"/>
        <v>54.731232876712326</v>
      </c>
    </row>
    <row r="103" spans="1:23" ht="9" customHeight="1">
      <c r="A103" s="1">
        <v>2011</v>
      </c>
      <c r="B103" s="8">
        <f>(K55*($E55/365))+(K56*($E56/365))</f>
        <v>46.045662100456624</v>
      </c>
      <c r="C103" s="8">
        <f>(L55*($E55/365))+(L56*($E56/365))</f>
        <v>53.954337899543383</v>
      </c>
      <c r="D103" s="8">
        <f>(M55*($E55/365))+(M56*($E56/365))</f>
        <v>0</v>
      </c>
      <c r="E103" s="52">
        <f t="shared" si="41"/>
        <v>100</v>
      </c>
      <c r="F103" s="12"/>
      <c r="G103" s="12">
        <v>2011</v>
      </c>
      <c r="H103" s="928">
        <f>(O55/$R55*100*($E55/365))+(O56/$R56*100*($E56/365))</f>
        <v>45.575389289783523</v>
      </c>
      <c r="I103" s="928"/>
      <c r="J103" s="928">
        <f>(P55/$R55*100*($E55/365))+(P56/$R56*100*($E56/365))</f>
        <v>54.424610710216498</v>
      </c>
      <c r="K103" s="928"/>
      <c r="L103" s="928">
        <f>(Q55/$R55*100*($E55/365))+(Q56/$R56*100*($E56/365))</f>
        <v>0</v>
      </c>
      <c r="M103" s="928"/>
      <c r="N103" s="939">
        <f t="shared" si="42"/>
        <v>100.00000000000003</v>
      </c>
      <c r="O103" s="939"/>
      <c r="P103" s="12"/>
      <c r="Q103" s="12"/>
      <c r="R103" s="12">
        <v>2011</v>
      </c>
      <c r="S103" s="8">
        <f>(O55*($E55/365))+(O56*($E56/365))</f>
        <v>24</v>
      </c>
      <c r="T103" s="8">
        <f>(P55*($E55/365))+(P56*($E56/365))</f>
        <v>28.660000000000004</v>
      </c>
      <c r="U103" s="8">
        <f>(Q55*($E55/365))+(Q56*($E56/365))</f>
        <v>0</v>
      </c>
      <c r="V103" s="12"/>
      <c r="W103" s="7">
        <f t="shared" si="43"/>
        <v>52.660000000000004</v>
      </c>
    </row>
    <row r="104" spans="1:23" ht="9" customHeight="1">
      <c r="A104" s="1">
        <v>2012</v>
      </c>
      <c r="B104" s="8">
        <f>(K57*($E57/366))+(K58*($E58/366))</f>
        <v>10.273224043715848</v>
      </c>
      <c r="C104" s="8">
        <f>(L57*($E57/366))+(L58*($E58/366))</f>
        <v>15.409836065573771</v>
      </c>
      <c r="D104" s="8">
        <f>(M57*($E57/366))+(M58*($E58/366))</f>
        <v>74.316939890710387</v>
      </c>
      <c r="E104" s="52">
        <f t="shared" si="41"/>
        <v>100</v>
      </c>
      <c r="F104" s="12"/>
      <c r="G104" s="12">
        <v>2012</v>
      </c>
      <c r="H104" s="928">
        <f>(O57/$R57*100*($E57/366))+(O58/$R58*100*($E58/366))</f>
        <v>11.705154626337842</v>
      </c>
      <c r="I104" s="928"/>
      <c r="J104" s="928">
        <f>(P57/$R57*100*($E57/366))+(P58/$R58*100*($E58/366))</f>
        <v>13.977905482951776</v>
      </c>
      <c r="K104" s="928"/>
      <c r="L104" s="928">
        <f>(Q57/$R57*100*($E57/366))+(Q58/$R58*100*($E58/366))</f>
        <v>74.316939890710387</v>
      </c>
      <c r="M104" s="928"/>
      <c r="N104" s="939">
        <f t="shared" si="42"/>
        <v>100</v>
      </c>
      <c r="O104" s="939"/>
      <c r="P104" s="12"/>
      <c r="Q104" s="12"/>
      <c r="R104" s="12">
        <v>2012</v>
      </c>
      <c r="S104" s="8">
        <f>(O57*($E57/366))+(O58*($E58/366))</f>
        <v>6.1639344262295079</v>
      </c>
      <c r="T104" s="8">
        <f>(P57*($E57/366))+(P58*($E58/366))</f>
        <v>7.3607650273224046</v>
      </c>
      <c r="U104" s="8">
        <f>(Q57*($E57/366))+(Q58*($E58/366))</f>
        <v>41.09726775956284</v>
      </c>
      <c r="V104" s="12"/>
      <c r="W104" s="7">
        <f t="shared" si="43"/>
        <v>54.62196721311475</v>
      </c>
    </row>
    <row r="105" spans="1:23" ht="9" customHeight="1">
      <c r="A105" s="1">
        <v>2013</v>
      </c>
      <c r="B105" s="8">
        <f>(K59*($E59/365))+(K60*($E60/365))</f>
        <v>0</v>
      </c>
      <c r="C105" s="8">
        <f>(L59*($E59/365))+(L60*($E60/365))</f>
        <v>0</v>
      </c>
      <c r="D105" s="8">
        <f>(M59*($E59/365))+(M60*($E60/365))</f>
        <v>100</v>
      </c>
      <c r="E105" s="52">
        <f>B105+C105+D105</f>
        <v>100</v>
      </c>
      <c r="G105" s="12">
        <v>2013</v>
      </c>
      <c r="H105" s="928">
        <f>(O59/$R59*100*($E59/365))+(O60/$R60*100*($E60/365))</f>
        <v>0</v>
      </c>
      <c r="I105" s="928"/>
      <c r="J105" s="928">
        <f>(P59/$R59*100*($E59/365))+(P60/$R60*100*($E60/365))</f>
        <v>0</v>
      </c>
      <c r="K105" s="928"/>
      <c r="L105" s="928">
        <f>(Q59/$R59*100*($E59/365))+(Q60/$R60*100*($E60/365))</f>
        <v>100</v>
      </c>
      <c r="M105" s="928"/>
      <c r="N105" s="939">
        <f>H105+J105+L105</f>
        <v>100</v>
      </c>
      <c r="O105" s="939"/>
      <c r="R105" s="12">
        <v>2013</v>
      </c>
      <c r="S105" s="8">
        <f>(O59*($E59/365))+(O60*($E60/365))</f>
        <v>0</v>
      </c>
      <c r="T105" s="8">
        <f>(P59*($E59/365))+(P60*($E60/365))</f>
        <v>0</v>
      </c>
      <c r="U105" s="8">
        <f>(Q59*($E59/365))+(Q60*($E60/365))</f>
        <v>55.3</v>
      </c>
      <c r="V105" s="12"/>
      <c r="W105" s="7">
        <f t="shared" ref="W105:W110" si="44">S105+T105+U105</f>
        <v>55.3</v>
      </c>
    </row>
    <row r="106" spans="1:23" ht="9" customHeight="1">
      <c r="A106" s="1">
        <v>2014</v>
      </c>
      <c r="B106" s="8">
        <f>(K61*($E61/365))+(K62*($E62/365))</f>
        <v>0</v>
      </c>
      <c r="C106" s="8">
        <f>(L61*($E61/365))+(L62*($E62/365))</f>
        <v>0</v>
      </c>
      <c r="D106" s="8">
        <f>(M61*($E61/365))+(M62*($E62/365))</f>
        <v>100</v>
      </c>
      <c r="E106" s="52">
        <f>B106+C106+D106</f>
        <v>100</v>
      </c>
      <c r="G106" s="12">
        <v>2014</v>
      </c>
      <c r="H106" s="928">
        <f>(O61/$R61*100*($E61/365))+(O62/$R62*100*($E62/365))</f>
        <v>0</v>
      </c>
      <c r="I106" s="928"/>
      <c r="J106" s="928">
        <f>(P61/$R61*100*($E61/365))+(P62/$R62*100*($E62/365))</f>
        <v>0</v>
      </c>
      <c r="K106" s="928"/>
      <c r="L106" s="928">
        <f>(Q61/$R61*100*($E61/365))+(Q62/$R62*100*($E62/365))</f>
        <v>100</v>
      </c>
      <c r="M106" s="928"/>
      <c r="N106" s="939">
        <f>H106+J106+L106</f>
        <v>100</v>
      </c>
      <c r="O106" s="939"/>
      <c r="R106" s="12">
        <v>2014</v>
      </c>
      <c r="S106" s="8">
        <f>(O61*($E61/365))+(O62*($E62/365))</f>
        <v>0</v>
      </c>
      <c r="T106" s="8">
        <f>(P61*($E61/365))+(P62*($E62/365))</f>
        <v>0</v>
      </c>
      <c r="U106" s="8">
        <f>(Q61*($E61/365))+(Q62*($E62/365))</f>
        <v>55.3</v>
      </c>
      <c r="V106" s="12"/>
      <c r="W106" s="7">
        <f t="shared" si="44"/>
        <v>55.3</v>
      </c>
    </row>
    <row r="107" spans="1:23" s="625" customFormat="1" ht="9" customHeight="1">
      <c r="A107" s="625">
        <v>2015</v>
      </c>
      <c r="B107" s="620">
        <f>(K63*($E63/365))+(K64*($E64/365))</f>
        <v>0</v>
      </c>
      <c r="C107" s="620">
        <f>(L63*($E63/365))+(L64*($E64/365))</f>
        <v>0</v>
      </c>
      <c r="D107" s="620">
        <f>(M63*($E63/365))+(M64*($E64/365))</f>
        <v>100</v>
      </c>
      <c r="E107" s="52">
        <f>B107+C107+D107</f>
        <v>100</v>
      </c>
      <c r="G107" s="12">
        <v>2015</v>
      </c>
      <c r="H107" s="928">
        <f>(O63/$R63*100*($E63/365))+(O64/$R64*100*($E64/365))</f>
        <v>0</v>
      </c>
      <c r="I107" s="928"/>
      <c r="J107" s="928">
        <f>(P63/$R63*100*($E63/365))+(P64/$R64*100*($E64/365))</f>
        <v>0</v>
      </c>
      <c r="K107" s="928"/>
      <c r="L107" s="928">
        <f>(Q63/$R63*100*($E63/365))+(Q64/$R64*100*($E64/365))</f>
        <v>100</v>
      </c>
      <c r="M107" s="928"/>
      <c r="N107" s="939">
        <f>H107+J107+L107</f>
        <v>100</v>
      </c>
      <c r="O107" s="939"/>
      <c r="R107" s="12">
        <v>2015</v>
      </c>
      <c r="S107" s="620">
        <f>(O63*($E63/365))+(O64*($E64/365))</f>
        <v>0</v>
      </c>
      <c r="T107" s="620">
        <f>(P63*($E63/365))+(P64*($E64/365))</f>
        <v>0</v>
      </c>
      <c r="U107" s="620">
        <f>(Q63*($E63/365))+(Q64*($E64/365))</f>
        <v>55.3</v>
      </c>
      <c r="V107" s="12"/>
      <c r="W107" s="623">
        <f t="shared" si="44"/>
        <v>55.3</v>
      </c>
    </row>
    <row r="108" spans="1:23" s="698" customFormat="1" ht="9" customHeight="1">
      <c r="A108" s="713">
        <v>2016</v>
      </c>
      <c r="B108" s="708">
        <f>(K65*($E65/366))+(K66*($E66/366))+(K67*($E67/366))</f>
        <v>28.105646630236791</v>
      </c>
      <c r="C108" s="708">
        <f t="shared" ref="C108:D108" si="45">(L65*($E65/366))+(L66*($E66/366))+(L67*($E67/366))</f>
        <v>2.9326047358834244</v>
      </c>
      <c r="D108" s="708">
        <f t="shared" si="45"/>
        <v>68.961748633879779</v>
      </c>
      <c r="E108" s="52">
        <f>B108+C108+D108</f>
        <v>100</v>
      </c>
      <c r="F108" s="713"/>
      <c r="G108" s="12">
        <v>2016</v>
      </c>
      <c r="H108" s="928">
        <f>(O65/$R65*100*($E65/366))+(O66/$R66*100*($E66/366))+(O67/$R67*100*($E67/366))</f>
        <v>46.387148979530679</v>
      </c>
      <c r="I108" s="928"/>
      <c r="J108" s="928">
        <f>(P65/$R65*100*($E65/366))+(P66/$R66*100*($E66/366))+(P67/$R67*100*($E67/366))</f>
        <v>6.6672660612781085</v>
      </c>
      <c r="K108" s="928"/>
      <c r="L108" s="928">
        <f>(Q65/$R65*100*($E65/366))+(Q66/$R66*100*($E66/366))+(Q67/$R67*100*($E67/366))</f>
        <v>46.945584959191216</v>
      </c>
      <c r="M108" s="928"/>
      <c r="N108" s="939">
        <f>H108+J108+L108</f>
        <v>100</v>
      </c>
      <c r="O108" s="939"/>
      <c r="P108" s="713"/>
      <c r="Q108" s="713"/>
      <c r="R108" s="12">
        <v>2016</v>
      </c>
      <c r="S108" s="708">
        <f>(O65*($E65/366))+(O66*($E66/366))+(O67*($E67/366))</f>
        <v>25.373770491803278</v>
      </c>
      <c r="T108" s="708">
        <f>(P65*($E65/366))+(P66*($E66/366))+(P67*($E67/366))</f>
        <v>3.6469945355191258</v>
      </c>
      <c r="U108" s="708">
        <f>(Q65*($E65/366))+(Q66*($E66/366))+(Q67*($E67/367))</f>
        <v>25.797819419008054</v>
      </c>
      <c r="V108" s="12"/>
      <c r="W108" s="712">
        <f t="shared" si="44"/>
        <v>54.818584446330462</v>
      </c>
    </row>
    <row r="109" spans="1:23">
      <c r="A109" s="749">
        <v>2017</v>
      </c>
      <c r="B109" s="744">
        <f>(K68*($E68/365))+(K69*($E69/365))</f>
        <v>40</v>
      </c>
      <c r="C109" s="744">
        <f t="shared" ref="C109:D109" si="46">(L68*($E68/365))+(L69*($E69/365))</f>
        <v>0</v>
      </c>
      <c r="D109" s="744">
        <f t="shared" si="46"/>
        <v>60</v>
      </c>
      <c r="E109" s="52">
        <f>B109+C109+D109</f>
        <v>100</v>
      </c>
      <c r="F109" s="749"/>
      <c r="G109" s="12">
        <v>2017</v>
      </c>
      <c r="H109" s="928">
        <f>(O68/$R68*100*($E68/365))+(O69/$R69*100*($E69/365))</f>
        <v>59.78062157221207</v>
      </c>
      <c r="I109" s="928"/>
      <c r="J109" s="928">
        <f>(P68/$R68*100*($E68/365))+(P69/$R69*100*($E69/365))</f>
        <v>8.592321755027422</v>
      </c>
      <c r="K109" s="928"/>
      <c r="L109" s="928">
        <f>(Q68/$R68*100*($E68/365))+(Q69/$R69*100*($E69/365))</f>
        <v>31.62705667276051</v>
      </c>
      <c r="M109" s="928"/>
      <c r="N109" s="939">
        <f>H109+J109+L109</f>
        <v>100</v>
      </c>
      <c r="O109" s="939"/>
      <c r="P109" s="749"/>
      <c r="Q109" s="749"/>
      <c r="R109" s="12">
        <v>2017</v>
      </c>
      <c r="S109" s="744">
        <f>(O68*($E68/365))+(O69*($E69/365))</f>
        <v>32.700000000000003</v>
      </c>
      <c r="T109" s="744">
        <f t="shared" ref="T109:U109" si="47">(P68*($E68/365))+(P69*($E69/365))</f>
        <v>4.7</v>
      </c>
      <c r="U109" s="744">
        <f t="shared" si="47"/>
        <v>17.3</v>
      </c>
      <c r="V109" s="12"/>
      <c r="W109" s="746">
        <f t="shared" si="44"/>
        <v>54.7</v>
      </c>
    </row>
    <row r="110" spans="1:23">
      <c r="A110" s="775">
        <v>2018</v>
      </c>
      <c r="B110" s="772">
        <f>(K70*($E70/365))+(K71*($E71/365))</f>
        <v>40</v>
      </c>
      <c r="C110" s="772">
        <f>(L70*($E70/365))+(L71*($E71/365))</f>
        <v>0</v>
      </c>
      <c r="D110" s="772">
        <f>(M70*($E70/365))+(M71*($E71/365))</f>
        <v>60</v>
      </c>
      <c r="E110" s="52">
        <f t="shared" ref="E110" si="48">B110+C110+D110</f>
        <v>100</v>
      </c>
      <c r="F110" s="775"/>
      <c r="G110" s="12">
        <v>2018</v>
      </c>
      <c r="H110" s="928">
        <f>(O70/$R70*100*($E70/365))+(O71/$R71*100*($E71/365))</f>
        <v>59.78062157221207</v>
      </c>
      <c r="I110" s="928"/>
      <c r="J110" s="928">
        <f>(P70/$R70*100*($E70/365))+(P71/$R71*100*($E71/365))</f>
        <v>8.592321755027422</v>
      </c>
      <c r="K110" s="928"/>
      <c r="L110" s="928">
        <f>(Q70/$R70*100*($E70/365))+(Q71/$R71*100*($E71/365))</f>
        <v>31.62705667276051</v>
      </c>
      <c r="M110" s="928"/>
      <c r="N110" s="939">
        <f t="shared" ref="N110" si="49">H110+J110+L110</f>
        <v>100</v>
      </c>
      <c r="O110" s="939"/>
      <c r="P110" s="775"/>
      <c r="Q110" s="775"/>
      <c r="R110" s="12">
        <v>2018</v>
      </c>
      <c r="S110" s="772">
        <f>(O70*($E70/365))+(O71*($E71/365))</f>
        <v>32.700000000000003</v>
      </c>
      <c r="T110" s="772">
        <f>(P70*($E70/365))+(P71*($E71/365))</f>
        <v>4.7</v>
      </c>
      <c r="U110" s="772">
        <f>(Q70*($E70/365))+(Q71*($E71/365))</f>
        <v>17.3</v>
      </c>
      <c r="V110" s="12"/>
      <c r="W110" s="774">
        <f t="shared" si="44"/>
        <v>54.7</v>
      </c>
    </row>
    <row r="111" spans="1:23">
      <c r="A111" s="816">
        <v>2019</v>
      </c>
      <c r="B111" s="812">
        <f>(K72*($E72/365))+(K73*($E73/365))</f>
        <v>40</v>
      </c>
      <c r="C111" s="812">
        <f>(L72*($E72/365))+(L73*($E73/365))</f>
        <v>0</v>
      </c>
      <c r="D111" s="812">
        <f>(M72*($E72/365))+(M73*($E73/365))</f>
        <v>60</v>
      </c>
      <c r="E111" s="52">
        <f t="shared" ref="E111" si="50">B111+C111+D111</f>
        <v>100</v>
      </c>
      <c r="F111" s="816"/>
      <c r="G111" s="12">
        <v>2019</v>
      </c>
      <c r="H111" s="928">
        <f>(O72/$R72*100*($E72/365))+(O73/$R73*100*($E73/365))</f>
        <v>59.78062157221207</v>
      </c>
      <c r="I111" s="928"/>
      <c r="J111" s="928">
        <f>(P72/$R72*100*($E72/365))+(P73/$R73*100*($E73/365))</f>
        <v>8.592321755027422</v>
      </c>
      <c r="K111" s="928"/>
      <c r="L111" s="928">
        <f>(Q72/$R72*100*($E72/365))+(Q73/$R73*100*($E73/365))</f>
        <v>31.62705667276051</v>
      </c>
      <c r="M111" s="928"/>
      <c r="N111" s="939">
        <f t="shared" ref="N111" si="51">H111+J111+L111</f>
        <v>100</v>
      </c>
      <c r="O111" s="939"/>
      <c r="P111" s="816"/>
      <c r="Q111" s="816"/>
      <c r="R111" s="12">
        <v>2019</v>
      </c>
      <c r="S111" s="812">
        <f t="shared" ref="S111:T111" si="52">(O72*($E72/365))+(O73*($E73/365))</f>
        <v>32.700000000000003</v>
      </c>
      <c r="T111" s="812">
        <f t="shared" si="52"/>
        <v>4.7</v>
      </c>
      <c r="U111" s="812">
        <f>(Q72*($E72/365))+(Q73*($E73/365))</f>
        <v>17.3</v>
      </c>
      <c r="V111" s="12"/>
      <c r="W111" s="815">
        <f t="shared" ref="W111" si="53">S111+T111+U111</f>
        <v>54.7</v>
      </c>
    </row>
    <row r="112" spans="1:23">
      <c r="A112" s="816"/>
      <c r="G112" s="12"/>
      <c r="Q112" s="816"/>
      <c r="R112" s="12"/>
    </row>
    <row r="113" spans="2:10">
      <c r="B113" s="8"/>
      <c r="C113" s="8"/>
      <c r="D113" s="8"/>
    </row>
    <row r="114" spans="2:10">
      <c r="B114" s="8"/>
      <c r="C114" s="8"/>
      <c r="D114" s="8"/>
      <c r="H114" s="5"/>
      <c r="I114" s="5"/>
      <c r="J114" s="5"/>
    </row>
    <row r="115" spans="2:10">
      <c r="B115" s="8"/>
      <c r="C115" s="8"/>
      <c r="D115" s="8"/>
      <c r="H115" s="5"/>
      <c r="I115" s="5"/>
      <c r="J115" s="5"/>
    </row>
    <row r="116" spans="2:10">
      <c r="B116" s="8"/>
      <c r="C116" s="8"/>
      <c r="D116" s="8"/>
      <c r="H116" s="5"/>
      <c r="I116" s="5"/>
      <c r="J116" s="5"/>
    </row>
    <row r="117" spans="2:10">
      <c r="B117" s="8"/>
      <c r="C117" s="8"/>
      <c r="D117" s="8"/>
      <c r="H117" s="5"/>
      <c r="I117" s="5"/>
      <c r="J117" s="5"/>
    </row>
    <row r="118" spans="2:10">
      <c r="B118" s="8"/>
      <c r="C118" s="8"/>
      <c r="D118" s="8"/>
      <c r="H118" s="5"/>
      <c r="I118" s="5"/>
      <c r="J118" s="5"/>
    </row>
    <row r="119" spans="2:10">
      <c r="B119" s="8"/>
      <c r="C119" s="8"/>
      <c r="D119" s="8"/>
      <c r="H119" s="5"/>
      <c r="I119" s="5"/>
      <c r="J119" s="5"/>
    </row>
    <row r="120" spans="2:10">
      <c r="B120" s="8"/>
      <c r="C120" s="8"/>
      <c r="D120" s="8"/>
      <c r="H120" s="5"/>
      <c r="I120" s="5"/>
      <c r="J120" s="5"/>
    </row>
    <row r="121" spans="2:10">
      <c r="B121" s="8"/>
      <c r="C121" s="8"/>
      <c r="D121" s="8"/>
      <c r="H121" s="5"/>
      <c r="I121" s="5"/>
      <c r="J121" s="5"/>
    </row>
    <row r="122" spans="2:10">
      <c r="B122" s="8"/>
      <c r="C122" s="8"/>
      <c r="D122" s="8"/>
      <c r="H122" s="5"/>
      <c r="I122" s="5"/>
      <c r="J122" s="5"/>
    </row>
    <row r="123" spans="2:10">
      <c r="B123" s="8"/>
      <c r="C123" s="8"/>
      <c r="D123" s="8"/>
      <c r="H123" s="5"/>
      <c r="I123" s="5"/>
      <c r="J123" s="5"/>
    </row>
    <row r="124" spans="2:10">
      <c r="B124" s="8"/>
      <c r="C124" s="8"/>
      <c r="D124" s="8"/>
      <c r="H124" s="5"/>
      <c r="I124" s="5"/>
      <c r="J124" s="5"/>
    </row>
    <row r="125" spans="2:10">
      <c r="B125" s="8"/>
      <c r="C125" s="8"/>
      <c r="D125" s="8"/>
      <c r="H125" s="5"/>
      <c r="I125" s="5"/>
      <c r="J125" s="5"/>
    </row>
    <row r="126" spans="2:10">
      <c r="B126" s="8"/>
      <c r="C126" s="8"/>
      <c r="D126" s="8"/>
      <c r="H126" s="5"/>
      <c r="I126" s="5"/>
      <c r="J126" s="5"/>
    </row>
    <row r="127" spans="2:10">
      <c r="B127" s="8"/>
      <c r="C127" s="8"/>
      <c r="D127" s="8"/>
      <c r="H127" s="5"/>
      <c r="I127" s="5"/>
      <c r="J127" s="5"/>
    </row>
    <row r="128" spans="2:10">
      <c r="B128" s="8"/>
      <c r="C128" s="8"/>
      <c r="D128" s="8"/>
      <c r="H128" s="5"/>
      <c r="I128" s="5"/>
      <c r="J128" s="5"/>
    </row>
    <row r="129" spans="2:10">
      <c r="B129" s="8"/>
      <c r="C129" s="8"/>
      <c r="D129" s="8"/>
      <c r="H129" s="5"/>
      <c r="I129" s="5"/>
      <c r="J129" s="5"/>
    </row>
    <row r="130" spans="2:10">
      <c r="B130" s="8"/>
      <c r="C130" s="8"/>
      <c r="D130" s="8"/>
      <c r="H130" s="5"/>
      <c r="I130" s="5"/>
      <c r="J130" s="5"/>
    </row>
    <row r="131" spans="2:10">
      <c r="B131" s="8"/>
      <c r="C131" s="8"/>
      <c r="D131" s="8"/>
      <c r="H131" s="5"/>
      <c r="I131" s="5"/>
      <c r="J131" s="5"/>
    </row>
    <row r="132" spans="2:10">
      <c r="B132" s="8"/>
      <c r="C132" s="8"/>
      <c r="D132" s="8"/>
      <c r="H132" s="5"/>
      <c r="I132" s="5"/>
      <c r="J132" s="5"/>
    </row>
    <row r="133" spans="2:10">
      <c r="B133" s="8"/>
      <c r="C133" s="8"/>
      <c r="D133" s="8"/>
      <c r="H133" s="5"/>
      <c r="I133" s="5"/>
      <c r="J133" s="5"/>
    </row>
  </sheetData>
  <mergeCells count="214">
    <mergeCell ref="C73:D73"/>
    <mergeCell ref="H111:I111"/>
    <mergeCell ref="J111:K111"/>
    <mergeCell ref="L111:M111"/>
    <mergeCell ref="N111:O111"/>
    <mergeCell ref="H109:I109"/>
    <mergeCell ref="J109:K109"/>
    <mergeCell ref="L109:M109"/>
    <mergeCell ref="N109:O109"/>
    <mergeCell ref="H108:I108"/>
    <mergeCell ref="J108:K108"/>
    <mergeCell ref="L108:M108"/>
    <mergeCell ref="N108:O108"/>
    <mergeCell ref="H107:I107"/>
    <mergeCell ref="J107:K107"/>
    <mergeCell ref="L107:M107"/>
    <mergeCell ref="N107:O107"/>
    <mergeCell ref="N94:O94"/>
    <mergeCell ref="H95:I95"/>
    <mergeCell ref="J95:K95"/>
    <mergeCell ref="L95:M95"/>
    <mergeCell ref="N95:O95"/>
    <mergeCell ref="H106:I106"/>
    <mergeCell ref="J106:K106"/>
    <mergeCell ref="N96:O96"/>
    <mergeCell ref="J96:K96"/>
    <mergeCell ref="H104:I104"/>
    <mergeCell ref="J104:K104"/>
    <mergeCell ref="L104:M104"/>
    <mergeCell ref="H100:I100"/>
    <mergeCell ref="J100:K100"/>
    <mergeCell ref="H102:I102"/>
    <mergeCell ref="J102:K102"/>
    <mergeCell ref="N103:O103"/>
    <mergeCell ref="N104:O104"/>
    <mergeCell ref="N100:O100"/>
    <mergeCell ref="H101:I101"/>
    <mergeCell ref="N106:O106"/>
    <mergeCell ref="J99:K99"/>
    <mergeCell ref="L106:M106"/>
    <mergeCell ref="L102:M102"/>
    <mergeCell ref="N102:O102"/>
    <mergeCell ref="N97:O97"/>
    <mergeCell ref="J98:K98"/>
    <mergeCell ref="N101:O101"/>
    <mergeCell ref="N98:O98"/>
    <mergeCell ref="N99:O99"/>
    <mergeCell ref="L100:M100"/>
    <mergeCell ref="L103:M103"/>
    <mergeCell ref="J101:K101"/>
    <mergeCell ref="L101:M101"/>
    <mergeCell ref="J94:K94"/>
    <mergeCell ref="H98:I98"/>
    <mergeCell ref="H99:I99"/>
    <mergeCell ref="H96:I96"/>
    <mergeCell ref="H103:I103"/>
    <mergeCell ref="J103:K103"/>
    <mergeCell ref="L97:M97"/>
    <mergeCell ref="L98:M98"/>
    <mergeCell ref="L96:M96"/>
    <mergeCell ref="H97:I97"/>
    <mergeCell ref="J97:K97"/>
    <mergeCell ref="L99:M99"/>
    <mergeCell ref="H94:I94"/>
    <mergeCell ref="L94:M94"/>
    <mergeCell ref="H93:I93"/>
    <mergeCell ref="J93:K93"/>
    <mergeCell ref="L93:M93"/>
    <mergeCell ref="N93:O93"/>
    <mergeCell ref="H90:I90"/>
    <mergeCell ref="J90:K90"/>
    <mergeCell ref="L90:M90"/>
    <mergeCell ref="N90:O90"/>
    <mergeCell ref="H91:I91"/>
    <mergeCell ref="N91:O91"/>
    <mergeCell ref="L91:M91"/>
    <mergeCell ref="H92:I92"/>
    <mergeCell ref="J92:K92"/>
    <mergeCell ref="L92:M92"/>
    <mergeCell ref="J88:K88"/>
    <mergeCell ref="L88:M88"/>
    <mergeCell ref="N88:O88"/>
    <mergeCell ref="H89:I89"/>
    <mergeCell ref="J89:K89"/>
    <mergeCell ref="L89:M89"/>
    <mergeCell ref="N89:O89"/>
    <mergeCell ref="J91:K91"/>
    <mergeCell ref="N92:O92"/>
    <mergeCell ref="C50:D50"/>
    <mergeCell ref="C51:D51"/>
    <mergeCell ref="C55:D55"/>
    <mergeCell ref="C52:D52"/>
    <mergeCell ref="C53:D53"/>
    <mergeCell ref="C54:D54"/>
    <mergeCell ref="C57:D57"/>
    <mergeCell ref="C58:D58"/>
    <mergeCell ref="H82:I82"/>
    <mergeCell ref="C56:D56"/>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41:D41"/>
    <mergeCell ref="C42:D42"/>
    <mergeCell ref="C43:D43"/>
    <mergeCell ref="C47:D47"/>
    <mergeCell ref="C48:D48"/>
    <mergeCell ref="C49:D49"/>
    <mergeCell ref="C44:D44"/>
    <mergeCell ref="C46:D46"/>
    <mergeCell ref="C45:D45"/>
    <mergeCell ref="C38:D38"/>
    <mergeCell ref="C39:D39"/>
    <mergeCell ref="C40:D40"/>
    <mergeCell ref="C24:D24"/>
    <mergeCell ref="C27:D27"/>
    <mergeCell ref="C28:D28"/>
    <mergeCell ref="C29:D29"/>
    <mergeCell ref="C30:D30"/>
    <mergeCell ref="C31:D31"/>
    <mergeCell ref="C26:D26"/>
    <mergeCell ref="C32:D32"/>
    <mergeCell ref="C33:D33"/>
    <mergeCell ref="C34:D34"/>
    <mergeCell ref="C35:D35"/>
    <mergeCell ref="C36:D36"/>
    <mergeCell ref="C37:D37"/>
    <mergeCell ref="C10:D10"/>
    <mergeCell ref="C11:D11"/>
    <mergeCell ref="C12:D12"/>
    <mergeCell ref="C13:D13"/>
    <mergeCell ref="C16:D16"/>
    <mergeCell ref="C14:D14"/>
    <mergeCell ref="C15:D15"/>
    <mergeCell ref="C25:D25"/>
    <mergeCell ref="C17:D17"/>
    <mergeCell ref="C19:D19"/>
    <mergeCell ref="C20:D20"/>
    <mergeCell ref="C21:D21"/>
    <mergeCell ref="C22:D22"/>
    <mergeCell ref="C23:D23"/>
    <mergeCell ref="C18:D18"/>
    <mergeCell ref="G3:M3"/>
    <mergeCell ref="O3:Q3"/>
    <mergeCell ref="A4:A5"/>
    <mergeCell ref="B4:B5"/>
    <mergeCell ref="C4:D5"/>
    <mergeCell ref="E4:E5"/>
    <mergeCell ref="F4:F5"/>
    <mergeCell ref="G4:J4"/>
    <mergeCell ref="C9:D9"/>
    <mergeCell ref="C6:D6"/>
    <mergeCell ref="C7:D7"/>
    <mergeCell ref="K4:N4"/>
    <mergeCell ref="O4:R4"/>
    <mergeCell ref="C8:D8"/>
    <mergeCell ref="Z4:AC4"/>
    <mergeCell ref="AD4:AG4"/>
    <mergeCell ref="S4:S5"/>
    <mergeCell ref="T4:T5"/>
    <mergeCell ref="U4:U5"/>
    <mergeCell ref="V4:Y4"/>
    <mergeCell ref="AT4:AW4"/>
    <mergeCell ref="AX4:BA4"/>
    <mergeCell ref="H105:I105"/>
    <mergeCell ref="J105:K105"/>
    <mergeCell ref="L105:M105"/>
    <mergeCell ref="N105:O105"/>
    <mergeCell ref="AH4:AK4"/>
    <mergeCell ref="AL4:AO4"/>
    <mergeCell ref="AP4:AS4"/>
    <mergeCell ref="R79:W79"/>
    <mergeCell ref="J83:K83"/>
    <mergeCell ref="L83:M83"/>
    <mergeCell ref="N83:O83"/>
    <mergeCell ref="H81:I81"/>
    <mergeCell ref="J81:K81"/>
    <mergeCell ref="L81:M81"/>
    <mergeCell ref="N81:O81"/>
    <mergeCell ref="N82:O82"/>
    <mergeCell ref="H110:I110"/>
    <mergeCell ref="J110:K110"/>
    <mergeCell ref="L110:M110"/>
    <mergeCell ref="N110:O110"/>
    <mergeCell ref="H83:I83"/>
    <mergeCell ref="J82:K82"/>
    <mergeCell ref="L82:M82"/>
    <mergeCell ref="H84:I84"/>
    <mergeCell ref="J84:K84"/>
    <mergeCell ref="L84:M84"/>
    <mergeCell ref="N84:O84"/>
    <mergeCell ref="H85:I85"/>
    <mergeCell ref="J85:K85"/>
    <mergeCell ref="L85:M85"/>
    <mergeCell ref="N85:O85"/>
    <mergeCell ref="L86:M86"/>
    <mergeCell ref="N86:O86"/>
    <mergeCell ref="H87:I87"/>
    <mergeCell ref="J87:K87"/>
    <mergeCell ref="L87:M87"/>
    <mergeCell ref="N87:O87"/>
    <mergeCell ref="H86:I86"/>
    <mergeCell ref="J86:K86"/>
    <mergeCell ref="H88:I8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A110"/>
  <sheetViews>
    <sheetView zoomScale="160" zoomScaleNormal="160" workbookViewId="0">
      <pane xSplit="1" ySplit="5" topLeftCell="B27" activePane="bottomRight" state="frozen"/>
      <selection pane="topRight" activeCell="B1" sqref="B1"/>
      <selection pane="bottomLeft" activeCell="A6" sqref="A6"/>
      <selection pane="bottomRight" activeCell="S51" sqref="S51"/>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147</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85" customFormat="1" ht="9" customHeight="1">
      <c r="A6" s="185">
        <v>1993</v>
      </c>
      <c r="B6" s="852"/>
      <c r="C6" s="935" t="s">
        <v>1268</v>
      </c>
      <c r="D6" s="935"/>
      <c r="E6" s="197">
        <v>11</v>
      </c>
      <c r="F6" s="191"/>
      <c r="G6" s="498"/>
      <c r="H6" s="556"/>
      <c r="I6" s="556"/>
      <c r="J6" s="500"/>
      <c r="K6" s="496"/>
      <c r="L6" s="496"/>
      <c r="M6" s="496"/>
      <c r="N6" s="499"/>
      <c r="O6" s="495"/>
      <c r="P6" s="496"/>
      <c r="Q6" s="496"/>
      <c r="R6" s="497"/>
      <c r="S6" s="556"/>
      <c r="T6" s="839">
        <v>33944</v>
      </c>
      <c r="U6" s="852"/>
      <c r="V6" s="82"/>
      <c r="Y6" s="83"/>
      <c r="AD6" s="82"/>
      <c r="AG6" s="83"/>
      <c r="AL6" s="82"/>
      <c r="AO6" s="83"/>
      <c r="AP6" s="82"/>
      <c r="AS6" s="83"/>
      <c r="AW6" s="83"/>
      <c r="BA6" s="84"/>
    </row>
    <row r="7" spans="1:53" s="292" customFormat="1">
      <c r="A7" s="292">
        <v>1993</v>
      </c>
      <c r="B7" s="836">
        <v>33981</v>
      </c>
      <c r="C7" s="916" t="s">
        <v>859</v>
      </c>
      <c r="D7" s="916"/>
      <c r="E7" s="292">
        <v>354</v>
      </c>
      <c r="F7" s="292" t="s">
        <v>338</v>
      </c>
      <c r="G7" s="539">
        <v>7</v>
      </c>
      <c r="H7" s="884">
        <v>4</v>
      </c>
      <c r="I7" s="884">
        <v>5</v>
      </c>
      <c r="J7" s="541">
        <v>16</v>
      </c>
      <c r="K7" s="537">
        <f t="shared" ref="K7:K45" si="0">G7/J7*100</f>
        <v>43.75</v>
      </c>
      <c r="L7" s="537">
        <f t="shared" ref="L7:L45" si="1">H7/J7*100</f>
        <v>25</v>
      </c>
      <c r="M7" s="537">
        <f t="shared" ref="M7:M45" si="2">I7/J7*100</f>
        <v>31.25</v>
      </c>
      <c r="N7" s="540">
        <f>K7+L7+M7</f>
        <v>100</v>
      </c>
      <c r="O7" s="536">
        <v>28.9</v>
      </c>
      <c r="P7" s="537">
        <v>16.7</v>
      </c>
      <c r="Q7" s="537">
        <v>21.2</v>
      </c>
      <c r="R7" s="538">
        <f>O7+P7+Q7</f>
        <v>66.8</v>
      </c>
      <c r="S7" s="557">
        <v>3</v>
      </c>
      <c r="T7" s="838"/>
      <c r="U7" s="836">
        <v>33981</v>
      </c>
      <c r="V7" s="299" t="s">
        <v>866</v>
      </c>
      <c r="W7" s="292" t="s">
        <v>22</v>
      </c>
      <c r="X7" s="292" t="s">
        <v>11</v>
      </c>
      <c r="Y7" s="300">
        <v>24.5</v>
      </c>
      <c r="Z7" s="292" t="s">
        <v>867</v>
      </c>
      <c r="AA7" s="292" t="s">
        <v>17</v>
      </c>
      <c r="AB7" s="292" t="s">
        <v>18</v>
      </c>
      <c r="AC7" s="292">
        <v>16.7</v>
      </c>
      <c r="AD7" s="299" t="s">
        <v>868</v>
      </c>
      <c r="AE7" s="292" t="s">
        <v>98</v>
      </c>
      <c r="AF7" s="292" t="s">
        <v>12</v>
      </c>
      <c r="AG7" s="300">
        <v>15.6</v>
      </c>
      <c r="AH7" s="292" t="s">
        <v>869</v>
      </c>
      <c r="AI7" s="292" t="s">
        <v>218</v>
      </c>
      <c r="AJ7" s="292" t="s">
        <v>12</v>
      </c>
      <c r="AK7" s="292">
        <v>5.6</v>
      </c>
      <c r="AL7" s="299" t="s">
        <v>870</v>
      </c>
      <c r="AM7" s="292" t="s">
        <v>297</v>
      </c>
      <c r="AN7" s="292" t="s">
        <v>11</v>
      </c>
      <c r="AO7" s="300">
        <v>4.4000000000000004</v>
      </c>
      <c r="AP7" s="299"/>
      <c r="AS7" s="300"/>
      <c r="AW7" s="300"/>
      <c r="BA7" s="301"/>
    </row>
    <row r="8" spans="1:53" s="292" customFormat="1">
      <c r="A8" s="292">
        <v>1994</v>
      </c>
      <c r="B8" s="836"/>
      <c r="C8" s="916" t="s">
        <v>859</v>
      </c>
      <c r="D8" s="916"/>
      <c r="E8" s="292">
        <v>87</v>
      </c>
      <c r="G8" s="539">
        <v>7</v>
      </c>
      <c r="H8" s="884">
        <v>4</v>
      </c>
      <c r="I8" s="884">
        <v>5</v>
      </c>
      <c r="J8" s="541">
        <v>16</v>
      </c>
      <c r="K8" s="537">
        <f t="shared" si="0"/>
        <v>43.75</v>
      </c>
      <c r="L8" s="537">
        <f t="shared" si="1"/>
        <v>25</v>
      </c>
      <c r="M8" s="537">
        <f t="shared" si="2"/>
        <v>31.25</v>
      </c>
      <c r="N8" s="540">
        <f t="shared" ref="N8:N51" si="3">K8+L8+M8</f>
        <v>100</v>
      </c>
      <c r="O8" s="536">
        <v>28.9</v>
      </c>
      <c r="P8" s="537">
        <v>16.7</v>
      </c>
      <c r="Q8" s="537">
        <v>21.2</v>
      </c>
      <c r="R8" s="538">
        <f t="shared" ref="R8:R51" si="4">O8+P8+Q8</f>
        <v>66.8</v>
      </c>
      <c r="S8" s="557">
        <v>3</v>
      </c>
      <c r="T8" s="838"/>
      <c r="U8" s="836"/>
      <c r="V8" s="299" t="s">
        <v>866</v>
      </c>
      <c r="W8" s="292" t="s">
        <v>22</v>
      </c>
      <c r="X8" s="292" t="s">
        <v>11</v>
      </c>
      <c r="Y8" s="300">
        <v>24.5</v>
      </c>
      <c r="Z8" s="292" t="s">
        <v>867</v>
      </c>
      <c r="AA8" s="292" t="s">
        <v>17</v>
      </c>
      <c r="AB8" s="292" t="s">
        <v>18</v>
      </c>
      <c r="AC8" s="292">
        <v>16.7</v>
      </c>
      <c r="AD8" s="299" t="s">
        <v>868</v>
      </c>
      <c r="AE8" s="292" t="s">
        <v>98</v>
      </c>
      <c r="AF8" s="292" t="s">
        <v>12</v>
      </c>
      <c r="AG8" s="300">
        <v>15.6</v>
      </c>
      <c r="AH8" s="292" t="s">
        <v>869</v>
      </c>
      <c r="AI8" s="292" t="s">
        <v>218</v>
      </c>
      <c r="AJ8" s="292" t="s">
        <v>12</v>
      </c>
      <c r="AK8" s="292">
        <v>5.6</v>
      </c>
      <c r="AL8" s="299" t="s">
        <v>870</v>
      </c>
      <c r="AM8" s="292" t="s">
        <v>297</v>
      </c>
      <c r="AN8" s="292" t="s">
        <v>11</v>
      </c>
      <c r="AO8" s="300">
        <v>4.4000000000000004</v>
      </c>
      <c r="AP8" s="299"/>
      <c r="AS8" s="300"/>
      <c r="AW8" s="300"/>
      <c r="BA8" s="301"/>
    </row>
    <row r="9" spans="1:53" s="185" customFormat="1">
      <c r="A9" s="185">
        <v>1994</v>
      </c>
      <c r="B9" s="852">
        <v>34422</v>
      </c>
      <c r="C9" s="917" t="s">
        <v>860</v>
      </c>
      <c r="D9" s="917"/>
      <c r="E9" s="185">
        <f>365-E8</f>
        <v>278</v>
      </c>
      <c r="F9" s="185">
        <v>4</v>
      </c>
      <c r="G9" s="498">
        <v>8</v>
      </c>
      <c r="H9" s="556">
        <v>3</v>
      </c>
      <c r="I9" s="556">
        <v>4</v>
      </c>
      <c r="J9" s="500">
        <v>16</v>
      </c>
      <c r="K9" s="496">
        <f t="shared" si="0"/>
        <v>50</v>
      </c>
      <c r="L9" s="496">
        <f t="shared" si="1"/>
        <v>18.75</v>
      </c>
      <c r="M9" s="496">
        <f t="shared" si="2"/>
        <v>25</v>
      </c>
      <c r="N9" s="499">
        <f t="shared" si="3"/>
        <v>93.75</v>
      </c>
      <c r="O9" s="495">
        <v>24.5</v>
      </c>
      <c r="P9" s="496">
        <v>16.7</v>
      </c>
      <c r="Q9" s="496">
        <v>15.6</v>
      </c>
      <c r="R9" s="497">
        <f t="shared" si="4"/>
        <v>56.800000000000004</v>
      </c>
      <c r="S9" s="556">
        <v>2</v>
      </c>
      <c r="T9" s="839"/>
      <c r="U9" s="852">
        <v>34422</v>
      </c>
      <c r="V9" s="82" t="s">
        <v>866</v>
      </c>
      <c r="W9" s="185" t="s">
        <v>22</v>
      </c>
      <c r="X9" s="185" t="s">
        <v>11</v>
      </c>
      <c r="Y9" s="83">
        <v>24.5</v>
      </c>
      <c r="Z9" s="185" t="s">
        <v>867</v>
      </c>
      <c r="AA9" s="185" t="s">
        <v>17</v>
      </c>
      <c r="AB9" s="185" t="s">
        <v>18</v>
      </c>
      <c r="AC9" s="185">
        <v>16.7</v>
      </c>
      <c r="AD9" s="82" t="s">
        <v>868</v>
      </c>
      <c r="AE9" s="185" t="s">
        <v>98</v>
      </c>
      <c r="AF9" s="185" t="s">
        <v>12</v>
      </c>
      <c r="AG9" s="83">
        <v>15.6</v>
      </c>
      <c r="AL9" s="82"/>
      <c r="AO9" s="83"/>
      <c r="AP9" s="82"/>
      <c r="AS9" s="83"/>
      <c r="AW9" s="83"/>
      <c r="BA9" s="84"/>
    </row>
    <row r="10" spans="1:53" s="185" customFormat="1">
      <c r="A10" s="185">
        <v>1995</v>
      </c>
      <c r="B10" s="852"/>
      <c r="C10" s="917" t="s">
        <v>860</v>
      </c>
      <c r="D10" s="917"/>
      <c r="E10" s="185">
        <v>0</v>
      </c>
      <c r="G10" s="498">
        <v>8</v>
      </c>
      <c r="H10" s="556">
        <v>3</v>
      </c>
      <c r="I10" s="556">
        <v>4</v>
      </c>
      <c r="J10" s="500">
        <v>16</v>
      </c>
      <c r="K10" s="496">
        <f t="shared" si="0"/>
        <v>50</v>
      </c>
      <c r="L10" s="496">
        <f t="shared" si="1"/>
        <v>18.75</v>
      </c>
      <c r="M10" s="496">
        <f t="shared" si="2"/>
        <v>25</v>
      </c>
      <c r="N10" s="499">
        <f t="shared" si="3"/>
        <v>93.75</v>
      </c>
      <c r="O10" s="495">
        <v>24.5</v>
      </c>
      <c r="P10" s="496">
        <v>16.7</v>
      </c>
      <c r="Q10" s="496">
        <v>15.6</v>
      </c>
      <c r="R10" s="497">
        <f t="shared" si="4"/>
        <v>56.800000000000004</v>
      </c>
      <c r="S10" s="556">
        <v>2</v>
      </c>
      <c r="T10" s="839"/>
      <c r="U10" s="852"/>
      <c r="V10" s="82" t="s">
        <v>866</v>
      </c>
      <c r="W10" s="185" t="s">
        <v>22</v>
      </c>
      <c r="X10" s="185" t="s">
        <v>11</v>
      </c>
      <c r="Y10" s="83">
        <v>24.5</v>
      </c>
      <c r="Z10" s="185" t="s">
        <v>867</v>
      </c>
      <c r="AA10" s="185" t="s">
        <v>17</v>
      </c>
      <c r="AB10" s="185" t="s">
        <v>18</v>
      </c>
      <c r="AC10" s="185">
        <v>16.7</v>
      </c>
      <c r="AD10" s="82" t="s">
        <v>868</v>
      </c>
      <c r="AE10" s="185" t="s">
        <v>98</v>
      </c>
      <c r="AF10" s="185" t="s">
        <v>12</v>
      </c>
      <c r="AG10" s="83">
        <v>15.6</v>
      </c>
      <c r="AL10" s="82"/>
      <c r="AO10" s="83"/>
      <c r="AP10" s="82"/>
      <c r="AS10" s="83"/>
      <c r="AW10" s="83"/>
      <c r="BA10" s="84"/>
    </row>
    <row r="11" spans="1:53" s="185" customFormat="1">
      <c r="A11" s="185">
        <v>1995</v>
      </c>
      <c r="B11" s="852"/>
      <c r="C11" s="917" t="s">
        <v>860</v>
      </c>
      <c r="D11" s="917"/>
      <c r="E11" s="185">
        <v>365</v>
      </c>
      <c r="G11" s="498">
        <v>8</v>
      </c>
      <c r="H11" s="556">
        <v>3</v>
      </c>
      <c r="I11" s="556">
        <v>4</v>
      </c>
      <c r="J11" s="500">
        <v>16</v>
      </c>
      <c r="K11" s="496">
        <f t="shared" si="0"/>
        <v>50</v>
      </c>
      <c r="L11" s="496">
        <f t="shared" si="1"/>
        <v>18.75</v>
      </c>
      <c r="M11" s="496">
        <f t="shared" si="2"/>
        <v>25</v>
      </c>
      <c r="N11" s="499">
        <f t="shared" si="3"/>
        <v>93.75</v>
      </c>
      <c r="O11" s="495">
        <v>24.5</v>
      </c>
      <c r="P11" s="496">
        <v>16.7</v>
      </c>
      <c r="Q11" s="496">
        <v>15.6</v>
      </c>
      <c r="R11" s="497">
        <f t="shared" si="4"/>
        <v>56.800000000000004</v>
      </c>
      <c r="S11" s="556">
        <v>2</v>
      </c>
      <c r="T11" s="839"/>
      <c r="U11" s="852"/>
      <c r="V11" s="82" t="s">
        <v>866</v>
      </c>
      <c r="W11" s="185" t="s">
        <v>22</v>
      </c>
      <c r="X11" s="185" t="s">
        <v>11</v>
      </c>
      <c r="Y11" s="83">
        <v>24.5</v>
      </c>
      <c r="Z11" s="185" t="s">
        <v>867</v>
      </c>
      <c r="AA11" s="185" t="s">
        <v>17</v>
      </c>
      <c r="AB11" s="185" t="s">
        <v>18</v>
      </c>
      <c r="AC11" s="185">
        <v>16.7</v>
      </c>
      <c r="AD11" s="82" t="s">
        <v>868</v>
      </c>
      <c r="AE11" s="185" t="s">
        <v>98</v>
      </c>
      <c r="AF11" s="185" t="s">
        <v>12</v>
      </c>
      <c r="AG11" s="83">
        <v>15.6</v>
      </c>
      <c r="AL11" s="82"/>
      <c r="AO11" s="83"/>
      <c r="AP11" s="82"/>
      <c r="AS11" s="83"/>
      <c r="AW11" s="83"/>
      <c r="BA11" s="84"/>
    </row>
    <row r="12" spans="1:53" s="185" customFormat="1">
      <c r="A12" s="185">
        <v>1996</v>
      </c>
      <c r="B12" s="852"/>
      <c r="C12" s="917" t="s">
        <v>860</v>
      </c>
      <c r="D12" s="917"/>
      <c r="E12" s="185">
        <v>37</v>
      </c>
      <c r="G12" s="498">
        <v>8</v>
      </c>
      <c r="H12" s="556">
        <v>3</v>
      </c>
      <c r="I12" s="556">
        <v>4</v>
      </c>
      <c r="J12" s="500">
        <v>16</v>
      </c>
      <c r="K12" s="496">
        <f t="shared" si="0"/>
        <v>50</v>
      </c>
      <c r="L12" s="496">
        <f t="shared" si="1"/>
        <v>18.75</v>
      </c>
      <c r="M12" s="496">
        <f t="shared" si="2"/>
        <v>25</v>
      </c>
      <c r="N12" s="499">
        <f t="shared" si="3"/>
        <v>93.75</v>
      </c>
      <c r="O12" s="495">
        <v>24.5</v>
      </c>
      <c r="P12" s="496">
        <v>16.7</v>
      </c>
      <c r="Q12" s="496">
        <v>15.6</v>
      </c>
      <c r="R12" s="497">
        <f t="shared" si="4"/>
        <v>56.800000000000004</v>
      </c>
      <c r="S12" s="556">
        <v>2</v>
      </c>
      <c r="T12" s="839"/>
      <c r="U12" s="852"/>
      <c r="V12" s="82" t="s">
        <v>866</v>
      </c>
      <c r="W12" s="185" t="s">
        <v>22</v>
      </c>
      <c r="X12" s="185" t="s">
        <v>11</v>
      </c>
      <c r="Y12" s="83">
        <v>24.5</v>
      </c>
      <c r="Z12" s="185" t="s">
        <v>867</v>
      </c>
      <c r="AA12" s="185" t="s">
        <v>17</v>
      </c>
      <c r="AB12" s="185" t="s">
        <v>18</v>
      </c>
      <c r="AC12" s="185">
        <v>16.7</v>
      </c>
      <c r="AD12" s="82" t="s">
        <v>868</v>
      </c>
      <c r="AE12" s="185" t="s">
        <v>98</v>
      </c>
      <c r="AF12" s="185" t="s">
        <v>12</v>
      </c>
      <c r="AG12" s="83">
        <v>15.6</v>
      </c>
      <c r="AL12" s="82"/>
      <c r="AO12" s="83"/>
      <c r="AP12" s="82"/>
      <c r="AS12" s="83"/>
      <c r="AW12" s="83"/>
      <c r="BA12" s="84"/>
    </row>
    <row r="13" spans="1:53" s="292" customFormat="1">
      <c r="A13" s="292">
        <v>1996</v>
      </c>
      <c r="B13" s="836">
        <v>35102</v>
      </c>
      <c r="C13" s="916" t="s">
        <v>861</v>
      </c>
      <c r="D13" s="916"/>
      <c r="E13" s="292">
        <f>366-E12</f>
        <v>329</v>
      </c>
      <c r="F13" s="292">
        <v>4</v>
      </c>
      <c r="G13" s="539">
        <v>9</v>
      </c>
      <c r="H13" s="557">
        <v>6</v>
      </c>
      <c r="I13" s="557"/>
      <c r="J13" s="541">
        <v>18</v>
      </c>
      <c r="K13" s="537">
        <f t="shared" si="0"/>
        <v>50</v>
      </c>
      <c r="L13" s="537">
        <f t="shared" si="1"/>
        <v>33.333333333333329</v>
      </c>
      <c r="M13" s="537">
        <f t="shared" si="2"/>
        <v>0</v>
      </c>
      <c r="N13" s="540">
        <f t="shared" si="3"/>
        <v>83.333333333333329</v>
      </c>
      <c r="O13" s="536">
        <v>24.5</v>
      </c>
      <c r="P13" s="537">
        <v>16.7</v>
      </c>
      <c r="Q13" s="537"/>
      <c r="R13" s="538">
        <f t="shared" si="4"/>
        <v>41.2</v>
      </c>
      <c r="S13" s="557">
        <v>5</v>
      </c>
      <c r="T13" s="838"/>
      <c r="U13" s="836">
        <v>35102</v>
      </c>
      <c r="V13" s="299" t="s">
        <v>866</v>
      </c>
      <c r="W13" s="292" t="s">
        <v>22</v>
      </c>
      <c r="X13" s="292" t="s">
        <v>11</v>
      </c>
      <c r="Y13" s="300">
        <v>24.5</v>
      </c>
      <c r="Z13" s="292" t="s">
        <v>867</v>
      </c>
      <c r="AA13" s="292" t="s">
        <v>17</v>
      </c>
      <c r="AB13" s="292" t="s">
        <v>18</v>
      </c>
      <c r="AC13" s="292">
        <v>16.7</v>
      </c>
      <c r="AD13" s="299"/>
      <c r="AG13" s="300"/>
      <c r="AL13" s="299"/>
      <c r="AO13" s="300"/>
      <c r="AP13" s="299"/>
      <c r="AS13" s="300"/>
      <c r="AW13" s="300"/>
      <c r="BA13" s="301"/>
    </row>
    <row r="14" spans="1:53" s="292" customFormat="1">
      <c r="A14" s="292">
        <v>1997</v>
      </c>
      <c r="B14" s="836"/>
      <c r="C14" s="916" t="s">
        <v>861</v>
      </c>
      <c r="D14" s="916"/>
      <c r="E14" s="292">
        <v>57</v>
      </c>
      <c r="G14" s="539">
        <v>9</v>
      </c>
      <c r="H14" s="557">
        <v>6</v>
      </c>
      <c r="I14" s="557"/>
      <c r="J14" s="541">
        <v>18</v>
      </c>
      <c r="K14" s="537">
        <f t="shared" si="0"/>
        <v>50</v>
      </c>
      <c r="L14" s="537">
        <f t="shared" si="1"/>
        <v>33.333333333333329</v>
      </c>
      <c r="M14" s="537">
        <f t="shared" si="2"/>
        <v>0</v>
      </c>
      <c r="N14" s="540">
        <f t="shared" si="3"/>
        <v>83.333333333333329</v>
      </c>
      <c r="O14" s="536">
        <v>24.5</v>
      </c>
      <c r="P14" s="537">
        <v>16.7</v>
      </c>
      <c r="Q14" s="537"/>
      <c r="R14" s="538">
        <f t="shared" si="4"/>
        <v>41.2</v>
      </c>
      <c r="S14" s="557">
        <v>5</v>
      </c>
      <c r="T14" s="838">
        <v>35379</v>
      </c>
      <c r="U14" s="836"/>
      <c r="V14" s="299" t="s">
        <v>866</v>
      </c>
      <c r="W14" s="292" t="s">
        <v>22</v>
      </c>
      <c r="X14" s="292" t="s">
        <v>11</v>
      </c>
      <c r="Y14" s="300">
        <v>24.5</v>
      </c>
      <c r="Z14" s="292" t="s">
        <v>867</v>
      </c>
      <c r="AA14" s="292" t="s">
        <v>17</v>
      </c>
      <c r="AB14" s="292" t="s">
        <v>18</v>
      </c>
      <c r="AC14" s="292">
        <v>16.7</v>
      </c>
      <c r="AD14" s="299"/>
      <c r="AG14" s="300"/>
      <c r="AL14" s="299"/>
      <c r="AO14" s="300"/>
      <c r="AP14" s="299"/>
      <c r="AS14" s="300"/>
      <c r="AW14" s="300"/>
      <c r="BA14" s="301"/>
    </row>
    <row r="15" spans="1:53" s="185" customFormat="1">
      <c r="A15" s="185">
        <v>1997</v>
      </c>
      <c r="B15" s="852">
        <v>35488</v>
      </c>
      <c r="C15" s="917" t="s">
        <v>862</v>
      </c>
      <c r="D15" s="917"/>
      <c r="E15" s="185">
        <f>365-E14</f>
        <v>308</v>
      </c>
      <c r="F15" s="185">
        <v>1</v>
      </c>
      <c r="G15" s="498">
        <v>8</v>
      </c>
      <c r="H15" s="556"/>
      <c r="I15" s="556">
        <v>10</v>
      </c>
      <c r="J15" s="500">
        <v>19</v>
      </c>
      <c r="K15" s="496">
        <f t="shared" si="0"/>
        <v>42.105263157894733</v>
      </c>
      <c r="L15" s="496">
        <f t="shared" si="1"/>
        <v>0</v>
      </c>
      <c r="M15" s="496">
        <f t="shared" si="2"/>
        <v>52.631578947368418</v>
      </c>
      <c r="N15" s="499">
        <f t="shared" si="3"/>
        <v>94.73684210526315</v>
      </c>
      <c r="O15" s="495">
        <v>27.8</v>
      </c>
      <c r="P15" s="496"/>
      <c r="Q15" s="496">
        <v>26.7</v>
      </c>
      <c r="R15" s="497">
        <f t="shared" si="4"/>
        <v>54.5</v>
      </c>
      <c r="S15" s="556">
        <v>2</v>
      </c>
      <c r="T15" s="839"/>
      <c r="U15" s="852">
        <v>35488</v>
      </c>
      <c r="V15" s="82" t="s">
        <v>866</v>
      </c>
      <c r="W15" s="185" t="s">
        <v>22</v>
      </c>
      <c r="X15" s="185" t="s">
        <v>11</v>
      </c>
      <c r="Y15" s="83">
        <v>27.8</v>
      </c>
      <c r="Z15" s="185" t="s">
        <v>871</v>
      </c>
      <c r="AA15" s="185" t="s">
        <v>872</v>
      </c>
      <c r="AB15" s="185" t="s">
        <v>12</v>
      </c>
      <c r="AC15" s="185">
        <v>21.1</v>
      </c>
      <c r="AD15" s="82" t="s">
        <v>873</v>
      </c>
      <c r="AE15" s="185" t="s">
        <v>874</v>
      </c>
      <c r="AF15" s="185" t="s">
        <v>12</v>
      </c>
      <c r="AG15" s="83">
        <v>5.6</v>
      </c>
      <c r="AL15" s="82"/>
      <c r="AO15" s="83"/>
      <c r="AP15" s="82"/>
      <c r="AS15" s="83"/>
      <c r="AW15" s="83"/>
      <c r="BA15" s="84"/>
    </row>
    <row r="16" spans="1:53" s="185" customFormat="1">
      <c r="A16" s="185">
        <v>1998</v>
      </c>
      <c r="B16" s="852"/>
      <c r="C16" s="917" t="s">
        <v>862</v>
      </c>
      <c r="D16" s="917"/>
      <c r="E16" s="185">
        <v>0</v>
      </c>
      <c r="G16" s="498">
        <v>8</v>
      </c>
      <c r="H16" s="556"/>
      <c r="I16" s="556">
        <v>10</v>
      </c>
      <c r="J16" s="500">
        <v>19</v>
      </c>
      <c r="K16" s="496">
        <f t="shared" si="0"/>
        <v>42.105263157894733</v>
      </c>
      <c r="L16" s="496">
        <f t="shared" si="1"/>
        <v>0</v>
      </c>
      <c r="M16" s="496">
        <f t="shared" si="2"/>
        <v>52.631578947368418</v>
      </c>
      <c r="N16" s="499">
        <f t="shared" si="3"/>
        <v>94.73684210526315</v>
      </c>
      <c r="O16" s="495">
        <v>27.8</v>
      </c>
      <c r="P16" s="496"/>
      <c r="Q16" s="496">
        <v>26.7</v>
      </c>
      <c r="R16" s="497">
        <f t="shared" si="4"/>
        <v>54.5</v>
      </c>
      <c r="S16" s="556">
        <v>2</v>
      </c>
      <c r="T16" s="839"/>
      <c r="U16" s="852"/>
      <c r="V16" s="82" t="s">
        <v>866</v>
      </c>
      <c r="W16" s="185" t="s">
        <v>22</v>
      </c>
      <c r="X16" s="185" t="s">
        <v>11</v>
      </c>
      <c r="Y16" s="83">
        <v>27.8</v>
      </c>
      <c r="Z16" s="185" t="s">
        <v>871</v>
      </c>
      <c r="AA16" s="185" t="s">
        <v>872</v>
      </c>
      <c r="AB16" s="185" t="s">
        <v>12</v>
      </c>
      <c r="AC16" s="185">
        <v>21.1</v>
      </c>
      <c r="AD16" s="82" t="s">
        <v>873</v>
      </c>
      <c r="AE16" s="185" t="s">
        <v>874</v>
      </c>
      <c r="AF16" s="185" t="s">
        <v>12</v>
      </c>
      <c r="AG16" s="83">
        <v>5.6</v>
      </c>
      <c r="AL16" s="82"/>
      <c r="AO16" s="83"/>
      <c r="AP16" s="82"/>
      <c r="AS16" s="83"/>
      <c r="AW16" s="83"/>
      <c r="BA16" s="84"/>
    </row>
    <row r="17" spans="1:53" s="185" customFormat="1">
      <c r="A17" s="185">
        <v>1998</v>
      </c>
      <c r="B17" s="852"/>
      <c r="C17" s="917" t="s">
        <v>862</v>
      </c>
      <c r="D17" s="917"/>
      <c r="E17" s="185">
        <v>365</v>
      </c>
      <c r="G17" s="498">
        <v>8</v>
      </c>
      <c r="H17" s="556"/>
      <c r="I17" s="556">
        <v>10</v>
      </c>
      <c r="J17" s="500">
        <v>19</v>
      </c>
      <c r="K17" s="496">
        <f t="shared" si="0"/>
        <v>42.105263157894733</v>
      </c>
      <c r="L17" s="496">
        <f t="shared" si="1"/>
        <v>0</v>
      </c>
      <c r="M17" s="496">
        <f t="shared" si="2"/>
        <v>52.631578947368418</v>
      </c>
      <c r="N17" s="499">
        <f t="shared" si="3"/>
        <v>94.73684210526315</v>
      </c>
      <c r="O17" s="495">
        <v>27.8</v>
      </c>
      <c r="P17" s="496"/>
      <c r="Q17" s="496">
        <v>26.7</v>
      </c>
      <c r="R17" s="497">
        <f t="shared" si="4"/>
        <v>54.5</v>
      </c>
      <c r="S17" s="556">
        <v>2</v>
      </c>
      <c r="T17" s="839"/>
      <c r="U17" s="852"/>
      <c r="V17" s="82" t="s">
        <v>866</v>
      </c>
      <c r="W17" s="185" t="s">
        <v>22</v>
      </c>
      <c r="X17" s="185" t="s">
        <v>11</v>
      </c>
      <c r="Y17" s="83">
        <v>27.8</v>
      </c>
      <c r="Z17" s="185" t="s">
        <v>871</v>
      </c>
      <c r="AA17" s="185" t="s">
        <v>872</v>
      </c>
      <c r="AB17" s="185" t="s">
        <v>12</v>
      </c>
      <c r="AC17" s="185">
        <v>21.1</v>
      </c>
      <c r="AD17" s="82" t="s">
        <v>873</v>
      </c>
      <c r="AE17" s="185" t="s">
        <v>874</v>
      </c>
      <c r="AF17" s="185" t="s">
        <v>12</v>
      </c>
      <c r="AG17" s="83">
        <v>5.6</v>
      </c>
      <c r="AL17" s="82"/>
      <c r="AO17" s="83"/>
      <c r="AP17" s="82"/>
      <c r="AS17" s="83"/>
      <c r="AW17" s="83"/>
      <c r="BA17" s="84"/>
    </row>
    <row r="18" spans="1:53" s="185" customFormat="1">
      <c r="A18" s="185">
        <v>1999</v>
      </c>
      <c r="B18" s="852"/>
      <c r="C18" s="917" t="s">
        <v>862</v>
      </c>
      <c r="D18" s="917"/>
      <c r="E18" s="185">
        <v>0</v>
      </c>
      <c r="G18" s="498">
        <v>8</v>
      </c>
      <c r="H18" s="556"/>
      <c r="I18" s="556">
        <v>10</v>
      </c>
      <c r="J18" s="500">
        <v>19</v>
      </c>
      <c r="K18" s="496">
        <f t="shared" si="0"/>
        <v>42.105263157894733</v>
      </c>
      <c r="L18" s="496">
        <f t="shared" si="1"/>
        <v>0</v>
      </c>
      <c r="M18" s="496">
        <f t="shared" si="2"/>
        <v>52.631578947368418</v>
      </c>
      <c r="N18" s="499">
        <f t="shared" si="3"/>
        <v>94.73684210526315</v>
      </c>
      <c r="O18" s="495">
        <v>27.8</v>
      </c>
      <c r="P18" s="496"/>
      <c r="Q18" s="496">
        <v>26.7</v>
      </c>
      <c r="R18" s="497">
        <f t="shared" si="4"/>
        <v>54.5</v>
      </c>
      <c r="S18" s="556">
        <v>2</v>
      </c>
      <c r="T18" s="839"/>
      <c r="U18" s="852"/>
      <c r="V18" s="82" t="s">
        <v>866</v>
      </c>
      <c r="W18" s="185" t="s">
        <v>22</v>
      </c>
      <c r="X18" s="185" t="s">
        <v>11</v>
      </c>
      <c r="Y18" s="83">
        <v>27.8</v>
      </c>
      <c r="Z18" s="185" t="s">
        <v>871</v>
      </c>
      <c r="AA18" s="185" t="s">
        <v>872</v>
      </c>
      <c r="AB18" s="185" t="s">
        <v>12</v>
      </c>
      <c r="AC18" s="185">
        <v>21.1</v>
      </c>
      <c r="AD18" s="82" t="s">
        <v>873</v>
      </c>
      <c r="AE18" s="185" t="s">
        <v>874</v>
      </c>
      <c r="AF18" s="185" t="s">
        <v>12</v>
      </c>
      <c r="AG18" s="83">
        <v>5.6</v>
      </c>
      <c r="AL18" s="82"/>
      <c r="AO18" s="83"/>
      <c r="AP18" s="82"/>
      <c r="AS18" s="83"/>
      <c r="AW18" s="83"/>
      <c r="BA18" s="84"/>
    </row>
    <row r="19" spans="1:53" s="185" customFormat="1">
      <c r="A19" s="185">
        <v>1999</v>
      </c>
      <c r="B19" s="852"/>
      <c r="C19" s="917" t="s">
        <v>862</v>
      </c>
      <c r="D19" s="917"/>
      <c r="E19" s="185">
        <v>365</v>
      </c>
      <c r="G19" s="498">
        <v>8</v>
      </c>
      <c r="H19" s="556"/>
      <c r="I19" s="556">
        <v>10</v>
      </c>
      <c r="J19" s="500">
        <v>19</v>
      </c>
      <c r="K19" s="496">
        <f t="shared" si="0"/>
        <v>42.105263157894733</v>
      </c>
      <c r="L19" s="496">
        <f t="shared" si="1"/>
        <v>0</v>
      </c>
      <c r="M19" s="496">
        <f t="shared" si="2"/>
        <v>52.631578947368418</v>
      </c>
      <c r="N19" s="499">
        <f t="shared" si="3"/>
        <v>94.73684210526315</v>
      </c>
      <c r="O19" s="495">
        <v>27.8</v>
      </c>
      <c r="P19" s="496"/>
      <c r="Q19" s="496">
        <v>26.7</v>
      </c>
      <c r="R19" s="497">
        <f t="shared" si="4"/>
        <v>54.5</v>
      </c>
      <c r="S19" s="556">
        <v>2</v>
      </c>
      <c r="T19" s="839"/>
      <c r="U19" s="852"/>
      <c r="V19" s="82" t="s">
        <v>866</v>
      </c>
      <c r="W19" s="185" t="s">
        <v>22</v>
      </c>
      <c r="X19" s="185" t="s">
        <v>11</v>
      </c>
      <c r="Y19" s="83">
        <v>27.8</v>
      </c>
      <c r="Z19" s="185" t="s">
        <v>871</v>
      </c>
      <c r="AA19" s="185" t="s">
        <v>872</v>
      </c>
      <c r="AB19" s="185" t="s">
        <v>12</v>
      </c>
      <c r="AC19" s="185">
        <v>21.1</v>
      </c>
      <c r="AD19" s="82" t="s">
        <v>873</v>
      </c>
      <c r="AE19" s="185" t="s">
        <v>874</v>
      </c>
      <c r="AF19" s="185" t="s">
        <v>12</v>
      </c>
      <c r="AG19" s="83">
        <v>5.6</v>
      </c>
      <c r="AL19" s="82"/>
      <c r="AO19" s="83"/>
      <c r="AP19" s="82"/>
      <c r="AS19" s="83"/>
      <c r="AW19" s="83"/>
      <c r="BA19" s="84"/>
    </row>
    <row r="20" spans="1:53" s="185" customFormat="1">
      <c r="A20" s="185">
        <v>2000</v>
      </c>
      <c r="B20" s="852"/>
      <c r="C20" s="917" t="s">
        <v>862</v>
      </c>
      <c r="D20" s="917"/>
      <c r="E20" s="185">
        <v>158</v>
      </c>
      <c r="G20" s="498">
        <v>8</v>
      </c>
      <c r="H20" s="556"/>
      <c r="I20" s="556">
        <v>10</v>
      </c>
      <c r="J20" s="500">
        <v>19</v>
      </c>
      <c r="K20" s="496">
        <f t="shared" si="0"/>
        <v>42.105263157894733</v>
      </c>
      <c r="L20" s="496">
        <f t="shared" si="1"/>
        <v>0</v>
      </c>
      <c r="M20" s="496">
        <f t="shared" si="2"/>
        <v>52.631578947368418</v>
      </c>
      <c r="N20" s="499">
        <f t="shared" si="3"/>
        <v>94.73684210526315</v>
      </c>
      <c r="O20" s="495">
        <v>27.8</v>
      </c>
      <c r="P20" s="496"/>
      <c r="Q20" s="496">
        <v>26.7</v>
      </c>
      <c r="R20" s="497">
        <f t="shared" si="4"/>
        <v>54.5</v>
      </c>
      <c r="S20" s="556">
        <v>2</v>
      </c>
      <c r="T20" s="839"/>
      <c r="U20" s="852"/>
      <c r="V20" s="82" t="s">
        <v>866</v>
      </c>
      <c r="W20" s="185" t="s">
        <v>22</v>
      </c>
      <c r="X20" s="185" t="s">
        <v>11</v>
      </c>
      <c r="Y20" s="83">
        <v>27.8</v>
      </c>
      <c r="Z20" s="185" t="s">
        <v>871</v>
      </c>
      <c r="AA20" s="185" t="s">
        <v>872</v>
      </c>
      <c r="AB20" s="185" t="s">
        <v>12</v>
      </c>
      <c r="AC20" s="185">
        <v>21.1</v>
      </c>
      <c r="AD20" s="82" t="s">
        <v>873</v>
      </c>
      <c r="AE20" s="185" t="s">
        <v>874</v>
      </c>
      <c r="AF20" s="185" t="s">
        <v>12</v>
      </c>
      <c r="AG20" s="83">
        <v>5.6</v>
      </c>
      <c r="AL20" s="82"/>
      <c r="AO20" s="83"/>
      <c r="AP20" s="82"/>
      <c r="AS20" s="83"/>
      <c r="AW20" s="83"/>
      <c r="BA20" s="84"/>
    </row>
    <row r="21" spans="1:53" s="292" customFormat="1">
      <c r="A21" s="292">
        <v>2000</v>
      </c>
      <c r="B21" s="836">
        <v>36684</v>
      </c>
      <c r="C21" s="916" t="s">
        <v>864</v>
      </c>
      <c r="D21" s="916"/>
      <c r="E21" s="292">
        <v>176</v>
      </c>
      <c r="F21" s="292">
        <v>5</v>
      </c>
      <c r="G21" s="539">
        <v>5</v>
      </c>
      <c r="H21" s="884">
        <v>3</v>
      </c>
      <c r="I21" s="884">
        <v>5</v>
      </c>
      <c r="J21" s="541">
        <v>17</v>
      </c>
      <c r="K21" s="537">
        <f t="shared" si="0"/>
        <v>29.411764705882355</v>
      </c>
      <c r="L21" s="537">
        <f t="shared" si="1"/>
        <v>17.647058823529413</v>
      </c>
      <c r="M21" s="537">
        <f t="shared" si="2"/>
        <v>29.411764705882355</v>
      </c>
      <c r="N21" s="540">
        <f t="shared" si="3"/>
        <v>76.470588235294116</v>
      </c>
      <c r="O21" s="536">
        <v>17.8</v>
      </c>
      <c r="P21" s="537">
        <v>11.1</v>
      </c>
      <c r="Q21" s="537">
        <v>21.1</v>
      </c>
      <c r="R21" s="538">
        <f t="shared" si="4"/>
        <v>50</v>
      </c>
      <c r="S21" s="557">
        <v>5</v>
      </c>
      <c r="T21" s="838"/>
      <c r="U21" s="836">
        <v>36684</v>
      </c>
      <c r="V21" s="299" t="s">
        <v>871</v>
      </c>
      <c r="W21" s="292" t="s">
        <v>872</v>
      </c>
      <c r="X21" s="292" t="s">
        <v>12</v>
      </c>
      <c r="Y21" s="300">
        <v>21.1</v>
      </c>
      <c r="Z21" s="299" t="s">
        <v>870</v>
      </c>
      <c r="AA21" s="292" t="s">
        <v>297</v>
      </c>
      <c r="AB21" s="292" t="s">
        <v>11</v>
      </c>
      <c r="AC21" s="292">
        <v>17.8</v>
      </c>
      <c r="AD21" s="299" t="s">
        <v>867</v>
      </c>
      <c r="AE21" s="292" t="s">
        <v>17</v>
      </c>
      <c r="AF21" s="292" t="s">
        <v>18</v>
      </c>
      <c r="AG21" s="300">
        <v>11.1</v>
      </c>
      <c r="AL21" s="299"/>
      <c r="AO21" s="300"/>
      <c r="AP21" s="299"/>
      <c r="AS21" s="300"/>
      <c r="AW21" s="300"/>
      <c r="BA21" s="301"/>
    </row>
    <row r="22" spans="1:53" s="185" customFormat="1">
      <c r="A22" s="185">
        <v>2000</v>
      </c>
      <c r="B22" s="852">
        <v>36860</v>
      </c>
      <c r="C22" s="917" t="s">
        <v>1214</v>
      </c>
      <c r="D22" s="917"/>
      <c r="E22" s="185">
        <f>366-E21-E20</f>
        <v>32</v>
      </c>
      <c r="F22" s="185">
        <v>1</v>
      </c>
      <c r="G22" s="498">
        <v>10</v>
      </c>
      <c r="H22" s="556"/>
      <c r="I22" s="556">
        <v>6</v>
      </c>
      <c r="J22" s="500">
        <v>16</v>
      </c>
      <c r="K22" s="496">
        <f t="shared" si="0"/>
        <v>62.5</v>
      </c>
      <c r="L22" s="496">
        <f t="shared" si="1"/>
        <v>0</v>
      </c>
      <c r="M22" s="496">
        <f t="shared" si="2"/>
        <v>37.5</v>
      </c>
      <c r="N22" s="499">
        <f t="shared" si="3"/>
        <v>100</v>
      </c>
      <c r="O22" s="495">
        <v>37.799999999999997</v>
      </c>
      <c r="P22" s="496"/>
      <c r="Q22" s="496">
        <v>22.2</v>
      </c>
      <c r="R22" s="497">
        <f t="shared" si="4"/>
        <v>60</v>
      </c>
      <c r="S22" s="556">
        <v>2</v>
      </c>
      <c r="T22" s="839">
        <v>36814</v>
      </c>
      <c r="U22" s="852">
        <v>36860</v>
      </c>
      <c r="V22" s="82" t="s">
        <v>866</v>
      </c>
      <c r="W22" s="185" t="s">
        <v>22</v>
      </c>
      <c r="X22" s="185" t="s">
        <v>11</v>
      </c>
      <c r="Y22" s="83">
        <v>37.799999999999997</v>
      </c>
      <c r="Z22" s="82" t="s">
        <v>868</v>
      </c>
      <c r="AA22" s="185" t="s">
        <v>98</v>
      </c>
      <c r="AB22" s="185" t="s">
        <v>12</v>
      </c>
      <c r="AC22" s="185">
        <v>12.2</v>
      </c>
      <c r="AD22" s="82" t="s">
        <v>879</v>
      </c>
      <c r="AE22" s="185" t="s">
        <v>880</v>
      </c>
      <c r="AF22" s="185" t="s">
        <v>12</v>
      </c>
      <c r="AG22" s="83">
        <v>10</v>
      </c>
      <c r="AL22" s="82"/>
      <c r="AO22" s="83"/>
      <c r="AP22" s="82"/>
      <c r="AS22" s="83"/>
      <c r="AW22" s="83"/>
      <c r="BA22" s="84"/>
    </row>
    <row r="23" spans="1:53" s="185" customFormat="1">
      <c r="A23" s="185">
        <v>2001</v>
      </c>
      <c r="B23" s="852"/>
      <c r="C23" s="917" t="s">
        <v>1214</v>
      </c>
      <c r="D23" s="917"/>
      <c r="E23" s="185">
        <v>0</v>
      </c>
      <c r="G23" s="498">
        <v>10</v>
      </c>
      <c r="H23" s="556"/>
      <c r="I23" s="556">
        <v>6</v>
      </c>
      <c r="J23" s="500">
        <v>16</v>
      </c>
      <c r="K23" s="496">
        <f t="shared" si="0"/>
        <v>62.5</v>
      </c>
      <c r="L23" s="496">
        <f t="shared" si="1"/>
        <v>0</v>
      </c>
      <c r="M23" s="496">
        <f t="shared" si="2"/>
        <v>37.5</v>
      </c>
      <c r="N23" s="499">
        <f t="shared" si="3"/>
        <v>100</v>
      </c>
      <c r="O23" s="495">
        <v>37.799999999999997</v>
      </c>
      <c r="P23" s="496"/>
      <c r="Q23" s="496">
        <v>22.2</v>
      </c>
      <c r="R23" s="497">
        <f t="shared" si="4"/>
        <v>60</v>
      </c>
      <c r="S23" s="556">
        <v>2</v>
      </c>
      <c r="T23" s="839"/>
      <c r="U23" s="852"/>
      <c r="V23" s="82" t="s">
        <v>866</v>
      </c>
      <c r="W23" s="185" t="s">
        <v>22</v>
      </c>
      <c r="X23" s="185" t="s">
        <v>11</v>
      </c>
      <c r="Y23" s="83">
        <v>37.799999999999997</v>
      </c>
      <c r="Z23" s="82" t="s">
        <v>868</v>
      </c>
      <c r="AA23" s="185" t="s">
        <v>98</v>
      </c>
      <c r="AB23" s="185" t="s">
        <v>12</v>
      </c>
      <c r="AC23" s="185">
        <v>12.2</v>
      </c>
      <c r="AD23" s="82" t="s">
        <v>879</v>
      </c>
      <c r="AE23" s="185" t="s">
        <v>880</v>
      </c>
      <c r="AF23" s="185" t="s">
        <v>12</v>
      </c>
      <c r="AG23" s="83">
        <v>10</v>
      </c>
      <c r="AL23" s="82"/>
      <c r="AO23" s="83"/>
      <c r="AP23" s="82"/>
      <c r="AS23" s="83"/>
      <c r="AW23" s="83"/>
      <c r="BA23" s="84"/>
    </row>
    <row r="24" spans="1:53" s="185" customFormat="1">
      <c r="A24" s="185">
        <v>2001</v>
      </c>
      <c r="B24" s="852"/>
      <c r="C24" s="917" t="s">
        <v>1214</v>
      </c>
      <c r="D24" s="917"/>
      <c r="E24" s="185">
        <v>365</v>
      </c>
      <c r="G24" s="498">
        <v>10</v>
      </c>
      <c r="H24" s="556"/>
      <c r="I24" s="556">
        <v>6</v>
      </c>
      <c r="J24" s="500">
        <v>16</v>
      </c>
      <c r="K24" s="496">
        <f t="shared" si="0"/>
        <v>62.5</v>
      </c>
      <c r="L24" s="496">
        <f t="shared" si="1"/>
        <v>0</v>
      </c>
      <c r="M24" s="496">
        <f t="shared" si="2"/>
        <v>37.5</v>
      </c>
      <c r="N24" s="499">
        <f t="shared" si="3"/>
        <v>100</v>
      </c>
      <c r="O24" s="495">
        <v>37.799999999999997</v>
      </c>
      <c r="P24" s="496"/>
      <c r="Q24" s="496">
        <v>22.2</v>
      </c>
      <c r="R24" s="497">
        <f t="shared" si="4"/>
        <v>60</v>
      </c>
      <c r="S24" s="556">
        <v>2</v>
      </c>
      <c r="T24" s="839"/>
      <c r="U24" s="852"/>
      <c r="V24" s="82" t="s">
        <v>866</v>
      </c>
      <c r="W24" s="185" t="s">
        <v>22</v>
      </c>
      <c r="X24" s="185" t="s">
        <v>11</v>
      </c>
      <c r="Y24" s="83">
        <v>37.799999999999997</v>
      </c>
      <c r="Z24" s="82" t="s">
        <v>868</v>
      </c>
      <c r="AA24" s="185" t="s">
        <v>98</v>
      </c>
      <c r="AB24" s="185" t="s">
        <v>12</v>
      </c>
      <c r="AC24" s="185">
        <v>12.2</v>
      </c>
      <c r="AD24" s="82" t="s">
        <v>879</v>
      </c>
      <c r="AE24" s="185" t="s">
        <v>880</v>
      </c>
      <c r="AF24" s="185" t="s">
        <v>12</v>
      </c>
      <c r="AG24" s="83">
        <v>10</v>
      </c>
      <c r="AL24" s="82"/>
      <c r="AO24" s="83"/>
      <c r="AP24" s="82"/>
      <c r="AS24" s="83"/>
      <c r="AW24" s="83"/>
      <c r="BA24" s="84"/>
    </row>
    <row r="25" spans="1:53" s="197" customFormat="1">
      <c r="A25" s="197">
        <v>2002</v>
      </c>
      <c r="B25" s="852"/>
      <c r="C25" s="917" t="s">
        <v>1214</v>
      </c>
      <c r="D25" s="917"/>
      <c r="E25" s="197">
        <v>23</v>
      </c>
      <c r="G25" s="498">
        <v>10</v>
      </c>
      <c r="H25" s="556"/>
      <c r="I25" s="556">
        <v>6</v>
      </c>
      <c r="J25" s="500">
        <v>16</v>
      </c>
      <c r="K25" s="496">
        <f>G25/J25*100</f>
        <v>62.5</v>
      </c>
      <c r="L25" s="496">
        <f>H25/J25*100</f>
        <v>0</v>
      </c>
      <c r="M25" s="496">
        <f>I25/J25*100</f>
        <v>37.5</v>
      </c>
      <c r="N25" s="499">
        <f>K25+L25+M25</f>
        <v>100</v>
      </c>
      <c r="O25" s="495">
        <v>37.799999999999997</v>
      </c>
      <c r="P25" s="496"/>
      <c r="Q25" s="496">
        <v>22.2</v>
      </c>
      <c r="R25" s="497">
        <f>O25+P25+Q25</f>
        <v>60</v>
      </c>
      <c r="S25" s="556">
        <v>2</v>
      </c>
      <c r="T25" s="839"/>
      <c r="U25" s="852"/>
      <c r="V25" s="82" t="s">
        <v>866</v>
      </c>
      <c r="W25" s="197" t="s">
        <v>22</v>
      </c>
      <c r="X25" s="197" t="s">
        <v>11</v>
      </c>
      <c r="Y25" s="83">
        <v>37.799999999999997</v>
      </c>
      <c r="Z25" s="82" t="s">
        <v>868</v>
      </c>
      <c r="AA25" s="197" t="s">
        <v>98</v>
      </c>
      <c r="AB25" s="197" t="s">
        <v>12</v>
      </c>
      <c r="AC25" s="197">
        <v>12.2</v>
      </c>
      <c r="AD25" s="82" t="s">
        <v>879</v>
      </c>
      <c r="AE25" s="197" t="s">
        <v>880</v>
      </c>
      <c r="AF25" s="197" t="s">
        <v>12</v>
      </c>
      <c r="AG25" s="83">
        <v>10</v>
      </c>
      <c r="AL25" s="82"/>
      <c r="AO25" s="83"/>
      <c r="AP25" s="82"/>
      <c r="AS25" s="83"/>
      <c r="AW25" s="83"/>
      <c r="BA25" s="84"/>
    </row>
    <row r="26" spans="1:53" s="185" customFormat="1">
      <c r="A26" s="185">
        <v>2002</v>
      </c>
      <c r="B26" s="860">
        <v>37280</v>
      </c>
      <c r="C26" s="917" t="s">
        <v>1214</v>
      </c>
      <c r="D26" s="917"/>
      <c r="E26" s="185">
        <v>329</v>
      </c>
      <c r="F26" s="139">
        <v>0</v>
      </c>
      <c r="G26" s="498">
        <v>9</v>
      </c>
      <c r="H26" s="556"/>
      <c r="I26" s="556">
        <v>6</v>
      </c>
      <c r="J26" s="500">
        <v>16</v>
      </c>
      <c r="K26" s="496">
        <f t="shared" si="0"/>
        <v>56.25</v>
      </c>
      <c r="L26" s="496">
        <f t="shared" si="1"/>
        <v>0</v>
      </c>
      <c r="M26" s="496">
        <f t="shared" si="2"/>
        <v>37.5</v>
      </c>
      <c r="N26" s="499">
        <f t="shared" si="3"/>
        <v>93.75</v>
      </c>
      <c r="O26" s="495">
        <v>37.799999999999997</v>
      </c>
      <c r="P26" s="496"/>
      <c r="Q26" s="496">
        <v>22.2</v>
      </c>
      <c r="R26" s="497">
        <f t="shared" si="4"/>
        <v>60</v>
      </c>
      <c r="S26" s="556">
        <v>2</v>
      </c>
      <c r="T26" s="839"/>
      <c r="U26" s="852"/>
      <c r="V26" s="82" t="s">
        <v>866</v>
      </c>
      <c r="W26" s="185" t="s">
        <v>22</v>
      </c>
      <c r="X26" s="185" t="s">
        <v>11</v>
      </c>
      <c r="Y26" s="83">
        <v>37.799999999999997</v>
      </c>
      <c r="Z26" s="82" t="s">
        <v>868</v>
      </c>
      <c r="AA26" s="185" t="s">
        <v>98</v>
      </c>
      <c r="AB26" s="185" t="s">
        <v>12</v>
      </c>
      <c r="AC26" s="185">
        <v>12.2</v>
      </c>
      <c r="AD26" s="82" t="s">
        <v>879</v>
      </c>
      <c r="AE26" s="185" t="s">
        <v>880</v>
      </c>
      <c r="AF26" s="185" t="s">
        <v>12</v>
      </c>
      <c r="AG26" s="83">
        <v>10</v>
      </c>
      <c r="AL26" s="82"/>
      <c r="AO26" s="83"/>
      <c r="AP26" s="82"/>
      <c r="AS26" s="83"/>
      <c r="AW26" s="83"/>
      <c r="BA26" s="84"/>
    </row>
    <row r="27" spans="1:53" s="292" customFormat="1">
      <c r="A27" s="292">
        <v>2002</v>
      </c>
      <c r="B27" s="836">
        <v>37609</v>
      </c>
      <c r="C27" s="916" t="s">
        <v>863</v>
      </c>
      <c r="D27" s="916"/>
      <c r="E27" s="292">
        <v>13</v>
      </c>
      <c r="F27" s="292">
        <v>2</v>
      </c>
      <c r="G27" s="539">
        <v>10</v>
      </c>
      <c r="H27" s="557"/>
      <c r="I27" s="557">
        <v>7</v>
      </c>
      <c r="J27" s="541">
        <v>17</v>
      </c>
      <c r="K27" s="537">
        <f t="shared" si="0"/>
        <v>58.82352941176471</v>
      </c>
      <c r="L27" s="537">
        <f t="shared" si="1"/>
        <v>0</v>
      </c>
      <c r="M27" s="537">
        <f t="shared" si="2"/>
        <v>41.17647058823529</v>
      </c>
      <c r="N27" s="540">
        <f t="shared" si="3"/>
        <v>100</v>
      </c>
      <c r="O27" s="536">
        <v>37.799999999999997</v>
      </c>
      <c r="P27" s="537"/>
      <c r="Q27" s="537">
        <v>26.6</v>
      </c>
      <c r="R27" s="538">
        <f t="shared" si="4"/>
        <v>64.400000000000006</v>
      </c>
      <c r="S27" s="557">
        <v>3</v>
      </c>
      <c r="T27" s="838"/>
      <c r="U27" s="836">
        <v>37609</v>
      </c>
      <c r="V27" s="299" t="s">
        <v>866</v>
      </c>
      <c r="W27" s="292" t="s">
        <v>22</v>
      </c>
      <c r="X27" s="292" t="s">
        <v>11</v>
      </c>
      <c r="Y27" s="300">
        <v>37.799999999999997</v>
      </c>
      <c r="Z27" s="299" t="s">
        <v>868</v>
      </c>
      <c r="AA27" s="292" t="s">
        <v>98</v>
      </c>
      <c r="AB27" s="292" t="s">
        <v>12</v>
      </c>
      <c r="AC27" s="292">
        <v>12.2</v>
      </c>
      <c r="AD27" s="299" t="s">
        <v>879</v>
      </c>
      <c r="AE27" s="292" t="s">
        <v>880</v>
      </c>
      <c r="AF27" s="292" t="s">
        <v>12</v>
      </c>
      <c r="AG27" s="300">
        <v>10</v>
      </c>
      <c r="AH27" s="299" t="s">
        <v>873</v>
      </c>
      <c r="AI27" s="292" t="s">
        <v>874</v>
      </c>
      <c r="AJ27" s="292" t="s">
        <v>12</v>
      </c>
      <c r="AK27" s="292">
        <v>4.4000000000000004</v>
      </c>
      <c r="AL27" s="299"/>
      <c r="AO27" s="300"/>
      <c r="AP27" s="299"/>
      <c r="AS27" s="300"/>
      <c r="AW27" s="300"/>
      <c r="BA27" s="301"/>
    </row>
    <row r="28" spans="1:53" s="292" customFormat="1">
      <c r="A28" s="292">
        <v>2003</v>
      </c>
      <c r="B28" s="836"/>
      <c r="C28" s="916" t="s">
        <v>863</v>
      </c>
      <c r="D28" s="916"/>
      <c r="E28" s="292">
        <v>0</v>
      </c>
      <c r="G28" s="539">
        <v>10</v>
      </c>
      <c r="H28" s="557"/>
      <c r="I28" s="557">
        <v>7</v>
      </c>
      <c r="J28" s="541">
        <v>17</v>
      </c>
      <c r="K28" s="537">
        <f t="shared" si="0"/>
        <v>58.82352941176471</v>
      </c>
      <c r="L28" s="537">
        <f t="shared" si="1"/>
        <v>0</v>
      </c>
      <c r="M28" s="537">
        <f t="shared" si="2"/>
        <v>41.17647058823529</v>
      </c>
      <c r="N28" s="540">
        <f t="shared" si="3"/>
        <v>100</v>
      </c>
      <c r="O28" s="536">
        <v>37.799999999999997</v>
      </c>
      <c r="P28" s="537"/>
      <c r="Q28" s="537">
        <v>26.6</v>
      </c>
      <c r="R28" s="538">
        <f t="shared" si="4"/>
        <v>64.400000000000006</v>
      </c>
      <c r="S28" s="557">
        <v>3</v>
      </c>
      <c r="T28" s="838"/>
      <c r="U28" s="836"/>
      <c r="V28" s="299" t="s">
        <v>866</v>
      </c>
      <c r="W28" s="292" t="s">
        <v>22</v>
      </c>
      <c r="X28" s="292" t="s">
        <v>11</v>
      </c>
      <c r="Y28" s="300">
        <v>37.799999999999997</v>
      </c>
      <c r="Z28" s="299" t="s">
        <v>868</v>
      </c>
      <c r="AA28" s="292" t="s">
        <v>98</v>
      </c>
      <c r="AB28" s="292" t="s">
        <v>12</v>
      </c>
      <c r="AC28" s="292">
        <v>12.2</v>
      </c>
      <c r="AD28" s="299" t="s">
        <v>879</v>
      </c>
      <c r="AE28" s="292" t="s">
        <v>880</v>
      </c>
      <c r="AF28" s="292" t="s">
        <v>12</v>
      </c>
      <c r="AG28" s="300">
        <v>10</v>
      </c>
      <c r="AH28" s="299" t="s">
        <v>873</v>
      </c>
      <c r="AI28" s="292" t="s">
        <v>874</v>
      </c>
      <c r="AJ28" s="292" t="s">
        <v>12</v>
      </c>
      <c r="AK28" s="292">
        <v>4.4000000000000004</v>
      </c>
      <c r="AL28" s="299"/>
      <c r="AO28" s="300"/>
      <c r="AP28" s="299"/>
      <c r="AS28" s="300"/>
      <c r="AW28" s="300"/>
      <c r="BA28" s="301"/>
    </row>
    <row r="29" spans="1:53" s="292" customFormat="1">
      <c r="A29" s="292">
        <v>2003</v>
      </c>
      <c r="B29" s="836"/>
      <c r="C29" s="916" t="s">
        <v>863</v>
      </c>
      <c r="D29" s="916"/>
      <c r="E29" s="292">
        <v>365</v>
      </c>
      <c r="G29" s="539">
        <v>10</v>
      </c>
      <c r="H29" s="557"/>
      <c r="I29" s="557">
        <v>7</v>
      </c>
      <c r="J29" s="541">
        <v>17</v>
      </c>
      <c r="K29" s="537">
        <f t="shared" si="0"/>
        <v>58.82352941176471</v>
      </c>
      <c r="L29" s="537">
        <f t="shared" si="1"/>
        <v>0</v>
      </c>
      <c r="M29" s="537">
        <f t="shared" si="2"/>
        <v>41.17647058823529</v>
      </c>
      <c r="N29" s="540">
        <f t="shared" si="3"/>
        <v>100</v>
      </c>
      <c r="O29" s="536">
        <v>37.799999999999997</v>
      </c>
      <c r="P29" s="537"/>
      <c r="Q29" s="537">
        <v>26.6</v>
      </c>
      <c r="R29" s="538">
        <f t="shared" si="4"/>
        <v>64.400000000000006</v>
      </c>
      <c r="S29" s="557">
        <v>3</v>
      </c>
      <c r="T29" s="838"/>
      <c r="U29" s="836"/>
      <c r="V29" s="299" t="s">
        <v>866</v>
      </c>
      <c r="W29" s="292" t="s">
        <v>22</v>
      </c>
      <c r="X29" s="292" t="s">
        <v>11</v>
      </c>
      <c r="Y29" s="300">
        <v>37.799999999999997</v>
      </c>
      <c r="Z29" s="299" t="s">
        <v>868</v>
      </c>
      <c r="AA29" s="292" t="s">
        <v>98</v>
      </c>
      <c r="AB29" s="292" t="s">
        <v>12</v>
      </c>
      <c r="AC29" s="292">
        <v>12.2</v>
      </c>
      <c r="AD29" s="299" t="s">
        <v>879</v>
      </c>
      <c r="AE29" s="292" t="s">
        <v>880</v>
      </c>
      <c r="AF29" s="292" t="s">
        <v>12</v>
      </c>
      <c r="AG29" s="300">
        <v>10</v>
      </c>
      <c r="AH29" s="299" t="s">
        <v>873</v>
      </c>
      <c r="AI29" s="292" t="s">
        <v>874</v>
      </c>
      <c r="AJ29" s="292" t="s">
        <v>12</v>
      </c>
      <c r="AK29" s="292">
        <v>4.4000000000000004</v>
      </c>
      <c r="AL29" s="299"/>
      <c r="AO29" s="300"/>
      <c r="AP29" s="299"/>
      <c r="AS29" s="300"/>
      <c r="AW29" s="300"/>
      <c r="BA29" s="301"/>
    </row>
    <row r="30" spans="1:53" s="292" customFormat="1">
      <c r="A30" s="292">
        <v>2004</v>
      </c>
      <c r="B30" s="836"/>
      <c r="C30" s="916" t="s">
        <v>863</v>
      </c>
      <c r="D30" s="916"/>
      <c r="E30" s="292">
        <v>110</v>
      </c>
      <c r="G30" s="539">
        <v>10</v>
      </c>
      <c r="H30" s="557"/>
      <c r="I30" s="557">
        <v>7</v>
      </c>
      <c r="J30" s="541">
        <v>17</v>
      </c>
      <c r="K30" s="537">
        <f t="shared" si="0"/>
        <v>58.82352941176471</v>
      </c>
      <c r="L30" s="537">
        <f t="shared" si="1"/>
        <v>0</v>
      </c>
      <c r="M30" s="537">
        <f t="shared" si="2"/>
        <v>41.17647058823529</v>
      </c>
      <c r="N30" s="540">
        <f t="shared" si="3"/>
        <v>100</v>
      </c>
      <c r="O30" s="536">
        <v>37.799999999999997</v>
      </c>
      <c r="P30" s="537"/>
      <c r="Q30" s="537">
        <v>26.6</v>
      </c>
      <c r="R30" s="538">
        <f t="shared" si="4"/>
        <v>64.400000000000006</v>
      </c>
      <c r="S30" s="557">
        <v>3</v>
      </c>
      <c r="T30" s="838"/>
      <c r="U30" s="836"/>
      <c r="V30" s="299" t="s">
        <v>866</v>
      </c>
      <c r="W30" s="292" t="s">
        <v>22</v>
      </c>
      <c r="X30" s="292" t="s">
        <v>11</v>
      </c>
      <c r="Y30" s="300">
        <v>37.799999999999997</v>
      </c>
      <c r="Z30" s="299" t="s">
        <v>868</v>
      </c>
      <c r="AA30" s="292" t="s">
        <v>98</v>
      </c>
      <c r="AB30" s="292" t="s">
        <v>12</v>
      </c>
      <c r="AC30" s="292">
        <v>12.2</v>
      </c>
      <c r="AD30" s="299" t="s">
        <v>879</v>
      </c>
      <c r="AE30" s="292" t="s">
        <v>880</v>
      </c>
      <c r="AF30" s="292" t="s">
        <v>12</v>
      </c>
      <c r="AG30" s="300">
        <v>10</v>
      </c>
      <c r="AH30" s="299" t="s">
        <v>873</v>
      </c>
      <c r="AI30" s="292" t="s">
        <v>874</v>
      </c>
      <c r="AJ30" s="292" t="s">
        <v>12</v>
      </c>
      <c r="AK30" s="292">
        <v>4.4000000000000004</v>
      </c>
      <c r="AL30" s="299"/>
      <c r="AO30" s="300"/>
      <c r="AP30" s="299"/>
      <c r="AS30" s="300"/>
      <c r="AW30" s="300"/>
      <c r="BA30" s="301"/>
    </row>
    <row r="31" spans="1:53" s="185" customFormat="1">
      <c r="A31" s="185">
        <v>2004</v>
      </c>
      <c r="B31" s="852">
        <v>38097</v>
      </c>
      <c r="C31" s="917" t="s">
        <v>865</v>
      </c>
      <c r="D31" s="917"/>
      <c r="E31" s="185">
        <v>227</v>
      </c>
      <c r="F31" s="185">
        <v>4</v>
      </c>
      <c r="G31" s="498">
        <v>13</v>
      </c>
      <c r="H31" s="556"/>
      <c r="I31" s="556">
        <v>4</v>
      </c>
      <c r="J31" s="500">
        <v>17</v>
      </c>
      <c r="K31" s="496">
        <f t="shared" si="0"/>
        <v>76.470588235294116</v>
      </c>
      <c r="L31" s="496">
        <f t="shared" si="1"/>
        <v>0</v>
      </c>
      <c r="M31" s="496">
        <f t="shared" si="2"/>
        <v>23.52941176470588</v>
      </c>
      <c r="N31" s="499">
        <f t="shared" si="3"/>
        <v>100</v>
      </c>
      <c r="O31" s="495">
        <v>37.799999999999997</v>
      </c>
      <c r="P31" s="496"/>
      <c r="Q31" s="496">
        <v>16.600000000000001</v>
      </c>
      <c r="R31" s="497">
        <f t="shared" si="4"/>
        <v>54.4</v>
      </c>
      <c r="S31" s="556">
        <v>2</v>
      </c>
      <c r="T31" s="839"/>
      <c r="U31" s="852">
        <v>38097</v>
      </c>
      <c r="V31" s="82" t="s">
        <v>866</v>
      </c>
      <c r="W31" s="185" t="s">
        <v>22</v>
      </c>
      <c r="X31" s="185" t="s">
        <v>11</v>
      </c>
      <c r="Y31" s="83">
        <v>37.799999999999997</v>
      </c>
      <c r="Z31" s="82" t="s">
        <v>868</v>
      </c>
      <c r="AA31" s="185" t="s">
        <v>98</v>
      </c>
      <c r="AB31" s="185" t="s">
        <v>12</v>
      </c>
      <c r="AC31" s="185">
        <v>12.2</v>
      </c>
      <c r="AD31" s="82" t="s">
        <v>873</v>
      </c>
      <c r="AE31" s="185" t="s">
        <v>874</v>
      </c>
      <c r="AF31" s="185" t="s">
        <v>12</v>
      </c>
      <c r="AG31" s="83">
        <v>4.4000000000000004</v>
      </c>
      <c r="AL31" s="82"/>
      <c r="AO31" s="83"/>
      <c r="AP31" s="82"/>
      <c r="AS31" s="83"/>
      <c r="AW31" s="83"/>
      <c r="BA31" s="84"/>
    </row>
    <row r="32" spans="1:53" s="292" customFormat="1">
      <c r="A32" s="292">
        <v>2004</v>
      </c>
      <c r="B32" s="836">
        <v>38324</v>
      </c>
      <c r="C32" s="916" t="s">
        <v>1216</v>
      </c>
      <c r="D32" s="916"/>
      <c r="E32" s="292">
        <f>366-E31-E30</f>
        <v>29</v>
      </c>
      <c r="F32" s="292">
        <v>1</v>
      </c>
      <c r="G32" s="539">
        <v>8</v>
      </c>
      <c r="H32" s="557">
        <v>4</v>
      </c>
      <c r="I32" s="557">
        <v>5</v>
      </c>
      <c r="J32" s="541">
        <v>17</v>
      </c>
      <c r="K32" s="537">
        <f t="shared" si="0"/>
        <v>47.058823529411761</v>
      </c>
      <c r="L32" s="537">
        <f t="shared" si="1"/>
        <v>23.52941176470588</v>
      </c>
      <c r="M32" s="537">
        <f t="shared" si="2"/>
        <v>29.411764705882355</v>
      </c>
      <c r="N32" s="540">
        <f t="shared" si="3"/>
        <v>100</v>
      </c>
      <c r="O32" s="536">
        <v>32.200000000000003</v>
      </c>
      <c r="P32" s="537">
        <v>10</v>
      </c>
      <c r="Q32" s="537">
        <v>12.2</v>
      </c>
      <c r="R32" s="538">
        <f t="shared" si="4"/>
        <v>54.400000000000006</v>
      </c>
      <c r="S32" s="557">
        <v>2</v>
      </c>
      <c r="T32" s="838">
        <v>38263</v>
      </c>
      <c r="U32" s="836">
        <v>38324</v>
      </c>
      <c r="V32" s="299" t="s">
        <v>870</v>
      </c>
      <c r="W32" s="292" t="s">
        <v>297</v>
      </c>
      <c r="X32" s="292" t="s">
        <v>11</v>
      </c>
      <c r="Y32" s="300">
        <v>32.200000000000003</v>
      </c>
      <c r="Z32" s="292" t="s">
        <v>875</v>
      </c>
      <c r="AA32" s="292" t="s">
        <v>82</v>
      </c>
      <c r="AB32" s="292" t="s">
        <v>18</v>
      </c>
      <c r="AC32" s="292">
        <v>10</v>
      </c>
      <c r="AD32" s="299" t="s">
        <v>871</v>
      </c>
      <c r="AE32" s="292" t="s">
        <v>872</v>
      </c>
      <c r="AF32" s="292" t="s">
        <v>12</v>
      </c>
      <c r="AG32" s="300">
        <v>7.8</v>
      </c>
      <c r="AH32" s="299" t="s">
        <v>873</v>
      </c>
      <c r="AI32" s="292" t="s">
        <v>874</v>
      </c>
      <c r="AJ32" s="292" t="s">
        <v>12</v>
      </c>
      <c r="AK32" s="292">
        <v>4.4000000000000004</v>
      </c>
      <c r="AL32" s="299"/>
      <c r="AO32" s="300"/>
      <c r="AP32" s="299"/>
      <c r="AS32" s="300"/>
      <c r="AW32" s="300"/>
      <c r="BA32" s="301"/>
    </row>
    <row r="33" spans="1:53" s="292" customFormat="1">
      <c r="A33" s="292">
        <v>2005</v>
      </c>
      <c r="B33" s="863"/>
      <c r="C33" s="916" t="s">
        <v>1216</v>
      </c>
      <c r="D33" s="916"/>
      <c r="E33" s="292">
        <v>353</v>
      </c>
      <c r="G33" s="539">
        <v>8</v>
      </c>
      <c r="H33" s="557">
        <v>4</v>
      </c>
      <c r="I33" s="557">
        <v>5</v>
      </c>
      <c r="J33" s="541">
        <v>17</v>
      </c>
      <c r="K33" s="537">
        <f t="shared" si="0"/>
        <v>47.058823529411761</v>
      </c>
      <c r="L33" s="537">
        <f t="shared" si="1"/>
        <v>23.52941176470588</v>
      </c>
      <c r="M33" s="537">
        <f t="shared" si="2"/>
        <v>29.411764705882355</v>
      </c>
      <c r="N33" s="540">
        <f t="shared" si="3"/>
        <v>100</v>
      </c>
      <c r="O33" s="536">
        <v>32.200000000000003</v>
      </c>
      <c r="P33" s="537">
        <v>10</v>
      </c>
      <c r="Q33" s="537">
        <v>12.2</v>
      </c>
      <c r="R33" s="538">
        <f t="shared" si="4"/>
        <v>54.400000000000006</v>
      </c>
      <c r="S33" s="557">
        <v>2</v>
      </c>
      <c r="T33" s="838"/>
      <c r="U33" s="836"/>
      <c r="V33" s="299" t="s">
        <v>870</v>
      </c>
      <c r="W33" s="292" t="s">
        <v>297</v>
      </c>
      <c r="X33" s="292" t="s">
        <v>11</v>
      </c>
      <c r="Y33" s="300">
        <v>32.200000000000003</v>
      </c>
      <c r="Z33" s="292" t="s">
        <v>875</v>
      </c>
      <c r="AA33" s="292" t="s">
        <v>82</v>
      </c>
      <c r="AB33" s="292" t="s">
        <v>18</v>
      </c>
      <c r="AC33" s="292">
        <v>10</v>
      </c>
      <c r="AD33" s="299" t="s">
        <v>871</v>
      </c>
      <c r="AE33" s="292" t="s">
        <v>872</v>
      </c>
      <c r="AF33" s="292" t="s">
        <v>12</v>
      </c>
      <c r="AG33" s="300">
        <v>7.8</v>
      </c>
      <c r="AH33" s="299" t="s">
        <v>873</v>
      </c>
      <c r="AI33" s="292" t="s">
        <v>874</v>
      </c>
      <c r="AJ33" s="292" t="s">
        <v>12</v>
      </c>
      <c r="AK33" s="292">
        <v>4.4000000000000004</v>
      </c>
      <c r="AL33" s="299"/>
      <c r="AO33" s="300"/>
      <c r="AP33" s="299"/>
      <c r="AS33" s="300"/>
      <c r="AW33" s="300"/>
      <c r="BA33" s="301"/>
    </row>
    <row r="34" spans="1:53" s="292" customFormat="1">
      <c r="A34" s="292">
        <v>2005</v>
      </c>
      <c r="B34" s="862">
        <v>38706</v>
      </c>
      <c r="C34" s="916" t="s">
        <v>1216</v>
      </c>
      <c r="D34" s="916"/>
      <c r="E34" s="292">
        <f>365-E33</f>
        <v>12</v>
      </c>
      <c r="F34" s="381">
        <v>0</v>
      </c>
      <c r="G34" s="539">
        <v>9</v>
      </c>
      <c r="H34" s="557">
        <v>4</v>
      </c>
      <c r="I34" s="557">
        <v>5</v>
      </c>
      <c r="J34" s="541">
        <v>18</v>
      </c>
      <c r="K34" s="537">
        <f t="shared" si="0"/>
        <v>50</v>
      </c>
      <c r="L34" s="537">
        <f t="shared" si="1"/>
        <v>22.222222222222221</v>
      </c>
      <c r="M34" s="537">
        <f t="shared" si="2"/>
        <v>27.777777777777779</v>
      </c>
      <c r="N34" s="540">
        <f t="shared" si="3"/>
        <v>100</v>
      </c>
      <c r="O34" s="536">
        <v>32.200000000000003</v>
      </c>
      <c r="P34" s="537">
        <v>10</v>
      </c>
      <c r="Q34" s="537">
        <v>12.2</v>
      </c>
      <c r="R34" s="538">
        <f t="shared" si="4"/>
        <v>54.400000000000006</v>
      </c>
      <c r="S34" s="557">
        <v>2</v>
      </c>
      <c r="T34" s="838"/>
      <c r="U34" s="836"/>
      <c r="V34" s="299" t="s">
        <v>870</v>
      </c>
      <c r="W34" s="292" t="s">
        <v>297</v>
      </c>
      <c r="X34" s="292" t="s">
        <v>11</v>
      </c>
      <c r="Y34" s="300">
        <v>32.200000000000003</v>
      </c>
      <c r="Z34" s="292" t="s">
        <v>875</v>
      </c>
      <c r="AA34" s="292" t="s">
        <v>82</v>
      </c>
      <c r="AB34" s="292" t="s">
        <v>18</v>
      </c>
      <c r="AC34" s="292">
        <v>10</v>
      </c>
      <c r="AD34" s="299" t="s">
        <v>871</v>
      </c>
      <c r="AE34" s="292" t="s">
        <v>872</v>
      </c>
      <c r="AF34" s="292" t="s">
        <v>12</v>
      </c>
      <c r="AG34" s="300">
        <v>7.8</v>
      </c>
      <c r="AH34" s="299" t="s">
        <v>873</v>
      </c>
      <c r="AI34" s="292" t="s">
        <v>874</v>
      </c>
      <c r="AJ34" s="292" t="s">
        <v>12</v>
      </c>
      <c r="AK34" s="292">
        <v>4.4000000000000004</v>
      </c>
      <c r="AL34" s="299"/>
      <c r="AO34" s="300"/>
      <c r="AP34" s="299"/>
      <c r="AS34" s="300"/>
      <c r="AW34" s="300"/>
      <c r="BA34" s="301"/>
    </row>
    <row r="35" spans="1:53" s="292" customFormat="1">
      <c r="A35" s="292">
        <v>2006</v>
      </c>
      <c r="B35" s="863"/>
      <c r="C35" s="916" t="s">
        <v>1216</v>
      </c>
      <c r="D35" s="916"/>
      <c r="E35" s="292">
        <v>79</v>
      </c>
      <c r="G35" s="539">
        <v>9</v>
      </c>
      <c r="H35" s="557">
        <v>4</v>
      </c>
      <c r="I35" s="557">
        <v>5</v>
      </c>
      <c r="J35" s="541">
        <v>18</v>
      </c>
      <c r="K35" s="537">
        <f t="shared" si="0"/>
        <v>50</v>
      </c>
      <c r="L35" s="537">
        <f t="shared" si="1"/>
        <v>22.222222222222221</v>
      </c>
      <c r="M35" s="537">
        <f t="shared" si="2"/>
        <v>27.777777777777779</v>
      </c>
      <c r="N35" s="540">
        <f t="shared" si="3"/>
        <v>100</v>
      </c>
      <c r="O35" s="536">
        <v>32.200000000000003</v>
      </c>
      <c r="P35" s="537">
        <v>10</v>
      </c>
      <c r="Q35" s="537">
        <v>12.2</v>
      </c>
      <c r="R35" s="538">
        <f t="shared" si="4"/>
        <v>54.400000000000006</v>
      </c>
      <c r="S35" s="557">
        <v>2</v>
      </c>
      <c r="T35" s="838"/>
      <c r="U35" s="836"/>
      <c r="V35" s="299" t="s">
        <v>870</v>
      </c>
      <c r="W35" s="292" t="s">
        <v>297</v>
      </c>
      <c r="X35" s="292" t="s">
        <v>11</v>
      </c>
      <c r="Y35" s="300">
        <v>32.200000000000003</v>
      </c>
      <c r="Z35" s="292" t="s">
        <v>875</v>
      </c>
      <c r="AA35" s="292" t="s">
        <v>82</v>
      </c>
      <c r="AB35" s="292" t="s">
        <v>18</v>
      </c>
      <c r="AC35" s="292">
        <v>10</v>
      </c>
      <c r="AD35" s="299" t="s">
        <v>871</v>
      </c>
      <c r="AE35" s="292" t="s">
        <v>872</v>
      </c>
      <c r="AF35" s="292" t="s">
        <v>12</v>
      </c>
      <c r="AG35" s="300">
        <v>7.8</v>
      </c>
      <c r="AH35" s="299" t="s">
        <v>873</v>
      </c>
      <c r="AI35" s="292" t="s">
        <v>874</v>
      </c>
      <c r="AJ35" s="292" t="s">
        <v>12</v>
      </c>
      <c r="AK35" s="292">
        <v>4.4000000000000004</v>
      </c>
      <c r="AL35" s="299"/>
      <c r="AO35" s="300"/>
      <c r="AP35" s="299"/>
      <c r="AS35" s="300"/>
      <c r="AW35" s="300"/>
      <c r="BA35" s="301"/>
    </row>
    <row r="36" spans="1:53" s="292" customFormat="1">
      <c r="A36" s="292">
        <v>2006</v>
      </c>
      <c r="B36" s="862">
        <v>38797</v>
      </c>
      <c r="C36" s="916" t="s">
        <v>1216</v>
      </c>
      <c r="D36" s="916"/>
      <c r="E36" s="292">
        <v>267</v>
      </c>
      <c r="F36" s="381">
        <v>0</v>
      </c>
      <c r="G36" s="539">
        <v>8</v>
      </c>
      <c r="H36" s="557">
        <v>4</v>
      </c>
      <c r="I36" s="557">
        <v>5</v>
      </c>
      <c r="J36" s="541">
        <v>17</v>
      </c>
      <c r="K36" s="537">
        <f>G36/J36*100</f>
        <v>47.058823529411761</v>
      </c>
      <c r="L36" s="537">
        <f>H36/J36*100</f>
        <v>23.52941176470588</v>
      </c>
      <c r="M36" s="537">
        <f>I36/J36*100</f>
        <v>29.411764705882355</v>
      </c>
      <c r="N36" s="540">
        <f t="shared" si="3"/>
        <v>100</v>
      </c>
      <c r="O36" s="536">
        <v>32.200000000000003</v>
      </c>
      <c r="P36" s="537">
        <v>10</v>
      </c>
      <c r="Q36" s="537">
        <v>12.2</v>
      </c>
      <c r="R36" s="538">
        <f t="shared" si="4"/>
        <v>54.400000000000006</v>
      </c>
      <c r="S36" s="557">
        <v>2</v>
      </c>
      <c r="T36" s="838"/>
      <c r="U36" s="836"/>
      <c r="V36" s="299" t="s">
        <v>870</v>
      </c>
      <c r="W36" s="292" t="s">
        <v>297</v>
      </c>
      <c r="X36" s="292" t="s">
        <v>11</v>
      </c>
      <c r="Y36" s="300">
        <v>32.200000000000003</v>
      </c>
      <c r="Z36" s="292" t="s">
        <v>875</v>
      </c>
      <c r="AA36" s="292" t="s">
        <v>82</v>
      </c>
      <c r="AB36" s="292" t="s">
        <v>18</v>
      </c>
      <c r="AC36" s="292">
        <v>10</v>
      </c>
      <c r="AD36" s="299" t="s">
        <v>871</v>
      </c>
      <c r="AE36" s="292" t="s">
        <v>872</v>
      </c>
      <c r="AF36" s="292" t="s">
        <v>12</v>
      </c>
      <c r="AG36" s="300">
        <v>7.8</v>
      </c>
      <c r="AH36" s="299" t="s">
        <v>873</v>
      </c>
      <c r="AI36" s="292" t="s">
        <v>874</v>
      </c>
      <c r="AJ36" s="292" t="s">
        <v>12</v>
      </c>
      <c r="AK36" s="292">
        <v>4.4000000000000004</v>
      </c>
      <c r="AL36" s="299"/>
      <c r="AO36" s="300"/>
      <c r="AP36" s="299"/>
      <c r="AS36" s="300"/>
      <c r="AW36" s="300"/>
      <c r="BA36" s="301"/>
    </row>
    <row r="37" spans="1:53" s="292" customFormat="1">
      <c r="A37" s="292">
        <v>2006</v>
      </c>
      <c r="B37" s="862">
        <v>39064</v>
      </c>
      <c r="C37" s="916" t="s">
        <v>1216</v>
      </c>
      <c r="D37" s="916"/>
      <c r="E37" s="292">
        <f>365-E36-E35</f>
        <v>19</v>
      </c>
      <c r="F37" s="381">
        <v>0</v>
      </c>
      <c r="G37" s="539">
        <v>9</v>
      </c>
      <c r="H37" s="557">
        <v>3</v>
      </c>
      <c r="I37" s="557">
        <v>5</v>
      </c>
      <c r="J37" s="541">
        <v>17</v>
      </c>
      <c r="K37" s="537">
        <f t="shared" si="0"/>
        <v>52.941176470588239</v>
      </c>
      <c r="L37" s="537">
        <f t="shared" si="1"/>
        <v>17.647058823529413</v>
      </c>
      <c r="M37" s="537">
        <f t="shared" si="2"/>
        <v>29.411764705882355</v>
      </c>
      <c r="N37" s="540">
        <f t="shared" si="3"/>
        <v>100</v>
      </c>
      <c r="O37" s="536">
        <v>32.200000000000003</v>
      </c>
      <c r="P37" s="537">
        <v>10</v>
      </c>
      <c r="Q37" s="537">
        <v>12.2</v>
      </c>
      <c r="R37" s="538">
        <f t="shared" si="4"/>
        <v>54.400000000000006</v>
      </c>
      <c r="S37" s="557">
        <v>2</v>
      </c>
      <c r="T37" s="838"/>
      <c r="U37" s="836"/>
      <c r="V37" s="299" t="s">
        <v>870</v>
      </c>
      <c r="W37" s="292" t="s">
        <v>297</v>
      </c>
      <c r="X37" s="292" t="s">
        <v>11</v>
      </c>
      <c r="Y37" s="300">
        <v>32.200000000000003</v>
      </c>
      <c r="Z37" s="292" t="s">
        <v>875</v>
      </c>
      <c r="AA37" s="292" t="s">
        <v>82</v>
      </c>
      <c r="AB37" s="292" t="s">
        <v>18</v>
      </c>
      <c r="AC37" s="292">
        <v>10</v>
      </c>
      <c r="AD37" s="299" t="s">
        <v>871</v>
      </c>
      <c r="AE37" s="292" t="s">
        <v>872</v>
      </c>
      <c r="AF37" s="292" t="s">
        <v>12</v>
      </c>
      <c r="AG37" s="300">
        <v>7.8</v>
      </c>
      <c r="AH37" s="299" t="s">
        <v>873</v>
      </c>
      <c r="AI37" s="292" t="s">
        <v>874</v>
      </c>
      <c r="AJ37" s="292" t="s">
        <v>12</v>
      </c>
      <c r="AK37" s="292">
        <v>4.4000000000000004</v>
      </c>
      <c r="AL37" s="299"/>
      <c r="AO37" s="300"/>
      <c r="AP37" s="299"/>
      <c r="AS37" s="300"/>
      <c r="AW37" s="300"/>
      <c r="BA37" s="301"/>
    </row>
    <row r="38" spans="1:53" s="292" customFormat="1">
      <c r="A38" s="292">
        <v>2007</v>
      </c>
      <c r="B38" s="863"/>
      <c r="C38" s="916" t="s">
        <v>1216</v>
      </c>
      <c r="D38" s="916"/>
      <c r="E38" s="292">
        <v>0</v>
      </c>
      <c r="G38" s="539">
        <v>9</v>
      </c>
      <c r="H38" s="557">
        <v>3</v>
      </c>
      <c r="I38" s="557">
        <v>5</v>
      </c>
      <c r="J38" s="541">
        <v>17</v>
      </c>
      <c r="K38" s="537">
        <f t="shared" si="0"/>
        <v>52.941176470588239</v>
      </c>
      <c r="L38" s="537">
        <f t="shared" si="1"/>
        <v>17.647058823529413</v>
      </c>
      <c r="M38" s="537">
        <f t="shared" si="2"/>
        <v>29.411764705882355</v>
      </c>
      <c r="N38" s="540">
        <f t="shared" si="3"/>
        <v>100</v>
      </c>
      <c r="O38" s="536">
        <v>32.200000000000003</v>
      </c>
      <c r="P38" s="537">
        <v>10</v>
      </c>
      <c r="Q38" s="537">
        <v>12.2</v>
      </c>
      <c r="R38" s="538">
        <f t="shared" si="4"/>
        <v>54.400000000000006</v>
      </c>
      <c r="S38" s="557">
        <v>2</v>
      </c>
      <c r="T38" s="838"/>
      <c r="U38" s="836"/>
      <c r="V38" s="299" t="s">
        <v>870</v>
      </c>
      <c r="W38" s="292" t="s">
        <v>297</v>
      </c>
      <c r="X38" s="292" t="s">
        <v>11</v>
      </c>
      <c r="Y38" s="300">
        <v>32.200000000000003</v>
      </c>
      <c r="Z38" s="292" t="s">
        <v>875</v>
      </c>
      <c r="AA38" s="292" t="s">
        <v>82</v>
      </c>
      <c r="AB38" s="292" t="s">
        <v>18</v>
      </c>
      <c r="AC38" s="292">
        <v>10</v>
      </c>
      <c r="AD38" s="299" t="s">
        <v>871</v>
      </c>
      <c r="AE38" s="292" t="s">
        <v>872</v>
      </c>
      <c r="AF38" s="292" t="s">
        <v>12</v>
      </c>
      <c r="AG38" s="300">
        <v>7.8</v>
      </c>
      <c r="AH38" s="299" t="s">
        <v>873</v>
      </c>
      <c r="AI38" s="292" t="s">
        <v>874</v>
      </c>
      <c r="AJ38" s="292" t="s">
        <v>12</v>
      </c>
      <c r="AK38" s="292">
        <v>4.4000000000000004</v>
      </c>
      <c r="AL38" s="299"/>
      <c r="AO38" s="300"/>
      <c r="AP38" s="299"/>
      <c r="AS38" s="300"/>
      <c r="AW38" s="300"/>
      <c r="BA38" s="301"/>
    </row>
    <row r="39" spans="1:53" s="292" customFormat="1">
      <c r="A39" s="292">
        <v>2007</v>
      </c>
      <c r="B39" s="863"/>
      <c r="C39" s="916" t="s">
        <v>1216</v>
      </c>
      <c r="D39" s="916"/>
      <c r="E39" s="292">
        <v>365</v>
      </c>
      <c r="G39" s="539">
        <v>9</v>
      </c>
      <c r="H39" s="557">
        <v>3</v>
      </c>
      <c r="I39" s="557">
        <v>5</v>
      </c>
      <c r="J39" s="541">
        <v>17</v>
      </c>
      <c r="K39" s="537">
        <f t="shared" si="0"/>
        <v>52.941176470588239</v>
      </c>
      <c r="L39" s="537">
        <f t="shared" si="1"/>
        <v>17.647058823529413</v>
      </c>
      <c r="M39" s="537">
        <f t="shared" si="2"/>
        <v>29.411764705882355</v>
      </c>
      <c r="N39" s="540">
        <f t="shared" si="3"/>
        <v>100</v>
      </c>
      <c r="O39" s="536">
        <v>32.200000000000003</v>
      </c>
      <c r="P39" s="537">
        <v>10</v>
      </c>
      <c r="Q39" s="537">
        <v>12.2</v>
      </c>
      <c r="R39" s="538">
        <f t="shared" si="4"/>
        <v>54.400000000000006</v>
      </c>
      <c r="S39" s="557">
        <v>2</v>
      </c>
      <c r="T39" s="838"/>
      <c r="U39" s="836"/>
      <c r="V39" s="299" t="s">
        <v>870</v>
      </c>
      <c r="W39" s="292" t="s">
        <v>297</v>
      </c>
      <c r="X39" s="292" t="s">
        <v>11</v>
      </c>
      <c r="Y39" s="300">
        <v>32.200000000000003</v>
      </c>
      <c r="Z39" s="292" t="s">
        <v>875</v>
      </c>
      <c r="AA39" s="292" t="s">
        <v>82</v>
      </c>
      <c r="AB39" s="292" t="s">
        <v>18</v>
      </c>
      <c r="AC39" s="292">
        <v>10</v>
      </c>
      <c r="AD39" s="299" t="s">
        <v>871</v>
      </c>
      <c r="AE39" s="292" t="s">
        <v>872</v>
      </c>
      <c r="AF39" s="292" t="s">
        <v>12</v>
      </c>
      <c r="AG39" s="300">
        <v>7.8</v>
      </c>
      <c r="AH39" s="299" t="s">
        <v>873</v>
      </c>
      <c r="AI39" s="292" t="s">
        <v>874</v>
      </c>
      <c r="AJ39" s="292" t="s">
        <v>12</v>
      </c>
      <c r="AK39" s="292">
        <v>4.4000000000000004</v>
      </c>
      <c r="AL39" s="299"/>
      <c r="AO39" s="300"/>
      <c r="AP39" s="299"/>
      <c r="AS39" s="300"/>
      <c r="AW39" s="300"/>
      <c r="BA39" s="301"/>
    </row>
    <row r="40" spans="1:53" s="292" customFormat="1">
      <c r="A40" s="292">
        <v>2008</v>
      </c>
      <c r="B40" s="863"/>
      <c r="C40" s="916" t="s">
        <v>1216</v>
      </c>
      <c r="D40" s="916"/>
      <c r="E40" s="292">
        <v>325</v>
      </c>
      <c r="G40" s="539">
        <v>9</v>
      </c>
      <c r="H40" s="557">
        <v>3</v>
      </c>
      <c r="I40" s="557">
        <v>5</v>
      </c>
      <c r="J40" s="541">
        <v>17</v>
      </c>
      <c r="K40" s="537">
        <f t="shared" si="0"/>
        <v>52.941176470588239</v>
      </c>
      <c r="L40" s="537">
        <f t="shared" si="1"/>
        <v>17.647058823529413</v>
      </c>
      <c r="M40" s="537">
        <f t="shared" si="2"/>
        <v>29.411764705882355</v>
      </c>
      <c r="N40" s="540">
        <f t="shared" si="3"/>
        <v>100</v>
      </c>
      <c r="O40" s="536">
        <v>32.200000000000003</v>
      </c>
      <c r="P40" s="537">
        <v>10</v>
      </c>
      <c r="Q40" s="537">
        <v>12.2</v>
      </c>
      <c r="R40" s="538">
        <f t="shared" si="4"/>
        <v>54.400000000000006</v>
      </c>
      <c r="S40" s="557">
        <v>2</v>
      </c>
      <c r="T40" s="838"/>
      <c r="U40" s="836"/>
      <c r="V40" s="299" t="s">
        <v>870</v>
      </c>
      <c r="W40" s="292" t="s">
        <v>297</v>
      </c>
      <c r="X40" s="292" t="s">
        <v>11</v>
      </c>
      <c r="Y40" s="300">
        <v>32.200000000000003</v>
      </c>
      <c r="Z40" s="292" t="s">
        <v>875</v>
      </c>
      <c r="AA40" s="292" t="s">
        <v>82</v>
      </c>
      <c r="AB40" s="292" t="s">
        <v>18</v>
      </c>
      <c r="AC40" s="292">
        <v>10</v>
      </c>
      <c r="AD40" s="299" t="s">
        <v>871</v>
      </c>
      <c r="AE40" s="292" t="s">
        <v>872</v>
      </c>
      <c r="AF40" s="292" t="s">
        <v>12</v>
      </c>
      <c r="AG40" s="300">
        <v>7.8</v>
      </c>
      <c r="AH40" s="299" t="s">
        <v>873</v>
      </c>
      <c r="AI40" s="292" t="s">
        <v>874</v>
      </c>
      <c r="AJ40" s="292" t="s">
        <v>12</v>
      </c>
      <c r="AK40" s="292">
        <v>4.4000000000000004</v>
      </c>
      <c r="AL40" s="299"/>
      <c r="AO40" s="300"/>
      <c r="AP40" s="299"/>
      <c r="AS40" s="300"/>
      <c r="AW40" s="300"/>
      <c r="BA40" s="301"/>
    </row>
    <row r="41" spans="1:53" s="197" customFormat="1">
      <c r="A41" s="197">
        <v>2008</v>
      </c>
      <c r="B41" s="830">
        <v>39773</v>
      </c>
      <c r="C41" s="917" t="s">
        <v>876</v>
      </c>
      <c r="D41" s="917"/>
      <c r="E41" s="197">
        <f>366-E40</f>
        <v>41</v>
      </c>
      <c r="F41" s="197">
        <v>1</v>
      </c>
      <c r="G41" s="498">
        <v>6</v>
      </c>
      <c r="H41" s="556"/>
      <c r="I41" s="556">
        <v>13</v>
      </c>
      <c r="J41" s="500">
        <v>19</v>
      </c>
      <c r="K41" s="496">
        <f t="shared" si="0"/>
        <v>31.578947368421051</v>
      </c>
      <c r="L41" s="496">
        <f t="shared" si="1"/>
        <v>0</v>
      </c>
      <c r="M41" s="496">
        <f t="shared" si="2"/>
        <v>68.421052631578945</v>
      </c>
      <c r="N41" s="499">
        <f t="shared" si="3"/>
        <v>100</v>
      </c>
      <c r="O41" s="495">
        <v>15.6</v>
      </c>
      <c r="P41" s="496"/>
      <c r="Q41" s="496">
        <v>40</v>
      </c>
      <c r="R41" s="497">
        <f t="shared" si="4"/>
        <v>55.6</v>
      </c>
      <c r="S41" s="556">
        <v>2</v>
      </c>
      <c r="T41" s="839">
        <v>39712</v>
      </c>
      <c r="U41" s="830">
        <v>39773</v>
      </c>
      <c r="V41" s="82" t="s">
        <v>102</v>
      </c>
      <c r="W41" s="197" t="s">
        <v>98</v>
      </c>
      <c r="X41" s="197" t="s">
        <v>12</v>
      </c>
      <c r="Y41" s="83">
        <v>32.200000000000003</v>
      </c>
      <c r="Z41" s="197" t="s">
        <v>877</v>
      </c>
      <c r="AA41" s="197" t="s">
        <v>107</v>
      </c>
      <c r="AB41" s="197" t="s">
        <v>11</v>
      </c>
      <c r="AC41" s="197">
        <v>10</v>
      </c>
      <c r="AD41" s="82" t="s">
        <v>873</v>
      </c>
      <c r="AE41" s="197" t="s">
        <v>874</v>
      </c>
      <c r="AF41" s="197" t="s">
        <v>12</v>
      </c>
      <c r="AG41" s="83">
        <v>7.8</v>
      </c>
      <c r="AH41" s="82" t="s">
        <v>866</v>
      </c>
      <c r="AI41" s="197" t="s">
        <v>22</v>
      </c>
      <c r="AJ41" s="197" t="s">
        <v>11</v>
      </c>
      <c r="AK41" s="197">
        <v>5.6</v>
      </c>
      <c r="AL41" s="82"/>
      <c r="AO41" s="83"/>
      <c r="AP41" s="82"/>
      <c r="AS41" s="83"/>
      <c r="AW41" s="83"/>
      <c r="BA41" s="84"/>
    </row>
    <row r="42" spans="1:53" s="197" customFormat="1">
      <c r="A42" s="197">
        <v>2009</v>
      </c>
      <c r="B42" s="830"/>
      <c r="C42" s="917" t="s">
        <v>876</v>
      </c>
      <c r="D42" s="917"/>
      <c r="E42" s="197">
        <v>0</v>
      </c>
      <c r="G42" s="498">
        <v>6</v>
      </c>
      <c r="H42" s="556"/>
      <c r="I42" s="556">
        <v>13</v>
      </c>
      <c r="J42" s="500">
        <v>19</v>
      </c>
      <c r="K42" s="496">
        <f t="shared" si="0"/>
        <v>31.578947368421051</v>
      </c>
      <c r="L42" s="496">
        <f t="shared" si="1"/>
        <v>0</v>
      </c>
      <c r="M42" s="496">
        <f t="shared" si="2"/>
        <v>68.421052631578945</v>
      </c>
      <c r="N42" s="499">
        <f t="shared" si="3"/>
        <v>100</v>
      </c>
      <c r="O42" s="495">
        <v>15.6</v>
      </c>
      <c r="P42" s="496"/>
      <c r="Q42" s="496">
        <v>40</v>
      </c>
      <c r="R42" s="497">
        <f t="shared" si="4"/>
        <v>55.6</v>
      </c>
      <c r="S42" s="556">
        <v>2</v>
      </c>
      <c r="T42" s="839"/>
      <c r="U42" s="852"/>
      <c r="V42" s="82" t="s">
        <v>102</v>
      </c>
      <c r="W42" s="197" t="s">
        <v>98</v>
      </c>
      <c r="X42" s="197" t="s">
        <v>12</v>
      </c>
      <c r="Y42" s="83">
        <v>32.200000000000003</v>
      </c>
      <c r="Z42" s="197" t="s">
        <v>877</v>
      </c>
      <c r="AA42" s="197" t="s">
        <v>107</v>
      </c>
      <c r="AB42" s="197" t="s">
        <v>11</v>
      </c>
      <c r="AC42" s="197">
        <v>10</v>
      </c>
      <c r="AD42" s="82" t="s">
        <v>873</v>
      </c>
      <c r="AE42" s="197" t="s">
        <v>874</v>
      </c>
      <c r="AF42" s="197" t="s">
        <v>12</v>
      </c>
      <c r="AG42" s="83">
        <v>7.8</v>
      </c>
      <c r="AH42" s="82" t="s">
        <v>866</v>
      </c>
      <c r="AI42" s="197" t="s">
        <v>22</v>
      </c>
      <c r="AJ42" s="197" t="s">
        <v>11</v>
      </c>
      <c r="AK42" s="197">
        <v>5.6</v>
      </c>
      <c r="AL42" s="82"/>
      <c r="AO42" s="83"/>
      <c r="AP42" s="82"/>
      <c r="AS42" s="83"/>
      <c r="AW42" s="83"/>
      <c r="BA42" s="84"/>
    </row>
    <row r="43" spans="1:53" s="197" customFormat="1">
      <c r="A43" s="197">
        <v>2009</v>
      </c>
      <c r="B43" s="830"/>
      <c r="C43" s="917" t="s">
        <v>876</v>
      </c>
      <c r="D43" s="917"/>
      <c r="E43" s="197">
        <v>365</v>
      </c>
      <c r="G43" s="498">
        <v>6</v>
      </c>
      <c r="H43" s="556"/>
      <c r="I43" s="556">
        <v>13</v>
      </c>
      <c r="J43" s="500">
        <v>19</v>
      </c>
      <c r="K43" s="496">
        <f t="shared" si="0"/>
        <v>31.578947368421051</v>
      </c>
      <c r="L43" s="496">
        <f t="shared" si="1"/>
        <v>0</v>
      </c>
      <c r="M43" s="496">
        <f t="shared" si="2"/>
        <v>68.421052631578945</v>
      </c>
      <c r="N43" s="499">
        <f t="shared" si="3"/>
        <v>100</v>
      </c>
      <c r="O43" s="495">
        <v>15.6</v>
      </c>
      <c r="P43" s="496"/>
      <c r="Q43" s="496">
        <v>40</v>
      </c>
      <c r="R43" s="497">
        <f t="shared" si="4"/>
        <v>55.6</v>
      </c>
      <c r="S43" s="556">
        <v>2</v>
      </c>
      <c r="T43" s="839"/>
      <c r="U43" s="852"/>
      <c r="V43" s="82" t="s">
        <v>102</v>
      </c>
      <c r="W43" s="197" t="s">
        <v>98</v>
      </c>
      <c r="X43" s="197" t="s">
        <v>12</v>
      </c>
      <c r="Y43" s="83">
        <v>32.200000000000003</v>
      </c>
      <c r="Z43" s="197" t="s">
        <v>877</v>
      </c>
      <c r="AA43" s="197" t="s">
        <v>107</v>
      </c>
      <c r="AB43" s="197" t="s">
        <v>11</v>
      </c>
      <c r="AC43" s="197">
        <v>10</v>
      </c>
      <c r="AD43" s="82" t="s">
        <v>873</v>
      </c>
      <c r="AE43" s="197" t="s">
        <v>874</v>
      </c>
      <c r="AF43" s="197" t="s">
        <v>12</v>
      </c>
      <c r="AG43" s="83">
        <v>7.8</v>
      </c>
      <c r="AH43" s="82" t="s">
        <v>866</v>
      </c>
      <c r="AI43" s="197" t="s">
        <v>22</v>
      </c>
      <c r="AJ43" s="197" t="s">
        <v>11</v>
      </c>
      <c r="AK43" s="197">
        <v>5.6</v>
      </c>
      <c r="AL43" s="82"/>
      <c r="AO43" s="83"/>
      <c r="AP43" s="82"/>
      <c r="AS43" s="83"/>
      <c r="AW43" s="83"/>
      <c r="BA43" s="84"/>
    </row>
    <row r="44" spans="1:53" s="197" customFormat="1">
      <c r="A44" s="197">
        <v>2010</v>
      </c>
      <c r="B44" s="830"/>
      <c r="C44" s="917" t="s">
        <v>876</v>
      </c>
      <c r="D44" s="917"/>
      <c r="E44" s="197">
        <v>0</v>
      </c>
      <c r="G44" s="498">
        <v>6</v>
      </c>
      <c r="H44" s="556"/>
      <c r="I44" s="556">
        <v>13</v>
      </c>
      <c r="J44" s="500">
        <v>19</v>
      </c>
      <c r="K44" s="496">
        <f t="shared" si="0"/>
        <v>31.578947368421051</v>
      </c>
      <c r="L44" s="496">
        <f t="shared" si="1"/>
        <v>0</v>
      </c>
      <c r="M44" s="496">
        <f t="shared" si="2"/>
        <v>68.421052631578945</v>
      </c>
      <c r="N44" s="499">
        <f t="shared" si="3"/>
        <v>100</v>
      </c>
      <c r="O44" s="495">
        <v>15.6</v>
      </c>
      <c r="P44" s="496"/>
      <c r="Q44" s="496">
        <v>40</v>
      </c>
      <c r="R44" s="497">
        <f t="shared" si="4"/>
        <v>55.6</v>
      </c>
      <c r="S44" s="556">
        <v>2</v>
      </c>
      <c r="T44" s="839"/>
      <c r="U44" s="852"/>
      <c r="V44" s="82" t="s">
        <v>102</v>
      </c>
      <c r="W44" s="197" t="s">
        <v>98</v>
      </c>
      <c r="X44" s="197" t="s">
        <v>12</v>
      </c>
      <c r="Y44" s="83">
        <v>32.200000000000003</v>
      </c>
      <c r="Z44" s="197" t="s">
        <v>877</v>
      </c>
      <c r="AA44" s="197" t="s">
        <v>107</v>
      </c>
      <c r="AB44" s="197" t="s">
        <v>11</v>
      </c>
      <c r="AC44" s="197">
        <v>10</v>
      </c>
      <c r="AD44" s="82" t="s">
        <v>873</v>
      </c>
      <c r="AE44" s="197" t="s">
        <v>874</v>
      </c>
      <c r="AF44" s="197" t="s">
        <v>12</v>
      </c>
      <c r="AG44" s="83">
        <v>7.8</v>
      </c>
      <c r="AH44" s="82" t="s">
        <v>866</v>
      </c>
      <c r="AI44" s="197" t="s">
        <v>22</v>
      </c>
      <c r="AJ44" s="197" t="s">
        <v>11</v>
      </c>
      <c r="AK44" s="197">
        <v>5.6</v>
      </c>
      <c r="AL44" s="82"/>
      <c r="AO44" s="83"/>
      <c r="AP44" s="82"/>
      <c r="AS44" s="83"/>
      <c r="AW44" s="83"/>
      <c r="BA44" s="84"/>
    </row>
    <row r="45" spans="1:53" s="197" customFormat="1">
      <c r="A45" s="197">
        <v>2010</v>
      </c>
      <c r="B45" s="830"/>
      <c r="C45" s="917" t="s">
        <v>876</v>
      </c>
      <c r="D45" s="917"/>
      <c r="E45" s="197">
        <v>365</v>
      </c>
      <c r="G45" s="498">
        <v>6</v>
      </c>
      <c r="H45" s="556"/>
      <c r="I45" s="556">
        <v>13</v>
      </c>
      <c r="J45" s="500">
        <v>19</v>
      </c>
      <c r="K45" s="496">
        <f t="shared" si="0"/>
        <v>31.578947368421051</v>
      </c>
      <c r="L45" s="496">
        <f t="shared" si="1"/>
        <v>0</v>
      </c>
      <c r="M45" s="496">
        <f t="shared" si="2"/>
        <v>68.421052631578945</v>
      </c>
      <c r="N45" s="499">
        <f t="shared" si="3"/>
        <v>100</v>
      </c>
      <c r="O45" s="495">
        <v>15.6</v>
      </c>
      <c r="P45" s="496"/>
      <c r="Q45" s="496">
        <v>40</v>
      </c>
      <c r="R45" s="497">
        <f t="shared" si="4"/>
        <v>55.6</v>
      </c>
      <c r="S45" s="556">
        <v>2</v>
      </c>
      <c r="T45" s="839"/>
      <c r="U45" s="852"/>
      <c r="V45" s="82" t="s">
        <v>102</v>
      </c>
      <c r="W45" s="197" t="s">
        <v>98</v>
      </c>
      <c r="X45" s="197" t="s">
        <v>12</v>
      </c>
      <c r="Y45" s="83">
        <v>32.200000000000003</v>
      </c>
      <c r="Z45" s="197" t="s">
        <v>877</v>
      </c>
      <c r="AA45" s="197" t="s">
        <v>107</v>
      </c>
      <c r="AB45" s="197" t="s">
        <v>11</v>
      </c>
      <c r="AC45" s="197">
        <v>10</v>
      </c>
      <c r="AD45" s="82" t="s">
        <v>873</v>
      </c>
      <c r="AE45" s="197" t="s">
        <v>874</v>
      </c>
      <c r="AF45" s="197" t="s">
        <v>12</v>
      </c>
      <c r="AG45" s="83">
        <v>7.8</v>
      </c>
      <c r="AH45" s="82" t="s">
        <v>866</v>
      </c>
      <c r="AI45" s="197" t="s">
        <v>22</v>
      </c>
      <c r="AJ45" s="197" t="s">
        <v>11</v>
      </c>
      <c r="AK45" s="197">
        <v>5.6</v>
      </c>
      <c r="AL45" s="82"/>
      <c r="AO45" s="83"/>
      <c r="AP45" s="82"/>
      <c r="AS45" s="83"/>
      <c r="AW45" s="83"/>
      <c r="BA45" s="84"/>
    </row>
    <row r="46" spans="1:53" s="197" customFormat="1">
      <c r="A46" s="197">
        <v>2011</v>
      </c>
      <c r="B46" s="830"/>
      <c r="C46" s="917" t="s">
        <v>876</v>
      </c>
      <c r="D46" s="917"/>
      <c r="E46" s="197">
        <v>176</v>
      </c>
      <c r="G46" s="498">
        <v>6</v>
      </c>
      <c r="H46" s="556"/>
      <c r="I46" s="556">
        <v>13</v>
      </c>
      <c r="J46" s="500">
        <v>19</v>
      </c>
      <c r="K46" s="496">
        <f t="shared" ref="K46:K51" si="5">G46/J46*100</f>
        <v>31.578947368421051</v>
      </c>
      <c r="L46" s="496">
        <f t="shared" ref="L46:L51" si="6">H46/J46*100</f>
        <v>0</v>
      </c>
      <c r="M46" s="496">
        <f t="shared" ref="M46:M51" si="7">I46/J46*100</f>
        <v>68.421052631578945</v>
      </c>
      <c r="N46" s="499">
        <f t="shared" si="3"/>
        <v>100</v>
      </c>
      <c r="O46" s="495">
        <v>15.6</v>
      </c>
      <c r="P46" s="496"/>
      <c r="Q46" s="496">
        <v>40</v>
      </c>
      <c r="R46" s="497">
        <f t="shared" si="4"/>
        <v>55.6</v>
      </c>
      <c r="S46" s="556">
        <v>2</v>
      </c>
      <c r="T46" s="839"/>
      <c r="U46" s="852"/>
      <c r="V46" s="82" t="s">
        <v>102</v>
      </c>
      <c r="W46" s="197" t="s">
        <v>98</v>
      </c>
      <c r="X46" s="197" t="s">
        <v>12</v>
      </c>
      <c r="Y46" s="83">
        <v>32.200000000000003</v>
      </c>
      <c r="Z46" s="197" t="s">
        <v>877</v>
      </c>
      <c r="AA46" s="197" t="s">
        <v>107</v>
      </c>
      <c r="AB46" s="197" t="s">
        <v>11</v>
      </c>
      <c r="AC46" s="197">
        <v>10</v>
      </c>
      <c r="AD46" s="82" t="s">
        <v>873</v>
      </c>
      <c r="AE46" s="197" t="s">
        <v>874</v>
      </c>
      <c r="AF46" s="197" t="s">
        <v>12</v>
      </c>
      <c r="AG46" s="83">
        <v>7.8</v>
      </c>
      <c r="AH46" s="82" t="s">
        <v>866</v>
      </c>
      <c r="AI46" s="197" t="s">
        <v>22</v>
      </c>
      <c r="AJ46" s="197" t="s">
        <v>11</v>
      </c>
      <c r="AK46" s="197">
        <v>5.6</v>
      </c>
      <c r="AL46" s="82"/>
      <c r="AO46" s="83"/>
      <c r="AP46" s="82"/>
      <c r="AS46" s="83"/>
      <c r="AW46" s="83"/>
      <c r="BA46" s="84"/>
    </row>
    <row r="47" spans="1:53" s="197" customFormat="1">
      <c r="A47" s="197">
        <v>2011</v>
      </c>
      <c r="B47" s="864">
        <v>40720</v>
      </c>
      <c r="C47" s="917" t="s">
        <v>876</v>
      </c>
      <c r="D47" s="917"/>
      <c r="E47" s="197">
        <v>15</v>
      </c>
      <c r="F47" s="139">
        <v>0</v>
      </c>
      <c r="G47" s="498">
        <v>5</v>
      </c>
      <c r="H47" s="556"/>
      <c r="I47" s="556">
        <v>13</v>
      </c>
      <c r="J47" s="500">
        <v>18</v>
      </c>
      <c r="K47" s="496">
        <f t="shared" si="5"/>
        <v>27.777777777777779</v>
      </c>
      <c r="L47" s="496">
        <f t="shared" si="6"/>
        <v>0</v>
      </c>
      <c r="M47" s="496">
        <f t="shared" si="7"/>
        <v>72.222222222222214</v>
      </c>
      <c r="N47" s="499">
        <f t="shared" si="3"/>
        <v>100</v>
      </c>
      <c r="O47" s="495">
        <v>15.6</v>
      </c>
      <c r="P47" s="496"/>
      <c r="Q47" s="496">
        <v>40</v>
      </c>
      <c r="R47" s="497">
        <f t="shared" si="4"/>
        <v>55.6</v>
      </c>
      <c r="S47" s="556">
        <v>2</v>
      </c>
      <c r="T47" s="839"/>
      <c r="U47" s="852"/>
      <c r="V47" s="82" t="s">
        <v>102</v>
      </c>
      <c r="W47" s="197" t="s">
        <v>98</v>
      </c>
      <c r="X47" s="197" t="s">
        <v>12</v>
      </c>
      <c r="Y47" s="83">
        <v>32.200000000000003</v>
      </c>
      <c r="Z47" s="197" t="s">
        <v>877</v>
      </c>
      <c r="AA47" s="197" t="s">
        <v>107</v>
      </c>
      <c r="AB47" s="197" t="s">
        <v>11</v>
      </c>
      <c r="AC47" s="197">
        <v>10</v>
      </c>
      <c r="AD47" s="82" t="s">
        <v>873</v>
      </c>
      <c r="AE47" s="197" t="s">
        <v>874</v>
      </c>
      <c r="AF47" s="197" t="s">
        <v>12</v>
      </c>
      <c r="AG47" s="83">
        <v>7.8</v>
      </c>
      <c r="AH47" s="82" t="s">
        <v>866</v>
      </c>
      <c r="AI47" s="197" t="s">
        <v>22</v>
      </c>
      <c r="AJ47" s="197" t="s">
        <v>11</v>
      </c>
      <c r="AK47" s="197">
        <v>5.6</v>
      </c>
      <c r="AL47" s="82"/>
      <c r="AO47" s="83"/>
      <c r="AP47" s="82"/>
      <c r="AS47" s="83"/>
      <c r="AW47" s="83"/>
      <c r="BA47" s="84"/>
    </row>
    <row r="48" spans="1:53" s="292" customFormat="1">
      <c r="A48" s="292">
        <v>2011</v>
      </c>
      <c r="B48" s="863">
        <v>40735</v>
      </c>
      <c r="C48" s="916" t="s">
        <v>878</v>
      </c>
      <c r="D48" s="916"/>
      <c r="E48" s="292">
        <v>53</v>
      </c>
      <c r="F48" s="292">
        <v>4</v>
      </c>
      <c r="G48" s="539">
        <v>2</v>
      </c>
      <c r="H48" s="557"/>
      <c r="I48" s="557">
        <v>13</v>
      </c>
      <c r="J48" s="541">
        <v>15</v>
      </c>
      <c r="K48" s="537">
        <f t="shared" si="5"/>
        <v>13.333333333333334</v>
      </c>
      <c r="L48" s="537">
        <f t="shared" si="6"/>
        <v>0</v>
      </c>
      <c r="M48" s="537">
        <f t="shared" si="7"/>
        <v>86.666666666666671</v>
      </c>
      <c r="N48" s="540">
        <f t="shared" si="3"/>
        <v>100</v>
      </c>
      <c r="O48" s="536">
        <v>5.6</v>
      </c>
      <c r="P48" s="537"/>
      <c r="Q48" s="537">
        <v>40</v>
      </c>
      <c r="R48" s="538">
        <f t="shared" si="4"/>
        <v>45.6</v>
      </c>
      <c r="S48" s="557">
        <v>5</v>
      </c>
      <c r="T48" s="838"/>
      <c r="U48" s="863">
        <v>40735</v>
      </c>
      <c r="V48" s="299" t="s">
        <v>102</v>
      </c>
      <c r="W48" s="292" t="s">
        <v>98</v>
      </c>
      <c r="X48" s="292" t="s">
        <v>12</v>
      </c>
      <c r="Y48" s="300">
        <v>32.200000000000003</v>
      </c>
      <c r="Z48" s="299" t="s">
        <v>873</v>
      </c>
      <c r="AA48" s="292" t="s">
        <v>874</v>
      </c>
      <c r="AB48" s="292" t="s">
        <v>12</v>
      </c>
      <c r="AC48" s="300">
        <v>7.8</v>
      </c>
      <c r="AD48" s="299" t="s">
        <v>866</v>
      </c>
      <c r="AE48" s="292" t="s">
        <v>22</v>
      </c>
      <c r="AF48" s="292" t="s">
        <v>11</v>
      </c>
      <c r="AG48" s="300">
        <v>5.6</v>
      </c>
      <c r="AH48" s="299"/>
      <c r="AL48" s="299"/>
      <c r="AO48" s="300"/>
      <c r="AP48" s="299"/>
      <c r="AS48" s="300"/>
      <c r="AW48" s="300"/>
      <c r="BA48" s="301"/>
    </row>
    <row r="49" spans="1:53" s="292" customFormat="1">
      <c r="A49" s="292">
        <v>2011</v>
      </c>
      <c r="B49" s="862">
        <v>40788</v>
      </c>
      <c r="C49" s="916" t="s">
        <v>878</v>
      </c>
      <c r="D49" s="916"/>
      <c r="E49" s="292">
        <f>365-E48-E47-E46</f>
        <v>121</v>
      </c>
      <c r="F49" s="381">
        <v>0</v>
      </c>
      <c r="G49" s="539">
        <v>1</v>
      </c>
      <c r="H49" s="557"/>
      <c r="I49" s="557">
        <v>13</v>
      </c>
      <c r="J49" s="541">
        <v>14</v>
      </c>
      <c r="K49" s="537">
        <f t="shared" si="5"/>
        <v>7.1428571428571423</v>
      </c>
      <c r="L49" s="537">
        <f t="shared" si="6"/>
        <v>0</v>
      </c>
      <c r="M49" s="537">
        <f t="shared" si="7"/>
        <v>92.857142857142861</v>
      </c>
      <c r="N49" s="540">
        <f t="shared" si="3"/>
        <v>100</v>
      </c>
      <c r="O49" s="536">
        <v>5.6</v>
      </c>
      <c r="P49" s="537"/>
      <c r="Q49" s="537">
        <v>40</v>
      </c>
      <c r="R49" s="538">
        <f t="shared" si="4"/>
        <v>45.6</v>
      </c>
      <c r="S49" s="557">
        <v>5</v>
      </c>
      <c r="T49" s="838">
        <v>40881</v>
      </c>
      <c r="U49" s="836"/>
      <c r="V49" s="299" t="s">
        <v>102</v>
      </c>
      <c r="W49" s="292" t="s">
        <v>98</v>
      </c>
      <c r="X49" s="292" t="s">
        <v>12</v>
      </c>
      <c r="Y49" s="300">
        <v>32.200000000000003</v>
      </c>
      <c r="Z49" s="299" t="s">
        <v>873</v>
      </c>
      <c r="AA49" s="292" t="s">
        <v>874</v>
      </c>
      <c r="AB49" s="292" t="s">
        <v>12</v>
      </c>
      <c r="AC49" s="300">
        <v>7.8</v>
      </c>
      <c r="AD49" s="299" t="s">
        <v>866</v>
      </c>
      <c r="AE49" s="292" t="s">
        <v>22</v>
      </c>
      <c r="AF49" s="292" t="s">
        <v>11</v>
      </c>
      <c r="AG49" s="300">
        <v>5.6</v>
      </c>
      <c r="AL49" s="299"/>
      <c r="AO49" s="300"/>
      <c r="AP49" s="299"/>
      <c r="AS49" s="300"/>
      <c r="AW49" s="300"/>
      <c r="BA49" s="301"/>
    </row>
    <row r="50" spans="1:53" s="292" customFormat="1">
      <c r="A50" s="292">
        <v>2012</v>
      </c>
      <c r="B50" s="863"/>
      <c r="C50" s="916" t="s">
        <v>878</v>
      </c>
      <c r="D50" s="916"/>
      <c r="E50" s="292">
        <v>40</v>
      </c>
      <c r="G50" s="539">
        <v>1</v>
      </c>
      <c r="H50" s="557"/>
      <c r="I50" s="557">
        <v>13</v>
      </c>
      <c r="J50" s="541">
        <v>14</v>
      </c>
      <c r="K50" s="537">
        <f t="shared" si="5"/>
        <v>7.1428571428571423</v>
      </c>
      <c r="L50" s="537">
        <f t="shared" si="6"/>
        <v>0</v>
      </c>
      <c r="M50" s="537">
        <f t="shared" si="7"/>
        <v>92.857142857142861</v>
      </c>
      <c r="N50" s="540">
        <f t="shared" si="3"/>
        <v>100</v>
      </c>
      <c r="O50" s="536">
        <v>5.6</v>
      </c>
      <c r="P50" s="537"/>
      <c r="Q50" s="537">
        <v>40</v>
      </c>
      <c r="R50" s="538">
        <f t="shared" si="4"/>
        <v>45.6</v>
      </c>
      <c r="S50" s="557">
        <v>5</v>
      </c>
      <c r="T50" s="838"/>
      <c r="U50" s="836"/>
      <c r="V50" s="299" t="s">
        <v>102</v>
      </c>
      <c r="W50" s="292" t="s">
        <v>98</v>
      </c>
      <c r="X50" s="292" t="s">
        <v>12</v>
      </c>
      <c r="Y50" s="300">
        <v>32.200000000000003</v>
      </c>
      <c r="Z50" s="299" t="s">
        <v>873</v>
      </c>
      <c r="AA50" s="292" t="s">
        <v>874</v>
      </c>
      <c r="AB50" s="292" t="s">
        <v>12</v>
      </c>
      <c r="AC50" s="300">
        <v>7.8</v>
      </c>
      <c r="AD50" s="299" t="s">
        <v>866</v>
      </c>
      <c r="AE50" s="292" t="s">
        <v>22</v>
      </c>
      <c r="AF50" s="292" t="s">
        <v>11</v>
      </c>
      <c r="AG50" s="300">
        <v>5.6</v>
      </c>
      <c r="AL50" s="299"/>
      <c r="AO50" s="300"/>
      <c r="AP50" s="299"/>
      <c r="AS50" s="300"/>
      <c r="AW50" s="300"/>
      <c r="BA50" s="301"/>
    </row>
    <row r="51" spans="1:53" s="197" customFormat="1">
      <c r="A51" s="197">
        <v>2012</v>
      </c>
      <c r="B51" s="830">
        <v>40949</v>
      </c>
      <c r="C51" s="917" t="s">
        <v>1215</v>
      </c>
      <c r="D51" s="917"/>
      <c r="E51" s="197">
        <f>366-E50</f>
        <v>326</v>
      </c>
      <c r="F51" s="197">
        <v>1</v>
      </c>
      <c r="G51" s="498">
        <v>7</v>
      </c>
      <c r="H51" s="556">
        <v>2</v>
      </c>
      <c r="I51" s="556">
        <v>4</v>
      </c>
      <c r="J51" s="500">
        <v>13</v>
      </c>
      <c r="K51" s="496">
        <f t="shared" si="5"/>
        <v>53.846153846153847</v>
      </c>
      <c r="L51" s="496">
        <f t="shared" si="6"/>
        <v>15.384615384615385</v>
      </c>
      <c r="M51" s="496">
        <f t="shared" si="7"/>
        <v>30.76923076923077</v>
      </c>
      <c r="N51" s="499">
        <f t="shared" si="3"/>
        <v>100</v>
      </c>
      <c r="O51" s="495">
        <v>37.799999999999997</v>
      </c>
      <c r="P51" s="496">
        <v>4.4000000000000004</v>
      </c>
      <c r="Q51" s="496">
        <v>13.4</v>
      </c>
      <c r="R51" s="497">
        <f t="shared" si="4"/>
        <v>55.599999999999994</v>
      </c>
      <c r="S51" s="556">
        <v>3</v>
      </c>
      <c r="T51" s="839"/>
      <c r="U51" s="830">
        <v>40949</v>
      </c>
      <c r="V51" s="82" t="s">
        <v>870</v>
      </c>
      <c r="W51" s="197" t="s">
        <v>297</v>
      </c>
      <c r="X51" s="197" t="s">
        <v>11</v>
      </c>
      <c r="Y51" s="83">
        <v>28.9</v>
      </c>
      <c r="Z51" s="197" t="s">
        <v>559</v>
      </c>
      <c r="AA51" s="197" t="s">
        <v>309</v>
      </c>
      <c r="AB51" s="197" t="s">
        <v>11</v>
      </c>
      <c r="AC51" s="197">
        <v>8.9</v>
      </c>
      <c r="AD51" s="82" t="s">
        <v>873</v>
      </c>
      <c r="AE51" s="197" t="s">
        <v>874</v>
      </c>
      <c r="AF51" s="197" t="s">
        <v>12</v>
      </c>
      <c r="AG51" s="83">
        <v>6.7</v>
      </c>
      <c r="AH51" s="197" t="s">
        <v>871</v>
      </c>
      <c r="AI51" s="197" t="s">
        <v>872</v>
      </c>
      <c r="AJ51" s="197" t="s">
        <v>12</v>
      </c>
      <c r="AK51" s="197">
        <v>6.7</v>
      </c>
      <c r="AL51" s="82" t="s">
        <v>875</v>
      </c>
      <c r="AM51" s="197" t="s">
        <v>82</v>
      </c>
      <c r="AN51" s="197" t="s">
        <v>18</v>
      </c>
      <c r="AO51" s="83">
        <v>4.4000000000000004</v>
      </c>
      <c r="AP51" s="82"/>
      <c r="AS51" s="83"/>
      <c r="AW51" s="83"/>
      <c r="BA51" s="84"/>
    </row>
    <row r="52" spans="1:53" s="278" customFormat="1">
      <c r="A52" s="278">
        <v>2013</v>
      </c>
      <c r="B52" s="830"/>
      <c r="C52" s="917" t="s">
        <v>1215</v>
      </c>
      <c r="D52" s="917"/>
      <c r="E52" s="278">
        <v>31</v>
      </c>
      <c r="G52" s="498">
        <v>7</v>
      </c>
      <c r="H52" s="556">
        <v>2</v>
      </c>
      <c r="I52" s="556">
        <v>4</v>
      </c>
      <c r="J52" s="500">
        <v>13</v>
      </c>
      <c r="K52" s="496">
        <f t="shared" ref="K52:K59" si="8">G52/J52*100</f>
        <v>53.846153846153847</v>
      </c>
      <c r="L52" s="496">
        <f t="shared" ref="L52:L59" si="9">H52/J52*100</f>
        <v>15.384615384615385</v>
      </c>
      <c r="M52" s="496">
        <f t="shared" ref="M52:M59" si="10">I52/J52*100</f>
        <v>30.76923076923077</v>
      </c>
      <c r="N52" s="499">
        <f>K52+L52+M52</f>
        <v>100</v>
      </c>
      <c r="O52" s="495">
        <v>37.799999999999997</v>
      </c>
      <c r="P52" s="496">
        <v>4.4000000000000004</v>
      </c>
      <c r="Q52" s="496">
        <v>13.4</v>
      </c>
      <c r="R52" s="497">
        <f t="shared" ref="R52:R59" si="11">O52+P52+Q52</f>
        <v>55.599999999999994</v>
      </c>
      <c r="S52" s="556">
        <v>3</v>
      </c>
      <c r="T52" s="839"/>
      <c r="U52" s="830"/>
      <c r="V52" s="82" t="s">
        <v>870</v>
      </c>
      <c r="W52" s="278" t="s">
        <v>297</v>
      </c>
      <c r="X52" s="278" t="s">
        <v>11</v>
      </c>
      <c r="Y52" s="83">
        <v>28.9</v>
      </c>
      <c r="Z52" s="278" t="s">
        <v>559</v>
      </c>
      <c r="AA52" s="278" t="s">
        <v>309</v>
      </c>
      <c r="AB52" s="278" t="s">
        <v>11</v>
      </c>
      <c r="AC52" s="278">
        <v>8.9</v>
      </c>
      <c r="AD52" s="82" t="s">
        <v>873</v>
      </c>
      <c r="AE52" s="278" t="s">
        <v>874</v>
      </c>
      <c r="AF52" s="278" t="s">
        <v>12</v>
      </c>
      <c r="AG52" s="83">
        <v>6.7</v>
      </c>
      <c r="AH52" s="278" t="s">
        <v>871</v>
      </c>
      <c r="AI52" s="278" t="s">
        <v>872</v>
      </c>
      <c r="AJ52" s="278" t="s">
        <v>12</v>
      </c>
      <c r="AK52" s="278">
        <v>6.7</v>
      </c>
      <c r="AL52" s="82" t="s">
        <v>875</v>
      </c>
      <c r="AM52" s="278" t="s">
        <v>82</v>
      </c>
      <c r="AN52" s="278" t="s">
        <v>18</v>
      </c>
      <c r="AO52" s="83">
        <v>4.4000000000000004</v>
      </c>
      <c r="AP52" s="82"/>
      <c r="AS52" s="83"/>
      <c r="AW52" s="83"/>
      <c r="BA52" s="84"/>
    </row>
    <row r="53" spans="1:53" s="292" customFormat="1">
      <c r="A53" s="292">
        <v>2013</v>
      </c>
      <c r="B53" s="850">
        <v>41306</v>
      </c>
      <c r="C53" s="916" t="s">
        <v>1273</v>
      </c>
      <c r="D53" s="916"/>
      <c r="E53" s="292">
        <v>47</v>
      </c>
      <c r="F53" s="292">
        <v>4</v>
      </c>
      <c r="G53" s="539">
        <v>5</v>
      </c>
      <c r="H53" s="557">
        <v>2</v>
      </c>
      <c r="I53" s="557">
        <v>4</v>
      </c>
      <c r="J53" s="541">
        <v>11</v>
      </c>
      <c r="K53" s="537">
        <f t="shared" si="8"/>
        <v>45.454545454545453</v>
      </c>
      <c r="L53" s="537">
        <f t="shared" si="9"/>
        <v>18.181818181818183</v>
      </c>
      <c r="M53" s="537">
        <f t="shared" si="10"/>
        <v>36.363636363636367</v>
      </c>
      <c r="N53" s="540">
        <f>K52+L52+M52</f>
        <v>100</v>
      </c>
      <c r="O53" s="536">
        <v>28.9</v>
      </c>
      <c r="P53" s="537">
        <v>4.4000000000000004</v>
      </c>
      <c r="Q53" s="537">
        <v>13.4</v>
      </c>
      <c r="R53" s="538">
        <f t="shared" si="11"/>
        <v>46.699999999999996</v>
      </c>
      <c r="S53" s="557">
        <v>5</v>
      </c>
      <c r="T53" s="838"/>
      <c r="U53" s="836">
        <v>41306</v>
      </c>
      <c r="V53" s="299" t="s">
        <v>870</v>
      </c>
      <c r="W53" s="292" t="s">
        <v>297</v>
      </c>
      <c r="X53" s="292" t="s">
        <v>11</v>
      </c>
      <c r="Y53" s="300">
        <v>28.9</v>
      </c>
      <c r="Z53" s="292" t="s">
        <v>873</v>
      </c>
      <c r="AA53" s="292" t="s">
        <v>874</v>
      </c>
      <c r="AB53" s="292" t="s">
        <v>12</v>
      </c>
      <c r="AC53" s="292">
        <v>5.6</v>
      </c>
      <c r="AD53" s="299" t="s">
        <v>871</v>
      </c>
      <c r="AE53" s="292" t="s">
        <v>872</v>
      </c>
      <c r="AF53" s="292" t="s">
        <v>12</v>
      </c>
      <c r="AG53" s="300">
        <v>6.7</v>
      </c>
      <c r="AH53" s="299" t="s">
        <v>875</v>
      </c>
      <c r="AI53" s="292" t="s">
        <v>82</v>
      </c>
      <c r="AJ53" s="292" t="s">
        <v>18</v>
      </c>
      <c r="AK53" s="292">
        <v>4.4000000000000004</v>
      </c>
      <c r="AL53" s="299"/>
      <c r="AO53" s="300"/>
      <c r="AP53" s="299"/>
      <c r="AS53" s="300"/>
      <c r="AW53" s="300"/>
      <c r="BA53" s="301"/>
    </row>
    <row r="54" spans="1:53" s="287" customFormat="1">
      <c r="A54" s="287">
        <v>2013</v>
      </c>
      <c r="B54" s="830">
        <v>41353</v>
      </c>
      <c r="C54" s="917" t="s">
        <v>1260</v>
      </c>
      <c r="D54" s="917"/>
      <c r="E54" s="287">
        <v>245</v>
      </c>
      <c r="F54" s="287">
        <v>5</v>
      </c>
      <c r="G54" s="498">
        <v>3</v>
      </c>
      <c r="H54" s="556"/>
      <c r="I54" s="556">
        <v>11</v>
      </c>
      <c r="J54" s="500">
        <v>14</v>
      </c>
      <c r="K54" s="496">
        <f t="shared" si="8"/>
        <v>21.428571428571427</v>
      </c>
      <c r="L54" s="496">
        <f t="shared" si="9"/>
        <v>0</v>
      </c>
      <c r="M54" s="496">
        <f t="shared" si="10"/>
        <v>78.571428571428569</v>
      </c>
      <c r="N54" s="499">
        <f>K53+L53+M53</f>
        <v>100</v>
      </c>
      <c r="O54" s="495">
        <v>7.8</v>
      </c>
      <c r="P54" s="496"/>
      <c r="Q54" s="496">
        <v>46.7</v>
      </c>
      <c r="R54" s="497">
        <f t="shared" si="11"/>
        <v>54.5</v>
      </c>
      <c r="S54" s="556">
        <v>2</v>
      </c>
      <c r="T54" s="839"/>
      <c r="U54" s="830">
        <v>41353</v>
      </c>
      <c r="V54" s="82" t="s">
        <v>96</v>
      </c>
      <c r="W54" s="287" t="s">
        <v>1036</v>
      </c>
      <c r="X54" s="287" t="s">
        <v>12</v>
      </c>
      <c r="Y54" s="83">
        <v>30</v>
      </c>
      <c r="Z54" s="82" t="s">
        <v>102</v>
      </c>
      <c r="AA54" s="287" t="s">
        <v>98</v>
      </c>
      <c r="AB54" s="287" t="s">
        <v>12</v>
      </c>
      <c r="AC54" s="83">
        <v>11.1</v>
      </c>
      <c r="AD54" s="82" t="s">
        <v>559</v>
      </c>
      <c r="AE54" s="287" t="s">
        <v>309</v>
      </c>
      <c r="AF54" s="287" t="s">
        <v>11</v>
      </c>
      <c r="AG54" s="83">
        <v>7.8</v>
      </c>
      <c r="AH54" s="82" t="s">
        <v>873</v>
      </c>
      <c r="AI54" s="287" t="s">
        <v>874</v>
      </c>
      <c r="AJ54" s="287" t="s">
        <v>12</v>
      </c>
      <c r="AK54" s="287">
        <v>5.6</v>
      </c>
      <c r="AL54" s="82"/>
      <c r="AO54" s="83"/>
      <c r="AP54" s="82"/>
      <c r="AS54" s="83"/>
      <c r="AW54" s="83"/>
      <c r="BA54" s="84"/>
    </row>
    <row r="55" spans="1:53" s="287" customFormat="1">
      <c r="A55" s="287">
        <v>2013</v>
      </c>
      <c r="B55" s="864">
        <v>41598</v>
      </c>
      <c r="C55" s="917" t="s">
        <v>1260</v>
      </c>
      <c r="D55" s="917"/>
      <c r="E55" s="287">
        <v>5</v>
      </c>
      <c r="F55" s="139">
        <v>0</v>
      </c>
      <c r="G55" s="498">
        <v>3</v>
      </c>
      <c r="H55" s="556"/>
      <c r="I55" s="556">
        <v>10</v>
      </c>
      <c r="J55" s="500">
        <v>13</v>
      </c>
      <c r="K55" s="496">
        <f t="shared" si="8"/>
        <v>23.076923076923077</v>
      </c>
      <c r="L55" s="496">
        <f t="shared" si="9"/>
        <v>0</v>
      </c>
      <c r="M55" s="496">
        <f t="shared" si="10"/>
        <v>76.923076923076934</v>
      </c>
      <c r="N55" s="499">
        <f>K54+L54+M54</f>
        <v>100</v>
      </c>
      <c r="O55" s="495">
        <v>7.8</v>
      </c>
      <c r="P55" s="496"/>
      <c r="Q55" s="496">
        <v>46.7</v>
      </c>
      <c r="R55" s="497">
        <f t="shared" si="11"/>
        <v>54.5</v>
      </c>
      <c r="S55" s="556">
        <v>2</v>
      </c>
      <c r="T55" s="839"/>
      <c r="U55" s="830"/>
      <c r="V55" s="82" t="s">
        <v>96</v>
      </c>
      <c r="W55" s="287" t="s">
        <v>1036</v>
      </c>
      <c r="X55" s="287" t="s">
        <v>12</v>
      </c>
      <c r="Y55" s="83">
        <v>30</v>
      </c>
      <c r="Z55" s="82" t="s">
        <v>102</v>
      </c>
      <c r="AA55" s="287" t="s">
        <v>98</v>
      </c>
      <c r="AB55" s="287" t="s">
        <v>12</v>
      </c>
      <c r="AC55" s="83">
        <v>11.1</v>
      </c>
      <c r="AD55" s="82" t="s">
        <v>559</v>
      </c>
      <c r="AE55" s="287" t="s">
        <v>309</v>
      </c>
      <c r="AF55" s="287" t="s">
        <v>11</v>
      </c>
      <c r="AG55" s="83">
        <v>7.8</v>
      </c>
      <c r="AH55" s="82" t="s">
        <v>873</v>
      </c>
      <c r="AI55" s="287" t="s">
        <v>874</v>
      </c>
      <c r="AJ55" s="287" t="s">
        <v>12</v>
      </c>
      <c r="AK55" s="287">
        <v>5.6</v>
      </c>
      <c r="AL55" s="82"/>
      <c r="AO55" s="83"/>
      <c r="AP55" s="82"/>
      <c r="AS55" s="83"/>
      <c r="AW55" s="83"/>
      <c r="BA55" s="84"/>
    </row>
    <row r="56" spans="1:53" s="287" customFormat="1">
      <c r="A56" s="287">
        <v>2013</v>
      </c>
      <c r="B56" s="864">
        <v>41603</v>
      </c>
      <c r="C56" s="917" t="s">
        <v>1260</v>
      </c>
      <c r="D56" s="917"/>
      <c r="E56" s="287">
        <f>365-E55-E54-E53-E52</f>
        <v>37</v>
      </c>
      <c r="F56" s="139">
        <v>0</v>
      </c>
      <c r="G56" s="498">
        <v>3</v>
      </c>
      <c r="H56" s="556"/>
      <c r="I56" s="556">
        <v>9</v>
      </c>
      <c r="J56" s="500">
        <v>12</v>
      </c>
      <c r="K56" s="496">
        <f t="shared" si="8"/>
        <v>25</v>
      </c>
      <c r="L56" s="496">
        <f t="shared" si="9"/>
        <v>0</v>
      </c>
      <c r="M56" s="496">
        <f t="shared" si="10"/>
        <v>75</v>
      </c>
      <c r="N56" s="499">
        <f>K55+L55+M55</f>
        <v>100.00000000000001</v>
      </c>
      <c r="O56" s="495">
        <v>7.8</v>
      </c>
      <c r="P56" s="496"/>
      <c r="Q56" s="496">
        <v>46.7</v>
      </c>
      <c r="R56" s="497">
        <f t="shared" si="11"/>
        <v>54.5</v>
      </c>
      <c r="S56" s="556">
        <v>2</v>
      </c>
      <c r="T56" s="839"/>
      <c r="U56" s="830"/>
      <c r="V56" s="82" t="s">
        <v>96</v>
      </c>
      <c r="W56" s="287" t="s">
        <v>1036</v>
      </c>
      <c r="X56" s="287" t="s">
        <v>12</v>
      </c>
      <c r="Y56" s="83">
        <v>30</v>
      </c>
      <c r="Z56" s="82" t="s">
        <v>102</v>
      </c>
      <c r="AA56" s="287" t="s">
        <v>98</v>
      </c>
      <c r="AB56" s="287" t="s">
        <v>12</v>
      </c>
      <c r="AC56" s="83">
        <v>11.1</v>
      </c>
      <c r="AD56" s="82" t="s">
        <v>559</v>
      </c>
      <c r="AE56" s="287" t="s">
        <v>309</v>
      </c>
      <c r="AF56" s="287" t="s">
        <v>11</v>
      </c>
      <c r="AG56" s="83">
        <v>7.8</v>
      </c>
      <c r="AH56" s="82" t="s">
        <v>873</v>
      </c>
      <c r="AI56" s="287" t="s">
        <v>874</v>
      </c>
      <c r="AJ56" s="287" t="s">
        <v>12</v>
      </c>
      <c r="AK56" s="287">
        <v>5.6</v>
      </c>
      <c r="AL56" s="82"/>
      <c r="AO56" s="83"/>
      <c r="AP56" s="82"/>
      <c r="AS56" s="83"/>
      <c r="AW56" s="83"/>
      <c r="BA56" s="84"/>
    </row>
    <row r="57" spans="1:53" s="548" customFormat="1">
      <c r="A57" s="548">
        <v>2014</v>
      </c>
      <c r="B57" s="864"/>
      <c r="C57" s="917" t="s">
        <v>1260</v>
      </c>
      <c r="D57" s="917"/>
      <c r="E57" s="548">
        <v>192</v>
      </c>
      <c r="F57" s="502"/>
      <c r="G57" s="498">
        <v>3</v>
      </c>
      <c r="H57" s="556"/>
      <c r="I57" s="556">
        <v>9</v>
      </c>
      <c r="J57" s="500">
        <v>12</v>
      </c>
      <c r="K57" s="496">
        <f t="shared" si="8"/>
        <v>25</v>
      </c>
      <c r="L57" s="496">
        <f t="shared" si="9"/>
        <v>0</v>
      </c>
      <c r="M57" s="496">
        <f t="shared" si="10"/>
        <v>75</v>
      </c>
      <c r="N57" s="499">
        <f t="shared" ref="N57:N59" si="12">K56+L56+M56</f>
        <v>100</v>
      </c>
      <c r="O57" s="495">
        <v>7.8</v>
      </c>
      <c r="P57" s="496"/>
      <c r="Q57" s="496">
        <v>46.7</v>
      </c>
      <c r="R57" s="497">
        <f t="shared" si="11"/>
        <v>54.5</v>
      </c>
      <c r="S57" s="556">
        <v>2</v>
      </c>
      <c r="T57" s="839"/>
      <c r="U57" s="830"/>
      <c r="V57" s="492" t="s">
        <v>96</v>
      </c>
      <c r="W57" s="556" t="s">
        <v>1036</v>
      </c>
      <c r="X57" s="556" t="s">
        <v>12</v>
      </c>
      <c r="Y57" s="493">
        <v>30</v>
      </c>
      <c r="Z57" s="492" t="s">
        <v>102</v>
      </c>
      <c r="AA57" s="556" t="s">
        <v>98</v>
      </c>
      <c r="AB57" s="556" t="s">
        <v>12</v>
      </c>
      <c r="AC57" s="493">
        <v>11.1</v>
      </c>
      <c r="AD57" s="492" t="s">
        <v>559</v>
      </c>
      <c r="AE57" s="556" t="s">
        <v>309</v>
      </c>
      <c r="AF57" s="556" t="s">
        <v>11</v>
      </c>
      <c r="AG57" s="493">
        <v>7.8</v>
      </c>
      <c r="AH57" s="492" t="s">
        <v>873</v>
      </c>
      <c r="AI57" s="556" t="s">
        <v>874</v>
      </c>
      <c r="AJ57" s="556" t="s">
        <v>12</v>
      </c>
      <c r="AK57" s="556">
        <v>5.6</v>
      </c>
      <c r="AL57" s="492"/>
      <c r="AO57" s="493"/>
      <c r="AP57" s="492"/>
      <c r="AS57" s="493"/>
      <c r="AW57" s="493"/>
      <c r="BA57" s="494"/>
    </row>
    <row r="58" spans="1:53" s="556" customFormat="1">
      <c r="A58" s="556">
        <v>2014</v>
      </c>
      <c r="B58" s="864">
        <v>41832</v>
      </c>
      <c r="C58" s="917" t="s">
        <v>1260</v>
      </c>
      <c r="D58" s="917"/>
      <c r="E58" s="556">
        <v>68</v>
      </c>
      <c r="F58" s="502">
        <v>0</v>
      </c>
      <c r="G58" s="498">
        <v>7</v>
      </c>
      <c r="I58" s="556">
        <v>6</v>
      </c>
      <c r="J58" s="500">
        <v>13</v>
      </c>
      <c r="K58" s="496">
        <f t="shared" si="8"/>
        <v>53.846153846153847</v>
      </c>
      <c r="L58" s="496">
        <f t="shared" si="9"/>
        <v>0</v>
      </c>
      <c r="M58" s="496">
        <f t="shared" si="10"/>
        <v>46.153846153846153</v>
      </c>
      <c r="N58" s="499">
        <f t="shared" si="12"/>
        <v>100</v>
      </c>
      <c r="O58" s="495">
        <v>18.899999999999999</v>
      </c>
      <c r="P58" s="496"/>
      <c r="Q58" s="496">
        <v>32.299999999999997</v>
      </c>
      <c r="R58" s="497">
        <f t="shared" si="11"/>
        <v>51.199999999999996</v>
      </c>
      <c r="S58" s="556">
        <v>2</v>
      </c>
      <c r="T58" s="839"/>
      <c r="U58" s="830"/>
      <c r="V58" s="492" t="s">
        <v>1312</v>
      </c>
      <c r="W58" s="556" t="s">
        <v>897</v>
      </c>
      <c r="X58" s="556" t="s">
        <v>11</v>
      </c>
      <c r="Y58" s="493">
        <v>11.1</v>
      </c>
      <c r="Z58" s="492" t="s">
        <v>96</v>
      </c>
      <c r="AA58" s="556" t="s">
        <v>1036</v>
      </c>
      <c r="AB58" s="556" t="s">
        <v>12</v>
      </c>
      <c r="AC58" s="493">
        <v>15.5</v>
      </c>
      <c r="AD58" s="492" t="s">
        <v>102</v>
      </c>
      <c r="AE58" s="556" t="s">
        <v>98</v>
      </c>
      <c r="AF58" s="556" t="s">
        <v>12</v>
      </c>
      <c r="AG58" s="493">
        <v>11.1</v>
      </c>
      <c r="AH58" s="492" t="s">
        <v>559</v>
      </c>
      <c r="AI58" s="556" t="s">
        <v>22</v>
      </c>
      <c r="AJ58" s="556" t="s">
        <v>11</v>
      </c>
      <c r="AK58" s="556">
        <v>7.8</v>
      </c>
      <c r="AL58" s="492" t="s">
        <v>873</v>
      </c>
      <c r="AM58" s="556" t="s">
        <v>874</v>
      </c>
      <c r="AN58" s="556" t="s">
        <v>12</v>
      </c>
      <c r="AO58" s="493">
        <v>5.6</v>
      </c>
      <c r="AP58" s="492"/>
      <c r="AS58" s="493"/>
      <c r="AW58" s="493"/>
      <c r="BA58" s="494"/>
    </row>
    <row r="59" spans="1:53" s="557" customFormat="1">
      <c r="A59" s="557">
        <v>2014</v>
      </c>
      <c r="B59" s="850">
        <v>41900</v>
      </c>
      <c r="C59" s="916" t="s">
        <v>1313</v>
      </c>
      <c r="D59" s="916"/>
      <c r="E59" s="557">
        <v>105</v>
      </c>
      <c r="F59" s="557">
        <v>1</v>
      </c>
      <c r="G59" s="539">
        <v>10</v>
      </c>
      <c r="I59" s="557">
        <v>7</v>
      </c>
      <c r="J59" s="541">
        <v>17</v>
      </c>
      <c r="K59" s="537">
        <f t="shared" si="8"/>
        <v>58.82352941176471</v>
      </c>
      <c r="L59" s="537">
        <f t="shared" si="9"/>
        <v>0</v>
      </c>
      <c r="M59" s="537">
        <f t="shared" si="10"/>
        <v>41.17647058823529</v>
      </c>
      <c r="N59" s="540">
        <f t="shared" si="12"/>
        <v>100</v>
      </c>
      <c r="O59" s="536">
        <v>40</v>
      </c>
      <c r="P59" s="537"/>
      <c r="Q59" s="537">
        <v>17.8</v>
      </c>
      <c r="R59" s="538">
        <f t="shared" si="11"/>
        <v>57.8</v>
      </c>
      <c r="S59" s="557">
        <v>3</v>
      </c>
      <c r="T59" s="838">
        <v>41833</v>
      </c>
      <c r="U59" s="836">
        <v>41900</v>
      </c>
      <c r="V59" s="532" t="s">
        <v>1314</v>
      </c>
      <c r="W59" s="557" t="s">
        <v>898</v>
      </c>
      <c r="X59" s="557" t="s">
        <v>11</v>
      </c>
      <c r="Y59" s="533">
        <v>40</v>
      </c>
      <c r="Z59" s="557" t="s">
        <v>873</v>
      </c>
      <c r="AA59" s="557" t="s">
        <v>874</v>
      </c>
      <c r="AB59" s="557" t="s">
        <v>12</v>
      </c>
      <c r="AC59" s="557">
        <v>11.1</v>
      </c>
      <c r="AD59" s="532" t="s">
        <v>102</v>
      </c>
      <c r="AE59" s="557" t="s">
        <v>98</v>
      </c>
      <c r="AF59" s="557" t="s">
        <v>12</v>
      </c>
      <c r="AG59" s="533">
        <v>6.7</v>
      </c>
      <c r="AH59" s="532"/>
      <c r="AL59" s="532"/>
      <c r="AO59" s="533"/>
      <c r="AP59" s="532"/>
      <c r="AS59" s="533"/>
      <c r="AW59" s="533"/>
      <c r="BA59" s="534"/>
    </row>
    <row r="60" spans="1:53" s="622" customFormat="1">
      <c r="A60" s="622">
        <v>2015</v>
      </c>
      <c r="B60" s="850"/>
      <c r="C60" s="916" t="s">
        <v>1313</v>
      </c>
      <c r="D60" s="916"/>
      <c r="E60" s="622">
        <v>0</v>
      </c>
      <c r="G60" s="539">
        <v>10</v>
      </c>
      <c r="I60" s="622">
        <v>7</v>
      </c>
      <c r="J60" s="541">
        <v>17</v>
      </c>
      <c r="K60" s="537">
        <f t="shared" ref="K60:K63" si="13">G60/J60*100</f>
        <v>58.82352941176471</v>
      </c>
      <c r="L60" s="537">
        <f t="shared" ref="L60:L63" si="14">H60/J60*100</f>
        <v>0</v>
      </c>
      <c r="M60" s="537">
        <f t="shared" ref="M60:M63" si="15">I60/J60*100</f>
        <v>41.17647058823529</v>
      </c>
      <c r="N60" s="540">
        <f t="shared" ref="N60:N63" si="16">K59+L59+M59</f>
        <v>100</v>
      </c>
      <c r="O60" s="536">
        <v>40</v>
      </c>
      <c r="P60" s="537"/>
      <c r="Q60" s="537">
        <v>17.8</v>
      </c>
      <c r="R60" s="538">
        <f t="shared" ref="R60:R61" si="17">O60+P60+Q60</f>
        <v>57.8</v>
      </c>
      <c r="S60" s="622">
        <v>3</v>
      </c>
      <c r="T60" s="838"/>
      <c r="U60" s="836"/>
      <c r="V60" s="532" t="s">
        <v>1314</v>
      </c>
      <c r="W60" s="622" t="s">
        <v>898</v>
      </c>
      <c r="X60" s="622" t="s">
        <v>11</v>
      </c>
      <c r="Y60" s="533">
        <v>40</v>
      </c>
      <c r="Z60" s="622" t="s">
        <v>873</v>
      </c>
      <c r="AA60" s="622" t="s">
        <v>874</v>
      </c>
      <c r="AB60" s="622" t="s">
        <v>12</v>
      </c>
      <c r="AC60" s="622">
        <v>11.1</v>
      </c>
      <c r="AD60" s="532" t="s">
        <v>102</v>
      </c>
      <c r="AE60" s="622" t="s">
        <v>98</v>
      </c>
      <c r="AF60" s="622" t="s">
        <v>12</v>
      </c>
      <c r="AG60" s="533">
        <v>6.7</v>
      </c>
      <c r="AH60" s="532"/>
      <c r="AL60" s="532"/>
      <c r="AO60" s="533"/>
      <c r="AP60" s="532"/>
      <c r="AS60" s="533"/>
      <c r="AW60" s="533"/>
      <c r="BA60" s="534"/>
    </row>
    <row r="61" spans="1:53" s="622" customFormat="1">
      <c r="A61" s="622">
        <v>2015</v>
      </c>
      <c r="B61" s="850"/>
      <c r="C61" s="916" t="s">
        <v>1313</v>
      </c>
      <c r="D61" s="916"/>
      <c r="E61" s="622">
        <v>365</v>
      </c>
      <c r="G61" s="539">
        <v>10</v>
      </c>
      <c r="I61" s="622">
        <v>7</v>
      </c>
      <c r="J61" s="541">
        <v>17</v>
      </c>
      <c r="K61" s="537">
        <f t="shared" si="13"/>
        <v>58.82352941176471</v>
      </c>
      <c r="L61" s="537">
        <f t="shared" si="14"/>
        <v>0</v>
      </c>
      <c r="M61" s="537">
        <f t="shared" si="15"/>
        <v>41.17647058823529</v>
      </c>
      <c r="N61" s="540">
        <f t="shared" si="16"/>
        <v>100</v>
      </c>
      <c r="O61" s="536">
        <v>40</v>
      </c>
      <c r="P61" s="537"/>
      <c r="Q61" s="537">
        <v>17.8</v>
      </c>
      <c r="R61" s="538">
        <f t="shared" si="17"/>
        <v>57.8</v>
      </c>
      <c r="S61" s="622">
        <v>3</v>
      </c>
      <c r="T61" s="838"/>
      <c r="U61" s="836"/>
      <c r="V61" s="532" t="s">
        <v>1314</v>
      </c>
      <c r="W61" s="622" t="s">
        <v>898</v>
      </c>
      <c r="X61" s="622" t="s">
        <v>11</v>
      </c>
      <c r="Y61" s="533">
        <v>40</v>
      </c>
      <c r="Z61" s="622" t="s">
        <v>873</v>
      </c>
      <c r="AA61" s="622" t="s">
        <v>874</v>
      </c>
      <c r="AB61" s="622" t="s">
        <v>12</v>
      </c>
      <c r="AC61" s="622">
        <v>11.1</v>
      </c>
      <c r="AD61" s="532" t="s">
        <v>102</v>
      </c>
      <c r="AE61" s="622" t="s">
        <v>98</v>
      </c>
      <c r="AF61" s="622" t="s">
        <v>12</v>
      </c>
      <c r="AG61" s="533">
        <v>6.7</v>
      </c>
      <c r="AH61" s="532"/>
      <c r="AL61" s="532"/>
      <c r="AO61" s="533"/>
      <c r="AP61" s="532"/>
      <c r="AS61" s="533"/>
      <c r="AW61" s="533"/>
      <c r="BA61" s="534"/>
    </row>
    <row r="62" spans="1:53" s="692" customFormat="1">
      <c r="A62" s="692">
        <v>2016</v>
      </c>
      <c r="B62" s="850"/>
      <c r="C62" s="916" t="s">
        <v>1313</v>
      </c>
      <c r="D62" s="916"/>
      <c r="E62" s="692">
        <v>0</v>
      </c>
      <c r="G62" s="539">
        <v>10</v>
      </c>
      <c r="I62" s="692">
        <v>7</v>
      </c>
      <c r="J62" s="541">
        <v>17</v>
      </c>
      <c r="K62" s="537">
        <f t="shared" si="13"/>
        <v>58.82352941176471</v>
      </c>
      <c r="L62" s="537">
        <f t="shared" si="14"/>
        <v>0</v>
      </c>
      <c r="M62" s="537">
        <f t="shared" si="15"/>
        <v>41.17647058823529</v>
      </c>
      <c r="N62" s="540">
        <f t="shared" si="16"/>
        <v>100</v>
      </c>
      <c r="O62" s="536">
        <v>40</v>
      </c>
      <c r="P62" s="537"/>
      <c r="Q62" s="537">
        <v>17.8</v>
      </c>
      <c r="R62" s="538">
        <f t="shared" ref="R62:R63" si="18">O62+P62+Q62</f>
        <v>57.8</v>
      </c>
      <c r="S62" s="692">
        <v>3</v>
      </c>
      <c r="T62" s="838"/>
      <c r="U62" s="836"/>
      <c r="V62" s="532" t="s">
        <v>1314</v>
      </c>
      <c r="W62" s="692" t="s">
        <v>898</v>
      </c>
      <c r="X62" s="692" t="s">
        <v>11</v>
      </c>
      <c r="Y62" s="533">
        <v>40</v>
      </c>
      <c r="Z62" s="692" t="s">
        <v>873</v>
      </c>
      <c r="AA62" s="692" t="s">
        <v>874</v>
      </c>
      <c r="AB62" s="692" t="s">
        <v>12</v>
      </c>
      <c r="AC62" s="692">
        <v>11.1</v>
      </c>
      <c r="AD62" s="532" t="s">
        <v>102</v>
      </c>
      <c r="AE62" s="692" t="s">
        <v>98</v>
      </c>
      <c r="AF62" s="692" t="s">
        <v>12</v>
      </c>
      <c r="AG62" s="533">
        <v>6.7</v>
      </c>
      <c r="AH62" s="532"/>
      <c r="AL62" s="532"/>
      <c r="AO62" s="533"/>
      <c r="AP62" s="532"/>
      <c r="AS62" s="533"/>
      <c r="AW62" s="533"/>
      <c r="BA62" s="534"/>
    </row>
    <row r="63" spans="1:53" s="692" customFormat="1">
      <c r="A63" s="692">
        <v>2016</v>
      </c>
      <c r="B63" s="850"/>
      <c r="C63" s="916" t="s">
        <v>1313</v>
      </c>
      <c r="D63" s="916"/>
      <c r="E63" s="692">
        <v>366</v>
      </c>
      <c r="G63" s="539">
        <v>10</v>
      </c>
      <c r="I63" s="692">
        <v>7</v>
      </c>
      <c r="J63" s="541">
        <v>17</v>
      </c>
      <c r="K63" s="537">
        <f t="shared" si="13"/>
        <v>58.82352941176471</v>
      </c>
      <c r="L63" s="537">
        <f t="shared" si="14"/>
        <v>0</v>
      </c>
      <c r="M63" s="537">
        <f t="shared" si="15"/>
        <v>41.17647058823529</v>
      </c>
      <c r="N63" s="540">
        <f t="shared" si="16"/>
        <v>100</v>
      </c>
      <c r="O63" s="536">
        <v>40</v>
      </c>
      <c r="P63" s="537"/>
      <c r="Q63" s="537">
        <v>17.8</v>
      </c>
      <c r="R63" s="538">
        <f t="shared" si="18"/>
        <v>57.8</v>
      </c>
      <c r="S63" s="692">
        <v>3</v>
      </c>
      <c r="T63" s="838"/>
      <c r="U63" s="836"/>
      <c r="V63" s="532" t="s">
        <v>1314</v>
      </c>
      <c r="W63" s="692" t="s">
        <v>898</v>
      </c>
      <c r="X63" s="692" t="s">
        <v>11</v>
      </c>
      <c r="Y63" s="533">
        <v>40</v>
      </c>
      <c r="Z63" s="692" t="s">
        <v>873</v>
      </c>
      <c r="AA63" s="692" t="s">
        <v>874</v>
      </c>
      <c r="AB63" s="692" t="s">
        <v>12</v>
      </c>
      <c r="AC63" s="692">
        <v>11.1</v>
      </c>
      <c r="AD63" s="532" t="s">
        <v>102</v>
      </c>
      <c r="AE63" s="692" t="s">
        <v>98</v>
      </c>
      <c r="AF63" s="692" t="s">
        <v>12</v>
      </c>
      <c r="AG63" s="533">
        <v>6.7</v>
      </c>
      <c r="AH63" s="532"/>
      <c r="AL63" s="532"/>
      <c r="AO63" s="533"/>
      <c r="AP63" s="532"/>
      <c r="AS63" s="533"/>
      <c r="AW63" s="533"/>
      <c r="BA63" s="534"/>
    </row>
    <row r="64" spans="1:53" s="731" customFormat="1">
      <c r="A64" s="731">
        <v>2017</v>
      </c>
      <c r="B64" s="850"/>
      <c r="C64" s="916" t="s">
        <v>1313</v>
      </c>
      <c r="D64" s="916"/>
      <c r="E64" s="731">
        <v>0</v>
      </c>
      <c r="G64" s="539">
        <v>10</v>
      </c>
      <c r="I64" s="731">
        <v>7</v>
      </c>
      <c r="J64" s="541">
        <v>17</v>
      </c>
      <c r="K64" s="537">
        <f t="shared" ref="K64:K65" si="19">G64/J64*100</f>
        <v>58.82352941176471</v>
      </c>
      <c r="L64" s="537">
        <f t="shared" ref="L64:L65" si="20">H64/J64*100</f>
        <v>0</v>
      </c>
      <c r="M64" s="537">
        <f t="shared" ref="M64:M65" si="21">I64/J64*100</f>
        <v>41.17647058823529</v>
      </c>
      <c r="N64" s="540">
        <f t="shared" ref="N64:N65" si="22">K63+L63+M63</f>
        <v>100</v>
      </c>
      <c r="O64" s="536">
        <v>40</v>
      </c>
      <c r="P64" s="537"/>
      <c r="Q64" s="537">
        <v>17.8</v>
      </c>
      <c r="R64" s="538">
        <f t="shared" ref="R64:R65" si="23">O64+P64+Q64</f>
        <v>57.8</v>
      </c>
      <c r="S64" s="731">
        <v>3</v>
      </c>
      <c r="T64" s="838"/>
      <c r="U64" s="836"/>
      <c r="V64" s="532" t="s">
        <v>1314</v>
      </c>
      <c r="W64" s="731" t="s">
        <v>898</v>
      </c>
      <c r="X64" s="731" t="s">
        <v>11</v>
      </c>
      <c r="Y64" s="533">
        <v>40</v>
      </c>
      <c r="Z64" s="731" t="s">
        <v>873</v>
      </c>
      <c r="AA64" s="731" t="s">
        <v>874</v>
      </c>
      <c r="AB64" s="731" t="s">
        <v>12</v>
      </c>
      <c r="AC64" s="731">
        <v>11.1</v>
      </c>
      <c r="AD64" s="532" t="s">
        <v>102</v>
      </c>
      <c r="AE64" s="731" t="s">
        <v>98</v>
      </c>
      <c r="AF64" s="731" t="s">
        <v>12</v>
      </c>
      <c r="AG64" s="533">
        <v>6.7</v>
      </c>
      <c r="AH64" s="532"/>
      <c r="AL64" s="532"/>
      <c r="AO64" s="533"/>
      <c r="AP64" s="532"/>
      <c r="AS64" s="533"/>
      <c r="AW64" s="533"/>
      <c r="BA64" s="534"/>
    </row>
    <row r="65" spans="1:53" s="731" customFormat="1">
      <c r="A65" s="731">
        <v>2017</v>
      </c>
      <c r="B65" s="850"/>
      <c r="C65" s="916" t="s">
        <v>1313</v>
      </c>
      <c r="D65" s="916"/>
      <c r="E65" s="731">
        <v>365</v>
      </c>
      <c r="G65" s="539">
        <v>10</v>
      </c>
      <c r="I65" s="731">
        <v>7</v>
      </c>
      <c r="J65" s="541">
        <v>17</v>
      </c>
      <c r="K65" s="537">
        <f t="shared" si="19"/>
        <v>58.82352941176471</v>
      </c>
      <c r="L65" s="537">
        <f t="shared" si="20"/>
        <v>0</v>
      </c>
      <c r="M65" s="537">
        <f t="shared" si="21"/>
        <v>41.17647058823529</v>
      </c>
      <c r="N65" s="540">
        <f t="shared" si="22"/>
        <v>100</v>
      </c>
      <c r="O65" s="536">
        <v>40</v>
      </c>
      <c r="P65" s="537"/>
      <c r="Q65" s="537">
        <v>17.8</v>
      </c>
      <c r="R65" s="538">
        <f t="shared" si="23"/>
        <v>57.8</v>
      </c>
      <c r="S65" s="731">
        <v>3</v>
      </c>
      <c r="T65" s="838"/>
      <c r="U65" s="836"/>
      <c r="V65" s="532" t="s">
        <v>1314</v>
      </c>
      <c r="W65" s="731" t="s">
        <v>898</v>
      </c>
      <c r="X65" s="731" t="s">
        <v>11</v>
      </c>
      <c r="Y65" s="533">
        <v>40</v>
      </c>
      <c r="Z65" s="731" t="s">
        <v>873</v>
      </c>
      <c r="AA65" s="731" t="s">
        <v>874</v>
      </c>
      <c r="AB65" s="731" t="s">
        <v>12</v>
      </c>
      <c r="AC65" s="731">
        <v>11.1</v>
      </c>
      <c r="AD65" s="532" t="s">
        <v>102</v>
      </c>
      <c r="AE65" s="731" t="s">
        <v>98</v>
      </c>
      <c r="AF65" s="731" t="s">
        <v>12</v>
      </c>
      <c r="AG65" s="533">
        <v>6.7</v>
      </c>
      <c r="AH65" s="532"/>
      <c r="AL65" s="532"/>
      <c r="AO65" s="533"/>
      <c r="AP65" s="532"/>
      <c r="AS65" s="533"/>
      <c r="AW65" s="533"/>
      <c r="BA65" s="534"/>
    </row>
    <row r="66" spans="1:53" s="770" customFormat="1">
      <c r="A66" s="770">
        <v>2018</v>
      </c>
      <c r="B66" s="850"/>
      <c r="C66" s="916" t="s">
        <v>1313</v>
      </c>
      <c r="D66" s="916"/>
      <c r="E66" s="770">
        <v>255</v>
      </c>
      <c r="G66" s="539">
        <v>10</v>
      </c>
      <c r="I66" s="770">
        <v>7</v>
      </c>
      <c r="J66" s="541">
        <v>17</v>
      </c>
      <c r="K66" s="537">
        <f t="shared" ref="K66" si="24">G66/J66*100</f>
        <v>58.82352941176471</v>
      </c>
      <c r="L66" s="537">
        <f t="shared" ref="L66" si="25">H66/J66*100</f>
        <v>0</v>
      </c>
      <c r="M66" s="537">
        <f t="shared" ref="M66" si="26">I66/J66*100</f>
        <v>41.17647058823529</v>
      </c>
      <c r="N66" s="540">
        <f t="shared" ref="N66" si="27">K65+L65+M65</f>
        <v>100</v>
      </c>
      <c r="O66" s="536">
        <v>40</v>
      </c>
      <c r="P66" s="537"/>
      <c r="Q66" s="537">
        <v>17.8</v>
      </c>
      <c r="R66" s="538">
        <f t="shared" ref="R66:R67" si="28">O66+P66+Q66</f>
        <v>57.8</v>
      </c>
      <c r="S66" s="770">
        <v>3</v>
      </c>
      <c r="T66" s="838"/>
      <c r="U66" s="836"/>
      <c r="V66" s="532" t="s">
        <v>1314</v>
      </c>
      <c r="W66" s="770" t="s">
        <v>898</v>
      </c>
      <c r="X66" s="770" t="s">
        <v>11</v>
      </c>
      <c r="Y66" s="533">
        <v>40</v>
      </c>
      <c r="Z66" s="770" t="s">
        <v>873</v>
      </c>
      <c r="AA66" s="770" t="s">
        <v>874</v>
      </c>
      <c r="AB66" s="770" t="s">
        <v>12</v>
      </c>
      <c r="AC66" s="770">
        <v>11.1</v>
      </c>
      <c r="AD66" s="532" t="s">
        <v>102</v>
      </c>
      <c r="AE66" s="770" t="s">
        <v>98</v>
      </c>
      <c r="AF66" s="770" t="s">
        <v>12</v>
      </c>
      <c r="AG66" s="533">
        <v>6.7</v>
      </c>
      <c r="AH66" s="532"/>
      <c r="AL66" s="532"/>
      <c r="AO66" s="533"/>
      <c r="AP66" s="532"/>
      <c r="AS66" s="533"/>
      <c r="AW66" s="533"/>
      <c r="BA66" s="534"/>
    </row>
    <row r="67" spans="1:53" s="771" customFormat="1">
      <c r="A67" s="771">
        <v>2018</v>
      </c>
      <c r="B67" s="830">
        <v>43356</v>
      </c>
      <c r="C67" s="917" t="s">
        <v>1407</v>
      </c>
      <c r="D67" s="917"/>
      <c r="E67" s="771">
        <v>110</v>
      </c>
      <c r="F67" s="771">
        <v>1</v>
      </c>
      <c r="G67" s="498">
        <v>7</v>
      </c>
      <c r="H67" s="771">
        <v>5</v>
      </c>
      <c r="I67" s="771">
        <v>5</v>
      </c>
      <c r="J67" s="500">
        <v>17</v>
      </c>
      <c r="K67" s="496">
        <f>G67/J67*100</f>
        <v>41.17647058823529</v>
      </c>
      <c r="L67" s="496">
        <f>H67/J67*100</f>
        <v>29.411764705882355</v>
      </c>
      <c r="M67" s="496">
        <f>I67/J67*100</f>
        <v>29.411764705882355</v>
      </c>
      <c r="N67" s="499">
        <f>K66+L66+M66</f>
        <v>100</v>
      </c>
      <c r="O67" s="495">
        <v>16.7</v>
      </c>
      <c r="P67" s="496">
        <v>14.4</v>
      </c>
      <c r="Q67" s="496">
        <v>16.7</v>
      </c>
      <c r="R67" s="497">
        <f t="shared" si="28"/>
        <v>47.8</v>
      </c>
      <c r="S67" s="771">
        <v>5</v>
      </c>
      <c r="T67" s="839">
        <v>43254</v>
      </c>
      <c r="U67" s="830">
        <v>43356</v>
      </c>
      <c r="V67" s="492" t="s">
        <v>1408</v>
      </c>
      <c r="W67" s="776" t="s">
        <v>904</v>
      </c>
      <c r="X67" s="771" t="s">
        <v>18</v>
      </c>
      <c r="Y67" s="493">
        <v>14.2</v>
      </c>
      <c r="Z67" s="492" t="s">
        <v>102</v>
      </c>
      <c r="AA67" s="771" t="s">
        <v>98</v>
      </c>
      <c r="AB67" s="771" t="s">
        <v>12</v>
      </c>
      <c r="AC67" s="493">
        <v>11.1</v>
      </c>
      <c r="AD67" s="492" t="s">
        <v>1314</v>
      </c>
      <c r="AE67" s="771" t="s">
        <v>898</v>
      </c>
      <c r="AF67" s="771" t="s">
        <v>11</v>
      </c>
      <c r="AG67" s="493">
        <v>11.1</v>
      </c>
      <c r="AH67" s="492" t="s">
        <v>1312</v>
      </c>
      <c r="AI67" s="771" t="s">
        <v>897</v>
      </c>
      <c r="AJ67" s="771" t="s">
        <v>11</v>
      </c>
      <c r="AK67" s="771">
        <v>5.6</v>
      </c>
      <c r="AL67" s="492" t="s">
        <v>873</v>
      </c>
      <c r="AM67" s="771" t="s">
        <v>874</v>
      </c>
      <c r="AN67" s="771" t="s">
        <v>12</v>
      </c>
      <c r="AO67" s="771">
        <v>5.6</v>
      </c>
      <c r="AP67" s="492"/>
      <c r="AS67" s="493"/>
      <c r="AW67" s="493"/>
      <c r="BA67" s="494"/>
    </row>
    <row r="68" spans="1:53" s="813" customFormat="1">
      <c r="A68" s="813">
        <v>2019</v>
      </c>
      <c r="B68" s="830"/>
      <c r="C68" s="917" t="s">
        <v>1407</v>
      </c>
      <c r="D68" s="917"/>
      <c r="E68" s="813">
        <v>0</v>
      </c>
      <c r="G68" s="498">
        <v>7</v>
      </c>
      <c r="H68" s="813">
        <v>5</v>
      </c>
      <c r="I68" s="813">
        <v>5</v>
      </c>
      <c r="J68" s="500">
        <v>17</v>
      </c>
      <c r="K68" s="496">
        <f t="shared" ref="K68:K69" si="29">G68/J68*100</f>
        <v>41.17647058823529</v>
      </c>
      <c r="L68" s="496">
        <f t="shared" ref="L68:L69" si="30">H68/J68*100</f>
        <v>29.411764705882355</v>
      </c>
      <c r="M68" s="496">
        <f t="shared" ref="M68:M69" si="31">I68/J68*100</f>
        <v>29.411764705882355</v>
      </c>
      <c r="N68" s="499">
        <f t="shared" ref="N68:N69" si="32">K67+L67+M67</f>
        <v>100</v>
      </c>
      <c r="O68" s="495">
        <v>16.7</v>
      </c>
      <c r="P68" s="496">
        <v>14.4</v>
      </c>
      <c r="Q68" s="496">
        <v>16.7</v>
      </c>
      <c r="R68" s="497">
        <f t="shared" ref="R68:R69" si="33">O68+P68+Q68</f>
        <v>47.8</v>
      </c>
      <c r="S68" s="813">
        <v>5</v>
      </c>
      <c r="T68" s="839"/>
      <c r="U68" s="830"/>
      <c r="V68" s="492" t="s">
        <v>1408</v>
      </c>
      <c r="W68" s="813" t="s">
        <v>904</v>
      </c>
      <c r="X68" s="813" t="s">
        <v>18</v>
      </c>
      <c r="Y68" s="493">
        <v>14.2</v>
      </c>
      <c r="Z68" s="492" t="s">
        <v>102</v>
      </c>
      <c r="AA68" s="813" t="s">
        <v>98</v>
      </c>
      <c r="AB68" s="813" t="s">
        <v>12</v>
      </c>
      <c r="AC68" s="493">
        <v>11.1</v>
      </c>
      <c r="AD68" s="492" t="s">
        <v>1314</v>
      </c>
      <c r="AE68" s="813" t="s">
        <v>898</v>
      </c>
      <c r="AF68" s="813" t="s">
        <v>11</v>
      </c>
      <c r="AG68" s="493">
        <v>11.1</v>
      </c>
      <c r="AH68" s="492" t="s">
        <v>1312</v>
      </c>
      <c r="AI68" s="813" t="s">
        <v>897</v>
      </c>
      <c r="AJ68" s="813" t="s">
        <v>11</v>
      </c>
      <c r="AK68" s="813">
        <v>5.6</v>
      </c>
      <c r="AL68" s="492" t="s">
        <v>873</v>
      </c>
      <c r="AM68" s="813" t="s">
        <v>874</v>
      </c>
      <c r="AN68" s="813" t="s">
        <v>12</v>
      </c>
      <c r="AO68" s="813">
        <v>5.6</v>
      </c>
      <c r="AP68" s="492"/>
      <c r="AS68" s="493"/>
      <c r="AW68" s="493"/>
      <c r="BA68" s="494"/>
    </row>
    <row r="69" spans="1:53" s="813" customFormat="1">
      <c r="A69" s="813">
        <v>2019</v>
      </c>
      <c r="B69" s="830"/>
      <c r="C69" s="917" t="s">
        <v>1407</v>
      </c>
      <c r="D69" s="917"/>
      <c r="E69" s="813">
        <v>365</v>
      </c>
      <c r="G69" s="498">
        <v>7</v>
      </c>
      <c r="H69" s="813">
        <v>5</v>
      </c>
      <c r="I69" s="813">
        <v>5</v>
      </c>
      <c r="J69" s="500">
        <v>17</v>
      </c>
      <c r="K69" s="496">
        <f t="shared" si="29"/>
        <v>41.17647058823529</v>
      </c>
      <c r="L69" s="496">
        <f t="shared" si="30"/>
        <v>29.411764705882355</v>
      </c>
      <c r="M69" s="496">
        <f t="shared" si="31"/>
        <v>29.411764705882355</v>
      </c>
      <c r="N69" s="499">
        <f t="shared" si="32"/>
        <v>100</v>
      </c>
      <c r="O69" s="495">
        <v>16.7</v>
      </c>
      <c r="P69" s="496">
        <v>14.4</v>
      </c>
      <c r="Q69" s="496">
        <v>16.7</v>
      </c>
      <c r="R69" s="497">
        <f t="shared" si="33"/>
        <v>47.8</v>
      </c>
      <c r="S69" s="813">
        <v>5</v>
      </c>
      <c r="T69" s="839"/>
      <c r="U69" s="830"/>
      <c r="V69" s="492" t="s">
        <v>1408</v>
      </c>
      <c r="W69" s="813" t="s">
        <v>904</v>
      </c>
      <c r="X69" s="813" t="s">
        <v>18</v>
      </c>
      <c r="Y69" s="493">
        <v>14.2</v>
      </c>
      <c r="Z69" s="492" t="s">
        <v>102</v>
      </c>
      <c r="AA69" s="813" t="s">
        <v>98</v>
      </c>
      <c r="AB69" s="813" t="s">
        <v>12</v>
      </c>
      <c r="AC69" s="493">
        <v>11.1</v>
      </c>
      <c r="AD69" s="492" t="s">
        <v>1314</v>
      </c>
      <c r="AE69" s="813" t="s">
        <v>898</v>
      </c>
      <c r="AF69" s="813" t="s">
        <v>11</v>
      </c>
      <c r="AG69" s="493">
        <v>11.1</v>
      </c>
      <c r="AH69" s="492" t="s">
        <v>1312</v>
      </c>
      <c r="AI69" s="813" t="s">
        <v>897</v>
      </c>
      <c r="AJ69" s="813" t="s">
        <v>11</v>
      </c>
      <c r="AK69" s="813">
        <v>5.6</v>
      </c>
      <c r="AL69" s="492" t="s">
        <v>873</v>
      </c>
      <c r="AM69" s="813" t="s">
        <v>874</v>
      </c>
      <c r="AN69" s="813" t="s">
        <v>12</v>
      </c>
      <c r="AO69" s="813">
        <v>5.6</v>
      </c>
      <c r="AP69" s="492"/>
      <c r="AS69" s="493"/>
      <c r="AW69" s="493"/>
      <c r="BA69" s="494"/>
    </row>
    <row r="70" spans="1:53">
      <c r="B70" s="2"/>
      <c r="C70" s="2"/>
      <c r="D70" s="2"/>
      <c r="E70" s="2"/>
      <c r="F70" s="2"/>
      <c r="G70" s="2"/>
      <c r="H70" s="2"/>
      <c r="I70" s="2"/>
      <c r="J70" s="2"/>
      <c r="K70" s="2"/>
      <c r="L70" s="2"/>
      <c r="M70" s="2"/>
      <c r="N70" s="2"/>
    </row>
    <row r="71" spans="1:53">
      <c r="B71" s="2"/>
      <c r="C71" s="2"/>
      <c r="D71" s="2"/>
      <c r="E71" s="2"/>
      <c r="F71" s="2"/>
      <c r="G71" s="2"/>
      <c r="H71" s="2"/>
      <c r="I71" s="2"/>
      <c r="J71" s="2"/>
      <c r="K71" s="2"/>
      <c r="L71" s="2"/>
      <c r="M71" s="2"/>
      <c r="N71" s="2"/>
    </row>
    <row r="72" spans="1:53" s="2" customFormat="1" ht="18" customHeight="1">
      <c r="B72" s="22" t="s">
        <v>1269</v>
      </c>
    </row>
    <row r="73" spans="1:53" s="2" customFormat="1" ht="9" customHeight="1"/>
    <row r="74" spans="1:53" s="317" customFormat="1" ht="9" customHeight="1">
      <c r="A74" s="315"/>
      <c r="B74" s="316" t="s">
        <v>1220</v>
      </c>
      <c r="C74" s="316"/>
      <c r="D74" s="316"/>
      <c r="E74" s="316"/>
      <c r="F74" s="316"/>
      <c r="G74" s="316" t="s">
        <v>1221</v>
      </c>
      <c r="H74" s="316"/>
      <c r="I74" s="316"/>
      <c r="J74" s="316"/>
      <c r="K74" s="316"/>
      <c r="L74" s="316"/>
      <c r="M74" s="316"/>
      <c r="N74" s="316"/>
      <c r="R74" s="895" t="s">
        <v>1222</v>
      </c>
      <c r="S74" s="895"/>
      <c r="T74" s="895"/>
      <c r="U74" s="895"/>
      <c r="V74" s="895"/>
      <c r="W74" s="895"/>
      <c r="X74" s="318"/>
      <c r="Y74" s="318"/>
      <c r="AA74" s="318"/>
      <c r="AB74" s="318"/>
      <c r="AC74" s="318"/>
      <c r="AD74" s="318"/>
    </row>
    <row r="75" spans="1:53" s="322" customFormat="1" ht="9" customHeight="1">
      <c r="A75" s="319"/>
      <c r="B75" s="320" t="s">
        <v>1224</v>
      </c>
      <c r="C75" s="321"/>
      <c r="D75" s="321"/>
      <c r="E75" s="321"/>
      <c r="F75" s="321"/>
      <c r="G75" s="320" t="s">
        <v>1223</v>
      </c>
      <c r="H75" s="321"/>
      <c r="I75" s="321"/>
      <c r="J75" s="321"/>
      <c r="K75" s="321"/>
      <c r="L75" s="321"/>
      <c r="M75" s="321"/>
      <c r="N75" s="321"/>
      <c r="R75" s="323" t="s">
        <v>1225</v>
      </c>
      <c r="S75" s="324"/>
      <c r="T75" s="325"/>
      <c r="U75" s="325"/>
      <c r="V75" s="325"/>
      <c r="W75" s="323" t="s">
        <v>1226</v>
      </c>
      <c r="X75" s="325"/>
      <c r="Y75" s="325"/>
      <c r="AA75" s="325"/>
      <c r="AB75" s="325"/>
      <c r="AC75" s="325"/>
      <c r="AD75" s="325"/>
    </row>
    <row r="76" spans="1:53" s="307" customFormat="1" ht="12" customHeight="1">
      <c r="A76" s="326" t="s">
        <v>3</v>
      </c>
      <c r="B76" s="327" t="s">
        <v>8</v>
      </c>
      <c r="C76" s="327" t="s">
        <v>9</v>
      </c>
      <c r="D76" s="327" t="s">
        <v>10</v>
      </c>
      <c r="E76" s="328" t="s">
        <v>1200</v>
      </c>
      <c r="F76" s="327"/>
      <c r="G76" s="307" t="s">
        <v>3</v>
      </c>
      <c r="H76" s="896" t="s">
        <v>0</v>
      </c>
      <c r="I76" s="896"/>
      <c r="J76" s="896" t="s">
        <v>1</v>
      </c>
      <c r="K76" s="896"/>
      <c r="L76" s="896" t="s">
        <v>2</v>
      </c>
      <c r="M76" s="896"/>
      <c r="N76" s="897" t="s">
        <v>1200</v>
      </c>
      <c r="O76" s="897"/>
      <c r="P76" s="329"/>
      <c r="Q76" s="329"/>
      <c r="R76" s="330" t="s">
        <v>3</v>
      </c>
      <c r="S76" s="331" t="s">
        <v>136</v>
      </c>
      <c r="T76" s="329" t="s">
        <v>134</v>
      </c>
      <c r="U76" s="327" t="s">
        <v>135</v>
      </c>
      <c r="V76" s="329"/>
      <c r="W76" s="332" t="s">
        <v>26</v>
      </c>
    </row>
    <row r="77" spans="1:53" s="16" customFormat="1" ht="9" customHeight="1">
      <c r="A77" s="44">
        <v>1990</v>
      </c>
      <c r="B77" s="175"/>
      <c r="C77" s="175"/>
      <c r="D77" s="175"/>
      <c r="E77" s="202"/>
      <c r="F77" s="175"/>
      <c r="G77" s="176">
        <v>1990</v>
      </c>
      <c r="H77" s="965"/>
      <c r="I77" s="965"/>
      <c r="J77" s="965"/>
      <c r="K77" s="965"/>
      <c r="L77" s="965"/>
      <c r="M77" s="965"/>
      <c r="N77" s="966"/>
      <c r="O77" s="966"/>
      <c r="P77" s="176"/>
      <c r="Q77" s="176"/>
      <c r="R77" s="204">
        <v>1990</v>
      </c>
      <c r="S77" s="176"/>
      <c r="T77" s="176"/>
      <c r="U77" s="175"/>
      <c r="V77" s="176"/>
      <c r="W77" s="177"/>
    </row>
    <row r="78" spans="1:53" s="16" customFormat="1" ht="9" customHeight="1">
      <c r="A78" s="44">
        <v>1991</v>
      </c>
      <c r="B78" s="175"/>
      <c r="C78" s="175"/>
      <c r="D78" s="175"/>
      <c r="E78" s="202"/>
      <c r="F78" s="175"/>
      <c r="G78" s="176">
        <v>1991</v>
      </c>
      <c r="H78" s="967"/>
      <c r="I78" s="967"/>
      <c r="J78" s="967"/>
      <c r="K78" s="967"/>
      <c r="L78" s="967"/>
      <c r="M78" s="967"/>
      <c r="N78" s="930"/>
      <c r="O78" s="930"/>
      <c r="P78" s="176"/>
      <c r="Q78" s="176"/>
      <c r="R78" s="204">
        <v>1991</v>
      </c>
      <c r="S78" s="176"/>
      <c r="T78" s="176"/>
      <c r="U78" s="175"/>
      <c r="V78" s="176"/>
      <c r="W78" s="177"/>
    </row>
    <row r="79" spans="1:53" s="16" customFormat="1" ht="9" customHeight="1">
      <c r="A79" s="44">
        <v>1992</v>
      </c>
      <c r="B79" s="175"/>
      <c r="C79" s="175"/>
      <c r="D79" s="175"/>
      <c r="E79" s="202"/>
      <c r="F79" s="175"/>
      <c r="G79" s="176">
        <v>1992</v>
      </c>
      <c r="H79" s="967"/>
      <c r="I79" s="967"/>
      <c r="J79" s="967"/>
      <c r="K79" s="967"/>
      <c r="L79" s="967"/>
      <c r="M79" s="967"/>
      <c r="N79" s="930"/>
      <c r="O79" s="930"/>
      <c r="P79" s="176"/>
      <c r="Q79" s="176"/>
      <c r="R79" s="204">
        <v>1992</v>
      </c>
      <c r="S79" s="176"/>
      <c r="T79" s="176"/>
      <c r="U79" s="175"/>
      <c r="V79" s="176"/>
      <c r="W79" s="177"/>
    </row>
    <row r="80" spans="1:53" ht="9" customHeight="1">
      <c r="A80" s="1">
        <v>1993</v>
      </c>
      <c r="B80" s="8">
        <f>(K7*($E7/354))</f>
        <v>43.75</v>
      </c>
      <c r="C80" s="8">
        <f>(L7*($E7/354))</f>
        <v>25</v>
      </c>
      <c r="D80" s="8">
        <f>(M7*($E7/354))</f>
        <v>31.25</v>
      </c>
      <c r="E80" s="52">
        <f>B80+C80+D80</f>
        <v>100</v>
      </c>
      <c r="F80" s="12"/>
      <c r="G80" s="12">
        <v>1993</v>
      </c>
      <c r="H80" s="928">
        <f>(O7/$R7*100*($E7/354))</f>
        <v>43.263473053892213</v>
      </c>
      <c r="I80" s="928"/>
      <c r="J80" s="928">
        <f>(P7/$R7*100*($E7/354))</f>
        <v>25</v>
      </c>
      <c r="K80" s="928"/>
      <c r="L80" s="928">
        <f>(Q7/$R7*100*($E7/354))</f>
        <v>31.736526946107784</v>
      </c>
      <c r="M80" s="928"/>
      <c r="N80" s="928">
        <f>H80+J80+L80</f>
        <v>100</v>
      </c>
      <c r="O80" s="928"/>
      <c r="P80" s="12"/>
      <c r="Q80" s="12"/>
      <c r="R80" s="12">
        <v>1993</v>
      </c>
      <c r="S80" s="8">
        <f>(O7*($E7/354))</f>
        <v>28.9</v>
      </c>
      <c r="T80" s="8">
        <f>(P7*($E7/354))</f>
        <v>16.7</v>
      </c>
      <c r="U80" s="8">
        <f>(Q7*($E7/354))</f>
        <v>21.2</v>
      </c>
      <c r="V80" s="12"/>
      <c r="W80" s="7">
        <f>S80+T80+U80</f>
        <v>66.8</v>
      </c>
      <c r="X80" s="66"/>
      <c r="Y80" s="203" t="s">
        <v>1217</v>
      </c>
      <c r="Z80" s="66"/>
      <c r="AA80" s="66"/>
      <c r="AB80" s="66"/>
    </row>
    <row r="81" spans="1:23" ht="9" customHeight="1">
      <c r="A81" s="1">
        <v>1994</v>
      </c>
      <c r="B81" s="8">
        <f>(K8*($E8/365))+(K9*($E9/365))</f>
        <v>48.510273972602739</v>
      </c>
      <c r="C81" s="8">
        <f>(L8*($E8/365))+(L9*($E9/365))</f>
        <v>20.239726027397261</v>
      </c>
      <c r="D81" s="8">
        <f>(M8*($E8/365))+(M9*($E9/365))</f>
        <v>26.489726027397261</v>
      </c>
      <c r="E81" s="52">
        <f t="shared" ref="E81:E99" si="34">B81+C81+D81</f>
        <v>95.239726027397268</v>
      </c>
      <c r="F81" s="12"/>
      <c r="G81" s="12">
        <v>1994</v>
      </c>
      <c r="H81" s="928">
        <f>(O8/$R8*100*($E8/365))+(O9/$R9*100*($E9/365))</f>
        <v>43.164710517225245</v>
      </c>
      <c r="I81" s="928"/>
      <c r="J81" s="928">
        <f>(P8/$R8*100*($E8/365))+(P9/$R9*100*($E9/365))</f>
        <v>28.352305614508964</v>
      </c>
      <c r="K81" s="928"/>
      <c r="L81" s="928">
        <f>(Q8/$R8*100*($E8/365))+(Q9/$R9*100*($E9/365))</f>
        <v>28.482983868265784</v>
      </c>
      <c r="M81" s="928"/>
      <c r="N81" s="928">
        <f t="shared" ref="N81:N99" si="35">H81+J81+L81</f>
        <v>100</v>
      </c>
      <c r="O81" s="928"/>
      <c r="P81" s="12"/>
      <c r="Q81" s="12"/>
      <c r="R81" s="12">
        <v>1994</v>
      </c>
      <c r="S81" s="8">
        <f>(O8*($E8/365))+(O9*($E9/365))</f>
        <v>25.548767123287668</v>
      </c>
      <c r="T81" s="8">
        <f>(P8*($E8/365))+(P9*($E9/365))</f>
        <v>16.7</v>
      </c>
      <c r="U81" s="8">
        <f>(Q8*($E8/365))+(Q9*($E9/365))</f>
        <v>16.934794520547943</v>
      </c>
      <c r="V81" s="12"/>
      <c r="W81" s="7">
        <f t="shared" ref="W81:W99" si="36">S81+T81+U81</f>
        <v>59.183561643835603</v>
      </c>
    </row>
    <row r="82" spans="1:23" ht="9" customHeight="1">
      <c r="A82" s="1">
        <v>1995</v>
      </c>
      <c r="B82" s="8">
        <f>(K10*($E10/365))+(K11*($E11/365))</f>
        <v>50</v>
      </c>
      <c r="C82" s="8">
        <f>(L10*($E10/365))+(L11*($E11/365))</f>
        <v>18.75</v>
      </c>
      <c r="D82" s="8">
        <f>(M10*($E10/365))+(M11*($E11/365))</f>
        <v>25</v>
      </c>
      <c r="E82" s="52">
        <f t="shared" si="34"/>
        <v>93.75</v>
      </c>
      <c r="F82" s="12"/>
      <c r="G82" s="12">
        <v>1995</v>
      </c>
      <c r="H82" s="928">
        <f>(O10/$R10*100*($E10/365))+(O11/$R11*100*($E11/365))</f>
        <v>43.133802816901408</v>
      </c>
      <c r="I82" s="928"/>
      <c r="J82" s="928">
        <f>(P10/$R10*100*($E10/365))+(P11/$R11*100*($E11/365))</f>
        <v>29.401408450704221</v>
      </c>
      <c r="K82" s="928"/>
      <c r="L82" s="928">
        <f>(Q10/$R10*100*($E10/365))+(Q11/$R11*100*($E11/365))</f>
        <v>27.464788732394364</v>
      </c>
      <c r="M82" s="928"/>
      <c r="N82" s="928">
        <f t="shared" si="35"/>
        <v>100</v>
      </c>
      <c r="O82" s="928"/>
      <c r="P82" s="12"/>
      <c r="Q82" s="12"/>
      <c r="R82" s="12">
        <v>1995</v>
      </c>
      <c r="S82" s="8">
        <f>(O10*($E10/365))+(O11*($E11/365))</f>
        <v>24.5</v>
      </c>
      <c r="T82" s="8">
        <f>(P10*($E10/365))+(P11*($E11/365))</f>
        <v>16.7</v>
      </c>
      <c r="U82" s="8">
        <f>(Q10*($E10/365))+(Q11*($E11/365))</f>
        <v>15.6</v>
      </c>
      <c r="V82" s="12"/>
      <c r="W82" s="7">
        <f t="shared" si="36"/>
        <v>56.800000000000004</v>
      </c>
    </row>
    <row r="83" spans="1:23" ht="9" customHeight="1">
      <c r="A83" s="1">
        <v>1996</v>
      </c>
      <c r="B83" s="8">
        <f>(K12*($E12/366))+(K13*($E13/366))</f>
        <v>50</v>
      </c>
      <c r="C83" s="8">
        <f>(L12*($E12/366))+(L13*($E13/366))</f>
        <v>31.859061930783238</v>
      </c>
      <c r="D83" s="8">
        <f>(M12*($E12/366))+(M13*($E13/366))</f>
        <v>2.527322404371585</v>
      </c>
      <c r="E83" s="52">
        <f t="shared" si="34"/>
        <v>84.38638433515483</v>
      </c>
      <c r="F83" s="12"/>
      <c r="G83" s="12">
        <v>1996</v>
      </c>
      <c r="H83" s="928">
        <f>(O12/$R12*100*($E12/366))+(O13/$R13*100*($E13/366))</f>
        <v>57.814948340368481</v>
      </c>
      <c r="I83" s="928"/>
      <c r="J83" s="928">
        <f>(P12/$R12*100*($E12/366))+(P13/$R13*100*($E13/366))</f>
        <v>39.408556623843005</v>
      </c>
      <c r="K83" s="928"/>
      <c r="L83" s="928">
        <f>(Q12/$R12*100*($E12/366))+(Q13/$R13*100*($E13/366))</f>
        <v>2.7764950357885012</v>
      </c>
      <c r="M83" s="928"/>
      <c r="N83" s="928">
        <f t="shared" si="35"/>
        <v>99.999999999999986</v>
      </c>
      <c r="O83" s="928"/>
      <c r="P83" s="12"/>
      <c r="Q83" s="12"/>
      <c r="R83" s="12">
        <v>1996</v>
      </c>
      <c r="S83" s="8">
        <f>(O12*($E12/366))+(O13*($E13/366))</f>
        <v>24.5</v>
      </c>
      <c r="T83" s="8">
        <f>(P12*($E12/366))+(P13*($E13/366))</f>
        <v>16.7</v>
      </c>
      <c r="U83" s="8">
        <f>(Q12*($E12/366))+(Q13*($E13/366))</f>
        <v>1.5770491803278688</v>
      </c>
      <c r="V83" s="12"/>
      <c r="W83" s="7">
        <f t="shared" si="36"/>
        <v>42.777049180327872</v>
      </c>
    </row>
    <row r="84" spans="1:23" ht="9" customHeight="1">
      <c r="A84" s="1">
        <v>1997</v>
      </c>
      <c r="B84" s="8">
        <f>(K14*($E14/365))+(K15*($E15/365))</f>
        <v>43.3381398702235</v>
      </c>
      <c r="C84" s="8">
        <f>(L14*($E14/365))+(L15*($E15/365))</f>
        <v>5.205479452054794</v>
      </c>
      <c r="D84" s="8">
        <f>(M14*($E14/365))+(M15*($E15/365))</f>
        <v>44.412400865176636</v>
      </c>
      <c r="E84" s="52">
        <f t="shared" si="34"/>
        <v>92.956020187454925</v>
      </c>
      <c r="F84" s="12"/>
      <c r="G84" s="12">
        <v>1997</v>
      </c>
      <c r="H84" s="928">
        <f>(O14/$R14*100*($E14/365))+(O15/$R15*100*($E15/365))</f>
        <v>52.329832314710991</v>
      </c>
      <c r="I84" s="928"/>
      <c r="J84" s="928">
        <f>(P14/$R14*100*($E14/365))+(P15/$R15*100*($E15/365))</f>
        <v>6.3299640909695425</v>
      </c>
      <c r="K84" s="928"/>
      <c r="L84" s="928">
        <f>(Q14/$R14*100*($E14/365))+(Q15/$R15*100*($E15/365))</f>
        <v>41.340203594319462</v>
      </c>
      <c r="M84" s="928"/>
      <c r="N84" s="928">
        <f t="shared" si="35"/>
        <v>100</v>
      </c>
      <c r="O84" s="928"/>
      <c r="P84" s="12"/>
      <c r="Q84" s="12"/>
      <c r="R84" s="12">
        <v>1997</v>
      </c>
      <c r="S84" s="8">
        <f>(O14*($E14/365))+(O15*($E15/365))</f>
        <v>27.284657534246573</v>
      </c>
      <c r="T84" s="8">
        <f>(P14*($E14/365))+(P15*($E15/365))</f>
        <v>2.6079452054794521</v>
      </c>
      <c r="U84" s="8">
        <f>(Q14*($E14/365))+(Q15*($E15/365))</f>
        <v>22.53041095890411</v>
      </c>
      <c r="V84" s="12"/>
      <c r="W84" s="7">
        <f t="shared" si="36"/>
        <v>52.423013698630136</v>
      </c>
    </row>
    <row r="85" spans="1:23" ht="9" customHeight="1">
      <c r="A85" s="1">
        <v>1998</v>
      </c>
      <c r="B85" s="8">
        <f>(K16*($E16/365))+(K17*($E17/365))</f>
        <v>42.105263157894733</v>
      </c>
      <c r="C85" s="8">
        <f>(L16*($E16/365))+(L17*($E17/365))</f>
        <v>0</v>
      </c>
      <c r="D85" s="8">
        <f>(M16*($E16/365))+(M17*($E17/365))</f>
        <v>52.631578947368418</v>
      </c>
      <c r="E85" s="52">
        <f t="shared" si="34"/>
        <v>94.73684210526315</v>
      </c>
      <c r="F85" s="12"/>
      <c r="G85" s="12">
        <v>1998</v>
      </c>
      <c r="H85" s="928">
        <f>(O16/$R16*100*($E16/365))+(O17/$R17*100*($E17/365))</f>
        <v>51.009174311926607</v>
      </c>
      <c r="I85" s="928"/>
      <c r="J85" s="928">
        <f>(P16/$R16*100*($E16/365))+(P17/$R17*100*($E17/365))</f>
        <v>0</v>
      </c>
      <c r="K85" s="928"/>
      <c r="L85" s="928">
        <f>(Q16/$R16*100*($E16/365))+(Q17/$R17*100*($E17/365))</f>
        <v>48.990825688073393</v>
      </c>
      <c r="M85" s="928"/>
      <c r="N85" s="928">
        <f t="shared" si="35"/>
        <v>100</v>
      </c>
      <c r="O85" s="928"/>
      <c r="P85" s="12"/>
      <c r="Q85" s="12"/>
      <c r="R85" s="12">
        <v>1998</v>
      </c>
      <c r="S85" s="8">
        <f>(O16*($E16/365))+(O17*($E17/365))</f>
        <v>27.8</v>
      </c>
      <c r="T85" s="8">
        <f>(P16*($E16/365))+(P17*($E17/365))</f>
        <v>0</v>
      </c>
      <c r="U85" s="8">
        <f>(Q16*($E16/365))+(Q17*($E17/365))</f>
        <v>26.7</v>
      </c>
      <c r="V85" s="12"/>
      <c r="W85" s="7">
        <f t="shared" si="36"/>
        <v>54.5</v>
      </c>
    </row>
    <row r="86" spans="1:23" ht="9" customHeight="1">
      <c r="A86" s="1">
        <v>1999</v>
      </c>
      <c r="B86" s="8">
        <f>(K18*($E18/365))+(K19*($E19/365))</f>
        <v>42.105263157894733</v>
      </c>
      <c r="C86" s="8">
        <f>(L18*($E18/365))+(L19*($E19/365))</f>
        <v>0</v>
      </c>
      <c r="D86" s="8">
        <f>(M18*($E18/365))+(M19*($E19/365))</f>
        <v>52.631578947368418</v>
      </c>
      <c r="E86" s="52">
        <f t="shared" si="34"/>
        <v>94.73684210526315</v>
      </c>
      <c r="F86" s="12"/>
      <c r="G86" s="12">
        <v>1999</v>
      </c>
      <c r="H86" s="928">
        <f>(O18/$R18*100*($E18/365))+(O19/$R19*100*($E19/365))</f>
        <v>51.009174311926607</v>
      </c>
      <c r="I86" s="928"/>
      <c r="J86" s="928">
        <f>(P18/$R18*100*($E18/365))+(P19/$R19*100*($E19/365))</f>
        <v>0</v>
      </c>
      <c r="K86" s="928"/>
      <c r="L86" s="928">
        <f>(Q18/$R18*100*($E18/365))+(Q19/$R19*100*($E19/365))</f>
        <v>48.990825688073393</v>
      </c>
      <c r="M86" s="928"/>
      <c r="N86" s="928">
        <f t="shared" si="35"/>
        <v>100</v>
      </c>
      <c r="O86" s="928"/>
      <c r="P86" s="12"/>
      <c r="Q86" s="12"/>
      <c r="R86" s="12">
        <v>1999</v>
      </c>
      <c r="S86" s="8">
        <f>(O18*($E18/365))+(O19*($E19/365))</f>
        <v>27.8</v>
      </c>
      <c r="T86" s="8">
        <f>(P18*($E18/365))+(P19*($E19/365))</f>
        <v>0</v>
      </c>
      <c r="U86" s="8">
        <f>(Q18*($E18/365))+(Q19*($E19/365))</f>
        <v>26.7</v>
      </c>
      <c r="V86" s="12"/>
      <c r="W86" s="7">
        <f t="shared" si="36"/>
        <v>54.5</v>
      </c>
    </row>
    <row r="87" spans="1:23" ht="9" customHeight="1">
      <c r="A87" s="1">
        <v>2000</v>
      </c>
      <c r="B87" s="8">
        <f>(K20*($E20/366))+(K21*($E21/366))+(K22*($E22/366))</f>
        <v>37.784432150772297</v>
      </c>
      <c r="C87" s="8">
        <f>(L20*($E20/366))+(L21*($E21/366))+(L22*($E22/366))</f>
        <v>8.486017357762778</v>
      </c>
      <c r="D87" s="8">
        <f>(M20*($E20/366))+(M21*($E21/366))+(M22*($E22/366))</f>
        <v>40.142787054424872</v>
      </c>
      <c r="E87" s="52">
        <f t="shared" si="34"/>
        <v>86.413236562959952</v>
      </c>
      <c r="F87" s="12"/>
      <c r="G87" s="12">
        <v>2000</v>
      </c>
      <c r="H87" s="928">
        <f>(O20/$R20*100*($E20/366))+(O21/$R21*100*($E21/366))+(O22/$R22*100*($E22/366))</f>
        <v>44.647676342307115</v>
      </c>
      <c r="I87" s="928"/>
      <c r="J87" s="928">
        <f>(P20/$R20*100*($E20/366))+(P21/$R21*100*($E21/366))+(P22/$R22*100*($E22/366))</f>
        <v>10.675409836065572</v>
      </c>
      <c r="K87" s="928"/>
      <c r="L87" s="928">
        <f>(Q20/$R20*100*($E20/366))+(Q21/$R21*100*($E21/366))+(Q22/$R22*100*($E22/366))</f>
        <v>44.676913821627309</v>
      </c>
      <c r="M87" s="928"/>
      <c r="N87" s="928">
        <f t="shared" si="35"/>
        <v>100</v>
      </c>
      <c r="O87" s="928"/>
      <c r="P87" s="12"/>
      <c r="Q87" s="12"/>
      <c r="R87" s="12">
        <v>2000</v>
      </c>
      <c r="S87" s="8">
        <f>(O20*($E20/366))+(O21*($E21/366))+(O22*($E22/366))</f>
        <v>23.865573770491807</v>
      </c>
      <c r="T87" s="8">
        <f>(P20*($E20/366))+(P21*($E21/366))+(P22*($E22/366))</f>
        <v>5.3377049180327862</v>
      </c>
      <c r="U87" s="8">
        <f>(Q20*($E20/366))+(Q21*($E21/366))+(Q22*($E22/366))</f>
        <v>23.613661202185792</v>
      </c>
      <c r="V87" s="12"/>
      <c r="W87" s="7">
        <f t="shared" si="36"/>
        <v>52.816939890710387</v>
      </c>
    </row>
    <row r="88" spans="1:23" ht="9" customHeight="1">
      <c r="A88" s="1">
        <v>2001</v>
      </c>
      <c r="B88" s="8">
        <f>(K23*($E23/365))+(K24*($E24/365))</f>
        <v>62.5</v>
      </c>
      <c r="C88" s="8">
        <f>(L23*($E23/365))+(L24*($E24/365))</f>
        <v>0</v>
      </c>
      <c r="D88" s="8">
        <f>(M23*($E23/365))+(M24*($E24/365))</f>
        <v>37.5</v>
      </c>
      <c r="E88" s="52">
        <f t="shared" si="34"/>
        <v>100</v>
      </c>
      <c r="F88" s="12"/>
      <c r="G88" s="12">
        <v>2001</v>
      </c>
      <c r="H88" s="928">
        <f>(O23/$R23*100*($E23/365))+(O24/$R24*100*($E24/365))</f>
        <v>63</v>
      </c>
      <c r="I88" s="928"/>
      <c r="J88" s="928">
        <f>(P23/$R23*100*($E23/365))+(P24/$R24*100*($E24/365))</f>
        <v>0</v>
      </c>
      <c r="K88" s="928"/>
      <c r="L88" s="928">
        <f>(Q23/$R23*100*($E23/365))+(Q24/$R24*100*($E24/365))</f>
        <v>37</v>
      </c>
      <c r="M88" s="928"/>
      <c r="N88" s="928">
        <f t="shared" si="35"/>
        <v>100</v>
      </c>
      <c r="O88" s="928"/>
      <c r="P88" s="12"/>
      <c r="Q88" s="12"/>
      <c r="R88" s="12">
        <v>2001</v>
      </c>
      <c r="S88" s="8">
        <f>(O23*($E23/365))+(O24*($E24/365))</f>
        <v>37.799999999999997</v>
      </c>
      <c r="T88" s="8">
        <f>(P23*($E23/365))+(P24*($E24/365))</f>
        <v>0</v>
      </c>
      <c r="U88" s="8">
        <f>(Q23*($E23/365))+(Q24*($E24/365))</f>
        <v>22.2</v>
      </c>
      <c r="V88" s="12"/>
      <c r="W88" s="7">
        <f t="shared" si="36"/>
        <v>60</v>
      </c>
    </row>
    <row r="89" spans="1:23" ht="9" customHeight="1">
      <c r="A89" s="1">
        <v>2002</v>
      </c>
      <c r="B89" s="8">
        <f>(K25*($E25/365))+(K26*($E26/365))+(K27*($E27/365))</f>
        <v>56.735495568090251</v>
      </c>
      <c r="C89" s="8">
        <f>(L25*($E25/365))+(L26*($E26/365))+(L27*($E27/365))</f>
        <v>0</v>
      </c>
      <c r="D89" s="8">
        <f>(M25*($E25/365))+(M26*($E26/365))+(M27*($E27/365))</f>
        <v>37.63094278807413</v>
      </c>
      <c r="E89" s="52">
        <f t="shared" si="34"/>
        <v>94.36643835616438</v>
      </c>
      <c r="F89" s="12"/>
      <c r="G89" s="12">
        <v>2002</v>
      </c>
      <c r="H89" s="928">
        <f>(O25/$R25*100*($E25/365))+(O26/$R26*100*($E26/365))+(O27/$R27*100*($E27/365))</f>
        <v>62.84669446098868</v>
      </c>
      <c r="I89" s="928"/>
      <c r="J89" s="928">
        <f>(P25/$R25*100*($E25/365))+(P26/$R26*100*($E26/365))+(P27/$R27*100*($E27/365))</f>
        <v>0</v>
      </c>
      <c r="K89" s="928"/>
      <c r="L89" s="928">
        <f>(Q25/$R25*100*($E25/365))+(Q26/$R26*100*($E26/365))+(Q27/$R27*100*($E27/365))</f>
        <v>37.153305539011313</v>
      </c>
      <c r="M89" s="928"/>
      <c r="N89" s="928">
        <f t="shared" si="35"/>
        <v>100</v>
      </c>
      <c r="O89" s="928"/>
      <c r="P89" s="12"/>
      <c r="Q89" s="12"/>
      <c r="R89" s="12">
        <v>2002</v>
      </c>
      <c r="S89" s="8">
        <f>(O25*($E25/365))+(O26*($E26/365))+(O27*($E27/365))</f>
        <v>37.799999999999997</v>
      </c>
      <c r="T89" s="8">
        <f>(P25*($E25/365))+(P26*($E26/365))+(P27*($E27/365))</f>
        <v>0</v>
      </c>
      <c r="U89" s="8">
        <f>(Q25*($E25/365))+(Q26*($E26/365))+(Q27*($E27/365))</f>
        <v>22.35671232876712</v>
      </c>
      <c r="V89" s="12"/>
      <c r="W89" s="7">
        <f t="shared" si="36"/>
        <v>60.156712328767114</v>
      </c>
    </row>
    <row r="90" spans="1:23" ht="9" customHeight="1">
      <c r="A90" s="1">
        <v>2003</v>
      </c>
      <c r="B90" s="8">
        <f>(K28*($E28/365))+(K29*($E29/365))</f>
        <v>58.82352941176471</v>
      </c>
      <c r="C90" s="8">
        <f>(L28*($E28/365))+(L29*($E29/365))</f>
        <v>0</v>
      </c>
      <c r="D90" s="8">
        <f>(M28*($E28/365))+(M29*($E29/365))</f>
        <v>41.17647058823529</v>
      </c>
      <c r="E90" s="52">
        <f t="shared" si="34"/>
        <v>100</v>
      </c>
      <c r="F90" s="12"/>
      <c r="G90" s="12">
        <v>2003</v>
      </c>
      <c r="H90" s="928">
        <f>(O28/$R28*100*($E28/365))+(O29/$R29*100*($E29/365))</f>
        <v>58.695652173913039</v>
      </c>
      <c r="I90" s="928"/>
      <c r="J90" s="928">
        <f>(P28/$R28*100*($E28/365))+(P29/$R29*100*($E29/365))</f>
        <v>0</v>
      </c>
      <c r="K90" s="928"/>
      <c r="L90" s="928">
        <f>(Q28/$R28*100*($E28/365))+(Q29/$R29*100*($E29/365))</f>
        <v>41.304347826086953</v>
      </c>
      <c r="M90" s="928"/>
      <c r="N90" s="928">
        <f t="shared" si="35"/>
        <v>100</v>
      </c>
      <c r="O90" s="928"/>
      <c r="P90" s="12"/>
      <c r="Q90" s="12"/>
      <c r="R90" s="12">
        <v>2003</v>
      </c>
      <c r="S90" s="8">
        <f>(O28*($E28/365))+(O29*($E29/365))</f>
        <v>37.799999999999997</v>
      </c>
      <c r="T90" s="8">
        <f>(P28*($E28/365))+(P29*($E29/365))</f>
        <v>0</v>
      </c>
      <c r="U90" s="8">
        <f>(Q28*($E28/365))+(Q29*($E29/365))</f>
        <v>26.6</v>
      </c>
      <c r="V90" s="12"/>
      <c r="W90" s="7">
        <f t="shared" si="36"/>
        <v>64.400000000000006</v>
      </c>
    </row>
    <row r="91" spans="1:23" ht="9" customHeight="1">
      <c r="A91" s="1">
        <v>2004</v>
      </c>
      <c r="B91" s="8">
        <f>(K30*($E30/366))+(K31*($E31/366))+(K32*($E32/366))</f>
        <v>68.83638701382192</v>
      </c>
      <c r="C91" s="8">
        <f>(L30*($E30/366))+(L31*($E31/366))+(L32*($E32/366))</f>
        <v>1.8643522982963676</v>
      </c>
      <c r="D91" s="8">
        <f>(M30*($E30/366))+(M31*($E31/366))+(M32*($E32/366))</f>
        <v>29.299260687881709</v>
      </c>
      <c r="E91" s="52">
        <f t="shared" si="34"/>
        <v>100</v>
      </c>
      <c r="F91" s="12"/>
      <c r="G91" s="12">
        <v>2004</v>
      </c>
      <c r="H91" s="928">
        <f>(O30/$R30*100*($E30/366))+(O31/$R31*100*($E31/366))+(O32/$R32*100*($E32/366))</f>
        <v>65.426851424817968</v>
      </c>
      <c r="I91" s="928"/>
      <c r="J91" s="928">
        <f>(P30/$R30*100*($E30/366))+(P31/$R31*100*($E31/366))+(P32/$R32*100*($E32/366))</f>
        <v>1.456525233044037</v>
      </c>
      <c r="K91" s="928"/>
      <c r="L91" s="928">
        <f>(Q30/$R30*100*($E30/366))+(Q31/$R31*100*($E31/366))+(Q32/$R32*100*($E32/366))</f>
        <v>33.116623342137991</v>
      </c>
      <c r="M91" s="928"/>
      <c r="N91" s="928">
        <f t="shared" si="35"/>
        <v>100</v>
      </c>
      <c r="O91" s="928"/>
      <c r="P91" s="12"/>
      <c r="Q91" s="12"/>
      <c r="R91" s="12">
        <v>2004</v>
      </c>
      <c r="S91" s="8">
        <f>(O30*($E30/366))+(O31*($E31/366))+(O32*($E32/366))</f>
        <v>37.356284153005468</v>
      </c>
      <c r="T91" s="8">
        <f>(P30*($E30/366))+(P31*($E31/366))+(P32*($E32/366))</f>
        <v>0.79234972677595628</v>
      </c>
      <c r="U91" s="8">
        <f>(Q30*($E30/366))+(Q31*($E31/366))+(Q32*($E32/366))</f>
        <v>19.256830601092897</v>
      </c>
      <c r="V91" s="12"/>
      <c r="W91" s="7">
        <f t="shared" si="36"/>
        <v>57.405464480874315</v>
      </c>
    </row>
    <row r="92" spans="1:23" ht="9" customHeight="1">
      <c r="A92" s="1">
        <v>2005</v>
      </c>
      <c r="B92" s="8">
        <f>(K33*($E33/365))+(K34*($E34/365))</f>
        <v>47.155519742143433</v>
      </c>
      <c r="C92" s="8">
        <f>(L33*($E33/365))+(L34*($E34/365))</f>
        <v>23.486435670158471</v>
      </c>
      <c r="D92" s="8">
        <f>(M33*($E33/365))+(M34*($E34/365))</f>
        <v>29.358044587698096</v>
      </c>
      <c r="E92" s="52">
        <f t="shared" si="34"/>
        <v>100</v>
      </c>
      <c r="F92" s="12"/>
      <c r="G92" s="12">
        <v>2005</v>
      </c>
      <c r="H92" s="928">
        <f>(O33/$R33*100*($E33/365))+(O34/$R34*100*($E34/365))</f>
        <v>59.191176470588239</v>
      </c>
      <c r="I92" s="928"/>
      <c r="J92" s="928">
        <f>(P33/$R33*100*($E33/365))+(P34/$R34*100*($E34/365))</f>
        <v>18.382352941176467</v>
      </c>
      <c r="K92" s="928"/>
      <c r="L92" s="928">
        <f>(Q33/$R33*100*($E33/365))+(Q34/$R34*100*($E34/365))</f>
        <v>22.42647058823529</v>
      </c>
      <c r="M92" s="928"/>
      <c r="N92" s="928">
        <f t="shared" si="35"/>
        <v>100</v>
      </c>
      <c r="O92" s="928"/>
      <c r="P92" s="12"/>
      <c r="Q92" s="12"/>
      <c r="R92" s="12">
        <v>2005</v>
      </c>
      <c r="S92" s="8">
        <f>(O33*($E33/365))+(O34*($E34/365))</f>
        <v>32.200000000000003</v>
      </c>
      <c r="T92" s="8">
        <f>(P33*($E33/365))+(P34*($E34/365))</f>
        <v>10</v>
      </c>
      <c r="U92" s="8">
        <f>(Q33*($E33/365))+(Q34*($E34/365))</f>
        <v>12.2</v>
      </c>
      <c r="V92" s="12"/>
      <c r="W92" s="7">
        <f t="shared" si="36"/>
        <v>54.400000000000006</v>
      </c>
    </row>
    <row r="93" spans="1:23" ht="9" customHeight="1">
      <c r="A93" s="1">
        <v>2006</v>
      </c>
      <c r="B93" s="8">
        <f>(K35*($E35/365))+(K36*($E36/365))+(K37*($E37/365))</f>
        <v>48.00161160354552</v>
      </c>
      <c r="C93" s="8">
        <f>(L35*($E35/365))+(L36*($E36/365))+(L37*($E37/365))</f>
        <v>22.940281135285161</v>
      </c>
      <c r="D93" s="8">
        <f>(M35*($E35/365))+(M36*($E36/365))+(M37*($E37/365))</f>
        <v>29.058107261169312</v>
      </c>
      <c r="E93" s="52">
        <f t="shared" si="34"/>
        <v>100</v>
      </c>
      <c r="F93" s="12"/>
      <c r="G93" s="12">
        <v>2006</v>
      </c>
      <c r="H93" s="928">
        <f>(O35/$R35*100*($E35/365))+(O36/$R36*100*($E36/365))+(O37/$R37*100*($E37/365))</f>
        <v>59.191176470588246</v>
      </c>
      <c r="I93" s="928"/>
      <c r="J93" s="928">
        <f>(P35/$R35*100*($E35/365))+(P36/$R36*100*($E36/365))+(P37/$R37*100*($E37/365))</f>
        <v>18.382352941176464</v>
      </c>
      <c r="K93" s="928"/>
      <c r="L93" s="928">
        <f>(Q35/$R35*100*($E35/365))+(Q36/$R36*100*($E36/365))+(Q37/$R37*100*($E37/365))</f>
        <v>22.42647058823529</v>
      </c>
      <c r="M93" s="928"/>
      <c r="N93" s="928">
        <f t="shared" si="35"/>
        <v>100</v>
      </c>
      <c r="O93" s="928"/>
      <c r="P93" s="12"/>
      <c r="Q93" s="12"/>
      <c r="R93" s="12">
        <v>2006</v>
      </c>
      <c r="S93" s="8">
        <f>(O35*($E35/365))+(O36*($E36/365))+(O37*($E37/365))</f>
        <v>32.200000000000003</v>
      </c>
      <c r="T93" s="8">
        <f>(P35*($E35/365))+(P36*($E36/365))+(P37*($E37/365))</f>
        <v>10</v>
      </c>
      <c r="U93" s="8">
        <f>(Q35*($E35/365))+(Q36*($E36/365))+(Q37*($E37/365))</f>
        <v>12.2</v>
      </c>
      <c r="V93" s="12"/>
      <c r="W93" s="7">
        <f t="shared" si="36"/>
        <v>54.400000000000006</v>
      </c>
    </row>
    <row r="94" spans="1:23" ht="9" customHeight="1">
      <c r="A94" s="1">
        <v>2007</v>
      </c>
      <c r="B94" s="8">
        <f>(K38*($E38/365))+(K39*($E39/365))</f>
        <v>52.941176470588239</v>
      </c>
      <c r="C94" s="8">
        <f>(L38*($E38/365))+(L39*($E39/365))</f>
        <v>17.647058823529413</v>
      </c>
      <c r="D94" s="8">
        <f>(M38*($E38/365))+(M39*($E39/365))</f>
        <v>29.411764705882355</v>
      </c>
      <c r="E94" s="52">
        <f t="shared" si="34"/>
        <v>100</v>
      </c>
      <c r="F94" s="12"/>
      <c r="G94" s="12">
        <v>2007</v>
      </c>
      <c r="H94" s="928">
        <f>(O38/$R38*100*($E38/365))+(O39/$R39*100*($E39/365))</f>
        <v>59.191176470588239</v>
      </c>
      <c r="I94" s="928"/>
      <c r="J94" s="928">
        <f>(P38/$R38*100*($E38/365))+(P39/$R39*100*($E39/365))</f>
        <v>18.382352941176467</v>
      </c>
      <c r="K94" s="928"/>
      <c r="L94" s="928">
        <f>(Q38/$R38*100*($E38/365))+(Q39/$R39*100*($E39/365))</f>
        <v>22.42647058823529</v>
      </c>
      <c r="M94" s="928"/>
      <c r="N94" s="928">
        <f t="shared" si="35"/>
        <v>100</v>
      </c>
      <c r="O94" s="928"/>
      <c r="P94" s="12"/>
      <c r="Q94" s="12"/>
      <c r="R94" s="12">
        <v>2007</v>
      </c>
      <c r="S94" s="8">
        <f>(O38*($E38/365))+(O39*($E39/365))</f>
        <v>32.200000000000003</v>
      </c>
      <c r="T94" s="8">
        <f>(P38*($E38/365))+(P39*($E39/365))</f>
        <v>10</v>
      </c>
      <c r="U94" s="8">
        <f>(Q38*($E38/365))+(Q39*($E39/365))</f>
        <v>12.2</v>
      </c>
      <c r="V94" s="12"/>
      <c r="W94" s="7">
        <f t="shared" si="36"/>
        <v>54.400000000000006</v>
      </c>
    </row>
    <row r="95" spans="1:23" ht="9" customHeight="1">
      <c r="A95" s="1">
        <v>2008</v>
      </c>
      <c r="B95" s="8">
        <f>(K40*($E40/366))+(K41*($E41/366))</f>
        <v>50.548139877176062</v>
      </c>
      <c r="C95" s="8">
        <f>(L40*($E40/366))+(L41*($E41/366))</f>
        <v>15.670202507232402</v>
      </c>
      <c r="D95" s="8">
        <f>(M40*($E40/366))+(M41*($E41/366))</f>
        <v>33.781657615591534</v>
      </c>
      <c r="E95" s="52">
        <f t="shared" si="34"/>
        <v>100</v>
      </c>
      <c r="F95" s="12"/>
      <c r="G95" s="12">
        <v>2008</v>
      </c>
      <c r="H95" s="928">
        <f>(O40/$R40*100*($E40/366))+(O41/$R41*100*($E41/366))</f>
        <v>55.703530232708722</v>
      </c>
      <c r="I95" s="928"/>
      <c r="J95" s="928">
        <f>(P40/$R40*100*($E40/366))+(P41/$R41*100*($E41/366))</f>
        <v>16.323127611700414</v>
      </c>
      <c r="K95" s="928"/>
      <c r="L95" s="928">
        <f>(Q40/$R40*100*($E40/366))+(Q41/$R41*100*($E41/366))</f>
        <v>27.973342155590856</v>
      </c>
      <c r="M95" s="928"/>
      <c r="N95" s="928">
        <f t="shared" si="35"/>
        <v>99.999999999999986</v>
      </c>
      <c r="O95" s="928"/>
      <c r="P95" s="12"/>
      <c r="Q95" s="12"/>
      <c r="R95" s="12">
        <v>2008</v>
      </c>
      <c r="S95" s="8">
        <f>(O40*($E40/366))+(O41*($E41/366))</f>
        <v>30.34043715846995</v>
      </c>
      <c r="T95" s="8">
        <f>(P40*($E40/366))+(P41*($E41/366))</f>
        <v>8.8797814207650276</v>
      </c>
      <c r="U95" s="8">
        <f>(Q40*($E40/366))+(Q41*($E41/366))</f>
        <v>15.314207650273222</v>
      </c>
      <c r="V95" s="12"/>
      <c r="W95" s="7">
        <f t="shared" si="36"/>
        <v>54.534426229508199</v>
      </c>
    </row>
    <row r="96" spans="1:23" ht="9" customHeight="1">
      <c r="A96" s="1">
        <v>2009</v>
      </c>
      <c r="B96" s="8">
        <f>(K42*($E42/365))+(K43*($E43/365))</f>
        <v>31.578947368421051</v>
      </c>
      <c r="C96" s="8">
        <f>(L42*($E42/365))+(L43*($E43/365))</f>
        <v>0</v>
      </c>
      <c r="D96" s="8">
        <f>(M42*($E42/365))+(M43*($E43/365))</f>
        <v>68.421052631578945</v>
      </c>
      <c r="E96" s="52">
        <f t="shared" si="34"/>
        <v>100</v>
      </c>
      <c r="F96" s="12"/>
      <c r="G96" s="12">
        <v>2009</v>
      </c>
      <c r="H96" s="928">
        <f>(O42/$R42*100*($E42/365))+(O43/$R43*100*($E43/365))</f>
        <v>28.057553956834528</v>
      </c>
      <c r="I96" s="928"/>
      <c r="J96" s="928">
        <f>(P42/$R42*100*($E42/365))+(P43/$R43*100*($E43/365))</f>
        <v>0</v>
      </c>
      <c r="K96" s="928"/>
      <c r="L96" s="928">
        <f>(Q42/$R42*100*($E42/365))+(Q43/$R43*100*($E43/365))</f>
        <v>71.942446043165461</v>
      </c>
      <c r="M96" s="928"/>
      <c r="N96" s="928">
        <f t="shared" si="35"/>
        <v>99.999999999999986</v>
      </c>
      <c r="O96" s="928"/>
      <c r="P96" s="12"/>
      <c r="Q96" s="12"/>
      <c r="R96" s="12">
        <v>2009</v>
      </c>
      <c r="S96" s="8">
        <f>(O42*($E42/365))+(O43*($E43/365))</f>
        <v>15.6</v>
      </c>
      <c r="T96" s="8">
        <f>(P42*($E42/365))+(P43*($E43/365))</f>
        <v>0</v>
      </c>
      <c r="U96" s="8">
        <f>(Q42*($E42/365))+(Q43*($E43/365))</f>
        <v>40</v>
      </c>
      <c r="V96" s="12"/>
      <c r="W96" s="7">
        <f t="shared" si="36"/>
        <v>55.6</v>
      </c>
    </row>
    <row r="97" spans="1:25" ht="9" customHeight="1">
      <c r="A97" s="1">
        <v>2010</v>
      </c>
      <c r="B97" s="8">
        <f>(K44*($E44/365))+(K45*($E45/365))</f>
        <v>31.578947368421051</v>
      </c>
      <c r="C97" s="8">
        <f>(L44*($E44/365))+(L45*($E45/365))</f>
        <v>0</v>
      </c>
      <c r="D97" s="8">
        <f>(M44*($E44/365))+(M45*($E45/365))</f>
        <v>68.421052631578945</v>
      </c>
      <c r="E97" s="52">
        <f t="shared" si="34"/>
        <v>100</v>
      </c>
      <c r="F97" s="12"/>
      <c r="G97" s="12">
        <v>2010</v>
      </c>
      <c r="H97" s="928">
        <f>(O44/$R44*100*($E44/365))+(O45/$R45*100*($E45/365))</f>
        <v>28.057553956834528</v>
      </c>
      <c r="I97" s="928"/>
      <c r="J97" s="928">
        <f>(P44/$R44*100*($E44/365))+(P45/$R45*100*($E45/365))</f>
        <v>0</v>
      </c>
      <c r="K97" s="928"/>
      <c r="L97" s="928">
        <f>(Q44/$R44*100*($E44/365))+(Q45/$R45*100*($E45/365))</f>
        <v>71.942446043165461</v>
      </c>
      <c r="M97" s="928"/>
      <c r="N97" s="928">
        <f t="shared" si="35"/>
        <v>99.999999999999986</v>
      </c>
      <c r="O97" s="928"/>
      <c r="P97" s="12"/>
      <c r="Q97" s="12"/>
      <c r="R97" s="12">
        <v>2010</v>
      </c>
      <c r="S97" s="8">
        <f>(O44*($E44/365))+(O45*($E45/365))</f>
        <v>15.6</v>
      </c>
      <c r="T97" s="8">
        <f>(P44*($E44/365))+(P45*($E45/365))</f>
        <v>0</v>
      </c>
      <c r="U97" s="8">
        <f>(Q44*($E44/365))+(Q45*($E45/365))</f>
        <v>40</v>
      </c>
      <c r="V97" s="12"/>
      <c r="W97" s="7">
        <f t="shared" si="36"/>
        <v>55.6</v>
      </c>
    </row>
    <row r="98" spans="1:25" ht="9" customHeight="1">
      <c r="A98" s="1">
        <v>2011</v>
      </c>
      <c r="B98" s="8">
        <f>(K46*($E46/365))+(K47*($E47/365))+(K48*($E48/365))+(K49*($E49/365))</f>
        <v>20.672640505373021</v>
      </c>
      <c r="C98" s="8">
        <f>(L46*($E46/365))+(L47*($E47/365))+(L48*($E48/365))+(L49*($E49/365))</f>
        <v>0</v>
      </c>
      <c r="D98" s="8">
        <f>(M46*($E46/365))+(M47*($E47/365))+(M48*($E48/365))+(M49*($E49/365))</f>
        <v>79.327359494626975</v>
      </c>
      <c r="E98" s="52">
        <f t="shared" si="34"/>
        <v>100</v>
      </c>
      <c r="F98" s="12"/>
      <c r="G98" s="12">
        <v>2011</v>
      </c>
      <c r="H98" s="928">
        <f>(O46/$R46*100*($E46/365))+(O47/$R47*100*($E47/365))+(O48/$R48*100*($E48/365))+(O49/$R49*100*($E49/365))</f>
        <v>20.53653400279056</v>
      </c>
      <c r="I98" s="928"/>
      <c r="J98" s="928">
        <f>(P46/$R46*100*($E46/365))+(P47/$R47*100*($E47/365))+(P48/$R48*100*($E48/365))+(P49/$R49*100*($E49/365))</f>
        <v>0</v>
      </c>
      <c r="K98" s="928"/>
      <c r="L98" s="928">
        <f>(Q46/$R46*100*($E46/365))+(Q47/$R47*100*($E47/365))+(Q48/$R48*100*($E48/365))+(Q49/$R49*100*($E49/365))</f>
        <v>79.46346599720944</v>
      </c>
      <c r="M98" s="928"/>
      <c r="N98" s="928">
        <f t="shared" si="35"/>
        <v>100</v>
      </c>
      <c r="O98" s="928"/>
      <c r="P98" s="12"/>
      <c r="Q98" s="12"/>
      <c r="R98" s="12">
        <v>2011</v>
      </c>
      <c r="S98" s="8">
        <f>(O46*($E46/365))+(O47*($E47/365))+(O48*($E48/365))+(O49*($E49/365))</f>
        <v>10.832876712328767</v>
      </c>
      <c r="T98" s="8">
        <f>(P46*($E46/365))+(P47*($E47/365))+(P48*($E48/365))+(P49*($E49/365))</f>
        <v>0</v>
      </c>
      <c r="U98" s="8">
        <f>(Q46*($E46/365))+(Q47*($E47/365))+(Q48*($E48/365))+(Q49*($E49/365))</f>
        <v>40</v>
      </c>
      <c r="V98" s="12"/>
      <c r="W98" s="7">
        <f t="shared" si="36"/>
        <v>50.832876712328769</v>
      </c>
    </row>
    <row r="99" spans="1:25" ht="9" customHeight="1">
      <c r="A99" s="1">
        <v>2012</v>
      </c>
      <c r="B99" s="8">
        <f>(K50*($E50/366))+(K51*($E51/366))</f>
        <v>48.74196841409956</v>
      </c>
      <c r="C99" s="8">
        <f>(L50*($E50/366))+(L51*($E51/366))</f>
        <v>13.703236654056326</v>
      </c>
      <c r="D99" s="8">
        <f>(M50*($E50/366))+(M51*($E51/366))</f>
        <v>37.554794931844114</v>
      </c>
      <c r="E99" s="52">
        <f t="shared" si="34"/>
        <v>100</v>
      </c>
      <c r="F99" s="12"/>
      <c r="G99" s="12">
        <v>2012</v>
      </c>
      <c r="H99" s="928">
        <f>(O50/$R50*100*($E50/366))+(O51/$R51*100*($E51/366))</f>
        <v>61.897643231402803</v>
      </c>
      <c r="I99" s="928"/>
      <c r="J99" s="928">
        <f>(P50/$R50*100*($E50/366))+(P51/$R51*100*($E51/366))</f>
        <v>7.0487871997483982</v>
      </c>
      <c r="K99" s="928"/>
      <c r="L99" s="928">
        <f>(Q50/$R50*100*($E50/366))+(Q51/$R51*100*($E51/366))</f>
        <v>31.0535695688488</v>
      </c>
      <c r="M99" s="928"/>
      <c r="N99" s="928">
        <f t="shared" si="35"/>
        <v>100</v>
      </c>
      <c r="O99" s="928"/>
      <c r="P99" s="12"/>
      <c r="Q99" s="12"/>
      <c r="R99" s="12">
        <v>2012</v>
      </c>
      <c r="S99" s="8">
        <f>(O50*($E50/366))+(O51*($E51/366))</f>
        <v>34.280874316939887</v>
      </c>
      <c r="T99" s="8">
        <f>(P50*($E50/366))+(P51*($E51/366))</f>
        <v>3.9191256830601096</v>
      </c>
      <c r="U99" s="8">
        <f>(Q50*($E50/366))+(Q51*($E51/366))</f>
        <v>16.307103825136611</v>
      </c>
      <c r="V99" s="12"/>
      <c r="W99" s="7">
        <f t="shared" si="36"/>
        <v>54.50710382513661</v>
      </c>
    </row>
    <row r="100" spans="1:25" s="12" customFormat="1" ht="9" customHeight="1">
      <c r="A100" s="1">
        <v>2013</v>
      </c>
      <c r="B100" s="8">
        <f>(K52*($E52/365))+(K53*($E53/365))+(K54*($E54/365))+(K55*($E55/365))+(K56*($E56/365))</f>
        <v>27.660216495832934</v>
      </c>
      <c r="C100" s="8">
        <f>(L52*($E52/365))+(L53*($E53/365))+(L54*($E54/365))+(L55*($E55/365))+(L56*($E56/365))</f>
        <v>3.6478589903247438</v>
      </c>
      <c r="D100" s="8">
        <f>(M52*($E52/365))+(M53*($E53/365))+(M54*($E54/365))+(M55*($E55/365))+(M56*($E56/365))</f>
        <v>68.691924513842324</v>
      </c>
      <c r="E100" s="52">
        <f>B100+C100+D100</f>
        <v>100</v>
      </c>
      <c r="G100" s="12">
        <v>2013</v>
      </c>
      <c r="H100" s="928">
        <f>(O52/$R52*100*($E52/365))+(O53/$R53*100*($E53/365))+(O54/$R54*100*($E54/365))+(O55/$R55*100*($E55/365))+(O56/$R56*100*($E56/365))</f>
        <v>24.996280008511931</v>
      </c>
      <c r="I100" s="928"/>
      <c r="J100" s="928">
        <f>(P52/$R52*100*($E52/365))+(P53/$R53*100*($E53/365))+(P54/$R54*100*($E54/365))+(P55/$R55*100*($E55/365))+(P56/$R56*100*($E56/365))</f>
        <v>1.8853432697800578</v>
      </c>
      <c r="K100" s="928"/>
      <c r="L100" s="928">
        <f>(Q52/$R52*100*($E52/365))+(Q53/$R53*100*($E53/365))+(Q54/$R54*100*($E54/365))+(Q55/$R55*100*($E55/365))+(Q56/$R56*100*($E56/365))</f>
        <v>73.118376721708017</v>
      </c>
      <c r="M100" s="928"/>
      <c r="N100" s="928">
        <f>H100+J100+L100</f>
        <v>100</v>
      </c>
      <c r="O100" s="928"/>
      <c r="R100" s="12">
        <v>2013</v>
      </c>
      <c r="S100" s="8">
        <f>(O52*($E52/365))+(O53*($E53/365))+(O54*($E54/365))+(O55*($E55/365))+(O56*($E56/365))</f>
        <v>13.064931506849314</v>
      </c>
      <c r="T100" s="8">
        <f>(P52*($E52/365))+(P53*($E53/365))+(P54*($E54/365))+(P55*($E55/365))+(P56*($E56/365))</f>
        <v>0.94027397260273982</v>
      </c>
      <c r="U100" s="8">
        <f>(Q52*($E52/365))+(Q53*($E53/365))+(Q54*($E54/365))+(Q55*($E55/365))+(Q56*($E56/365))</f>
        <v>39.583835616438357</v>
      </c>
      <c r="W100" s="7">
        <f>S100+T100+U100</f>
        <v>53.589041095890408</v>
      </c>
    </row>
    <row r="101" spans="1:25" s="12" customFormat="1" ht="9" customHeight="1">
      <c r="A101" s="1">
        <v>2014</v>
      </c>
      <c r="B101" s="554">
        <f>(K57*($E57/365))+(K58*($E58/365))+(K59*($E59/365))</f>
        <v>40.104134382941794</v>
      </c>
      <c r="C101" s="554">
        <f>(L57*($E57/365))+(L58*($E58/365))+(L59*($E59/365))</f>
        <v>0</v>
      </c>
      <c r="D101" s="554">
        <f>(M57*($E57/365))+(M58*($E58/365))+(M59*($E59/365))</f>
        <v>59.895865617058199</v>
      </c>
      <c r="E101" s="52">
        <f>B101+C101+D101</f>
        <v>100</v>
      </c>
      <c r="G101" s="12">
        <v>2014</v>
      </c>
      <c r="H101" s="928">
        <f>(O57/$R57*100*($E57/365))+(O58/$R58*100*($E58/365))+(O59/$R59*100*($E59/365))</f>
        <v>34.313649710728903</v>
      </c>
      <c r="I101" s="928"/>
      <c r="J101" s="928">
        <f>(P57/$R57*100*($E57/365))+(P58/$R58*100*($E58/365))+(P59/$R59*100*($E59/365))</f>
        <v>0</v>
      </c>
      <c r="K101" s="928"/>
      <c r="L101" s="928">
        <f>(Q57/$R57*100*($E57/365))+(Q58/$R58*100*($E58/365))+(Q59/$R59*100*($E59/365))</f>
        <v>65.68635028927109</v>
      </c>
      <c r="M101" s="928"/>
      <c r="N101" s="928">
        <f>H101+J101+L101</f>
        <v>100</v>
      </c>
      <c r="O101" s="928"/>
      <c r="R101" s="12">
        <v>2014</v>
      </c>
      <c r="S101" s="554">
        <f>(O57*($E57/365))+(O58*($E58/365))+(O59*($E59/365))</f>
        <v>19.13095890410959</v>
      </c>
      <c r="T101" s="554">
        <f>(P57*($E57/365))+(P58*($E58/365))+(P59*($E59/365))</f>
        <v>0</v>
      </c>
      <c r="U101" s="554">
        <f>(Q57*($E57/365))+(Q58*($E58/365))+(Q59*($E59/365))</f>
        <v>35.70356164383562</v>
      </c>
      <c r="W101" s="560">
        <f>S101+T101+U101</f>
        <v>54.83452054794521</v>
      </c>
    </row>
    <row r="102" spans="1:25" s="12" customFormat="1" ht="9" customHeight="1">
      <c r="A102" s="625">
        <v>2015</v>
      </c>
      <c r="B102" s="620">
        <f>(K60*($E60/365))+(K61*($E61/365))</f>
        <v>58.82352941176471</v>
      </c>
      <c r="C102" s="620">
        <f>(L60*($E60/365))+(L61*($E61/365))</f>
        <v>0</v>
      </c>
      <c r="D102" s="620">
        <f>(M60*($E60/365))+(M61*($E61/365))</f>
        <v>41.17647058823529</v>
      </c>
      <c r="E102" s="52">
        <f>B102+C102+D102</f>
        <v>100</v>
      </c>
      <c r="G102" s="12">
        <v>2015</v>
      </c>
      <c r="H102" s="928">
        <f>(O60/$R60*100*($E60/365))+(O61/$R61*100*($E61/365))</f>
        <v>69.20415224913495</v>
      </c>
      <c r="I102" s="928"/>
      <c r="J102" s="928">
        <f>(P60/$R60*100*($E60/365))+(P61/$R61*100*($E61/365))</f>
        <v>0</v>
      </c>
      <c r="K102" s="928"/>
      <c r="L102" s="928">
        <f>(Q60/$R60*100*($E60/365))+(Q61/$R61*100*($E61/365))</f>
        <v>30.79584775086505</v>
      </c>
      <c r="M102" s="928"/>
      <c r="N102" s="928">
        <f>H102+J102+L102</f>
        <v>100</v>
      </c>
      <c r="O102" s="928"/>
      <c r="R102" s="12">
        <v>2015</v>
      </c>
      <c r="S102" s="620">
        <f>(O60*($E60/365))+(O61*($E61/365))</f>
        <v>40</v>
      </c>
      <c r="T102" s="620">
        <f>(P60*($E60/365))+(P61*($E61/365))</f>
        <v>0</v>
      </c>
      <c r="U102" s="620">
        <f>(Q60*($E60/365))+(Q61*($E61/365))</f>
        <v>17.8</v>
      </c>
      <c r="W102" s="623">
        <f>S102+T102+U102</f>
        <v>57.8</v>
      </c>
    </row>
    <row r="103" spans="1:25" s="12" customFormat="1" ht="9" customHeight="1">
      <c r="A103" s="697">
        <v>2016</v>
      </c>
      <c r="B103" s="694">
        <f>(K62*($E62/366))+(K63*($E63/366))</f>
        <v>58.82352941176471</v>
      </c>
      <c r="C103" s="694">
        <f>(L62*($E62/366))+(L63*($E63/366))</f>
        <v>0</v>
      </c>
      <c r="D103" s="694">
        <f>(M62*($E62/366))+(M63*($E63/366))</f>
        <v>41.17647058823529</v>
      </c>
      <c r="E103" s="52">
        <f t="shared" ref="E103" si="37">B103+C103+D103</f>
        <v>100</v>
      </c>
      <c r="G103" s="12">
        <v>2016</v>
      </c>
      <c r="H103" s="928">
        <f>(O62/$R62*100*($E62/366))+(O63/$R63*100*($E63/366))</f>
        <v>69.20415224913495</v>
      </c>
      <c r="I103" s="928"/>
      <c r="J103" s="928">
        <f>(P62/$R62*100*($E62/366))+(P63/$R63*100*($E63/366))</f>
        <v>0</v>
      </c>
      <c r="K103" s="928"/>
      <c r="L103" s="928">
        <f>(Q62/$R62*100*($E62/366))+(Q63/$R63*100*($E63/366))</f>
        <v>30.79584775086505</v>
      </c>
      <c r="M103" s="928"/>
      <c r="N103" s="928">
        <f t="shared" ref="N103" si="38">H103+J103+L103</f>
        <v>100</v>
      </c>
      <c r="O103" s="928"/>
      <c r="R103" s="12">
        <v>2016</v>
      </c>
      <c r="S103" s="694">
        <f>(O62*($E62/366))+(O63*($E63/366))</f>
        <v>40</v>
      </c>
      <c r="T103" s="694">
        <f>(P62*($E62/366))+(P63*($E63/366))</f>
        <v>0</v>
      </c>
      <c r="U103" s="694">
        <f>(Q62*($E62/366))+(Q63*($E63/366))</f>
        <v>17.8</v>
      </c>
      <c r="W103" s="696">
        <f t="shared" ref="W103" si="39">S103+T103+U103</f>
        <v>57.8</v>
      </c>
    </row>
    <row r="104" spans="1:25" s="561" customFormat="1">
      <c r="A104" s="749">
        <v>2017</v>
      </c>
      <c r="B104" s="744">
        <f>(K64*($E64/365))+(K65*($E65/365))</f>
        <v>58.82352941176471</v>
      </c>
      <c r="C104" s="744">
        <f t="shared" ref="C104:D104" si="40">(L64*($E64/365))+(L65*($E65/365))</f>
        <v>0</v>
      </c>
      <c r="D104" s="744">
        <f t="shared" si="40"/>
        <v>41.17647058823529</v>
      </c>
      <c r="E104" s="52">
        <f t="shared" ref="E104" si="41">B104+C104+D104</f>
        <v>100</v>
      </c>
      <c r="F104" s="12"/>
      <c r="G104" s="12">
        <v>2017</v>
      </c>
      <c r="H104" s="928">
        <f>(O64/$R64*100*($E64/365))+(O65/$R65*100*($E65/365))</f>
        <v>69.20415224913495</v>
      </c>
      <c r="I104" s="928"/>
      <c r="J104" s="928">
        <f>(P64/$R64*100*($E64/365))+(P65/$R65*100*($E65/365))</f>
        <v>0</v>
      </c>
      <c r="K104" s="928"/>
      <c r="L104" s="928">
        <f>(Q64/$R64*100*($E64/365))+(Q65/$R65*100*($E65/365))</f>
        <v>30.79584775086505</v>
      </c>
      <c r="M104" s="928"/>
      <c r="N104" s="928">
        <f t="shared" ref="N104" si="42">H104+J104+L104</f>
        <v>100</v>
      </c>
      <c r="O104" s="928"/>
      <c r="P104" s="12"/>
      <c r="Q104" s="12"/>
      <c r="R104" s="12">
        <v>2017</v>
      </c>
      <c r="S104" s="744">
        <f>(O64*($E64/365))+(O65*($E65/365))</f>
        <v>40</v>
      </c>
      <c r="T104" s="744">
        <f t="shared" ref="T104:U104" si="43">(P64*($E64/365))+(P65*($E65/365))</f>
        <v>0</v>
      </c>
      <c r="U104" s="744">
        <f t="shared" si="43"/>
        <v>17.8</v>
      </c>
      <c r="V104" s="12"/>
      <c r="W104" s="746">
        <f t="shared" ref="W104" si="44">S104+T104+U104</f>
        <v>57.8</v>
      </c>
    </row>
    <row r="105" spans="1:25" s="561" customFormat="1">
      <c r="A105" s="775">
        <v>2018</v>
      </c>
      <c r="B105" s="772">
        <f>(K66*($E66/365))+(K67*($E67/365))</f>
        <v>53.505237711522966</v>
      </c>
      <c r="C105" s="772">
        <f>(L66*($E66/365))+(L67*($E67/365))</f>
        <v>8.8638195004029008</v>
      </c>
      <c r="D105" s="772">
        <f>(M66*($E66/365))+(M67*($E67/365))</f>
        <v>37.630942788074137</v>
      </c>
      <c r="E105" s="52">
        <f t="shared" ref="E105" si="45">B105+C105+D105</f>
        <v>100</v>
      </c>
      <c r="F105" s="12"/>
      <c r="G105" s="12">
        <v>2018</v>
      </c>
      <c r="H105" s="928">
        <f>(O66/$R66*100*($E66/365))+(O67/$R67*100*($E67/365))</f>
        <v>58.877137144764482</v>
      </c>
      <c r="I105" s="928"/>
      <c r="J105" s="928">
        <f>(P66/$R66*100*($E66/365))+(P67/$R67*100*($E67/365))</f>
        <v>9.078924743508912</v>
      </c>
      <c r="K105" s="928"/>
      <c r="L105" s="928">
        <f>(Q66/$R66*100*($E66/365))+(Q67/$R67*100*($E67/365))</f>
        <v>32.043938111726604</v>
      </c>
      <c r="M105" s="928"/>
      <c r="N105" s="928">
        <f t="shared" ref="N105" si="46">H105+J105+L105</f>
        <v>100</v>
      </c>
      <c r="O105" s="928"/>
      <c r="P105" s="12"/>
      <c r="Q105" s="12"/>
      <c r="R105" s="12">
        <v>2018</v>
      </c>
      <c r="S105" s="772">
        <f>(O66*($E66/365))+(O67*($E67/365))</f>
        <v>32.978082191780821</v>
      </c>
      <c r="T105" s="772">
        <f>(P66*($E66/365))+(P67*($E67/365))</f>
        <v>4.3397260273972602</v>
      </c>
      <c r="U105" s="772">
        <f>(Q66*($E66/365))+(Q67*($E67/365))</f>
        <v>17.468493150684932</v>
      </c>
      <c r="V105" s="12"/>
      <c r="W105" s="774">
        <f t="shared" ref="W105" si="47">S105+T105+U105</f>
        <v>54.786301369863011</v>
      </c>
    </row>
    <row r="106" spans="1:25" s="561" customFormat="1">
      <c r="A106" s="816">
        <v>2019</v>
      </c>
      <c r="B106" s="812">
        <f>(K68*($E68/365))+(K69*($E69/365))</f>
        <v>41.17647058823529</v>
      </c>
      <c r="C106" s="812">
        <f>(L68*($E68/365))+(L69*($E69/365))</f>
        <v>29.411764705882355</v>
      </c>
      <c r="D106" s="812">
        <f>(M68*($E68/365))+(M69*($E69/365))</f>
        <v>29.411764705882355</v>
      </c>
      <c r="E106" s="52">
        <f t="shared" ref="E106" si="48">B106+C106+D106</f>
        <v>100</v>
      </c>
      <c r="F106" s="12"/>
      <c r="G106" s="12">
        <v>2019</v>
      </c>
      <c r="H106" s="928">
        <f>(O68/$R68*100*($E68/365))+(O69/$R69*100*($E69/365))</f>
        <v>34.937238493723846</v>
      </c>
      <c r="I106" s="928"/>
      <c r="J106" s="928">
        <f>(P68/$R68*100*($E68/365))+(P69/$R69*100*($E69/365))</f>
        <v>30.125523012552303</v>
      </c>
      <c r="K106" s="928"/>
      <c r="L106" s="928">
        <f>(Q68/$R68*100*($E68/365))+(Q69/$R69*100*($E69/365))</f>
        <v>34.937238493723846</v>
      </c>
      <c r="M106" s="928"/>
      <c r="N106" s="928">
        <f t="shared" ref="N106" si="49">H106+J106+L106</f>
        <v>100</v>
      </c>
      <c r="O106" s="928"/>
      <c r="P106" s="12"/>
      <c r="Q106" s="12"/>
      <c r="R106" s="12">
        <v>2019</v>
      </c>
      <c r="S106" s="812">
        <f>(O68*($E68/365))+(O69*($E69/365))</f>
        <v>16.7</v>
      </c>
      <c r="T106" s="812">
        <f>(P68*($E68/365))+(P69*($E69/365))</f>
        <v>14.4</v>
      </c>
      <c r="U106" s="812">
        <f>(Q68*($E68/365))+(Q69*($E69/365))</f>
        <v>16.7</v>
      </c>
      <c r="V106" s="12"/>
      <c r="W106" s="815">
        <f t="shared" ref="W106" si="50">S106+T106+U106</f>
        <v>47.8</v>
      </c>
    </row>
    <row r="107" spans="1:25" s="561" customFormat="1">
      <c r="A107" s="816"/>
      <c r="F107" s="12"/>
      <c r="G107" s="12"/>
      <c r="Q107" s="12"/>
      <c r="R107" s="12"/>
    </row>
    <row r="108" spans="1:25" s="561" customFormat="1">
      <c r="B108" s="1"/>
      <c r="C108" s="1"/>
      <c r="D108" s="1"/>
      <c r="E108" s="1"/>
      <c r="H108" s="1"/>
      <c r="I108" s="1"/>
      <c r="J108" s="1"/>
      <c r="K108" s="1"/>
      <c r="L108" s="1"/>
      <c r="M108" s="1"/>
      <c r="N108" s="1"/>
      <c r="O108" s="1"/>
      <c r="P108" s="1"/>
      <c r="S108" s="1"/>
      <c r="T108" s="1"/>
      <c r="U108" s="1"/>
      <c r="V108" s="1"/>
      <c r="W108" s="1"/>
    </row>
    <row r="109" spans="1:25" s="561" customFormat="1">
      <c r="A109" s="1"/>
      <c r="B109" s="1"/>
      <c r="C109" s="1"/>
      <c r="D109" s="1"/>
      <c r="E109" s="1"/>
      <c r="F109" s="1"/>
      <c r="G109" s="1"/>
      <c r="H109" s="1"/>
      <c r="I109" s="1"/>
      <c r="J109" s="1"/>
      <c r="K109" s="1"/>
      <c r="L109" s="1"/>
      <c r="M109" s="1"/>
      <c r="N109" s="1"/>
      <c r="O109" s="1"/>
      <c r="P109" s="1"/>
      <c r="Q109" s="1"/>
      <c r="R109" s="1"/>
      <c r="S109" s="1"/>
      <c r="T109" s="1"/>
      <c r="U109" s="1"/>
      <c r="V109" s="1"/>
      <c r="W109" s="1"/>
    </row>
    <row r="110" spans="1:25" s="561" customFormat="1">
      <c r="A110" s="1"/>
      <c r="B110" s="1"/>
      <c r="C110" s="1"/>
      <c r="D110" s="1"/>
      <c r="E110" s="1"/>
      <c r="F110" s="1"/>
      <c r="G110" s="1"/>
      <c r="H110" s="1"/>
      <c r="I110" s="1"/>
      <c r="J110" s="1"/>
      <c r="K110" s="1"/>
      <c r="L110" s="1"/>
      <c r="M110" s="1"/>
      <c r="N110" s="1"/>
      <c r="O110" s="1"/>
      <c r="P110" s="1"/>
      <c r="Q110" s="1"/>
      <c r="R110" s="1"/>
      <c r="S110" s="1"/>
      <c r="T110" s="1"/>
      <c r="U110" s="1"/>
      <c r="V110" s="1"/>
      <c r="W110" s="1"/>
      <c r="X110" s="1"/>
      <c r="Y110" s="1"/>
    </row>
  </sheetData>
  <mergeCells count="210">
    <mergeCell ref="J104:K104"/>
    <mergeCell ref="J96:K96"/>
    <mergeCell ref="H106:I106"/>
    <mergeCell ref="J106:K106"/>
    <mergeCell ref="L106:M106"/>
    <mergeCell ref="N106:O106"/>
    <mergeCell ref="L104:M104"/>
    <mergeCell ref="N104:O104"/>
    <mergeCell ref="N102:O102"/>
    <mergeCell ref="H101:I101"/>
    <mergeCell ref="J101:K101"/>
    <mergeCell ref="L101:M101"/>
    <mergeCell ref="N101:O101"/>
    <mergeCell ref="H102:I102"/>
    <mergeCell ref="J102:K102"/>
    <mergeCell ref="L102:M102"/>
    <mergeCell ref="H103:I103"/>
    <mergeCell ref="J103:K103"/>
    <mergeCell ref="L103:M103"/>
    <mergeCell ref="N103:O103"/>
    <mergeCell ref="H105:I105"/>
    <mergeCell ref="J105:K105"/>
    <mergeCell ref="L105:M105"/>
    <mergeCell ref="N105:O105"/>
    <mergeCell ref="H104:I104"/>
    <mergeCell ref="J97:K97"/>
    <mergeCell ref="H98:I98"/>
    <mergeCell ref="H99:I99"/>
    <mergeCell ref="C69:D69"/>
    <mergeCell ref="L98:M98"/>
    <mergeCell ref="L87:M87"/>
    <mergeCell ref="L81:M81"/>
    <mergeCell ref="L88:M88"/>
    <mergeCell ref="L89:M89"/>
    <mergeCell ref="L90:M90"/>
    <mergeCell ref="L91:M91"/>
    <mergeCell ref="L92:M92"/>
    <mergeCell ref="L82:M82"/>
    <mergeCell ref="L85:M85"/>
    <mergeCell ref="L83:M83"/>
    <mergeCell ref="L84:M84"/>
    <mergeCell ref="J88:K88"/>
    <mergeCell ref="J89:K89"/>
    <mergeCell ref="J90:K90"/>
    <mergeCell ref="J91:K91"/>
    <mergeCell ref="J92:K92"/>
    <mergeCell ref="J93:K93"/>
    <mergeCell ref="J94:K94"/>
    <mergeCell ref="J95:K95"/>
    <mergeCell ref="C62:D62"/>
    <mergeCell ref="C63:D63"/>
    <mergeCell ref="C64:D64"/>
    <mergeCell ref="C65:D65"/>
    <mergeCell ref="C60:D60"/>
    <mergeCell ref="C61:D61"/>
    <mergeCell ref="C66:D66"/>
    <mergeCell ref="C67:D67"/>
    <mergeCell ref="C68:D68"/>
    <mergeCell ref="C42:D42"/>
    <mergeCell ref="C43:D43"/>
    <mergeCell ref="C44:D44"/>
    <mergeCell ref="C45:D45"/>
    <mergeCell ref="C48:D48"/>
    <mergeCell ref="C49:D49"/>
    <mergeCell ref="C50:D50"/>
    <mergeCell ref="C51:D51"/>
    <mergeCell ref="C59:D59"/>
    <mergeCell ref="C55:D55"/>
    <mergeCell ref="C56:D56"/>
    <mergeCell ref="C52:D52"/>
    <mergeCell ref="C53:D53"/>
    <mergeCell ref="C54:D54"/>
    <mergeCell ref="C57:D57"/>
    <mergeCell ref="C58:D58"/>
    <mergeCell ref="C46:D46"/>
    <mergeCell ref="C47:D47"/>
    <mergeCell ref="C19:D19"/>
    <mergeCell ref="C20:D20"/>
    <mergeCell ref="C35:D35"/>
    <mergeCell ref="C38:D38"/>
    <mergeCell ref="C39:D39"/>
    <mergeCell ref="C40:D40"/>
    <mergeCell ref="C41:D41"/>
    <mergeCell ref="C29:D29"/>
    <mergeCell ref="C30:D30"/>
    <mergeCell ref="C31:D31"/>
    <mergeCell ref="C33:D33"/>
    <mergeCell ref="C34:D34"/>
    <mergeCell ref="C26:D26"/>
    <mergeCell ref="C27:D27"/>
    <mergeCell ref="C28:D28"/>
    <mergeCell ref="C22:D22"/>
    <mergeCell ref="C32:D32"/>
    <mergeCell ref="C37:D37"/>
    <mergeCell ref="C25:D25"/>
    <mergeCell ref="C36:D36"/>
    <mergeCell ref="A4:A5"/>
    <mergeCell ref="B4:B5"/>
    <mergeCell ref="C4:D5"/>
    <mergeCell ref="E4:E5"/>
    <mergeCell ref="F4:F5"/>
    <mergeCell ref="L78:M78"/>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21:D21"/>
    <mergeCell ref="C23:D23"/>
    <mergeCell ref="C24:D24"/>
    <mergeCell ref="G3:M3"/>
    <mergeCell ref="O3:Q3"/>
    <mergeCell ref="N77:O77"/>
    <mergeCell ref="H79:I79"/>
    <mergeCell ref="J77:K77"/>
    <mergeCell ref="J78:K78"/>
    <mergeCell ref="J79:K79"/>
    <mergeCell ref="L77:M77"/>
    <mergeCell ref="N78:O78"/>
    <mergeCell ref="N79:O79"/>
    <mergeCell ref="O4:R4"/>
    <mergeCell ref="H76:I76"/>
    <mergeCell ref="J76:K76"/>
    <mergeCell ref="L76:M76"/>
    <mergeCell ref="N76:O76"/>
    <mergeCell ref="H78:I78"/>
    <mergeCell ref="L79:M79"/>
    <mergeCell ref="R74:W74"/>
    <mergeCell ref="AT4:AW4"/>
    <mergeCell ref="AX4:BA4"/>
    <mergeCell ref="H100:I100"/>
    <mergeCell ref="J100:K100"/>
    <mergeCell ref="L100:M100"/>
    <mergeCell ref="N100:O100"/>
    <mergeCell ref="AP4:AS4"/>
    <mergeCell ref="S4:S5"/>
    <mergeCell ref="T4:T5"/>
    <mergeCell ref="U4:U5"/>
    <mergeCell ref="V4:Y4"/>
    <mergeCell ref="AH4:AK4"/>
    <mergeCell ref="AD4:AG4"/>
    <mergeCell ref="AL4:AO4"/>
    <mergeCell ref="Z4:AC4"/>
    <mergeCell ref="N85:O85"/>
    <mergeCell ref="N86:O86"/>
    <mergeCell ref="N83:O83"/>
    <mergeCell ref="N97:O97"/>
    <mergeCell ref="N98:O98"/>
    <mergeCell ref="N95:O95"/>
    <mergeCell ref="N96:O96"/>
    <mergeCell ref="N93:O93"/>
    <mergeCell ref="N94:O94"/>
    <mergeCell ref="N80:O80"/>
    <mergeCell ref="L80:M80"/>
    <mergeCell ref="H77:I77"/>
    <mergeCell ref="N90:O90"/>
    <mergeCell ref="N87:O87"/>
    <mergeCell ref="N88:O88"/>
    <mergeCell ref="L86:M86"/>
    <mergeCell ref="J80:K80"/>
    <mergeCell ref="J81:K81"/>
    <mergeCell ref="J82:K82"/>
    <mergeCell ref="J83:K83"/>
    <mergeCell ref="J84:K84"/>
    <mergeCell ref="J85:K85"/>
    <mergeCell ref="J86:K86"/>
    <mergeCell ref="J87:K87"/>
    <mergeCell ref="H87:I87"/>
    <mergeCell ref="H88:I88"/>
    <mergeCell ref="H89:I89"/>
    <mergeCell ref="H90:I90"/>
    <mergeCell ref="H80:I80"/>
    <mergeCell ref="H81:I81"/>
    <mergeCell ref="H82:I82"/>
    <mergeCell ref="H83:I83"/>
    <mergeCell ref="H84:I84"/>
    <mergeCell ref="N84:O84"/>
    <mergeCell ref="N81:O81"/>
    <mergeCell ref="N82:O82"/>
    <mergeCell ref="N91:O91"/>
    <mergeCell ref="N92:O92"/>
    <mergeCell ref="N89:O89"/>
    <mergeCell ref="N99:O99"/>
    <mergeCell ref="H91:I91"/>
    <mergeCell ref="H92:I92"/>
    <mergeCell ref="H93:I93"/>
    <mergeCell ref="H94:I94"/>
    <mergeCell ref="H95:I95"/>
    <mergeCell ref="H96:I96"/>
    <mergeCell ref="H97:I97"/>
    <mergeCell ref="L99:M99"/>
    <mergeCell ref="L93:M93"/>
    <mergeCell ref="L94:M94"/>
    <mergeCell ref="L95:M95"/>
    <mergeCell ref="L96:M96"/>
    <mergeCell ref="L97:M97"/>
    <mergeCell ref="H85:I85"/>
    <mergeCell ref="H86:I86"/>
    <mergeCell ref="J99:K99"/>
    <mergeCell ref="J98:K9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A160"/>
  <sheetViews>
    <sheetView zoomScale="173" zoomScaleNormal="120" workbookViewId="0">
      <pane xSplit="1" ySplit="5" topLeftCell="B59" activePane="bottomRight" state="frozen"/>
      <selection pane="topRight" activeCell="B1" sqref="B1"/>
      <selection pane="bottomLeft" activeCell="A6" sqref="A6"/>
      <selection pane="bottomRight" activeCell="T6" sqref="T6:U9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67</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185" customFormat="1">
      <c r="A6" s="101">
        <v>1977</v>
      </c>
      <c r="B6" s="852"/>
      <c r="C6" s="968" t="s">
        <v>1268</v>
      </c>
      <c r="D6" s="968"/>
      <c r="E6" s="185">
        <v>185</v>
      </c>
      <c r="G6" s="119"/>
      <c r="J6" s="126"/>
      <c r="K6" s="92"/>
      <c r="L6" s="92"/>
      <c r="M6" s="92"/>
      <c r="N6" s="121"/>
      <c r="O6" s="91"/>
      <c r="P6" s="92"/>
      <c r="Q6" s="92"/>
      <c r="R6" s="93"/>
      <c r="T6" s="839"/>
      <c r="U6" s="852"/>
      <c r="V6" s="82"/>
      <c r="Y6" s="83"/>
      <c r="AD6" s="82"/>
      <c r="AG6" s="83"/>
      <c r="AL6" s="82"/>
      <c r="AO6" s="83"/>
      <c r="AP6" s="82"/>
      <c r="AS6" s="83"/>
      <c r="AW6" s="83"/>
      <c r="BA6" s="84"/>
    </row>
    <row r="7" spans="1:53" s="292" customFormat="1">
      <c r="A7" s="338">
        <v>1977</v>
      </c>
      <c r="B7" s="836">
        <v>28311</v>
      </c>
      <c r="C7" s="916" t="s">
        <v>840</v>
      </c>
      <c r="D7" s="916"/>
      <c r="E7" s="292">
        <f>365-E6</f>
        <v>180</v>
      </c>
      <c r="F7" s="292" t="s">
        <v>338</v>
      </c>
      <c r="G7" s="366"/>
      <c r="H7" s="292">
        <v>19</v>
      </c>
      <c r="J7" s="377">
        <v>20</v>
      </c>
      <c r="K7" s="336">
        <f>G7/$J7*100</f>
        <v>0</v>
      </c>
      <c r="L7" s="336">
        <f>H7/$J7*100</f>
        <v>95</v>
      </c>
      <c r="M7" s="336">
        <f>I7/$J7*100</f>
        <v>0</v>
      </c>
      <c r="N7" s="368">
        <f>K7+L7+M7</f>
        <v>95</v>
      </c>
      <c r="O7" s="335"/>
      <c r="P7" s="336">
        <v>47.1</v>
      </c>
      <c r="Q7" s="336"/>
      <c r="R7" s="337">
        <f>O7+P7+Q7</f>
        <v>47.1</v>
      </c>
      <c r="S7" s="292">
        <v>4</v>
      </c>
      <c r="T7" s="838">
        <v>28291</v>
      </c>
      <c r="U7" s="836">
        <v>28311</v>
      </c>
      <c r="V7" s="299" t="s">
        <v>477</v>
      </c>
      <c r="W7" s="292" t="s">
        <v>74</v>
      </c>
      <c r="X7" s="292" t="s">
        <v>18</v>
      </c>
      <c r="Y7" s="300">
        <v>47.1</v>
      </c>
      <c r="AD7" s="299"/>
      <c r="AG7" s="300"/>
      <c r="AL7" s="299"/>
      <c r="AO7" s="300"/>
      <c r="AP7" s="299"/>
      <c r="AS7" s="300"/>
      <c r="AW7" s="300"/>
      <c r="BA7" s="301"/>
    </row>
    <row r="8" spans="1:53" s="292" customFormat="1">
      <c r="A8" s="338">
        <v>1978</v>
      </c>
      <c r="B8" s="836"/>
      <c r="C8" s="916" t="s">
        <v>840</v>
      </c>
      <c r="D8" s="916"/>
      <c r="E8" s="292">
        <v>0</v>
      </c>
      <c r="G8" s="366"/>
      <c r="H8" s="292">
        <v>19</v>
      </c>
      <c r="J8" s="377">
        <v>20</v>
      </c>
      <c r="K8" s="336">
        <f t="shared" ref="K8:M23" si="0">G8/$J8*100</f>
        <v>0</v>
      </c>
      <c r="L8" s="336">
        <f t="shared" si="0"/>
        <v>95</v>
      </c>
      <c r="M8" s="336">
        <f t="shared" si="0"/>
        <v>0</v>
      </c>
      <c r="N8" s="368">
        <f t="shared" ref="N8:N71" si="1">K8+L8+M8</f>
        <v>95</v>
      </c>
      <c r="O8" s="335"/>
      <c r="P8" s="336">
        <v>47.1</v>
      </c>
      <c r="Q8" s="336"/>
      <c r="R8" s="337">
        <f t="shared" ref="R8:R71" si="2">O8+P8+Q8</f>
        <v>47.1</v>
      </c>
      <c r="S8" s="292">
        <v>4</v>
      </c>
      <c r="T8" s="838"/>
      <c r="U8" s="836"/>
      <c r="V8" s="299" t="s">
        <v>477</v>
      </c>
      <c r="W8" s="292" t="s">
        <v>74</v>
      </c>
      <c r="X8" s="292" t="s">
        <v>18</v>
      </c>
      <c r="Y8" s="300">
        <v>47.1</v>
      </c>
      <c r="AD8" s="299"/>
      <c r="AG8" s="300"/>
      <c r="AL8" s="299"/>
      <c r="AO8" s="300"/>
      <c r="AP8" s="299"/>
      <c r="AS8" s="300"/>
      <c r="AW8" s="300"/>
      <c r="BA8" s="301"/>
    </row>
    <row r="9" spans="1:53" s="292" customFormat="1">
      <c r="A9" s="338">
        <v>1978</v>
      </c>
      <c r="B9" s="836"/>
      <c r="C9" s="916" t="s">
        <v>840</v>
      </c>
      <c r="D9" s="916"/>
      <c r="E9" s="292">
        <v>365</v>
      </c>
      <c r="G9" s="366"/>
      <c r="H9" s="292">
        <v>19</v>
      </c>
      <c r="J9" s="377">
        <v>20</v>
      </c>
      <c r="K9" s="336">
        <f t="shared" si="0"/>
        <v>0</v>
      </c>
      <c r="L9" s="336">
        <f t="shared" si="0"/>
        <v>95</v>
      </c>
      <c r="M9" s="336">
        <f t="shared" si="0"/>
        <v>0</v>
      </c>
      <c r="N9" s="368">
        <f t="shared" si="1"/>
        <v>95</v>
      </c>
      <c r="O9" s="335"/>
      <c r="P9" s="336">
        <v>47.1</v>
      </c>
      <c r="Q9" s="336"/>
      <c r="R9" s="337">
        <f t="shared" si="2"/>
        <v>47.1</v>
      </c>
      <c r="S9" s="292">
        <v>4</v>
      </c>
      <c r="T9" s="838"/>
      <c r="U9" s="836"/>
      <c r="V9" s="299" t="s">
        <v>477</v>
      </c>
      <c r="W9" s="292" t="s">
        <v>74</v>
      </c>
      <c r="X9" s="292" t="s">
        <v>18</v>
      </c>
      <c r="Y9" s="300">
        <v>47.1</v>
      </c>
      <c r="AD9" s="299"/>
      <c r="AG9" s="300"/>
      <c r="AL9" s="299"/>
      <c r="AO9" s="300"/>
      <c r="AP9" s="299"/>
      <c r="AS9" s="300"/>
      <c r="AW9" s="300"/>
      <c r="BA9" s="301"/>
    </row>
    <row r="10" spans="1:53" s="292" customFormat="1">
      <c r="A10" s="338">
        <v>1979</v>
      </c>
      <c r="B10" s="836"/>
      <c r="C10" s="916" t="s">
        <v>840</v>
      </c>
      <c r="D10" s="916"/>
      <c r="E10" s="292">
        <v>95</v>
      </c>
      <c r="G10" s="366"/>
      <c r="H10" s="292">
        <v>19</v>
      </c>
      <c r="J10" s="377">
        <v>20</v>
      </c>
      <c r="K10" s="336">
        <f t="shared" si="0"/>
        <v>0</v>
      </c>
      <c r="L10" s="336">
        <f t="shared" si="0"/>
        <v>95</v>
      </c>
      <c r="M10" s="336">
        <f t="shared" si="0"/>
        <v>0</v>
      </c>
      <c r="N10" s="368">
        <f t="shared" si="1"/>
        <v>95</v>
      </c>
      <c r="O10" s="335"/>
      <c r="P10" s="336">
        <v>47.1</v>
      </c>
      <c r="Q10" s="336"/>
      <c r="R10" s="337">
        <f t="shared" si="2"/>
        <v>47.1</v>
      </c>
      <c r="S10" s="292">
        <v>4</v>
      </c>
      <c r="T10" s="838"/>
      <c r="U10" s="836"/>
      <c r="V10" s="299" t="s">
        <v>477</v>
      </c>
      <c r="W10" s="292" t="s">
        <v>74</v>
      </c>
      <c r="X10" s="292" t="s">
        <v>18</v>
      </c>
      <c r="Y10" s="300">
        <v>47.1</v>
      </c>
      <c r="AD10" s="299"/>
      <c r="AG10" s="300"/>
      <c r="AL10" s="299"/>
      <c r="AO10" s="300"/>
      <c r="AP10" s="299"/>
      <c r="AS10" s="300"/>
      <c r="AW10" s="300"/>
      <c r="BA10" s="301"/>
    </row>
    <row r="11" spans="1:53" s="185" customFormat="1">
      <c r="A11" s="101">
        <v>1979</v>
      </c>
      <c r="B11" s="852">
        <v>28951</v>
      </c>
      <c r="C11" s="917" t="s">
        <v>841</v>
      </c>
      <c r="D11" s="917"/>
      <c r="E11" s="185">
        <f>365-E10</f>
        <v>270</v>
      </c>
      <c r="F11" s="185">
        <v>1</v>
      </c>
      <c r="G11" s="119"/>
      <c r="H11" s="185">
        <v>22</v>
      </c>
      <c r="J11" s="126">
        <v>24</v>
      </c>
      <c r="K11" s="92">
        <f t="shared" si="0"/>
        <v>0</v>
      </c>
      <c r="L11" s="92">
        <f t="shared" si="0"/>
        <v>91.666666666666657</v>
      </c>
      <c r="M11" s="92">
        <f t="shared" si="0"/>
        <v>0</v>
      </c>
      <c r="N11" s="121">
        <f t="shared" si="1"/>
        <v>91.666666666666657</v>
      </c>
      <c r="O11" s="91"/>
      <c r="P11" s="92">
        <v>48</v>
      </c>
      <c r="Q11" s="92"/>
      <c r="R11" s="93">
        <f t="shared" si="2"/>
        <v>48</v>
      </c>
      <c r="S11" s="185">
        <v>4</v>
      </c>
      <c r="T11" s="839">
        <v>28915</v>
      </c>
      <c r="U11" s="852">
        <v>28951</v>
      </c>
      <c r="V11" s="82" t="s">
        <v>477</v>
      </c>
      <c r="W11" s="185" t="s">
        <v>74</v>
      </c>
      <c r="X11" s="185" t="s">
        <v>18</v>
      </c>
      <c r="Y11" s="83">
        <v>48</v>
      </c>
      <c r="AD11" s="82"/>
      <c r="AG11" s="83"/>
      <c r="AL11" s="82"/>
      <c r="AO11" s="83"/>
      <c r="AP11" s="82"/>
      <c r="AS11" s="83"/>
      <c r="AW11" s="83"/>
      <c r="BA11" s="84"/>
    </row>
    <row r="12" spans="1:53" s="185" customFormat="1">
      <c r="A12" s="101">
        <v>1980</v>
      </c>
      <c r="B12" s="852"/>
      <c r="C12" s="917" t="s">
        <v>841</v>
      </c>
      <c r="D12" s="917"/>
      <c r="E12" s="185">
        <v>0</v>
      </c>
      <c r="G12" s="119"/>
      <c r="H12" s="185">
        <v>22</v>
      </c>
      <c r="J12" s="126">
        <v>24</v>
      </c>
      <c r="K12" s="92">
        <f t="shared" si="0"/>
        <v>0</v>
      </c>
      <c r="L12" s="92">
        <f t="shared" si="0"/>
        <v>91.666666666666657</v>
      </c>
      <c r="M12" s="92">
        <f t="shared" si="0"/>
        <v>0</v>
      </c>
      <c r="N12" s="121">
        <f t="shared" si="1"/>
        <v>91.666666666666657</v>
      </c>
      <c r="O12" s="91"/>
      <c r="P12" s="92">
        <v>48</v>
      </c>
      <c r="Q12" s="92"/>
      <c r="R12" s="93">
        <f t="shared" si="2"/>
        <v>48</v>
      </c>
      <c r="S12" s="185">
        <v>4</v>
      </c>
      <c r="T12" s="839"/>
      <c r="U12" s="852"/>
      <c r="V12" s="82" t="s">
        <v>477</v>
      </c>
      <c r="W12" s="185" t="s">
        <v>74</v>
      </c>
      <c r="X12" s="185" t="s">
        <v>18</v>
      </c>
      <c r="Y12" s="83">
        <v>48</v>
      </c>
      <c r="AD12" s="82"/>
      <c r="AG12" s="83"/>
      <c r="AL12" s="82"/>
      <c r="AO12" s="83"/>
      <c r="AP12" s="82"/>
      <c r="AS12" s="83"/>
      <c r="AW12" s="83"/>
      <c r="BA12" s="84"/>
    </row>
    <row r="13" spans="1:53" s="185" customFormat="1">
      <c r="A13" s="101">
        <v>1980</v>
      </c>
      <c r="B13" s="852"/>
      <c r="C13" s="917" t="s">
        <v>841</v>
      </c>
      <c r="D13" s="917"/>
      <c r="E13" s="185">
        <v>366</v>
      </c>
      <c r="G13" s="119"/>
      <c r="H13" s="185">
        <v>22</v>
      </c>
      <c r="J13" s="126">
        <v>24</v>
      </c>
      <c r="K13" s="92">
        <f t="shared" si="0"/>
        <v>0</v>
      </c>
      <c r="L13" s="92">
        <f t="shared" si="0"/>
        <v>91.666666666666657</v>
      </c>
      <c r="M13" s="92">
        <f t="shared" si="0"/>
        <v>0</v>
      </c>
      <c r="N13" s="121">
        <f t="shared" si="1"/>
        <v>91.666666666666657</v>
      </c>
      <c r="O13" s="91"/>
      <c r="P13" s="92">
        <v>48</v>
      </c>
      <c r="Q13" s="92"/>
      <c r="R13" s="93">
        <f t="shared" si="2"/>
        <v>48</v>
      </c>
      <c r="S13" s="185">
        <v>4</v>
      </c>
      <c r="T13" s="839"/>
      <c r="U13" s="852"/>
      <c r="V13" s="82" t="s">
        <v>477</v>
      </c>
      <c r="W13" s="185" t="s">
        <v>74</v>
      </c>
      <c r="X13" s="185" t="s">
        <v>18</v>
      </c>
      <c r="Y13" s="83">
        <v>48</v>
      </c>
      <c r="AD13" s="82"/>
      <c r="AG13" s="83"/>
      <c r="AL13" s="82"/>
      <c r="AO13" s="83"/>
      <c r="AP13" s="82"/>
      <c r="AS13" s="83"/>
      <c r="AW13" s="83"/>
      <c r="BA13" s="84"/>
    </row>
    <row r="14" spans="1:53" s="185" customFormat="1">
      <c r="A14" s="101">
        <v>1981</v>
      </c>
      <c r="B14" s="852"/>
      <c r="C14" s="917" t="s">
        <v>841</v>
      </c>
      <c r="D14" s="917"/>
      <c r="E14" s="185">
        <v>57</v>
      </c>
      <c r="G14" s="119"/>
      <c r="H14" s="185">
        <v>22</v>
      </c>
      <c r="J14" s="126">
        <v>24</v>
      </c>
      <c r="K14" s="92">
        <f t="shared" si="0"/>
        <v>0</v>
      </c>
      <c r="L14" s="92">
        <f t="shared" si="0"/>
        <v>91.666666666666657</v>
      </c>
      <c r="M14" s="92">
        <f t="shared" si="0"/>
        <v>0</v>
      </c>
      <c r="N14" s="121">
        <f t="shared" si="1"/>
        <v>91.666666666666657</v>
      </c>
      <c r="O14" s="91"/>
      <c r="P14" s="92">
        <v>48</v>
      </c>
      <c r="Q14" s="92"/>
      <c r="R14" s="93">
        <f t="shared" si="2"/>
        <v>48</v>
      </c>
      <c r="S14" s="185">
        <v>4</v>
      </c>
      <c r="T14" s="839"/>
      <c r="U14" s="852"/>
      <c r="V14" s="82" t="s">
        <v>477</v>
      </c>
      <c r="W14" s="185" t="s">
        <v>74</v>
      </c>
      <c r="X14" s="185" t="s">
        <v>18</v>
      </c>
      <c r="Y14" s="83">
        <v>48</v>
      </c>
      <c r="AD14" s="82"/>
      <c r="AG14" s="83"/>
      <c r="AL14" s="82"/>
      <c r="AO14" s="83"/>
      <c r="AP14" s="82"/>
      <c r="AS14" s="83"/>
      <c r="AW14" s="83"/>
      <c r="BA14" s="84"/>
    </row>
    <row r="15" spans="1:53" s="292" customFormat="1">
      <c r="A15" s="338">
        <v>1981</v>
      </c>
      <c r="B15" s="836">
        <v>29644</v>
      </c>
      <c r="C15" s="916" t="s">
        <v>842</v>
      </c>
      <c r="D15" s="916"/>
      <c r="E15" s="292">
        <v>308</v>
      </c>
      <c r="F15" s="292">
        <v>2</v>
      </c>
      <c r="G15" s="366"/>
      <c r="H15" s="292">
        <v>16</v>
      </c>
      <c r="J15" s="377">
        <v>16</v>
      </c>
      <c r="K15" s="336">
        <f t="shared" si="0"/>
        <v>0</v>
      </c>
      <c r="L15" s="336">
        <f t="shared" si="0"/>
        <v>100</v>
      </c>
      <c r="M15" s="336">
        <f t="shared" si="0"/>
        <v>0</v>
      </c>
      <c r="N15" s="368">
        <f t="shared" si="1"/>
        <v>100</v>
      </c>
      <c r="O15" s="335"/>
      <c r="P15" s="336">
        <v>48</v>
      </c>
      <c r="Q15" s="336"/>
      <c r="R15" s="337">
        <f t="shared" si="2"/>
        <v>48</v>
      </c>
      <c r="S15" s="292">
        <v>4</v>
      </c>
      <c r="T15" s="838"/>
      <c r="U15" s="836">
        <v>29644</v>
      </c>
      <c r="V15" s="299" t="s">
        <v>477</v>
      </c>
      <c r="W15" s="292" t="s">
        <v>74</v>
      </c>
      <c r="X15" s="292" t="s">
        <v>18</v>
      </c>
      <c r="Y15" s="300">
        <v>48</v>
      </c>
      <c r="AD15" s="299"/>
      <c r="AG15" s="300"/>
      <c r="AL15" s="299"/>
      <c r="AO15" s="300"/>
      <c r="AP15" s="299"/>
      <c r="AS15" s="300"/>
      <c r="AW15" s="300"/>
      <c r="BA15" s="301"/>
    </row>
    <row r="16" spans="1:53" s="292" customFormat="1">
      <c r="A16" s="338">
        <v>1982</v>
      </c>
      <c r="B16" s="836"/>
      <c r="C16" s="916" t="s">
        <v>842</v>
      </c>
      <c r="D16" s="916"/>
      <c r="E16" s="292">
        <v>336</v>
      </c>
      <c r="G16" s="366"/>
      <c r="H16" s="292">
        <v>16</v>
      </c>
      <c r="J16" s="377">
        <v>16</v>
      </c>
      <c r="K16" s="336">
        <f t="shared" si="0"/>
        <v>0</v>
      </c>
      <c r="L16" s="336">
        <f t="shared" si="0"/>
        <v>100</v>
      </c>
      <c r="M16" s="336">
        <f t="shared" si="0"/>
        <v>0</v>
      </c>
      <c r="N16" s="368">
        <f t="shared" si="1"/>
        <v>100</v>
      </c>
      <c r="O16" s="335"/>
      <c r="P16" s="336">
        <v>48</v>
      </c>
      <c r="Q16" s="336"/>
      <c r="R16" s="337">
        <f t="shared" si="2"/>
        <v>48</v>
      </c>
      <c r="S16" s="292">
        <v>4</v>
      </c>
      <c r="T16" s="838"/>
      <c r="U16" s="836"/>
      <c r="V16" s="299" t="s">
        <v>477</v>
      </c>
      <c r="W16" s="292" t="s">
        <v>74</v>
      </c>
      <c r="X16" s="292" t="s">
        <v>18</v>
      </c>
      <c r="Y16" s="300">
        <v>48</v>
      </c>
      <c r="AD16" s="299"/>
      <c r="AG16" s="300"/>
      <c r="AL16" s="299"/>
      <c r="AO16" s="300"/>
      <c r="AP16" s="299"/>
      <c r="AS16" s="300"/>
      <c r="AW16" s="300"/>
      <c r="BA16" s="301"/>
    </row>
    <row r="17" spans="1:53" s="185" customFormat="1">
      <c r="A17" s="101">
        <v>1982</v>
      </c>
      <c r="B17" s="852">
        <v>30288</v>
      </c>
      <c r="C17" s="917" t="s">
        <v>843</v>
      </c>
      <c r="D17" s="917"/>
      <c r="E17" s="185">
        <f>365-E16</f>
        <v>29</v>
      </c>
      <c r="F17" s="185">
        <v>1</v>
      </c>
      <c r="G17" s="119"/>
      <c r="I17" s="185">
        <v>17</v>
      </c>
      <c r="J17" s="126">
        <v>17</v>
      </c>
      <c r="K17" s="92">
        <f t="shared" si="0"/>
        <v>0</v>
      </c>
      <c r="L17" s="92">
        <f t="shared" si="0"/>
        <v>0</v>
      </c>
      <c r="M17" s="92">
        <f t="shared" si="0"/>
        <v>100</v>
      </c>
      <c r="N17" s="121">
        <f t="shared" si="1"/>
        <v>100</v>
      </c>
      <c r="O17" s="91"/>
      <c r="P17" s="92"/>
      <c r="Q17" s="92">
        <v>57.7</v>
      </c>
      <c r="R17" s="93">
        <f t="shared" si="2"/>
        <v>57.7</v>
      </c>
      <c r="S17" s="185">
        <v>1</v>
      </c>
      <c r="T17" s="839">
        <v>30124</v>
      </c>
      <c r="U17" s="852">
        <v>30288</v>
      </c>
      <c r="V17" s="82" t="s">
        <v>478</v>
      </c>
      <c r="W17" s="185" t="s">
        <v>20</v>
      </c>
      <c r="X17" s="185" t="s">
        <v>12</v>
      </c>
      <c r="Y17" s="83">
        <v>57.7</v>
      </c>
      <c r="AD17" s="82"/>
      <c r="AG17" s="83"/>
      <c r="AL17" s="82"/>
      <c r="AO17" s="83"/>
      <c r="AP17" s="82"/>
      <c r="AS17" s="83"/>
      <c r="AW17" s="83"/>
      <c r="BA17" s="84"/>
    </row>
    <row r="18" spans="1:53" s="185" customFormat="1">
      <c r="A18" s="101">
        <v>1983</v>
      </c>
      <c r="B18" s="852"/>
      <c r="C18" s="917" t="s">
        <v>843</v>
      </c>
      <c r="D18" s="917"/>
      <c r="E18" s="185">
        <v>0</v>
      </c>
      <c r="G18" s="119"/>
      <c r="I18" s="185">
        <v>17</v>
      </c>
      <c r="J18" s="126">
        <v>17</v>
      </c>
      <c r="K18" s="92">
        <f t="shared" si="0"/>
        <v>0</v>
      </c>
      <c r="L18" s="92">
        <f t="shared" si="0"/>
        <v>0</v>
      </c>
      <c r="M18" s="92">
        <f t="shared" si="0"/>
        <v>100</v>
      </c>
      <c r="N18" s="121">
        <f t="shared" si="1"/>
        <v>100</v>
      </c>
      <c r="O18" s="91"/>
      <c r="P18" s="92"/>
      <c r="Q18" s="92">
        <v>57.7</v>
      </c>
      <c r="R18" s="93">
        <f t="shared" si="2"/>
        <v>57.7</v>
      </c>
      <c r="S18" s="185">
        <v>1</v>
      </c>
      <c r="T18" s="839"/>
      <c r="U18" s="852"/>
      <c r="V18" s="82" t="s">
        <v>478</v>
      </c>
      <c r="W18" s="185" t="s">
        <v>20</v>
      </c>
      <c r="X18" s="185" t="s">
        <v>12</v>
      </c>
      <c r="Y18" s="83">
        <v>57.7</v>
      </c>
      <c r="AD18" s="82"/>
      <c r="AG18" s="83"/>
      <c r="AL18" s="82"/>
      <c r="AO18" s="83"/>
      <c r="AP18" s="82"/>
      <c r="AS18" s="83"/>
      <c r="AW18" s="83"/>
      <c r="BA18" s="84"/>
    </row>
    <row r="19" spans="1:53" s="185" customFormat="1">
      <c r="A19" s="101">
        <v>1983</v>
      </c>
      <c r="B19" s="852"/>
      <c r="C19" s="917" t="s">
        <v>843</v>
      </c>
      <c r="D19" s="917"/>
      <c r="E19" s="185">
        <v>365</v>
      </c>
      <c r="G19" s="119"/>
      <c r="I19" s="185">
        <v>17</v>
      </c>
      <c r="J19" s="126">
        <v>17</v>
      </c>
      <c r="K19" s="92">
        <f t="shared" si="0"/>
        <v>0</v>
      </c>
      <c r="L19" s="92">
        <f t="shared" si="0"/>
        <v>0</v>
      </c>
      <c r="M19" s="92">
        <f t="shared" si="0"/>
        <v>100</v>
      </c>
      <c r="N19" s="121">
        <f t="shared" si="1"/>
        <v>100</v>
      </c>
      <c r="O19" s="91"/>
      <c r="P19" s="92"/>
      <c r="Q19" s="92">
        <v>57.7</v>
      </c>
      <c r="R19" s="93">
        <f t="shared" si="2"/>
        <v>57.7</v>
      </c>
      <c r="S19" s="185">
        <v>1</v>
      </c>
      <c r="T19" s="839"/>
      <c r="U19" s="852"/>
      <c r="V19" s="82" t="s">
        <v>478</v>
      </c>
      <c r="W19" s="185" t="s">
        <v>20</v>
      </c>
      <c r="X19" s="185" t="s">
        <v>12</v>
      </c>
      <c r="Y19" s="83">
        <v>57.7</v>
      </c>
      <c r="AD19" s="82"/>
      <c r="AG19" s="83"/>
      <c r="AL19" s="82"/>
      <c r="AO19" s="83"/>
      <c r="AP19" s="82"/>
      <c r="AS19" s="83"/>
      <c r="AW19" s="83"/>
      <c r="BA19" s="84"/>
    </row>
    <row r="20" spans="1:53" s="185" customFormat="1">
      <c r="A20" s="101">
        <v>1984</v>
      </c>
      <c r="B20" s="852"/>
      <c r="C20" s="917" t="s">
        <v>843</v>
      </c>
      <c r="D20" s="917"/>
      <c r="E20" s="185">
        <v>0</v>
      </c>
      <c r="G20" s="119"/>
      <c r="I20" s="185">
        <v>17</v>
      </c>
      <c r="J20" s="126">
        <v>17</v>
      </c>
      <c r="K20" s="92">
        <f t="shared" si="0"/>
        <v>0</v>
      </c>
      <c r="L20" s="92">
        <f t="shared" si="0"/>
        <v>0</v>
      </c>
      <c r="M20" s="92">
        <f t="shared" si="0"/>
        <v>100</v>
      </c>
      <c r="N20" s="121">
        <f t="shared" si="1"/>
        <v>100</v>
      </c>
      <c r="O20" s="91"/>
      <c r="P20" s="92"/>
      <c r="Q20" s="92">
        <v>57.7</v>
      </c>
      <c r="R20" s="93">
        <f t="shared" si="2"/>
        <v>57.7</v>
      </c>
      <c r="S20" s="185">
        <v>1</v>
      </c>
      <c r="T20" s="839"/>
      <c r="U20" s="852"/>
      <c r="V20" s="82" t="s">
        <v>478</v>
      </c>
      <c r="W20" s="185" t="s">
        <v>20</v>
      </c>
      <c r="X20" s="185" t="s">
        <v>12</v>
      </c>
      <c r="Y20" s="83">
        <v>57.7</v>
      </c>
      <c r="AD20" s="82"/>
      <c r="AG20" s="83"/>
      <c r="AL20" s="82"/>
      <c r="AO20" s="83"/>
      <c r="AP20" s="82"/>
      <c r="AS20" s="83"/>
      <c r="AW20" s="83"/>
      <c r="BA20" s="84"/>
    </row>
    <row r="21" spans="1:53" s="185" customFormat="1">
      <c r="A21" s="101">
        <v>1984</v>
      </c>
      <c r="B21" s="852"/>
      <c r="C21" s="917" t="s">
        <v>843</v>
      </c>
      <c r="D21" s="917"/>
      <c r="E21" s="185">
        <v>366</v>
      </c>
      <c r="G21" s="119"/>
      <c r="I21" s="185">
        <v>17</v>
      </c>
      <c r="J21" s="126">
        <v>17</v>
      </c>
      <c r="K21" s="92">
        <f t="shared" si="0"/>
        <v>0</v>
      </c>
      <c r="L21" s="92">
        <f t="shared" si="0"/>
        <v>0</v>
      </c>
      <c r="M21" s="92">
        <f t="shared" si="0"/>
        <v>100</v>
      </c>
      <c r="N21" s="121">
        <f t="shared" si="1"/>
        <v>100</v>
      </c>
      <c r="O21" s="91"/>
      <c r="P21" s="92"/>
      <c r="Q21" s="92">
        <v>57.7</v>
      </c>
      <c r="R21" s="93">
        <f t="shared" si="2"/>
        <v>57.7</v>
      </c>
      <c r="S21" s="185">
        <v>1</v>
      </c>
      <c r="T21" s="839"/>
      <c r="U21" s="852"/>
      <c r="V21" s="82" t="s">
        <v>478</v>
      </c>
      <c r="W21" s="185" t="s">
        <v>20</v>
      </c>
      <c r="X21" s="185" t="s">
        <v>12</v>
      </c>
      <c r="Y21" s="83">
        <v>57.7</v>
      </c>
      <c r="AD21" s="82"/>
      <c r="AG21" s="83"/>
      <c r="AL21" s="82"/>
      <c r="AO21" s="83"/>
      <c r="AP21" s="82"/>
      <c r="AS21" s="83"/>
      <c r="AW21" s="83"/>
      <c r="BA21" s="84"/>
    </row>
    <row r="22" spans="1:53" s="185" customFormat="1">
      <c r="A22" s="101">
        <v>1985</v>
      </c>
      <c r="B22" s="852"/>
      <c r="C22" s="917" t="s">
        <v>843</v>
      </c>
      <c r="D22" s="917"/>
      <c r="E22" s="185">
        <v>0</v>
      </c>
      <c r="G22" s="119"/>
      <c r="I22" s="185">
        <v>17</v>
      </c>
      <c r="J22" s="126">
        <v>17</v>
      </c>
      <c r="K22" s="92">
        <f t="shared" si="0"/>
        <v>0</v>
      </c>
      <c r="L22" s="92">
        <f t="shared" si="0"/>
        <v>0</v>
      </c>
      <c r="M22" s="92">
        <f t="shared" si="0"/>
        <v>100</v>
      </c>
      <c r="N22" s="121">
        <f t="shared" si="1"/>
        <v>100</v>
      </c>
      <c r="O22" s="91"/>
      <c r="P22" s="92"/>
      <c r="Q22" s="92">
        <v>57.7</v>
      </c>
      <c r="R22" s="93">
        <f t="shared" si="2"/>
        <v>57.7</v>
      </c>
      <c r="S22" s="185">
        <v>1</v>
      </c>
      <c r="T22" s="839"/>
      <c r="U22" s="852"/>
      <c r="V22" s="82" t="s">
        <v>478</v>
      </c>
      <c r="W22" s="185" t="s">
        <v>20</v>
      </c>
      <c r="X22" s="185" t="s">
        <v>12</v>
      </c>
      <c r="Y22" s="83">
        <v>57.7</v>
      </c>
      <c r="AD22" s="82"/>
      <c r="AG22" s="83"/>
      <c r="AL22" s="82"/>
      <c r="AO22" s="83"/>
      <c r="AP22" s="82"/>
      <c r="AS22" s="83"/>
      <c r="AW22" s="83"/>
      <c r="BA22" s="84"/>
    </row>
    <row r="23" spans="1:53" s="185" customFormat="1">
      <c r="A23" s="101">
        <v>1985</v>
      </c>
      <c r="B23" s="852"/>
      <c r="C23" s="917" t="s">
        <v>843</v>
      </c>
      <c r="D23" s="917"/>
      <c r="E23" s="185">
        <v>365</v>
      </c>
      <c r="G23" s="119"/>
      <c r="I23" s="185">
        <v>17</v>
      </c>
      <c r="J23" s="126">
        <v>17</v>
      </c>
      <c r="K23" s="92">
        <f t="shared" si="0"/>
        <v>0</v>
      </c>
      <c r="L23" s="92">
        <f t="shared" si="0"/>
        <v>0</v>
      </c>
      <c r="M23" s="92">
        <f t="shared" si="0"/>
        <v>100</v>
      </c>
      <c r="N23" s="121">
        <f t="shared" si="1"/>
        <v>100</v>
      </c>
      <c r="O23" s="91"/>
      <c r="P23" s="92"/>
      <c r="Q23" s="92">
        <v>57.7</v>
      </c>
      <c r="R23" s="93">
        <f t="shared" si="2"/>
        <v>57.7</v>
      </c>
      <c r="S23" s="185">
        <v>1</v>
      </c>
      <c r="T23" s="839"/>
      <c r="U23" s="852"/>
      <c r="V23" s="82" t="s">
        <v>478</v>
      </c>
      <c r="W23" s="185" t="s">
        <v>20</v>
      </c>
      <c r="X23" s="185" t="s">
        <v>12</v>
      </c>
      <c r="Y23" s="83">
        <v>57.7</v>
      </c>
      <c r="AD23" s="82"/>
      <c r="AG23" s="83"/>
      <c r="AL23" s="82"/>
      <c r="AO23" s="83"/>
      <c r="AP23" s="82"/>
      <c r="AS23" s="83"/>
      <c r="AW23" s="83"/>
      <c r="BA23" s="84"/>
    </row>
    <row r="24" spans="1:53" s="185" customFormat="1">
      <c r="A24" s="101">
        <v>1986</v>
      </c>
      <c r="B24" s="852"/>
      <c r="C24" s="917" t="s">
        <v>843</v>
      </c>
      <c r="D24" s="917"/>
      <c r="E24" s="185">
        <v>209</v>
      </c>
      <c r="G24" s="119"/>
      <c r="I24" s="185">
        <v>17</v>
      </c>
      <c r="J24" s="126">
        <v>17</v>
      </c>
      <c r="K24" s="92">
        <f t="shared" ref="K24:M79" si="3">G24/$J24*100</f>
        <v>0</v>
      </c>
      <c r="L24" s="92">
        <f t="shared" si="3"/>
        <v>0</v>
      </c>
      <c r="M24" s="92">
        <f t="shared" si="3"/>
        <v>100</v>
      </c>
      <c r="N24" s="121">
        <f t="shared" si="1"/>
        <v>100</v>
      </c>
      <c r="O24" s="91"/>
      <c r="P24" s="92"/>
      <c r="Q24" s="92">
        <v>57.7</v>
      </c>
      <c r="R24" s="93">
        <f t="shared" si="2"/>
        <v>57.7</v>
      </c>
      <c r="S24" s="185">
        <v>1</v>
      </c>
      <c r="T24" s="839"/>
      <c r="U24" s="852"/>
      <c r="V24" s="82" t="s">
        <v>478</v>
      </c>
      <c r="W24" s="185" t="s">
        <v>20</v>
      </c>
      <c r="X24" s="185" t="s">
        <v>12</v>
      </c>
      <c r="Y24" s="83">
        <v>57.7</v>
      </c>
      <c r="AD24" s="82"/>
      <c r="AG24" s="83"/>
      <c r="AL24" s="82"/>
      <c r="AO24" s="83"/>
      <c r="AP24" s="82"/>
      <c r="AS24" s="83"/>
      <c r="AW24" s="83"/>
      <c r="BA24" s="84"/>
    </row>
    <row r="25" spans="1:53" s="292" customFormat="1">
      <c r="A25" s="338">
        <v>1986</v>
      </c>
      <c r="B25" s="836">
        <v>31619</v>
      </c>
      <c r="C25" s="916" t="s">
        <v>844</v>
      </c>
      <c r="D25" s="916"/>
      <c r="E25" s="292">
        <f>365-E24</f>
        <v>156</v>
      </c>
      <c r="F25" s="292">
        <v>1</v>
      </c>
      <c r="G25" s="366"/>
      <c r="I25" s="292">
        <v>17</v>
      </c>
      <c r="J25" s="377">
        <v>17</v>
      </c>
      <c r="K25" s="336">
        <f t="shared" si="3"/>
        <v>0</v>
      </c>
      <c r="L25" s="336">
        <f t="shared" si="3"/>
        <v>0</v>
      </c>
      <c r="M25" s="336">
        <f t="shared" si="3"/>
        <v>100</v>
      </c>
      <c r="N25" s="368">
        <f t="shared" si="1"/>
        <v>100</v>
      </c>
      <c r="O25" s="335"/>
      <c r="P25" s="336"/>
      <c r="Q25" s="336">
        <v>52.6</v>
      </c>
      <c r="R25" s="337">
        <f t="shared" si="2"/>
        <v>52.6</v>
      </c>
      <c r="S25" s="292">
        <v>1</v>
      </c>
      <c r="T25" s="838">
        <v>31585</v>
      </c>
      <c r="U25" s="836">
        <v>31619</v>
      </c>
      <c r="V25" s="299" t="s">
        <v>478</v>
      </c>
      <c r="W25" s="292" t="s">
        <v>20</v>
      </c>
      <c r="X25" s="292" t="s">
        <v>12</v>
      </c>
      <c r="Y25" s="300">
        <v>52.6</v>
      </c>
      <c r="AD25" s="299"/>
      <c r="AG25" s="300"/>
      <c r="AL25" s="299"/>
      <c r="AO25" s="300"/>
      <c r="AP25" s="299"/>
      <c r="AS25" s="300"/>
      <c r="AW25" s="300"/>
      <c r="BA25" s="301"/>
    </row>
    <row r="26" spans="1:53" s="292" customFormat="1">
      <c r="A26" s="338">
        <v>1987</v>
      </c>
      <c r="B26" s="836"/>
      <c r="C26" s="916" t="s">
        <v>844</v>
      </c>
      <c r="D26" s="916"/>
      <c r="E26" s="292">
        <v>0</v>
      </c>
      <c r="G26" s="366"/>
      <c r="I26" s="292">
        <v>17</v>
      </c>
      <c r="J26" s="377">
        <v>17</v>
      </c>
      <c r="K26" s="336">
        <f t="shared" si="3"/>
        <v>0</v>
      </c>
      <c r="L26" s="336">
        <f t="shared" si="3"/>
        <v>0</v>
      </c>
      <c r="M26" s="336">
        <f t="shared" si="3"/>
        <v>100</v>
      </c>
      <c r="N26" s="368">
        <f t="shared" si="1"/>
        <v>100</v>
      </c>
      <c r="O26" s="335"/>
      <c r="P26" s="336"/>
      <c r="Q26" s="336">
        <v>52.6</v>
      </c>
      <c r="R26" s="337">
        <f t="shared" si="2"/>
        <v>52.6</v>
      </c>
      <c r="S26" s="292">
        <v>1</v>
      </c>
      <c r="T26" s="838"/>
      <c r="U26" s="836"/>
      <c r="V26" s="299" t="s">
        <v>478</v>
      </c>
      <c r="W26" s="292" t="s">
        <v>20</v>
      </c>
      <c r="X26" s="292" t="s">
        <v>12</v>
      </c>
      <c r="Y26" s="300">
        <v>52.6</v>
      </c>
      <c r="AD26" s="299"/>
      <c r="AG26" s="300"/>
      <c r="AL26" s="299"/>
      <c r="AO26" s="300"/>
      <c r="AP26" s="299"/>
      <c r="AS26" s="300"/>
      <c r="AW26" s="300"/>
      <c r="BA26" s="301"/>
    </row>
    <row r="27" spans="1:53" s="292" customFormat="1">
      <c r="A27" s="338">
        <v>1987</v>
      </c>
      <c r="B27" s="836"/>
      <c r="C27" s="916" t="s">
        <v>844</v>
      </c>
      <c r="D27" s="916"/>
      <c r="E27" s="292">
        <v>365</v>
      </c>
      <c r="G27" s="366"/>
      <c r="I27" s="292">
        <v>17</v>
      </c>
      <c r="J27" s="377">
        <v>17</v>
      </c>
      <c r="K27" s="336">
        <f t="shared" si="3"/>
        <v>0</v>
      </c>
      <c r="L27" s="336">
        <f t="shared" si="3"/>
        <v>0</v>
      </c>
      <c r="M27" s="336">
        <f t="shared" si="3"/>
        <v>100</v>
      </c>
      <c r="N27" s="368">
        <f t="shared" si="1"/>
        <v>100</v>
      </c>
      <c r="O27" s="335"/>
      <c r="P27" s="336"/>
      <c r="Q27" s="336">
        <v>52.6</v>
      </c>
      <c r="R27" s="337">
        <f t="shared" si="2"/>
        <v>52.6</v>
      </c>
      <c r="S27" s="292">
        <v>1</v>
      </c>
      <c r="T27" s="838"/>
      <c r="U27" s="836"/>
      <c r="V27" s="299" t="s">
        <v>478</v>
      </c>
      <c r="W27" s="292" t="s">
        <v>20</v>
      </c>
      <c r="X27" s="292" t="s">
        <v>12</v>
      </c>
      <c r="Y27" s="300">
        <v>52.6</v>
      </c>
      <c r="AD27" s="299"/>
      <c r="AG27" s="300"/>
      <c r="AL27" s="299"/>
      <c r="AO27" s="300"/>
      <c r="AP27" s="299"/>
      <c r="AS27" s="300"/>
      <c r="AW27" s="300"/>
      <c r="BA27" s="301"/>
    </row>
    <row r="28" spans="1:53" s="292" customFormat="1">
      <c r="A28" s="338">
        <v>1988</v>
      </c>
      <c r="B28" s="836"/>
      <c r="C28" s="916" t="s">
        <v>844</v>
      </c>
      <c r="D28" s="916"/>
      <c r="E28" s="292">
        <v>0</v>
      </c>
      <c r="G28" s="366"/>
      <c r="I28" s="292">
        <v>17</v>
      </c>
      <c r="J28" s="377">
        <v>17</v>
      </c>
      <c r="K28" s="336">
        <f t="shared" si="3"/>
        <v>0</v>
      </c>
      <c r="L28" s="336">
        <f t="shared" si="3"/>
        <v>0</v>
      </c>
      <c r="M28" s="336">
        <f t="shared" si="3"/>
        <v>100</v>
      </c>
      <c r="N28" s="368">
        <f t="shared" si="1"/>
        <v>100</v>
      </c>
      <c r="O28" s="335"/>
      <c r="P28" s="336"/>
      <c r="Q28" s="336">
        <v>52.6</v>
      </c>
      <c r="R28" s="337">
        <f t="shared" si="2"/>
        <v>52.6</v>
      </c>
      <c r="S28" s="292">
        <v>1</v>
      </c>
      <c r="T28" s="838"/>
      <c r="U28" s="836"/>
      <c r="V28" s="299" t="s">
        <v>478</v>
      </c>
      <c r="W28" s="292" t="s">
        <v>20</v>
      </c>
      <c r="X28" s="292" t="s">
        <v>12</v>
      </c>
      <c r="Y28" s="300">
        <v>52.6</v>
      </c>
      <c r="AD28" s="299"/>
      <c r="AG28" s="300"/>
      <c r="AL28" s="299"/>
      <c r="AO28" s="300"/>
      <c r="AP28" s="299"/>
      <c r="AS28" s="300"/>
      <c r="AW28" s="300"/>
      <c r="BA28" s="301"/>
    </row>
    <row r="29" spans="1:53" s="292" customFormat="1">
      <c r="A29" s="338">
        <v>1988</v>
      </c>
      <c r="B29" s="836"/>
      <c r="C29" s="916" t="s">
        <v>844</v>
      </c>
      <c r="D29" s="916"/>
      <c r="E29" s="292">
        <v>366</v>
      </c>
      <c r="G29" s="366"/>
      <c r="I29" s="292">
        <v>17</v>
      </c>
      <c r="J29" s="377">
        <v>17</v>
      </c>
      <c r="K29" s="336">
        <f t="shared" si="3"/>
        <v>0</v>
      </c>
      <c r="L29" s="336">
        <f t="shared" si="3"/>
        <v>0</v>
      </c>
      <c r="M29" s="336">
        <f t="shared" si="3"/>
        <v>100</v>
      </c>
      <c r="N29" s="368">
        <f t="shared" si="1"/>
        <v>100</v>
      </c>
      <c r="O29" s="335"/>
      <c r="P29" s="336"/>
      <c r="Q29" s="336">
        <v>52.6</v>
      </c>
      <c r="R29" s="337">
        <f t="shared" si="2"/>
        <v>52.6</v>
      </c>
      <c r="S29" s="292">
        <v>1</v>
      </c>
      <c r="T29" s="838"/>
      <c r="U29" s="836"/>
      <c r="V29" s="299" t="s">
        <v>478</v>
      </c>
      <c r="W29" s="292" t="s">
        <v>20</v>
      </c>
      <c r="X29" s="292" t="s">
        <v>12</v>
      </c>
      <c r="Y29" s="300">
        <v>52.6</v>
      </c>
      <c r="AD29" s="299"/>
      <c r="AG29" s="300"/>
      <c r="AL29" s="299"/>
      <c r="AO29" s="300"/>
      <c r="AP29" s="299"/>
      <c r="AS29" s="300"/>
      <c r="AW29" s="300"/>
      <c r="BA29" s="301"/>
    </row>
    <row r="30" spans="1:53" s="292" customFormat="1">
      <c r="A30" s="338">
        <v>1989</v>
      </c>
      <c r="B30" s="836"/>
      <c r="C30" s="916" t="s">
        <v>844</v>
      </c>
      <c r="D30" s="916"/>
      <c r="E30" s="292">
        <v>340</v>
      </c>
      <c r="G30" s="366"/>
      <c r="I30" s="292">
        <v>17</v>
      </c>
      <c r="J30" s="377">
        <v>17</v>
      </c>
      <c r="K30" s="336">
        <f t="shared" si="3"/>
        <v>0</v>
      </c>
      <c r="L30" s="336">
        <f t="shared" si="3"/>
        <v>0</v>
      </c>
      <c r="M30" s="336">
        <f t="shared" si="3"/>
        <v>100</v>
      </c>
      <c r="N30" s="368">
        <f t="shared" si="1"/>
        <v>100</v>
      </c>
      <c r="O30" s="335"/>
      <c r="P30" s="336"/>
      <c r="Q30" s="336">
        <v>52.6</v>
      </c>
      <c r="R30" s="337">
        <f t="shared" si="2"/>
        <v>52.6</v>
      </c>
      <c r="S30" s="292">
        <v>1</v>
      </c>
      <c r="T30" s="838"/>
      <c r="U30" s="836"/>
      <c r="V30" s="299" t="s">
        <v>478</v>
      </c>
      <c r="W30" s="292" t="s">
        <v>20</v>
      </c>
      <c r="X30" s="292" t="s">
        <v>12</v>
      </c>
      <c r="Y30" s="300">
        <v>52.6</v>
      </c>
      <c r="AD30" s="299"/>
      <c r="AG30" s="300"/>
      <c r="AL30" s="299"/>
      <c r="AO30" s="300"/>
      <c r="AP30" s="299"/>
      <c r="AS30" s="300"/>
      <c r="AW30" s="300"/>
      <c r="BA30" s="301"/>
    </row>
    <row r="31" spans="1:53" s="185" customFormat="1">
      <c r="A31" s="101">
        <v>1989</v>
      </c>
      <c r="B31" s="852">
        <v>32849</v>
      </c>
      <c r="C31" s="917" t="s">
        <v>845</v>
      </c>
      <c r="D31" s="917"/>
      <c r="E31" s="185">
        <f>365-E30</f>
        <v>25</v>
      </c>
      <c r="F31" s="185">
        <v>1</v>
      </c>
      <c r="G31" s="119"/>
      <c r="I31" s="185">
        <v>19</v>
      </c>
      <c r="J31" s="126">
        <v>19</v>
      </c>
      <c r="K31" s="92">
        <f t="shared" si="3"/>
        <v>0</v>
      </c>
      <c r="L31" s="92">
        <f t="shared" si="3"/>
        <v>0</v>
      </c>
      <c r="M31" s="92">
        <f t="shared" si="3"/>
        <v>100</v>
      </c>
      <c r="N31" s="121">
        <f t="shared" si="1"/>
        <v>100</v>
      </c>
      <c r="O31" s="91"/>
      <c r="P31" s="92"/>
      <c r="Q31" s="92">
        <v>50</v>
      </c>
      <c r="R31" s="93">
        <f t="shared" si="2"/>
        <v>50</v>
      </c>
      <c r="S31" s="185">
        <v>4</v>
      </c>
      <c r="T31" s="839">
        <v>32810</v>
      </c>
      <c r="U31" s="852">
        <v>32849</v>
      </c>
      <c r="V31" s="82" t="s">
        <v>478</v>
      </c>
      <c r="W31" s="185" t="s">
        <v>20</v>
      </c>
      <c r="X31" s="185" t="s">
        <v>12</v>
      </c>
      <c r="Y31" s="83">
        <v>50</v>
      </c>
      <c r="AD31" s="82"/>
      <c r="AG31" s="83"/>
      <c r="AL31" s="82"/>
      <c r="AO31" s="83"/>
      <c r="AP31" s="82"/>
      <c r="AS31" s="83"/>
      <c r="AW31" s="83"/>
      <c r="BA31" s="84"/>
    </row>
    <row r="32" spans="1:53" s="186" customFormat="1">
      <c r="A32" s="186">
        <v>1990</v>
      </c>
      <c r="B32" s="874"/>
      <c r="C32" s="960" t="s">
        <v>845</v>
      </c>
      <c r="D32" s="960"/>
      <c r="E32" s="186">
        <v>0</v>
      </c>
      <c r="G32" s="151"/>
      <c r="I32" s="186">
        <v>19</v>
      </c>
      <c r="J32" s="152">
        <v>19</v>
      </c>
      <c r="K32" s="155">
        <f t="shared" si="3"/>
        <v>0</v>
      </c>
      <c r="L32" s="153">
        <f t="shared" si="3"/>
        <v>0</v>
      </c>
      <c r="M32" s="153">
        <f t="shared" si="3"/>
        <v>100</v>
      </c>
      <c r="N32" s="156">
        <f t="shared" si="1"/>
        <v>100</v>
      </c>
      <c r="O32" s="155"/>
      <c r="P32" s="153"/>
      <c r="Q32" s="153">
        <v>50</v>
      </c>
      <c r="R32" s="156">
        <f t="shared" si="2"/>
        <v>50</v>
      </c>
      <c r="S32" s="186">
        <v>4</v>
      </c>
      <c r="T32" s="875"/>
      <c r="U32" s="874"/>
      <c r="V32" s="157" t="s">
        <v>478</v>
      </c>
      <c r="W32" s="186" t="s">
        <v>20</v>
      </c>
      <c r="X32" s="186" t="s">
        <v>12</v>
      </c>
      <c r="Y32" s="158">
        <v>50</v>
      </c>
      <c r="AD32" s="157"/>
      <c r="AG32" s="158"/>
      <c r="AL32" s="157"/>
      <c r="AO32" s="158"/>
      <c r="AP32" s="157"/>
      <c r="AS32" s="158"/>
      <c r="AW32" s="158"/>
      <c r="BA32" s="159"/>
    </row>
    <row r="33" spans="1:53" s="185" customFormat="1">
      <c r="A33" s="185">
        <v>1990</v>
      </c>
      <c r="B33" s="852"/>
      <c r="C33" s="917" t="s">
        <v>845</v>
      </c>
      <c r="D33" s="917"/>
      <c r="E33" s="185">
        <f>365-E32</f>
        <v>365</v>
      </c>
      <c r="G33" s="119"/>
      <c r="I33" s="185">
        <v>19</v>
      </c>
      <c r="J33" s="126">
        <v>19</v>
      </c>
      <c r="K33" s="92">
        <f t="shared" si="3"/>
        <v>0</v>
      </c>
      <c r="L33" s="92">
        <f t="shared" si="3"/>
        <v>0</v>
      </c>
      <c r="M33" s="92">
        <f t="shared" si="3"/>
        <v>100</v>
      </c>
      <c r="N33" s="121">
        <f t="shared" si="1"/>
        <v>100</v>
      </c>
      <c r="O33" s="91"/>
      <c r="P33" s="92"/>
      <c r="Q33" s="92">
        <v>50</v>
      </c>
      <c r="R33" s="93">
        <f t="shared" si="2"/>
        <v>50</v>
      </c>
      <c r="S33" s="185">
        <v>4</v>
      </c>
      <c r="T33" s="839"/>
      <c r="U33" s="852"/>
      <c r="V33" s="82" t="s">
        <v>478</v>
      </c>
      <c r="W33" s="185" t="s">
        <v>20</v>
      </c>
      <c r="X33" s="185" t="s">
        <v>12</v>
      </c>
      <c r="Y33" s="83">
        <v>50</v>
      </c>
      <c r="AD33" s="82"/>
      <c r="AG33" s="83"/>
      <c r="AL33" s="82"/>
      <c r="AO33" s="83"/>
      <c r="AP33" s="82"/>
      <c r="AS33" s="83"/>
      <c r="AW33" s="83"/>
      <c r="BA33" s="84"/>
    </row>
    <row r="34" spans="1:53" s="185" customFormat="1">
      <c r="A34" s="185">
        <v>1991</v>
      </c>
      <c r="B34" s="852"/>
      <c r="C34" s="917" t="s">
        <v>845</v>
      </c>
      <c r="D34" s="917"/>
      <c r="E34" s="185">
        <v>0</v>
      </c>
      <c r="G34" s="119"/>
      <c r="I34" s="185">
        <v>19</v>
      </c>
      <c r="J34" s="126">
        <v>19</v>
      </c>
      <c r="K34" s="92">
        <f t="shared" si="3"/>
        <v>0</v>
      </c>
      <c r="L34" s="92">
        <f t="shared" si="3"/>
        <v>0</v>
      </c>
      <c r="M34" s="92">
        <f t="shared" si="3"/>
        <v>100</v>
      </c>
      <c r="N34" s="121">
        <f t="shared" si="1"/>
        <v>100</v>
      </c>
      <c r="O34" s="91"/>
      <c r="P34" s="92"/>
      <c r="Q34" s="92">
        <v>50</v>
      </c>
      <c r="R34" s="93">
        <f t="shared" si="2"/>
        <v>50</v>
      </c>
      <c r="S34" s="185">
        <v>4</v>
      </c>
      <c r="T34" s="839"/>
      <c r="U34" s="852"/>
      <c r="V34" s="82" t="s">
        <v>478</v>
      </c>
      <c r="W34" s="185" t="s">
        <v>20</v>
      </c>
      <c r="X34" s="185" t="s">
        <v>12</v>
      </c>
      <c r="Y34" s="83">
        <v>50</v>
      </c>
      <c r="AD34" s="82"/>
      <c r="AG34" s="83"/>
      <c r="AL34" s="82"/>
      <c r="AO34" s="83"/>
      <c r="AP34" s="82"/>
      <c r="AS34" s="83"/>
      <c r="AW34" s="83"/>
      <c r="BA34" s="84"/>
    </row>
    <row r="35" spans="1:53" s="185" customFormat="1">
      <c r="A35" s="185">
        <v>1991</v>
      </c>
      <c r="B35" s="852"/>
      <c r="C35" s="917" t="s">
        <v>845</v>
      </c>
      <c r="D35" s="917"/>
      <c r="E35" s="185">
        <f>365-E34</f>
        <v>365</v>
      </c>
      <c r="G35" s="119"/>
      <c r="I35" s="185">
        <v>19</v>
      </c>
      <c r="J35" s="126">
        <v>19</v>
      </c>
      <c r="K35" s="92">
        <f t="shared" si="3"/>
        <v>0</v>
      </c>
      <c r="L35" s="92">
        <f t="shared" si="3"/>
        <v>0</v>
      </c>
      <c r="M35" s="92">
        <f t="shared" si="3"/>
        <v>100</v>
      </c>
      <c r="N35" s="121">
        <f t="shared" si="1"/>
        <v>100</v>
      </c>
      <c r="O35" s="91"/>
      <c r="P35" s="92"/>
      <c r="Q35" s="92">
        <v>50</v>
      </c>
      <c r="R35" s="93">
        <f t="shared" si="2"/>
        <v>50</v>
      </c>
      <c r="S35" s="206">
        <v>4</v>
      </c>
      <c r="T35" s="839"/>
      <c r="U35" s="852"/>
      <c r="V35" s="82" t="s">
        <v>478</v>
      </c>
      <c r="W35" s="185" t="s">
        <v>20</v>
      </c>
      <c r="X35" s="185" t="s">
        <v>12</v>
      </c>
      <c r="Y35" s="83">
        <v>50</v>
      </c>
      <c r="AD35" s="82"/>
      <c r="AG35" s="83"/>
      <c r="AL35" s="82"/>
      <c r="AO35" s="83"/>
      <c r="AP35" s="82"/>
      <c r="AS35" s="83"/>
      <c r="AW35" s="83"/>
      <c r="BA35" s="84"/>
    </row>
    <row r="36" spans="1:53" s="185" customFormat="1">
      <c r="A36" s="185">
        <v>1992</v>
      </c>
      <c r="B36" s="852"/>
      <c r="C36" s="917" t="s">
        <v>845</v>
      </c>
      <c r="D36" s="917"/>
      <c r="E36" s="185">
        <v>0</v>
      </c>
      <c r="G36" s="119"/>
      <c r="I36" s="185">
        <v>18</v>
      </c>
      <c r="J36" s="126">
        <v>18</v>
      </c>
      <c r="K36" s="92">
        <f t="shared" si="3"/>
        <v>0</v>
      </c>
      <c r="L36" s="92">
        <f t="shared" si="3"/>
        <v>0</v>
      </c>
      <c r="M36" s="92">
        <f t="shared" si="3"/>
        <v>100</v>
      </c>
      <c r="N36" s="121">
        <f t="shared" si="1"/>
        <v>100</v>
      </c>
      <c r="O36" s="91"/>
      <c r="P36" s="92"/>
      <c r="Q36" s="92">
        <v>50</v>
      </c>
      <c r="R36" s="93">
        <f t="shared" si="2"/>
        <v>50</v>
      </c>
      <c r="S36" s="206">
        <v>4</v>
      </c>
      <c r="T36" s="839"/>
      <c r="U36" s="852"/>
      <c r="V36" s="82" t="s">
        <v>478</v>
      </c>
      <c r="W36" s="185" t="s">
        <v>20</v>
      </c>
      <c r="X36" s="185" t="s">
        <v>12</v>
      </c>
      <c r="Y36" s="83">
        <v>50</v>
      </c>
      <c r="AD36" s="82"/>
      <c r="AG36" s="83"/>
      <c r="AL36" s="82"/>
      <c r="AO36" s="83"/>
      <c r="AP36" s="82"/>
      <c r="AS36" s="83"/>
      <c r="AW36" s="83"/>
      <c r="BA36" s="84"/>
    </row>
    <row r="37" spans="1:53" s="185" customFormat="1">
      <c r="A37" s="185">
        <v>1992</v>
      </c>
      <c r="B37" s="852"/>
      <c r="C37" s="917" t="s">
        <v>845</v>
      </c>
      <c r="D37" s="917"/>
      <c r="E37" s="185">
        <v>366</v>
      </c>
      <c r="G37" s="119"/>
      <c r="I37" s="185">
        <v>18</v>
      </c>
      <c r="J37" s="126">
        <v>18</v>
      </c>
      <c r="K37" s="92">
        <f t="shared" si="3"/>
        <v>0</v>
      </c>
      <c r="L37" s="92">
        <f t="shared" si="3"/>
        <v>0</v>
      </c>
      <c r="M37" s="92">
        <f t="shared" si="3"/>
        <v>100</v>
      </c>
      <c r="N37" s="121">
        <f t="shared" si="1"/>
        <v>100</v>
      </c>
      <c r="O37" s="91"/>
      <c r="P37" s="92"/>
      <c r="Q37" s="92">
        <v>50</v>
      </c>
      <c r="R37" s="93">
        <f t="shared" si="2"/>
        <v>50</v>
      </c>
      <c r="S37" s="206">
        <v>4</v>
      </c>
      <c r="T37" s="839"/>
      <c r="U37" s="852"/>
      <c r="V37" s="82" t="s">
        <v>478</v>
      </c>
      <c r="W37" s="185" t="s">
        <v>20</v>
      </c>
      <c r="X37" s="185" t="s">
        <v>12</v>
      </c>
      <c r="Y37" s="83">
        <v>50</v>
      </c>
      <c r="AD37" s="82"/>
      <c r="AG37" s="83"/>
      <c r="AL37" s="82"/>
      <c r="AO37" s="83"/>
      <c r="AP37" s="82"/>
      <c r="AS37" s="83"/>
      <c r="AW37" s="83"/>
      <c r="BA37" s="84"/>
    </row>
    <row r="38" spans="1:53" s="185" customFormat="1">
      <c r="A38" s="185">
        <v>1993</v>
      </c>
      <c r="B38" s="852"/>
      <c r="C38" s="917" t="s">
        <v>845</v>
      </c>
      <c r="D38" s="917"/>
      <c r="E38" s="185">
        <v>194</v>
      </c>
      <c r="G38" s="119"/>
      <c r="I38" s="185">
        <v>18</v>
      </c>
      <c r="J38" s="126">
        <v>18</v>
      </c>
      <c r="K38" s="92">
        <f t="shared" si="3"/>
        <v>0</v>
      </c>
      <c r="L38" s="92">
        <f t="shared" si="3"/>
        <v>0</v>
      </c>
      <c r="M38" s="92">
        <f t="shared" si="3"/>
        <v>100</v>
      </c>
      <c r="N38" s="121">
        <f t="shared" si="1"/>
        <v>100</v>
      </c>
      <c r="O38" s="91"/>
      <c r="P38" s="92"/>
      <c r="Q38" s="92">
        <v>50</v>
      </c>
      <c r="R38" s="93">
        <f t="shared" si="2"/>
        <v>50</v>
      </c>
      <c r="S38" s="206">
        <v>4</v>
      </c>
      <c r="T38" s="839"/>
      <c r="U38" s="852"/>
      <c r="V38" s="82" t="s">
        <v>478</v>
      </c>
      <c r="W38" s="185" t="s">
        <v>20</v>
      </c>
      <c r="X38" s="185" t="s">
        <v>12</v>
      </c>
      <c r="Y38" s="83">
        <v>50</v>
      </c>
      <c r="AD38" s="82"/>
      <c r="AG38" s="83"/>
      <c r="AL38" s="82"/>
      <c r="AO38" s="83"/>
      <c r="AP38" s="82"/>
      <c r="AS38" s="83"/>
      <c r="AW38" s="83"/>
      <c r="BA38" s="84"/>
    </row>
    <row r="39" spans="1:53" s="292" customFormat="1">
      <c r="A39" s="292">
        <v>1993</v>
      </c>
      <c r="B39" s="836">
        <v>34164</v>
      </c>
      <c r="C39" s="916" t="s">
        <v>846</v>
      </c>
      <c r="D39" s="916"/>
      <c r="E39" s="292">
        <f>365-E38</f>
        <v>171</v>
      </c>
      <c r="F39" s="292">
        <v>1</v>
      </c>
      <c r="G39" s="366"/>
      <c r="I39" s="292">
        <v>18</v>
      </c>
      <c r="J39" s="377">
        <v>18</v>
      </c>
      <c r="K39" s="336">
        <f t="shared" si="3"/>
        <v>0</v>
      </c>
      <c r="L39" s="336">
        <f t="shared" si="3"/>
        <v>0</v>
      </c>
      <c r="M39" s="336">
        <f t="shared" si="3"/>
        <v>100</v>
      </c>
      <c r="N39" s="368">
        <f t="shared" si="1"/>
        <v>100</v>
      </c>
      <c r="O39" s="335"/>
      <c r="P39" s="336"/>
      <c r="Q39" s="336">
        <v>45.4</v>
      </c>
      <c r="R39" s="337">
        <f t="shared" si="2"/>
        <v>45.4</v>
      </c>
      <c r="S39" s="292">
        <v>4</v>
      </c>
      <c r="T39" s="838">
        <v>34126</v>
      </c>
      <c r="U39" s="836">
        <v>34164</v>
      </c>
      <c r="V39" s="299" t="s">
        <v>478</v>
      </c>
      <c r="W39" s="292" t="s">
        <v>20</v>
      </c>
      <c r="X39" s="292" t="s">
        <v>12</v>
      </c>
      <c r="Y39" s="300">
        <v>45.4</v>
      </c>
      <c r="AD39" s="299"/>
      <c r="AG39" s="300"/>
      <c r="AL39" s="299"/>
      <c r="AO39" s="300"/>
      <c r="AP39" s="299"/>
      <c r="AS39" s="300"/>
      <c r="AW39" s="300"/>
      <c r="BA39" s="301"/>
    </row>
    <row r="40" spans="1:53" s="292" customFormat="1">
      <c r="A40" s="292">
        <v>1994</v>
      </c>
      <c r="B40" s="836"/>
      <c r="C40" s="916" t="s">
        <v>846</v>
      </c>
      <c r="D40" s="916"/>
      <c r="E40" s="292">
        <v>0</v>
      </c>
      <c r="G40" s="366"/>
      <c r="I40" s="292">
        <v>18</v>
      </c>
      <c r="J40" s="377">
        <v>18</v>
      </c>
      <c r="K40" s="336">
        <f t="shared" si="3"/>
        <v>0</v>
      </c>
      <c r="L40" s="336">
        <f t="shared" si="3"/>
        <v>0</v>
      </c>
      <c r="M40" s="336">
        <f t="shared" si="3"/>
        <v>100</v>
      </c>
      <c r="N40" s="368">
        <f t="shared" si="1"/>
        <v>100</v>
      </c>
      <c r="O40" s="335"/>
      <c r="P40" s="336"/>
      <c r="Q40" s="336">
        <v>45.4</v>
      </c>
      <c r="R40" s="337">
        <f t="shared" si="2"/>
        <v>45.4</v>
      </c>
      <c r="S40" s="292">
        <v>4</v>
      </c>
      <c r="T40" s="838"/>
      <c r="U40" s="836"/>
      <c r="V40" s="299" t="s">
        <v>478</v>
      </c>
      <c r="W40" s="292" t="s">
        <v>20</v>
      </c>
      <c r="X40" s="292" t="s">
        <v>12</v>
      </c>
      <c r="Y40" s="300">
        <v>45.4</v>
      </c>
      <c r="AD40" s="299"/>
      <c r="AG40" s="300"/>
      <c r="AL40" s="299"/>
      <c r="AO40" s="300"/>
      <c r="AP40" s="299"/>
      <c r="AS40" s="300"/>
      <c r="AW40" s="300"/>
      <c r="BA40" s="301"/>
    </row>
    <row r="41" spans="1:53" s="292" customFormat="1">
      <c r="A41" s="292">
        <v>1994</v>
      </c>
      <c r="B41" s="836"/>
      <c r="C41" s="916" t="s">
        <v>846</v>
      </c>
      <c r="D41" s="916"/>
      <c r="E41" s="292">
        <f>365-E40</f>
        <v>365</v>
      </c>
      <c r="G41" s="366"/>
      <c r="I41" s="292">
        <v>18</v>
      </c>
      <c r="J41" s="377">
        <v>18</v>
      </c>
      <c r="K41" s="336">
        <f t="shared" si="3"/>
        <v>0</v>
      </c>
      <c r="L41" s="336">
        <f t="shared" si="3"/>
        <v>0</v>
      </c>
      <c r="M41" s="336">
        <f t="shared" si="3"/>
        <v>100</v>
      </c>
      <c r="N41" s="368">
        <f t="shared" si="1"/>
        <v>100</v>
      </c>
      <c r="O41" s="335"/>
      <c r="P41" s="336"/>
      <c r="Q41" s="336">
        <v>45.4</v>
      </c>
      <c r="R41" s="337">
        <f t="shared" si="2"/>
        <v>45.4</v>
      </c>
      <c r="S41" s="292">
        <v>4</v>
      </c>
      <c r="T41" s="838"/>
      <c r="U41" s="836"/>
      <c r="V41" s="299" t="s">
        <v>478</v>
      </c>
      <c r="W41" s="292" t="s">
        <v>20</v>
      </c>
      <c r="X41" s="292" t="s">
        <v>12</v>
      </c>
      <c r="Y41" s="300">
        <v>45.4</v>
      </c>
      <c r="AD41" s="299"/>
      <c r="AG41" s="300"/>
      <c r="AL41" s="299"/>
      <c r="AO41" s="300"/>
      <c r="AP41" s="299"/>
      <c r="AS41" s="300"/>
      <c r="AW41" s="300"/>
      <c r="BA41" s="301"/>
    </row>
    <row r="42" spans="1:53" s="292" customFormat="1">
      <c r="A42" s="292">
        <v>1995</v>
      </c>
      <c r="B42" s="836"/>
      <c r="C42" s="916" t="s">
        <v>846</v>
      </c>
      <c r="D42" s="916"/>
      <c r="E42" s="292">
        <v>0</v>
      </c>
      <c r="G42" s="366"/>
      <c r="I42" s="292">
        <v>18</v>
      </c>
      <c r="J42" s="377">
        <v>18</v>
      </c>
      <c r="K42" s="336">
        <f t="shared" si="3"/>
        <v>0</v>
      </c>
      <c r="L42" s="336">
        <f t="shared" si="3"/>
        <v>0</v>
      </c>
      <c r="M42" s="336">
        <f t="shared" si="3"/>
        <v>100</v>
      </c>
      <c r="N42" s="368">
        <f t="shared" si="1"/>
        <v>100</v>
      </c>
      <c r="O42" s="335"/>
      <c r="P42" s="336"/>
      <c r="Q42" s="336">
        <v>45.4</v>
      </c>
      <c r="R42" s="337">
        <f t="shared" si="2"/>
        <v>45.4</v>
      </c>
      <c r="S42" s="292">
        <v>4</v>
      </c>
      <c r="T42" s="838"/>
      <c r="U42" s="836"/>
      <c r="V42" s="299" t="s">
        <v>478</v>
      </c>
      <c r="W42" s="292" t="s">
        <v>20</v>
      </c>
      <c r="X42" s="292" t="s">
        <v>12</v>
      </c>
      <c r="Y42" s="300">
        <v>45.4</v>
      </c>
      <c r="AD42" s="299"/>
      <c r="AG42" s="300"/>
      <c r="AL42" s="299"/>
      <c r="AO42" s="300"/>
      <c r="AP42" s="299"/>
      <c r="AS42" s="300"/>
      <c r="AW42" s="300"/>
      <c r="BA42" s="301"/>
    </row>
    <row r="43" spans="1:53" s="292" customFormat="1">
      <c r="A43" s="292">
        <v>1995</v>
      </c>
      <c r="B43" s="836"/>
      <c r="C43" s="916" t="s">
        <v>846</v>
      </c>
      <c r="D43" s="916"/>
      <c r="E43" s="292">
        <f>365-E42</f>
        <v>365</v>
      </c>
      <c r="G43" s="366"/>
      <c r="I43" s="292">
        <v>18</v>
      </c>
      <c r="J43" s="377">
        <v>18</v>
      </c>
      <c r="K43" s="336">
        <f t="shared" si="3"/>
        <v>0</v>
      </c>
      <c r="L43" s="336">
        <f t="shared" si="3"/>
        <v>0</v>
      </c>
      <c r="M43" s="336">
        <f t="shared" si="3"/>
        <v>100</v>
      </c>
      <c r="N43" s="368">
        <f t="shared" si="1"/>
        <v>100</v>
      </c>
      <c r="O43" s="335"/>
      <c r="P43" s="336"/>
      <c r="Q43" s="336">
        <v>45.4</v>
      </c>
      <c r="R43" s="337">
        <f t="shared" si="2"/>
        <v>45.4</v>
      </c>
      <c r="S43" s="292">
        <v>4</v>
      </c>
      <c r="T43" s="838"/>
      <c r="U43" s="836"/>
      <c r="V43" s="299" t="s">
        <v>478</v>
      </c>
      <c r="W43" s="292" t="s">
        <v>20</v>
      </c>
      <c r="X43" s="292" t="s">
        <v>12</v>
      </c>
      <c r="Y43" s="300">
        <v>45.4</v>
      </c>
      <c r="AD43" s="299"/>
      <c r="AG43" s="300"/>
      <c r="AL43" s="299"/>
      <c r="AO43" s="300"/>
      <c r="AP43" s="299"/>
      <c r="AS43" s="300"/>
      <c r="AW43" s="300"/>
      <c r="BA43" s="301"/>
    </row>
    <row r="44" spans="1:53" s="292" customFormat="1">
      <c r="A44" s="292">
        <v>1996</v>
      </c>
      <c r="B44" s="836"/>
      <c r="C44" s="916" t="s">
        <v>846</v>
      </c>
      <c r="D44" s="916"/>
      <c r="E44" s="292">
        <v>124</v>
      </c>
      <c r="G44" s="366"/>
      <c r="I44" s="292">
        <v>17</v>
      </c>
      <c r="J44" s="377">
        <v>17</v>
      </c>
      <c r="K44" s="336">
        <f t="shared" si="3"/>
        <v>0</v>
      </c>
      <c r="L44" s="336">
        <f t="shared" si="3"/>
        <v>0</v>
      </c>
      <c r="M44" s="336">
        <f t="shared" si="3"/>
        <v>100</v>
      </c>
      <c r="N44" s="368">
        <f t="shared" si="1"/>
        <v>100</v>
      </c>
      <c r="O44" s="335"/>
      <c r="P44" s="336"/>
      <c r="Q44" s="336">
        <v>45.4</v>
      </c>
      <c r="R44" s="337">
        <f t="shared" si="2"/>
        <v>45.4</v>
      </c>
      <c r="S44" s="292">
        <v>4</v>
      </c>
      <c r="T44" s="838"/>
      <c r="U44" s="836"/>
      <c r="V44" s="299" t="s">
        <v>478</v>
      </c>
      <c r="W44" s="292" t="s">
        <v>20</v>
      </c>
      <c r="X44" s="292" t="s">
        <v>12</v>
      </c>
      <c r="Y44" s="300">
        <v>45.4</v>
      </c>
      <c r="AD44" s="299"/>
      <c r="AG44" s="300"/>
      <c r="AL44" s="299"/>
      <c r="AO44" s="300"/>
      <c r="AP44" s="299"/>
      <c r="AS44" s="300"/>
      <c r="AW44" s="300"/>
      <c r="BA44" s="301"/>
    </row>
    <row r="45" spans="1:53" s="185" customFormat="1">
      <c r="A45" s="185">
        <v>1996</v>
      </c>
      <c r="B45" s="852">
        <v>35189</v>
      </c>
      <c r="C45" s="917" t="s">
        <v>848</v>
      </c>
      <c r="D45" s="917"/>
      <c r="E45" s="185">
        <f>366-E44</f>
        <v>242</v>
      </c>
      <c r="F45" s="185">
        <v>1</v>
      </c>
      <c r="G45" s="119"/>
      <c r="H45" s="185">
        <v>15</v>
      </c>
      <c r="J45" s="126">
        <v>15</v>
      </c>
      <c r="K45" s="92">
        <f t="shared" si="3"/>
        <v>0</v>
      </c>
      <c r="L45" s="92">
        <f t="shared" si="3"/>
        <v>100</v>
      </c>
      <c r="M45" s="92">
        <f t="shared" si="3"/>
        <v>0</v>
      </c>
      <c r="N45" s="121">
        <f t="shared" si="1"/>
        <v>100</v>
      </c>
      <c r="O45" s="91"/>
      <c r="P45" s="92">
        <v>44.6</v>
      </c>
      <c r="Q45" s="92"/>
      <c r="R45" s="93">
        <f t="shared" si="2"/>
        <v>44.6</v>
      </c>
      <c r="S45" s="185">
        <v>4</v>
      </c>
      <c r="T45" s="839">
        <v>35127</v>
      </c>
      <c r="U45" s="852">
        <v>35189</v>
      </c>
      <c r="V45" s="82" t="s">
        <v>479</v>
      </c>
      <c r="W45" s="185" t="s">
        <v>76</v>
      </c>
      <c r="X45" s="185" t="s">
        <v>18</v>
      </c>
      <c r="Y45" s="83">
        <v>44.6</v>
      </c>
      <c r="AD45" s="82"/>
      <c r="AG45" s="83"/>
      <c r="AL45" s="82"/>
      <c r="AO45" s="83"/>
      <c r="AP45" s="82"/>
      <c r="AS45" s="83"/>
      <c r="AW45" s="83"/>
      <c r="BA45" s="84"/>
    </row>
    <row r="46" spans="1:53" s="185" customFormat="1">
      <c r="A46" s="185">
        <v>1997</v>
      </c>
      <c r="B46" s="852"/>
      <c r="C46" s="917" t="s">
        <v>848</v>
      </c>
      <c r="D46" s="917"/>
      <c r="E46" s="185">
        <v>0</v>
      </c>
      <c r="G46" s="119"/>
      <c r="H46" s="185">
        <v>15</v>
      </c>
      <c r="J46" s="126">
        <v>15</v>
      </c>
      <c r="K46" s="92">
        <f t="shared" si="3"/>
        <v>0</v>
      </c>
      <c r="L46" s="92">
        <f t="shared" si="3"/>
        <v>100</v>
      </c>
      <c r="M46" s="92">
        <f t="shared" si="3"/>
        <v>0</v>
      </c>
      <c r="N46" s="121">
        <f t="shared" si="1"/>
        <v>100</v>
      </c>
      <c r="O46" s="91"/>
      <c r="P46" s="92">
        <v>44.6</v>
      </c>
      <c r="Q46" s="92"/>
      <c r="R46" s="93">
        <f t="shared" si="2"/>
        <v>44.6</v>
      </c>
      <c r="S46" s="185">
        <v>4</v>
      </c>
      <c r="T46" s="839"/>
      <c r="U46" s="852"/>
      <c r="V46" s="82" t="s">
        <v>479</v>
      </c>
      <c r="W46" s="185" t="s">
        <v>76</v>
      </c>
      <c r="X46" s="185" t="s">
        <v>18</v>
      </c>
      <c r="Y46" s="83">
        <v>44.6</v>
      </c>
      <c r="AD46" s="82"/>
      <c r="AG46" s="83"/>
      <c r="AL46" s="82"/>
      <c r="AO46" s="83"/>
      <c r="AP46" s="82"/>
      <c r="AS46" s="83"/>
      <c r="AW46" s="83"/>
      <c r="BA46" s="84"/>
    </row>
    <row r="47" spans="1:53" s="185" customFormat="1">
      <c r="A47" s="185">
        <v>1997</v>
      </c>
      <c r="B47" s="852"/>
      <c r="C47" s="917" t="s">
        <v>848</v>
      </c>
      <c r="D47" s="917"/>
      <c r="E47" s="185">
        <f>365-E46</f>
        <v>365</v>
      </c>
      <c r="G47" s="119"/>
      <c r="H47" s="185">
        <v>15</v>
      </c>
      <c r="J47" s="126">
        <v>15</v>
      </c>
      <c r="K47" s="92">
        <f t="shared" si="3"/>
        <v>0</v>
      </c>
      <c r="L47" s="92">
        <f t="shared" si="3"/>
        <v>100</v>
      </c>
      <c r="M47" s="92">
        <f t="shared" si="3"/>
        <v>0</v>
      </c>
      <c r="N47" s="121">
        <f t="shared" si="1"/>
        <v>100</v>
      </c>
      <c r="O47" s="91"/>
      <c r="P47" s="92">
        <v>44.6</v>
      </c>
      <c r="Q47" s="92"/>
      <c r="R47" s="93">
        <f t="shared" si="2"/>
        <v>44.6</v>
      </c>
      <c r="S47" s="185">
        <v>4</v>
      </c>
      <c r="T47" s="839"/>
      <c r="U47" s="852"/>
      <c r="V47" s="82" t="s">
        <v>479</v>
      </c>
      <c r="W47" s="185" t="s">
        <v>76</v>
      </c>
      <c r="X47" s="185" t="s">
        <v>18</v>
      </c>
      <c r="Y47" s="83">
        <v>44.6</v>
      </c>
      <c r="AD47" s="82"/>
      <c r="AG47" s="83"/>
      <c r="AL47" s="82"/>
      <c r="AO47" s="83"/>
      <c r="AP47" s="82"/>
      <c r="AS47" s="83"/>
      <c r="AW47" s="83"/>
      <c r="BA47" s="84"/>
    </row>
    <row r="48" spans="1:53" s="185" customFormat="1">
      <c r="A48" s="185">
        <v>1998</v>
      </c>
      <c r="B48" s="852"/>
      <c r="C48" s="917" t="s">
        <v>848</v>
      </c>
      <c r="D48" s="917"/>
      <c r="E48" s="185">
        <v>0</v>
      </c>
      <c r="G48" s="119"/>
      <c r="H48" s="185">
        <v>15</v>
      </c>
      <c r="J48" s="126">
        <v>15</v>
      </c>
      <c r="K48" s="92">
        <f t="shared" si="3"/>
        <v>0</v>
      </c>
      <c r="L48" s="92">
        <f t="shared" si="3"/>
        <v>100</v>
      </c>
      <c r="M48" s="92">
        <f t="shared" si="3"/>
        <v>0</v>
      </c>
      <c r="N48" s="121">
        <f t="shared" si="1"/>
        <v>100</v>
      </c>
      <c r="O48" s="91"/>
      <c r="P48" s="92">
        <v>44.6</v>
      </c>
      <c r="Q48" s="92"/>
      <c r="R48" s="93">
        <f t="shared" si="2"/>
        <v>44.6</v>
      </c>
      <c r="S48" s="185">
        <v>4</v>
      </c>
      <c r="T48" s="839"/>
      <c r="U48" s="852"/>
      <c r="V48" s="82" t="s">
        <v>479</v>
      </c>
      <c r="W48" s="185" t="s">
        <v>76</v>
      </c>
      <c r="X48" s="185" t="s">
        <v>18</v>
      </c>
      <c r="Y48" s="83">
        <v>44.6</v>
      </c>
      <c r="AD48" s="82"/>
      <c r="AG48" s="83"/>
      <c r="AL48" s="82"/>
      <c r="AO48" s="83"/>
      <c r="AP48" s="82"/>
      <c r="AS48" s="83"/>
      <c r="AW48" s="83"/>
      <c r="BA48" s="84"/>
    </row>
    <row r="49" spans="1:53" s="185" customFormat="1">
      <c r="A49" s="185">
        <v>1998</v>
      </c>
      <c r="B49" s="852"/>
      <c r="C49" s="917" t="s">
        <v>848</v>
      </c>
      <c r="D49" s="917"/>
      <c r="E49" s="185">
        <f>365-E48</f>
        <v>365</v>
      </c>
      <c r="G49" s="119"/>
      <c r="H49" s="185">
        <v>15</v>
      </c>
      <c r="J49" s="126">
        <v>15</v>
      </c>
      <c r="K49" s="92">
        <f t="shared" si="3"/>
        <v>0</v>
      </c>
      <c r="L49" s="92">
        <f t="shared" si="3"/>
        <v>100</v>
      </c>
      <c r="M49" s="92">
        <f t="shared" si="3"/>
        <v>0</v>
      </c>
      <c r="N49" s="121">
        <f t="shared" si="1"/>
        <v>100</v>
      </c>
      <c r="O49" s="91"/>
      <c r="P49" s="92">
        <v>44.6</v>
      </c>
      <c r="Q49" s="92"/>
      <c r="R49" s="93">
        <f t="shared" si="2"/>
        <v>44.6</v>
      </c>
      <c r="S49" s="185">
        <v>4</v>
      </c>
      <c r="T49" s="839"/>
      <c r="U49" s="852"/>
      <c r="V49" s="82" t="s">
        <v>479</v>
      </c>
      <c r="W49" s="185" t="s">
        <v>76</v>
      </c>
      <c r="X49" s="185" t="s">
        <v>18</v>
      </c>
      <c r="Y49" s="83">
        <v>44.6</v>
      </c>
      <c r="AD49" s="82"/>
      <c r="AG49" s="83"/>
      <c r="AL49" s="82"/>
      <c r="AO49" s="83"/>
      <c r="AP49" s="82"/>
      <c r="AS49" s="83"/>
      <c r="AW49" s="83"/>
      <c r="BA49" s="84"/>
    </row>
    <row r="50" spans="1:53" s="185" customFormat="1">
      <c r="A50" s="185">
        <v>1999</v>
      </c>
      <c r="B50" s="852"/>
      <c r="C50" s="917" t="s">
        <v>848</v>
      </c>
      <c r="D50" s="917"/>
      <c r="E50" s="185">
        <v>0</v>
      </c>
      <c r="G50" s="119"/>
      <c r="H50" s="185">
        <v>14</v>
      </c>
      <c r="J50" s="126">
        <v>14</v>
      </c>
      <c r="K50" s="92">
        <f t="shared" si="3"/>
        <v>0</v>
      </c>
      <c r="L50" s="92">
        <f t="shared" si="3"/>
        <v>100</v>
      </c>
      <c r="M50" s="92">
        <f t="shared" si="3"/>
        <v>0</v>
      </c>
      <c r="N50" s="121">
        <f t="shared" si="1"/>
        <v>100</v>
      </c>
      <c r="O50" s="91"/>
      <c r="P50" s="92">
        <v>44.6</v>
      </c>
      <c r="Q50" s="92"/>
      <c r="R50" s="93">
        <f t="shared" si="2"/>
        <v>44.6</v>
      </c>
      <c r="S50" s="185">
        <v>4</v>
      </c>
      <c r="T50" s="839"/>
      <c r="U50" s="852"/>
      <c r="V50" s="82" t="s">
        <v>479</v>
      </c>
      <c r="W50" s="185" t="s">
        <v>76</v>
      </c>
      <c r="X50" s="185" t="s">
        <v>18</v>
      </c>
      <c r="Y50" s="83">
        <v>44.6</v>
      </c>
      <c r="AD50" s="82"/>
      <c r="AG50" s="83"/>
      <c r="AL50" s="82"/>
      <c r="AO50" s="83"/>
      <c r="AP50" s="82"/>
      <c r="AS50" s="83"/>
      <c r="AW50" s="83"/>
      <c r="BA50" s="84"/>
    </row>
    <row r="51" spans="1:53" s="185" customFormat="1">
      <c r="A51" s="185">
        <v>1999</v>
      </c>
      <c r="B51" s="852"/>
      <c r="C51" s="917" t="s">
        <v>848</v>
      </c>
      <c r="D51" s="917"/>
      <c r="E51" s="185">
        <f>365-E50</f>
        <v>365</v>
      </c>
      <c r="G51" s="119"/>
      <c r="H51" s="185">
        <v>14</v>
      </c>
      <c r="J51" s="126">
        <v>14</v>
      </c>
      <c r="K51" s="92">
        <f t="shared" si="3"/>
        <v>0</v>
      </c>
      <c r="L51" s="92">
        <f t="shared" si="3"/>
        <v>100</v>
      </c>
      <c r="M51" s="92">
        <f t="shared" si="3"/>
        <v>0</v>
      </c>
      <c r="N51" s="121">
        <f t="shared" si="1"/>
        <v>100</v>
      </c>
      <c r="O51" s="91"/>
      <c r="P51" s="92">
        <v>44.6</v>
      </c>
      <c r="Q51" s="92"/>
      <c r="R51" s="93">
        <f t="shared" si="2"/>
        <v>44.6</v>
      </c>
      <c r="S51" s="185">
        <v>4</v>
      </c>
      <c r="T51" s="839"/>
      <c r="U51" s="852"/>
      <c r="V51" s="82" t="s">
        <v>479</v>
      </c>
      <c r="W51" s="185" t="s">
        <v>76</v>
      </c>
      <c r="X51" s="185" t="s">
        <v>18</v>
      </c>
      <c r="Y51" s="83">
        <v>44.6</v>
      </c>
      <c r="AD51" s="82"/>
      <c r="AG51" s="83"/>
      <c r="AL51" s="82"/>
      <c r="AO51" s="83"/>
      <c r="AP51" s="82"/>
      <c r="AS51" s="83"/>
      <c r="AW51" s="83"/>
      <c r="BA51" s="84"/>
    </row>
    <row r="52" spans="1:53" s="185" customFormat="1">
      <c r="A52" s="185">
        <v>2000</v>
      </c>
      <c r="B52" s="852"/>
      <c r="C52" s="917" t="s">
        <v>848</v>
      </c>
      <c r="D52" s="917"/>
      <c r="E52" s="185">
        <v>116</v>
      </c>
      <c r="G52" s="119"/>
      <c r="H52" s="185">
        <v>14</v>
      </c>
      <c r="J52" s="126">
        <v>14</v>
      </c>
      <c r="K52" s="92">
        <f t="shared" si="3"/>
        <v>0</v>
      </c>
      <c r="L52" s="92">
        <f t="shared" si="3"/>
        <v>100</v>
      </c>
      <c r="M52" s="92">
        <f t="shared" si="3"/>
        <v>0</v>
      </c>
      <c r="N52" s="121">
        <f t="shared" si="1"/>
        <v>100</v>
      </c>
      <c r="O52" s="91"/>
      <c r="P52" s="92">
        <v>44.6</v>
      </c>
      <c r="Q52" s="92"/>
      <c r="R52" s="93">
        <f t="shared" si="2"/>
        <v>44.6</v>
      </c>
      <c r="S52" s="185">
        <v>4</v>
      </c>
      <c r="T52" s="839"/>
      <c r="U52" s="852"/>
      <c r="V52" s="82" t="s">
        <v>479</v>
      </c>
      <c r="W52" s="185" t="s">
        <v>76</v>
      </c>
      <c r="X52" s="185" t="s">
        <v>18</v>
      </c>
      <c r="Y52" s="83">
        <v>44.6</v>
      </c>
      <c r="AD52" s="82"/>
      <c r="AG52" s="83"/>
      <c r="AL52" s="82"/>
      <c r="AO52" s="83"/>
      <c r="AP52" s="82"/>
      <c r="AS52" s="83"/>
      <c r="AW52" s="83"/>
      <c r="BA52" s="84"/>
    </row>
    <row r="53" spans="1:53" s="292" customFormat="1">
      <c r="A53" s="292">
        <v>2000</v>
      </c>
      <c r="B53" s="836">
        <v>36642</v>
      </c>
      <c r="C53" s="916" t="s">
        <v>847</v>
      </c>
      <c r="D53" s="916"/>
      <c r="E53" s="292">
        <f>366-E52</f>
        <v>250</v>
      </c>
      <c r="F53" s="292">
        <v>1</v>
      </c>
      <c r="G53" s="366"/>
      <c r="H53" s="292">
        <v>16</v>
      </c>
      <c r="J53" s="377">
        <v>16</v>
      </c>
      <c r="K53" s="336">
        <f t="shared" si="3"/>
        <v>0</v>
      </c>
      <c r="L53" s="336">
        <f t="shared" si="3"/>
        <v>100</v>
      </c>
      <c r="M53" s="336">
        <f t="shared" si="3"/>
        <v>0</v>
      </c>
      <c r="N53" s="368">
        <f t="shared" si="1"/>
        <v>100</v>
      </c>
      <c r="O53" s="335"/>
      <c r="P53" s="336">
        <v>52.3</v>
      </c>
      <c r="Q53" s="336"/>
      <c r="R53" s="337">
        <f t="shared" si="2"/>
        <v>52.3</v>
      </c>
      <c r="S53" s="292">
        <v>1</v>
      </c>
      <c r="T53" s="838">
        <v>36597</v>
      </c>
      <c r="U53" s="836">
        <v>36642</v>
      </c>
      <c r="V53" s="299" t="s">
        <v>479</v>
      </c>
      <c r="W53" s="292" t="s">
        <v>76</v>
      </c>
      <c r="X53" s="292" t="s">
        <v>18</v>
      </c>
      <c r="Y53" s="300">
        <v>52.3</v>
      </c>
      <c r="AD53" s="299"/>
      <c r="AG53" s="300"/>
      <c r="AL53" s="299"/>
      <c r="AO53" s="300"/>
      <c r="AP53" s="299"/>
      <c r="AS53" s="300"/>
      <c r="AW53" s="300"/>
      <c r="BA53" s="301"/>
    </row>
    <row r="54" spans="1:53" s="292" customFormat="1">
      <c r="A54" s="292">
        <v>2001</v>
      </c>
      <c r="B54" s="836"/>
      <c r="C54" s="916" t="s">
        <v>847</v>
      </c>
      <c r="D54" s="916"/>
      <c r="E54" s="292">
        <v>0</v>
      </c>
      <c r="G54" s="366"/>
      <c r="H54" s="292">
        <v>16</v>
      </c>
      <c r="J54" s="377">
        <v>16</v>
      </c>
      <c r="K54" s="336">
        <f t="shared" si="3"/>
        <v>0</v>
      </c>
      <c r="L54" s="336">
        <f t="shared" si="3"/>
        <v>100</v>
      </c>
      <c r="M54" s="336">
        <f t="shared" si="3"/>
        <v>0</v>
      </c>
      <c r="N54" s="368">
        <f t="shared" si="1"/>
        <v>100</v>
      </c>
      <c r="O54" s="335"/>
      <c r="P54" s="336">
        <v>52.3</v>
      </c>
      <c r="Q54" s="336"/>
      <c r="R54" s="337">
        <f t="shared" si="2"/>
        <v>52.3</v>
      </c>
      <c r="S54" s="292">
        <v>1</v>
      </c>
      <c r="T54" s="838"/>
      <c r="U54" s="836"/>
      <c r="V54" s="299" t="s">
        <v>479</v>
      </c>
      <c r="W54" s="292" t="s">
        <v>76</v>
      </c>
      <c r="X54" s="292" t="s">
        <v>18</v>
      </c>
      <c r="Y54" s="300">
        <v>52.3</v>
      </c>
      <c r="AD54" s="299"/>
      <c r="AG54" s="300"/>
      <c r="AL54" s="299"/>
      <c r="AO54" s="300"/>
      <c r="AP54" s="299"/>
      <c r="AS54" s="300"/>
      <c r="AW54" s="300"/>
      <c r="BA54" s="301"/>
    </row>
    <row r="55" spans="1:53" s="292" customFormat="1">
      <c r="A55" s="292">
        <v>2001</v>
      </c>
      <c r="B55" s="836"/>
      <c r="C55" s="916" t="s">
        <v>847</v>
      </c>
      <c r="D55" s="916"/>
      <c r="E55" s="292">
        <f>365-E54</f>
        <v>365</v>
      </c>
      <c r="G55" s="366"/>
      <c r="H55" s="292">
        <v>16</v>
      </c>
      <c r="J55" s="377">
        <v>16</v>
      </c>
      <c r="K55" s="336">
        <f t="shared" si="3"/>
        <v>0</v>
      </c>
      <c r="L55" s="336">
        <f t="shared" si="3"/>
        <v>100</v>
      </c>
      <c r="M55" s="336">
        <f t="shared" si="3"/>
        <v>0</v>
      </c>
      <c r="N55" s="368">
        <f t="shared" si="1"/>
        <v>100</v>
      </c>
      <c r="O55" s="335"/>
      <c r="P55" s="336">
        <v>52.3</v>
      </c>
      <c r="Q55" s="336"/>
      <c r="R55" s="337">
        <f t="shared" si="2"/>
        <v>52.3</v>
      </c>
      <c r="S55" s="292">
        <v>1</v>
      </c>
      <c r="T55" s="838"/>
      <c r="U55" s="836"/>
      <c r="V55" s="299" t="s">
        <v>479</v>
      </c>
      <c r="W55" s="292" t="s">
        <v>76</v>
      </c>
      <c r="X55" s="292" t="s">
        <v>18</v>
      </c>
      <c r="Y55" s="300">
        <v>52.3</v>
      </c>
      <c r="AD55" s="299"/>
      <c r="AG55" s="300"/>
      <c r="AL55" s="299"/>
      <c r="AO55" s="300"/>
      <c r="AP55" s="299"/>
      <c r="AS55" s="300"/>
      <c r="AW55" s="300"/>
      <c r="BA55" s="301"/>
    </row>
    <row r="56" spans="1:53" s="292" customFormat="1">
      <c r="A56" s="292">
        <v>2002</v>
      </c>
      <c r="B56" s="836"/>
      <c r="C56" s="916" t="s">
        <v>847</v>
      </c>
      <c r="D56" s="916"/>
      <c r="E56" s="292">
        <v>0</v>
      </c>
      <c r="G56" s="366"/>
      <c r="H56" s="292">
        <v>16</v>
      </c>
      <c r="J56" s="377">
        <v>16</v>
      </c>
      <c r="K56" s="336">
        <f t="shared" si="3"/>
        <v>0</v>
      </c>
      <c r="L56" s="336">
        <f t="shared" si="3"/>
        <v>100</v>
      </c>
      <c r="M56" s="336">
        <f t="shared" si="3"/>
        <v>0</v>
      </c>
      <c r="N56" s="368">
        <f t="shared" si="1"/>
        <v>100</v>
      </c>
      <c r="O56" s="335"/>
      <c r="P56" s="336">
        <v>52.3</v>
      </c>
      <c r="Q56" s="336"/>
      <c r="R56" s="337">
        <f t="shared" si="2"/>
        <v>52.3</v>
      </c>
      <c r="S56" s="292">
        <v>1</v>
      </c>
      <c r="T56" s="838"/>
      <c r="U56" s="836"/>
      <c r="V56" s="299" t="s">
        <v>479</v>
      </c>
      <c r="W56" s="292" t="s">
        <v>76</v>
      </c>
      <c r="X56" s="292" t="s">
        <v>18</v>
      </c>
      <c r="Y56" s="300">
        <v>52.3</v>
      </c>
      <c r="AD56" s="299"/>
      <c r="AG56" s="300"/>
      <c r="AL56" s="299"/>
      <c r="AO56" s="300"/>
      <c r="AP56" s="299"/>
      <c r="AS56" s="300"/>
      <c r="AW56" s="300"/>
      <c r="BA56" s="301"/>
    </row>
    <row r="57" spans="1:53" s="292" customFormat="1">
      <c r="A57" s="292">
        <v>2002</v>
      </c>
      <c r="B57" s="836"/>
      <c r="C57" s="916" t="s">
        <v>847</v>
      </c>
      <c r="D57" s="916"/>
      <c r="E57" s="292">
        <f>365-E56</f>
        <v>365</v>
      </c>
      <c r="G57" s="366"/>
      <c r="H57" s="292">
        <v>16</v>
      </c>
      <c r="J57" s="377">
        <v>16</v>
      </c>
      <c r="K57" s="336">
        <f t="shared" si="3"/>
        <v>0</v>
      </c>
      <c r="L57" s="336">
        <f t="shared" si="3"/>
        <v>100</v>
      </c>
      <c r="M57" s="336">
        <f t="shared" si="3"/>
        <v>0</v>
      </c>
      <c r="N57" s="368">
        <f t="shared" si="1"/>
        <v>100</v>
      </c>
      <c r="O57" s="335"/>
      <c r="P57" s="336">
        <v>52.3</v>
      </c>
      <c r="Q57" s="336"/>
      <c r="R57" s="337">
        <f t="shared" si="2"/>
        <v>52.3</v>
      </c>
      <c r="S57" s="292">
        <v>1</v>
      </c>
      <c r="T57" s="838"/>
      <c r="U57" s="836"/>
      <c r="V57" s="299" t="s">
        <v>479</v>
      </c>
      <c r="W57" s="292" t="s">
        <v>76</v>
      </c>
      <c r="X57" s="292" t="s">
        <v>18</v>
      </c>
      <c r="Y57" s="300">
        <v>52.3</v>
      </c>
      <c r="AD57" s="299"/>
      <c r="AG57" s="300"/>
      <c r="AL57" s="299"/>
      <c r="AO57" s="300"/>
      <c r="AP57" s="299"/>
      <c r="AS57" s="300"/>
      <c r="AW57" s="300"/>
      <c r="BA57" s="301"/>
    </row>
    <row r="58" spans="1:53" s="292" customFormat="1">
      <c r="A58" s="292">
        <v>2003</v>
      </c>
      <c r="B58" s="836"/>
      <c r="C58" s="916" t="s">
        <v>847</v>
      </c>
      <c r="D58" s="916"/>
      <c r="E58" s="292">
        <v>0</v>
      </c>
      <c r="G58" s="366"/>
      <c r="H58" s="292">
        <v>16</v>
      </c>
      <c r="J58" s="377">
        <v>16</v>
      </c>
      <c r="K58" s="336">
        <f t="shared" si="3"/>
        <v>0</v>
      </c>
      <c r="L58" s="336">
        <f t="shared" si="3"/>
        <v>100</v>
      </c>
      <c r="M58" s="336">
        <f t="shared" si="3"/>
        <v>0</v>
      </c>
      <c r="N58" s="368">
        <f t="shared" si="1"/>
        <v>100</v>
      </c>
      <c r="O58" s="335"/>
      <c r="P58" s="336">
        <v>52.3</v>
      </c>
      <c r="Q58" s="336"/>
      <c r="R58" s="337">
        <f t="shared" si="2"/>
        <v>52.3</v>
      </c>
      <c r="S58" s="292">
        <v>1</v>
      </c>
      <c r="T58" s="838"/>
      <c r="U58" s="836"/>
      <c r="V58" s="299" t="s">
        <v>479</v>
      </c>
      <c r="W58" s="292" t="s">
        <v>76</v>
      </c>
      <c r="X58" s="292" t="s">
        <v>18</v>
      </c>
      <c r="Y58" s="300">
        <v>52.3</v>
      </c>
      <c r="AD58" s="299"/>
      <c r="AG58" s="300"/>
      <c r="AL58" s="299"/>
      <c r="AO58" s="300"/>
      <c r="AP58" s="299"/>
      <c r="AS58" s="300"/>
      <c r="AW58" s="300"/>
      <c r="BA58" s="301"/>
    </row>
    <row r="59" spans="1:53" s="292" customFormat="1">
      <c r="A59" s="292">
        <v>2003</v>
      </c>
      <c r="B59" s="836"/>
      <c r="C59" s="916" t="s">
        <v>847</v>
      </c>
      <c r="D59" s="916"/>
      <c r="E59" s="292">
        <f>365-E58</f>
        <v>365</v>
      </c>
      <c r="G59" s="366"/>
      <c r="H59" s="292">
        <v>16</v>
      </c>
      <c r="J59" s="377">
        <v>16</v>
      </c>
      <c r="K59" s="336">
        <f t="shared" si="3"/>
        <v>0</v>
      </c>
      <c r="L59" s="336">
        <f t="shared" si="3"/>
        <v>100</v>
      </c>
      <c r="M59" s="336">
        <f t="shared" si="3"/>
        <v>0</v>
      </c>
      <c r="N59" s="368">
        <f t="shared" si="1"/>
        <v>100</v>
      </c>
      <c r="O59" s="335"/>
      <c r="P59" s="336">
        <v>52.3</v>
      </c>
      <c r="Q59" s="336"/>
      <c r="R59" s="337">
        <f t="shared" si="2"/>
        <v>52.3</v>
      </c>
      <c r="S59" s="292">
        <v>1</v>
      </c>
      <c r="T59" s="838"/>
      <c r="U59" s="836"/>
      <c r="V59" s="299" t="s">
        <v>479</v>
      </c>
      <c r="W59" s="292" t="s">
        <v>76</v>
      </c>
      <c r="X59" s="292" t="s">
        <v>18</v>
      </c>
      <c r="Y59" s="300">
        <v>52.3</v>
      </c>
      <c r="AD59" s="299"/>
      <c r="AG59" s="300"/>
      <c r="AL59" s="299"/>
      <c r="AO59" s="300"/>
      <c r="AP59" s="299"/>
      <c r="AS59" s="300"/>
      <c r="AW59" s="300"/>
      <c r="BA59" s="301"/>
    </row>
    <row r="60" spans="1:53" s="292" customFormat="1">
      <c r="A60" s="292">
        <v>2004</v>
      </c>
      <c r="B60" s="836"/>
      <c r="C60" s="916" t="s">
        <v>847</v>
      </c>
      <c r="D60" s="916"/>
      <c r="E60" s="292">
        <v>107</v>
      </c>
      <c r="G60" s="366"/>
      <c r="H60" s="292">
        <v>16</v>
      </c>
      <c r="J60" s="377">
        <v>16</v>
      </c>
      <c r="K60" s="336">
        <f t="shared" si="3"/>
        <v>0</v>
      </c>
      <c r="L60" s="336">
        <f t="shared" si="3"/>
        <v>100</v>
      </c>
      <c r="M60" s="336">
        <f t="shared" si="3"/>
        <v>0</v>
      </c>
      <c r="N60" s="368">
        <f t="shared" si="1"/>
        <v>100</v>
      </c>
      <c r="O60" s="335"/>
      <c r="P60" s="336">
        <v>52.3</v>
      </c>
      <c r="Q60" s="336"/>
      <c r="R60" s="337">
        <f t="shared" si="2"/>
        <v>52.3</v>
      </c>
      <c r="S60" s="292">
        <v>1</v>
      </c>
      <c r="T60" s="838"/>
      <c r="U60" s="836"/>
      <c r="V60" s="299" t="s">
        <v>479</v>
      </c>
      <c r="W60" s="292" t="s">
        <v>76</v>
      </c>
      <c r="X60" s="292" t="s">
        <v>18</v>
      </c>
      <c r="Y60" s="300">
        <v>52.3</v>
      </c>
      <c r="AD60" s="299"/>
      <c r="AG60" s="300"/>
      <c r="AL60" s="299"/>
      <c r="AO60" s="300"/>
      <c r="AP60" s="299"/>
      <c r="AS60" s="300"/>
      <c r="AW60" s="300"/>
      <c r="BA60" s="301"/>
    </row>
    <row r="61" spans="1:53" s="185" customFormat="1">
      <c r="A61" s="185">
        <v>2004</v>
      </c>
      <c r="B61" s="852">
        <v>38094</v>
      </c>
      <c r="C61" s="917" t="s">
        <v>849</v>
      </c>
      <c r="D61" s="917"/>
      <c r="E61" s="185">
        <f>366-E60</f>
        <v>259</v>
      </c>
      <c r="F61" s="185">
        <v>1</v>
      </c>
      <c r="G61" s="119"/>
      <c r="I61" s="185">
        <v>17</v>
      </c>
      <c r="J61" s="126">
        <v>17</v>
      </c>
      <c r="K61" s="92">
        <f t="shared" si="3"/>
        <v>0</v>
      </c>
      <c r="L61" s="92">
        <f t="shared" si="3"/>
        <v>0</v>
      </c>
      <c r="M61" s="92">
        <f t="shared" si="3"/>
        <v>100</v>
      </c>
      <c r="N61" s="121">
        <f t="shared" si="1"/>
        <v>100</v>
      </c>
      <c r="O61" s="91"/>
      <c r="P61" s="92"/>
      <c r="Q61" s="92">
        <v>46.9</v>
      </c>
      <c r="R61" s="93">
        <f t="shared" si="2"/>
        <v>46.9</v>
      </c>
      <c r="S61" s="185">
        <v>4</v>
      </c>
      <c r="T61" s="839">
        <v>38060</v>
      </c>
      <c r="U61" s="852">
        <v>38094</v>
      </c>
      <c r="V61" s="82" t="s">
        <v>478</v>
      </c>
      <c r="W61" s="185" t="s">
        <v>20</v>
      </c>
      <c r="X61" s="185" t="s">
        <v>12</v>
      </c>
      <c r="Y61" s="83">
        <v>46.9</v>
      </c>
      <c r="AD61" s="82"/>
      <c r="AG61" s="83"/>
      <c r="AL61" s="82"/>
      <c r="AO61" s="83"/>
      <c r="AP61" s="82"/>
      <c r="AS61" s="83"/>
      <c r="AW61" s="83"/>
      <c r="BA61" s="84"/>
    </row>
    <row r="62" spans="1:53" s="185" customFormat="1">
      <c r="A62" s="185">
        <v>2005</v>
      </c>
      <c r="B62" s="852"/>
      <c r="C62" s="917" t="s">
        <v>849</v>
      </c>
      <c r="D62" s="917"/>
      <c r="E62" s="185">
        <v>0</v>
      </c>
      <c r="G62" s="119"/>
      <c r="I62" s="185">
        <v>17</v>
      </c>
      <c r="J62" s="126">
        <v>17</v>
      </c>
      <c r="K62" s="92">
        <f t="shared" si="3"/>
        <v>0</v>
      </c>
      <c r="L62" s="92">
        <f t="shared" si="3"/>
        <v>0</v>
      </c>
      <c r="M62" s="92">
        <f t="shared" si="3"/>
        <v>100</v>
      </c>
      <c r="N62" s="121">
        <f t="shared" si="1"/>
        <v>100</v>
      </c>
      <c r="O62" s="91"/>
      <c r="P62" s="92"/>
      <c r="Q62" s="92">
        <v>46.9</v>
      </c>
      <c r="R62" s="93">
        <f t="shared" si="2"/>
        <v>46.9</v>
      </c>
      <c r="S62" s="185">
        <v>4</v>
      </c>
      <c r="T62" s="839"/>
      <c r="U62" s="852"/>
      <c r="V62" s="82" t="s">
        <v>478</v>
      </c>
      <c r="W62" s="185" t="s">
        <v>20</v>
      </c>
      <c r="X62" s="185" t="s">
        <v>12</v>
      </c>
      <c r="Y62" s="83">
        <v>46.9</v>
      </c>
      <c r="AD62" s="82"/>
      <c r="AG62" s="83"/>
      <c r="AL62" s="82"/>
      <c r="AO62" s="83"/>
      <c r="AP62" s="82"/>
      <c r="AS62" s="83"/>
      <c r="AW62" s="83"/>
      <c r="BA62" s="84"/>
    </row>
    <row r="63" spans="1:53" s="185" customFormat="1">
      <c r="A63" s="185">
        <v>2005</v>
      </c>
      <c r="B63" s="852"/>
      <c r="C63" s="917" t="s">
        <v>849</v>
      </c>
      <c r="D63" s="917"/>
      <c r="E63" s="185">
        <f>365-E62</f>
        <v>365</v>
      </c>
      <c r="G63" s="119"/>
      <c r="I63" s="185">
        <v>17</v>
      </c>
      <c r="J63" s="126">
        <v>17</v>
      </c>
      <c r="K63" s="92">
        <f t="shared" si="3"/>
        <v>0</v>
      </c>
      <c r="L63" s="92">
        <f t="shared" si="3"/>
        <v>0</v>
      </c>
      <c r="M63" s="92">
        <f t="shared" si="3"/>
        <v>100</v>
      </c>
      <c r="N63" s="121">
        <f t="shared" si="1"/>
        <v>100</v>
      </c>
      <c r="O63" s="91"/>
      <c r="P63" s="92"/>
      <c r="Q63" s="92">
        <v>46.9</v>
      </c>
      <c r="R63" s="93">
        <f t="shared" si="2"/>
        <v>46.9</v>
      </c>
      <c r="S63" s="185">
        <v>4</v>
      </c>
      <c r="T63" s="839"/>
      <c r="U63" s="852"/>
      <c r="V63" s="82" t="s">
        <v>478</v>
      </c>
      <c r="W63" s="185" t="s">
        <v>20</v>
      </c>
      <c r="X63" s="185" t="s">
        <v>12</v>
      </c>
      <c r="Y63" s="83">
        <v>46.9</v>
      </c>
      <c r="AD63" s="82"/>
      <c r="AG63" s="83"/>
      <c r="AL63" s="82"/>
      <c r="AO63" s="83"/>
      <c r="AP63" s="82"/>
      <c r="AS63" s="83"/>
      <c r="AW63" s="83"/>
      <c r="BA63" s="84"/>
    </row>
    <row r="64" spans="1:53" s="185" customFormat="1">
      <c r="A64" s="185">
        <v>2006</v>
      </c>
      <c r="B64" s="852"/>
      <c r="C64" s="917" t="s">
        <v>849</v>
      </c>
      <c r="D64" s="917"/>
      <c r="E64" s="185">
        <v>0</v>
      </c>
      <c r="G64" s="119"/>
      <c r="I64" s="185">
        <v>17</v>
      </c>
      <c r="J64" s="126">
        <v>17</v>
      </c>
      <c r="K64" s="92">
        <f t="shared" si="3"/>
        <v>0</v>
      </c>
      <c r="L64" s="92">
        <f t="shared" si="3"/>
        <v>0</v>
      </c>
      <c r="M64" s="92">
        <f t="shared" si="3"/>
        <v>100</v>
      </c>
      <c r="N64" s="121">
        <f t="shared" si="1"/>
        <v>100</v>
      </c>
      <c r="O64" s="91"/>
      <c r="P64" s="92"/>
      <c r="Q64" s="92">
        <v>46.9</v>
      </c>
      <c r="R64" s="93">
        <f t="shared" si="2"/>
        <v>46.9</v>
      </c>
      <c r="S64" s="185">
        <v>4</v>
      </c>
      <c r="T64" s="839"/>
      <c r="U64" s="852"/>
      <c r="V64" s="82" t="s">
        <v>478</v>
      </c>
      <c r="W64" s="185" t="s">
        <v>20</v>
      </c>
      <c r="X64" s="185" t="s">
        <v>12</v>
      </c>
      <c r="Y64" s="83">
        <v>46.9</v>
      </c>
      <c r="AD64" s="82"/>
      <c r="AG64" s="83"/>
      <c r="AL64" s="82"/>
      <c r="AO64" s="83"/>
      <c r="AP64" s="82"/>
      <c r="AS64" s="83"/>
      <c r="AW64" s="83"/>
      <c r="BA64" s="84"/>
    </row>
    <row r="65" spans="1:53" s="185" customFormat="1">
      <c r="A65" s="185">
        <v>2006</v>
      </c>
      <c r="B65" s="852"/>
      <c r="C65" s="917" t="s">
        <v>849</v>
      </c>
      <c r="D65" s="917"/>
      <c r="E65" s="185">
        <f>365-E64</f>
        <v>365</v>
      </c>
      <c r="G65" s="119"/>
      <c r="I65" s="185">
        <v>17</v>
      </c>
      <c r="J65" s="126">
        <v>17</v>
      </c>
      <c r="K65" s="92">
        <f t="shared" si="3"/>
        <v>0</v>
      </c>
      <c r="L65" s="92">
        <f t="shared" si="3"/>
        <v>0</v>
      </c>
      <c r="M65" s="92">
        <f t="shared" si="3"/>
        <v>100</v>
      </c>
      <c r="N65" s="121">
        <f t="shared" si="1"/>
        <v>100</v>
      </c>
      <c r="O65" s="91"/>
      <c r="P65" s="92"/>
      <c r="Q65" s="92">
        <v>46.9</v>
      </c>
      <c r="R65" s="93">
        <f t="shared" si="2"/>
        <v>46.9</v>
      </c>
      <c r="S65" s="185">
        <v>4</v>
      </c>
      <c r="T65" s="839"/>
      <c r="U65" s="852"/>
      <c r="V65" s="82" t="s">
        <v>478</v>
      </c>
      <c r="W65" s="185" t="s">
        <v>20</v>
      </c>
      <c r="X65" s="185" t="s">
        <v>12</v>
      </c>
      <c r="Y65" s="83">
        <v>46.9</v>
      </c>
      <c r="AD65" s="82"/>
      <c r="AG65" s="83"/>
      <c r="AL65" s="82"/>
      <c r="AO65" s="83"/>
      <c r="AP65" s="82"/>
      <c r="AS65" s="83"/>
      <c r="AW65" s="83"/>
      <c r="BA65" s="84"/>
    </row>
    <row r="66" spans="1:53" s="185" customFormat="1">
      <c r="A66" s="185">
        <v>2007</v>
      </c>
      <c r="B66" s="852"/>
      <c r="C66" s="917" t="s">
        <v>849</v>
      </c>
      <c r="D66" s="917"/>
      <c r="E66" s="185">
        <v>0</v>
      </c>
      <c r="G66" s="119"/>
      <c r="I66" s="185">
        <v>17</v>
      </c>
      <c r="J66" s="126">
        <v>17</v>
      </c>
      <c r="K66" s="92">
        <f t="shared" si="3"/>
        <v>0</v>
      </c>
      <c r="L66" s="92">
        <f t="shared" si="3"/>
        <v>0</v>
      </c>
      <c r="M66" s="92">
        <f t="shared" si="3"/>
        <v>100</v>
      </c>
      <c r="N66" s="121">
        <f t="shared" si="1"/>
        <v>100</v>
      </c>
      <c r="O66" s="91"/>
      <c r="P66" s="92"/>
      <c r="Q66" s="92">
        <v>46.9</v>
      </c>
      <c r="R66" s="93">
        <f t="shared" si="2"/>
        <v>46.9</v>
      </c>
      <c r="S66" s="185">
        <v>4</v>
      </c>
      <c r="T66" s="839"/>
      <c r="U66" s="852"/>
      <c r="V66" s="82" t="s">
        <v>478</v>
      </c>
      <c r="W66" s="185" t="s">
        <v>20</v>
      </c>
      <c r="X66" s="185" t="s">
        <v>12</v>
      </c>
      <c r="Y66" s="83">
        <v>46.9</v>
      </c>
      <c r="AD66" s="82"/>
      <c r="AG66" s="83"/>
      <c r="AL66" s="82"/>
      <c r="AO66" s="83"/>
      <c r="AP66" s="82"/>
      <c r="AS66" s="83"/>
      <c r="AW66" s="83"/>
      <c r="BA66" s="84"/>
    </row>
    <row r="67" spans="1:53" s="185" customFormat="1">
      <c r="A67" s="185">
        <v>2007</v>
      </c>
      <c r="B67" s="852"/>
      <c r="C67" s="917" t="s">
        <v>849</v>
      </c>
      <c r="D67" s="917"/>
      <c r="E67" s="185">
        <v>365</v>
      </c>
      <c r="G67" s="119"/>
      <c r="I67" s="185">
        <v>17</v>
      </c>
      <c r="J67" s="126">
        <v>17</v>
      </c>
      <c r="K67" s="92">
        <f t="shared" si="3"/>
        <v>0</v>
      </c>
      <c r="L67" s="92">
        <f t="shared" si="3"/>
        <v>0</v>
      </c>
      <c r="M67" s="92">
        <f t="shared" si="3"/>
        <v>100</v>
      </c>
      <c r="N67" s="121">
        <f t="shared" si="1"/>
        <v>100</v>
      </c>
      <c r="O67" s="91"/>
      <c r="P67" s="92"/>
      <c r="Q67" s="92">
        <v>46.9</v>
      </c>
      <c r="R67" s="93">
        <f t="shared" si="2"/>
        <v>46.9</v>
      </c>
      <c r="S67" s="185">
        <v>4</v>
      </c>
      <c r="T67" s="839"/>
      <c r="U67" s="852"/>
      <c r="V67" s="82" t="s">
        <v>478</v>
      </c>
      <c r="W67" s="185" t="s">
        <v>20</v>
      </c>
      <c r="X67" s="185" t="s">
        <v>12</v>
      </c>
      <c r="Y67" s="83">
        <v>46.9</v>
      </c>
      <c r="AD67" s="82"/>
      <c r="AG67" s="83"/>
      <c r="AL67" s="82"/>
      <c r="AO67" s="83"/>
      <c r="AP67" s="82"/>
      <c r="AS67" s="83"/>
      <c r="AW67" s="83"/>
      <c r="BA67" s="84"/>
    </row>
    <row r="68" spans="1:53" s="185" customFormat="1">
      <c r="A68" s="185">
        <v>2008</v>
      </c>
      <c r="B68" s="852"/>
      <c r="C68" s="917" t="s">
        <v>849</v>
      </c>
      <c r="D68" s="917"/>
      <c r="E68" s="185">
        <v>98</v>
      </c>
      <c r="G68" s="119"/>
      <c r="I68" s="185">
        <v>17</v>
      </c>
      <c r="J68" s="126">
        <v>17</v>
      </c>
      <c r="K68" s="92">
        <f t="shared" si="3"/>
        <v>0</v>
      </c>
      <c r="L68" s="92">
        <f t="shared" si="3"/>
        <v>0</v>
      </c>
      <c r="M68" s="92">
        <f t="shared" si="3"/>
        <v>100</v>
      </c>
      <c r="N68" s="121">
        <f t="shared" si="1"/>
        <v>100</v>
      </c>
      <c r="O68" s="91"/>
      <c r="P68" s="92"/>
      <c r="Q68" s="92">
        <v>46.9</v>
      </c>
      <c r="R68" s="93">
        <f t="shared" si="2"/>
        <v>46.9</v>
      </c>
      <c r="S68" s="185">
        <v>4</v>
      </c>
      <c r="T68" s="839"/>
      <c r="U68" s="852"/>
      <c r="V68" s="82" t="s">
        <v>478</v>
      </c>
      <c r="W68" s="185" t="s">
        <v>20</v>
      </c>
      <c r="X68" s="185" t="s">
        <v>12</v>
      </c>
      <c r="Y68" s="83">
        <v>46.9</v>
      </c>
      <c r="AD68" s="82"/>
      <c r="AG68" s="83"/>
      <c r="AL68" s="82"/>
      <c r="AO68" s="83"/>
      <c r="AP68" s="82"/>
      <c r="AS68" s="83"/>
      <c r="AW68" s="83"/>
      <c r="BA68" s="84"/>
    </row>
    <row r="69" spans="1:53" s="292" customFormat="1">
      <c r="A69" s="292">
        <v>2008</v>
      </c>
      <c r="B69" s="836">
        <v>39546</v>
      </c>
      <c r="C69" s="916" t="s">
        <v>850</v>
      </c>
      <c r="D69" s="916"/>
      <c r="E69" s="292">
        <f>366-E68</f>
        <v>268</v>
      </c>
      <c r="F69" s="292">
        <v>1</v>
      </c>
      <c r="G69" s="366"/>
      <c r="I69" s="292">
        <v>17</v>
      </c>
      <c r="J69" s="377">
        <v>17</v>
      </c>
      <c r="K69" s="336">
        <f t="shared" si="3"/>
        <v>0</v>
      </c>
      <c r="L69" s="336">
        <f t="shared" si="3"/>
        <v>0</v>
      </c>
      <c r="M69" s="336">
        <f t="shared" si="3"/>
        <v>100</v>
      </c>
      <c r="N69" s="368">
        <f t="shared" si="1"/>
        <v>100</v>
      </c>
      <c r="O69" s="335"/>
      <c r="P69" s="336"/>
      <c r="Q69" s="336">
        <v>48.28</v>
      </c>
      <c r="R69" s="337">
        <f t="shared" si="2"/>
        <v>48.28</v>
      </c>
      <c r="S69" s="292">
        <v>4</v>
      </c>
      <c r="T69" s="838">
        <v>39516</v>
      </c>
      <c r="U69" s="836">
        <v>39546</v>
      </c>
      <c r="V69" s="299" t="s">
        <v>478</v>
      </c>
      <c r="W69" s="292" t="s">
        <v>20</v>
      </c>
      <c r="X69" s="292" t="s">
        <v>12</v>
      </c>
      <c r="Y69" s="300">
        <v>48.3</v>
      </c>
      <c r="AD69" s="299"/>
      <c r="AG69" s="300"/>
      <c r="AL69" s="299"/>
      <c r="AO69" s="300"/>
      <c r="AP69" s="299"/>
      <c r="AS69" s="300"/>
      <c r="AW69" s="300"/>
      <c r="BA69" s="301"/>
    </row>
    <row r="70" spans="1:53" s="292" customFormat="1">
      <c r="A70" s="292">
        <v>2009</v>
      </c>
      <c r="B70" s="836"/>
      <c r="C70" s="916" t="s">
        <v>850</v>
      </c>
      <c r="D70" s="916"/>
      <c r="E70" s="292">
        <v>96</v>
      </c>
      <c r="G70" s="366"/>
      <c r="I70" s="292">
        <v>17</v>
      </c>
      <c r="J70" s="377">
        <v>17</v>
      </c>
      <c r="K70" s="336">
        <f t="shared" si="3"/>
        <v>0</v>
      </c>
      <c r="L70" s="336">
        <f t="shared" si="3"/>
        <v>0</v>
      </c>
      <c r="M70" s="336">
        <f t="shared" si="3"/>
        <v>100</v>
      </c>
      <c r="N70" s="368">
        <f t="shared" si="1"/>
        <v>100</v>
      </c>
      <c r="O70" s="335"/>
      <c r="P70" s="336"/>
      <c r="Q70" s="336">
        <v>48.28</v>
      </c>
      <c r="R70" s="337">
        <f t="shared" si="2"/>
        <v>48.28</v>
      </c>
      <c r="S70" s="292">
        <v>4</v>
      </c>
      <c r="T70" s="838"/>
      <c r="U70" s="836"/>
      <c r="V70" s="299" t="s">
        <v>478</v>
      </c>
      <c r="W70" s="292" t="s">
        <v>20</v>
      </c>
      <c r="X70" s="292" t="s">
        <v>12</v>
      </c>
      <c r="Y70" s="300">
        <v>48.3</v>
      </c>
      <c r="AD70" s="299"/>
      <c r="AG70" s="300"/>
      <c r="AL70" s="299"/>
      <c r="AO70" s="300"/>
      <c r="AP70" s="299"/>
      <c r="AS70" s="300"/>
      <c r="AW70" s="300"/>
      <c r="BA70" s="301"/>
    </row>
    <row r="71" spans="1:53" s="292" customFormat="1">
      <c r="A71" s="292">
        <v>2009</v>
      </c>
      <c r="B71" s="865">
        <v>39910</v>
      </c>
      <c r="C71" s="916" t="s">
        <v>850</v>
      </c>
      <c r="D71" s="916"/>
      <c r="E71" s="292">
        <f>365-E70</f>
        <v>269</v>
      </c>
      <c r="F71" s="381">
        <v>0</v>
      </c>
      <c r="G71" s="366"/>
      <c r="I71" s="292">
        <v>18</v>
      </c>
      <c r="J71" s="377">
        <v>18</v>
      </c>
      <c r="K71" s="336">
        <f t="shared" si="3"/>
        <v>0</v>
      </c>
      <c r="L71" s="336">
        <f t="shared" si="3"/>
        <v>0</v>
      </c>
      <c r="M71" s="336">
        <f t="shared" si="3"/>
        <v>100</v>
      </c>
      <c r="N71" s="368">
        <f t="shared" si="1"/>
        <v>100</v>
      </c>
      <c r="O71" s="335"/>
      <c r="P71" s="336"/>
      <c r="Q71" s="336">
        <v>48.28</v>
      </c>
      <c r="R71" s="337">
        <f t="shared" si="2"/>
        <v>48.28</v>
      </c>
      <c r="S71" s="292">
        <v>4</v>
      </c>
      <c r="T71" s="838"/>
      <c r="U71" s="836"/>
      <c r="V71" s="299" t="s">
        <v>478</v>
      </c>
      <c r="W71" s="292" t="s">
        <v>20</v>
      </c>
      <c r="X71" s="292" t="s">
        <v>12</v>
      </c>
      <c r="Y71" s="300">
        <v>48.3</v>
      </c>
      <c r="AD71" s="299"/>
      <c r="AG71" s="300"/>
      <c r="AL71" s="299"/>
      <c r="AO71" s="300"/>
      <c r="AP71" s="299"/>
      <c r="AS71" s="300"/>
      <c r="AW71" s="300"/>
      <c r="BA71" s="301"/>
    </row>
    <row r="72" spans="1:53" s="292" customFormat="1">
      <c r="A72" s="292">
        <v>2010</v>
      </c>
      <c r="B72" s="836"/>
      <c r="C72" s="916" t="s">
        <v>850</v>
      </c>
      <c r="D72" s="916"/>
      <c r="E72" s="292">
        <v>292</v>
      </c>
      <c r="G72" s="366"/>
      <c r="I72" s="292">
        <v>18</v>
      </c>
      <c r="J72" s="377">
        <v>18</v>
      </c>
      <c r="K72" s="336">
        <f t="shared" si="3"/>
        <v>0</v>
      </c>
      <c r="L72" s="336">
        <f t="shared" si="3"/>
        <v>0</v>
      </c>
      <c r="M72" s="336">
        <f t="shared" si="3"/>
        <v>100</v>
      </c>
      <c r="N72" s="368">
        <f t="shared" ref="N72:N79" si="4">K72+L72+M72</f>
        <v>100</v>
      </c>
      <c r="O72" s="335"/>
      <c r="P72" s="336"/>
      <c r="Q72" s="336">
        <v>48.28</v>
      </c>
      <c r="R72" s="337">
        <f t="shared" ref="R72:R79" si="5">O72+P72+Q72</f>
        <v>48.28</v>
      </c>
      <c r="S72" s="292">
        <v>4</v>
      </c>
      <c r="T72" s="838"/>
      <c r="U72" s="836"/>
      <c r="V72" s="299" t="s">
        <v>478</v>
      </c>
      <c r="W72" s="292" t="s">
        <v>20</v>
      </c>
      <c r="X72" s="292" t="s">
        <v>12</v>
      </c>
      <c r="Y72" s="300">
        <v>48.3</v>
      </c>
      <c r="AD72" s="299"/>
      <c r="AG72" s="300"/>
      <c r="AL72" s="299"/>
      <c r="AO72" s="300"/>
      <c r="AP72" s="299"/>
      <c r="AS72" s="300"/>
      <c r="AW72" s="300"/>
      <c r="BA72" s="301"/>
    </row>
    <row r="73" spans="1:53" s="292" customFormat="1">
      <c r="A73" s="292">
        <v>2010</v>
      </c>
      <c r="B73" s="865">
        <v>40471</v>
      </c>
      <c r="C73" s="916" t="s">
        <v>850</v>
      </c>
      <c r="D73" s="916"/>
      <c r="E73" s="292">
        <f>365-E72</f>
        <v>73</v>
      </c>
      <c r="F73" s="381">
        <v>0</v>
      </c>
      <c r="G73" s="366"/>
      <c r="I73" s="292">
        <v>15</v>
      </c>
      <c r="J73" s="377">
        <v>16</v>
      </c>
      <c r="K73" s="336">
        <f t="shared" si="3"/>
        <v>0</v>
      </c>
      <c r="L73" s="336">
        <f t="shared" si="3"/>
        <v>0</v>
      </c>
      <c r="M73" s="336">
        <f t="shared" si="3"/>
        <v>93.75</v>
      </c>
      <c r="N73" s="368">
        <f t="shared" si="4"/>
        <v>93.75</v>
      </c>
      <c r="O73" s="335"/>
      <c r="P73" s="336"/>
      <c r="Q73" s="336">
        <v>48.28</v>
      </c>
      <c r="R73" s="337">
        <f t="shared" si="5"/>
        <v>48.28</v>
      </c>
      <c r="S73" s="292">
        <v>4</v>
      </c>
      <c r="T73" s="838"/>
      <c r="U73" s="836"/>
      <c r="V73" s="299" t="s">
        <v>478</v>
      </c>
      <c r="W73" s="292" t="s">
        <v>20</v>
      </c>
      <c r="X73" s="292" t="s">
        <v>12</v>
      </c>
      <c r="Y73" s="300">
        <v>48.3</v>
      </c>
      <c r="AD73" s="299"/>
      <c r="AG73" s="300"/>
      <c r="AL73" s="299"/>
      <c r="AO73" s="300"/>
      <c r="AP73" s="299"/>
      <c r="AS73" s="300"/>
      <c r="AW73" s="300"/>
      <c r="BA73" s="301"/>
    </row>
    <row r="74" spans="1:53" s="292" customFormat="1">
      <c r="A74" s="292">
        <v>2011</v>
      </c>
      <c r="B74" s="836"/>
      <c r="C74" s="916" t="s">
        <v>850</v>
      </c>
      <c r="D74" s="916"/>
      <c r="E74" s="292">
        <v>352</v>
      </c>
      <c r="G74" s="366"/>
      <c r="I74" s="292">
        <v>15</v>
      </c>
      <c r="J74" s="377">
        <v>16</v>
      </c>
      <c r="K74" s="336">
        <f t="shared" si="3"/>
        <v>0</v>
      </c>
      <c r="L74" s="336">
        <f t="shared" si="3"/>
        <v>0</v>
      </c>
      <c r="M74" s="336">
        <f t="shared" si="3"/>
        <v>93.75</v>
      </c>
      <c r="N74" s="368">
        <f t="shared" si="4"/>
        <v>93.75</v>
      </c>
      <c r="O74" s="335"/>
      <c r="P74" s="336"/>
      <c r="Q74" s="336">
        <v>48.28</v>
      </c>
      <c r="R74" s="337">
        <f t="shared" si="5"/>
        <v>48.28</v>
      </c>
      <c r="S74" s="292">
        <v>4</v>
      </c>
      <c r="T74" s="838"/>
      <c r="U74" s="836"/>
      <c r="V74" s="299" t="s">
        <v>478</v>
      </c>
      <c r="W74" s="292" t="s">
        <v>20</v>
      </c>
      <c r="X74" s="292" t="s">
        <v>12</v>
      </c>
      <c r="Y74" s="300">
        <v>48.3</v>
      </c>
      <c r="AD74" s="299"/>
      <c r="AG74" s="300"/>
      <c r="AL74" s="299"/>
      <c r="AO74" s="300"/>
      <c r="AP74" s="299"/>
      <c r="AS74" s="300"/>
      <c r="AW74" s="300"/>
      <c r="BA74" s="301"/>
    </row>
    <row r="75" spans="1:53" s="185" customFormat="1">
      <c r="A75" s="185">
        <v>2011</v>
      </c>
      <c r="B75" s="852">
        <v>40896</v>
      </c>
      <c r="C75" s="950" t="s">
        <v>851</v>
      </c>
      <c r="D75" s="950"/>
      <c r="E75" s="185">
        <v>13</v>
      </c>
      <c r="F75" s="185">
        <v>1</v>
      </c>
      <c r="G75" s="119"/>
      <c r="H75" s="185">
        <v>14</v>
      </c>
      <c r="J75" s="126">
        <v>14</v>
      </c>
      <c r="K75" s="92">
        <f t="shared" si="3"/>
        <v>0</v>
      </c>
      <c r="L75" s="92">
        <f t="shared" si="3"/>
        <v>100</v>
      </c>
      <c r="M75" s="92">
        <f t="shared" si="3"/>
        <v>0</v>
      </c>
      <c r="N75" s="121">
        <f t="shared" si="4"/>
        <v>100</v>
      </c>
      <c r="O75" s="91"/>
      <c r="P75" s="92">
        <v>53.14</v>
      </c>
      <c r="Q75" s="92"/>
      <c r="R75" s="93">
        <f t="shared" si="5"/>
        <v>53.14</v>
      </c>
      <c r="S75" s="185">
        <v>1</v>
      </c>
      <c r="T75" s="839">
        <v>40867</v>
      </c>
      <c r="U75" s="852">
        <v>40896</v>
      </c>
      <c r="V75" s="82" t="s">
        <v>479</v>
      </c>
      <c r="W75" s="185" t="s">
        <v>76</v>
      </c>
      <c r="X75" s="185" t="s">
        <v>18</v>
      </c>
      <c r="Y75" s="83">
        <v>53.1</v>
      </c>
      <c r="AD75" s="82"/>
      <c r="AG75" s="83"/>
      <c r="AL75" s="82"/>
      <c r="AO75" s="83"/>
      <c r="AP75" s="82"/>
      <c r="AS75" s="83"/>
      <c r="AW75" s="83"/>
      <c r="BA75" s="84"/>
    </row>
    <row r="76" spans="1:53" s="185" customFormat="1">
      <c r="A76" s="185">
        <v>2012</v>
      </c>
      <c r="B76" s="852"/>
      <c r="C76" s="950" t="s">
        <v>851</v>
      </c>
      <c r="D76" s="950"/>
      <c r="E76" s="185">
        <v>0</v>
      </c>
      <c r="G76" s="119"/>
      <c r="H76" s="185">
        <v>14</v>
      </c>
      <c r="J76" s="126">
        <v>14</v>
      </c>
      <c r="K76" s="92">
        <f t="shared" si="3"/>
        <v>0</v>
      </c>
      <c r="L76" s="92">
        <f t="shared" si="3"/>
        <v>100</v>
      </c>
      <c r="M76" s="92">
        <f t="shared" si="3"/>
        <v>0</v>
      </c>
      <c r="N76" s="121">
        <f t="shared" si="4"/>
        <v>100</v>
      </c>
      <c r="O76" s="91"/>
      <c r="P76" s="92">
        <v>53.14</v>
      </c>
      <c r="Q76" s="92"/>
      <c r="R76" s="93">
        <f t="shared" si="5"/>
        <v>53.14</v>
      </c>
      <c r="S76" s="185">
        <v>1</v>
      </c>
      <c r="T76" s="839"/>
      <c r="U76" s="852"/>
      <c r="V76" s="82" t="s">
        <v>479</v>
      </c>
      <c r="W76" s="185" t="s">
        <v>76</v>
      </c>
      <c r="X76" s="185" t="s">
        <v>18</v>
      </c>
      <c r="Y76" s="83">
        <v>53.1</v>
      </c>
      <c r="AD76" s="82"/>
      <c r="AG76" s="83"/>
      <c r="AL76" s="82"/>
      <c r="AO76" s="83"/>
      <c r="AP76" s="82"/>
      <c r="AS76" s="83"/>
      <c r="AW76" s="83"/>
      <c r="BA76" s="84"/>
    </row>
    <row r="77" spans="1:53" s="185" customFormat="1">
      <c r="A77" s="185">
        <v>2012</v>
      </c>
      <c r="B77" s="852"/>
      <c r="C77" s="950" t="s">
        <v>851</v>
      </c>
      <c r="D77" s="950"/>
      <c r="E77" s="185">
        <v>366</v>
      </c>
      <c r="G77" s="119"/>
      <c r="H77" s="185">
        <v>14</v>
      </c>
      <c r="J77" s="126">
        <v>14</v>
      </c>
      <c r="K77" s="92">
        <f t="shared" si="3"/>
        <v>0</v>
      </c>
      <c r="L77" s="92">
        <f t="shared" si="3"/>
        <v>100</v>
      </c>
      <c r="M77" s="92">
        <f t="shared" si="3"/>
        <v>0</v>
      </c>
      <c r="N77" s="121">
        <f t="shared" si="4"/>
        <v>100</v>
      </c>
      <c r="O77" s="91"/>
      <c r="P77" s="92">
        <v>53.14</v>
      </c>
      <c r="Q77" s="92"/>
      <c r="R77" s="93">
        <f t="shared" si="5"/>
        <v>53.14</v>
      </c>
      <c r="S77" s="185">
        <v>1</v>
      </c>
      <c r="T77" s="839"/>
      <c r="U77" s="852"/>
      <c r="V77" s="82" t="s">
        <v>479</v>
      </c>
      <c r="W77" s="185" t="s">
        <v>76</v>
      </c>
      <c r="X77" s="185" t="s">
        <v>18</v>
      </c>
      <c r="Y77" s="83">
        <v>53.1</v>
      </c>
      <c r="AD77" s="82"/>
      <c r="AG77" s="83"/>
      <c r="AL77" s="82"/>
      <c r="AO77" s="83"/>
      <c r="AP77" s="82"/>
      <c r="AS77" s="83"/>
      <c r="AW77" s="83"/>
      <c r="BA77" s="84"/>
    </row>
    <row r="78" spans="1:53" s="274" customFormat="1">
      <c r="A78" s="274">
        <v>2013</v>
      </c>
      <c r="B78" s="852"/>
      <c r="C78" s="950" t="s">
        <v>851</v>
      </c>
      <c r="D78" s="950"/>
      <c r="E78" s="274">
        <v>0</v>
      </c>
      <c r="G78" s="119"/>
      <c r="H78" s="274">
        <v>14</v>
      </c>
      <c r="J78" s="126">
        <v>14</v>
      </c>
      <c r="K78" s="92">
        <f t="shared" si="3"/>
        <v>0</v>
      </c>
      <c r="L78" s="92">
        <f t="shared" si="3"/>
        <v>100</v>
      </c>
      <c r="M78" s="92">
        <f t="shared" si="3"/>
        <v>0</v>
      </c>
      <c r="N78" s="121">
        <f t="shared" si="4"/>
        <v>100</v>
      </c>
      <c r="O78" s="91"/>
      <c r="P78" s="92">
        <v>53.14</v>
      </c>
      <c r="Q78" s="92"/>
      <c r="R78" s="93">
        <f t="shared" si="5"/>
        <v>53.14</v>
      </c>
      <c r="S78" s="274">
        <v>1</v>
      </c>
      <c r="T78" s="839"/>
      <c r="U78" s="852"/>
      <c r="V78" s="82" t="s">
        <v>479</v>
      </c>
      <c r="W78" s="274" t="s">
        <v>76</v>
      </c>
      <c r="X78" s="274" t="s">
        <v>18</v>
      </c>
      <c r="Y78" s="83">
        <v>53.1</v>
      </c>
      <c r="AD78" s="82"/>
      <c r="AG78" s="83"/>
      <c r="AL78" s="82"/>
      <c r="AO78" s="83"/>
      <c r="AP78" s="82"/>
      <c r="AS78" s="83"/>
      <c r="AW78" s="83"/>
      <c r="BA78" s="84"/>
    </row>
    <row r="79" spans="1:53" s="274" customFormat="1">
      <c r="A79" s="274">
        <v>2013</v>
      </c>
      <c r="B79" s="852"/>
      <c r="C79" s="950" t="s">
        <v>851</v>
      </c>
      <c r="D79" s="950"/>
      <c r="E79" s="274">
        <v>365</v>
      </c>
      <c r="G79" s="119"/>
      <c r="H79" s="274">
        <v>14</v>
      </c>
      <c r="J79" s="126">
        <v>14</v>
      </c>
      <c r="K79" s="92">
        <f t="shared" si="3"/>
        <v>0</v>
      </c>
      <c r="L79" s="92">
        <f t="shared" si="3"/>
        <v>100</v>
      </c>
      <c r="M79" s="92">
        <f t="shared" si="3"/>
        <v>0</v>
      </c>
      <c r="N79" s="121">
        <f t="shared" si="4"/>
        <v>100</v>
      </c>
      <c r="O79" s="91"/>
      <c r="P79" s="92">
        <v>53.14</v>
      </c>
      <c r="Q79" s="92"/>
      <c r="R79" s="93">
        <f t="shared" si="5"/>
        <v>53.14</v>
      </c>
      <c r="S79" s="274">
        <v>1</v>
      </c>
      <c r="T79" s="839"/>
      <c r="U79" s="852"/>
      <c r="V79" s="82" t="s">
        <v>479</v>
      </c>
      <c r="W79" s="274" t="s">
        <v>76</v>
      </c>
      <c r="X79" s="274" t="s">
        <v>18</v>
      </c>
      <c r="Y79" s="83">
        <v>53.1</v>
      </c>
      <c r="AD79" s="82"/>
      <c r="AG79" s="83"/>
      <c r="AL79" s="82"/>
      <c r="AO79" s="83"/>
      <c r="AP79" s="82"/>
      <c r="AS79" s="83"/>
      <c r="AW79" s="83"/>
      <c r="BA79" s="84"/>
    </row>
    <row r="80" spans="1:53" s="548" customFormat="1">
      <c r="A80" s="548">
        <v>2014</v>
      </c>
      <c r="B80" s="852"/>
      <c r="C80" s="950" t="s">
        <v>851</v>
      </c>
      <c r="D80" s="950"/>
      <c r="E80" s="548">
        <v>0</v>
      </c>
      <c r="G80" s="498"/>
      <c r="H80" s="548">
        <v>14</v>
      </c>
      <c r="J80" s="500">
        <v>14</v>
      </c>
      <c r="K80" s="496">
        <f t="shared" ref="K80:M81" si="6">G80/$J80*100</f>
        <v>0</v>
      </c>
      <c r="L80" s="496">
        <f t="shared" si="6"/>
        <v>100</v>
      </c>
      <c r="M80" s="496">
        <f t="shared" si="6"/>
        <v>0</v>
      </c>
      <c r="N80" s="499">
        <f>K80+L80+M80</f>
        <v>100</v>
      </c>
      <c r="O80" s="495"/>
      <c r="P80" s="496">
        <v>53.14</v>
      </c>
      <c r="Q80" s="496"/>
      <c r="R80" s="497">
        <f>O80+P80+Q80</f>
        <v>53.14</v>
      </c>
      <c r="S80" s="548">
        <v>1</v>
      </c>
      <c r="T80" s="839"/>
      <c r="U80" s="852"/>
      <c r="V80" s="492" t="s">
        <v>479</v>
      </c>
      <c r="W80" s="548" t="s">
        <v>76</v>
      </c>
      <c r="X80" s="548" t="s">
        <v>18</v>
      </c>
      <c r="Y80" s="493">
        <v>53.1</v>
      </c>
      <c r="AD80" s="492"/>
      <c r="AG80" s="493"/>
      <c r="AL80" s="492"/>
      <c r="AO80" s="493"/>
      <c r="AP80" s="492"/>
      <c r="AS80" s="493"/>
      <c r="AW80" s="493"/>
      <c r="BA80" s="494"/>
    </row>
    <row r="81" spans="1:53" s="548" customFormat="1">
      <c r="A81" s="548">
        <v>2014</v>
      </c>
      <c r="B81" s="852"/>
      <c r="C81" s="950" t="s">
        <v>851</v>
      </c>
      <c r="D81" s="950"/>
      <c r="E81" s="548">
        <v>365</v>
      </c>
      <c r="G81" s="498"/>
      <c r="H81" s="548">
        <v>14</v>
      </c>
      <c r="J81" s="500">
        <v>14</v>
      </c>
      <c r="K81" s="496">
        <f t="shared" si="6"/>
        <v>0</v>
      </c>
      <c r="L81" s="496">
        <f t="shared" si="6"/>
        <v>100</v>
      </c>
      <c r="M81" s="496">
        <f t="shared" si="6"/>
        <v>0</v>
      </c>
      <c r="N81" s="499">
        <f>K81+L81+M81</f>
        <v>100</v>
      </c>
      <c r="O81" s="495"/>
      <c r="P81" s="496">
        <v>53.14</v>
      </c>
      <c r="Q81" s="496"/>
      <c r="R81" s="497">
        <f>O81+P81+Q81</f>
        <v>53.14</v>
      </c>
      <c r="S81" s="548">
        <v>1</v>
      </c>
      <c r="T81" s="839"/>
      <c r="U81" s="852"/>
      <c r="V81" s="492" t="s">
        <v>479</v>
      </c>
      <c r="W81" s="548" t="s">
        <v>76</v>
      </c>
      <c r="X81" s="548" t="s">
        <v>18</v>
      </c>
      <c r="Y81" s="493">
        <v>53.1</v>
      </c>
      <c r="AD81" s="492"/>
      <c r="AG81" s="493"/>
      <c r="AL81" s="492"/>
      <c r="AO81" s="493"/>
      <c r="AP81" s="492"/>
      <c r="AS81" s="493"/>
      <c r="AW81" s="493"/>
      <c r="BA81" s="494"/>
    </row>
    <row r="82" spans="1:53" s="621" customFormat="1">
      <c r="A82" s="621">
        <v>2015</v>
      </c>
      <c r="B82" s="852"/>
      <c r="C82" s="950" t="s">
        <v>851</v>
      </c>
      <c r="D82" s="950"/>
      <c r="E82" s="621">
        <v>0</v>
      </c>
      <c r="G82" s="498"/>
      <c r="H82" s="621">
        <v>14</v>
      </c>
      <c r="J82" s="500">
        <v>14</v>
      </c>
      <c r="K82" s="496">
        <f t="shared" ref="K82:K85" si="7">G82/$J82*100</f>
        <v>0</v>
      </c>
      <c r="L82" s="496">
        <f t="shared" ref="L82:L85" si="8">H82/$J82*100</f>
        <v>100</v>
      </c>
      <c r="M82" s="496">
        <f t="shared" ref="M82:M85" si="9">I82/$J82*100</f>
        <v>0</v>
      </c>
      <c r="N82" s="499">
        <f t="shared" ref="N82:N85" si="10">K82+L82+M82</f>
        <v>100</v>
      </c>
      <c r="O82" s="495"/>
      <c r="P82" s="496">
        <v>53.14</v>
      </c>
      <c r="Q82" s="496"/>
      <c r="R82" s="497">
        <f t="shared" ref="R82:R85" si="11">O82+P82+Q82</f>
        <v>53.14</v>
      </c>
      <c r="S82" s="621">
        <v>1</v>
      </c>
      <c r="T82" s="839"/>
      <c r="U82" s="852"/>
      <c r="V82" s="492" t="s">
        <v>479</v>
      </c>
      <c r="W82" s="621" t="s">
        <v>76</v>
      </c>
      <c r="X82" s="621" t="s">
        <v>18</v>
      </c>
      <c r="Y82" s="493">
        <v>53.1</v>
      </c>
      <c r="AD82" s="492"/>
      <c r="AG82" s="493"/>
      <c r="AL82" s="492"/>
      <c r="AO82" s="493"/>
      <c r="AP82" s="492"/>
      <c r="AS82" s="493"/>
      <c r="AW82" s="493"/>
      <c r="BA82" s="494"/>
    </row>
    <row r="83" spans="1:53" s="621" customFormat="1">
      <c r="A83" s="621">
        <v>2015</v>
      </c>
      <c r="B83" s="852"/>
      <c r="C83" s="950" t="s">
        <v>851</v>
      </c>
      <c r="D83" s="950"/>
      <c r="E83" s="621">
        <v>365</v>
      </c>
      <c r="G83" s="498"/>
      <c r="H83" s="621">
        <v>14</v>
      </c>
      <c r="J83" s="500">
        <v>14</v>
      </c>
      <c r="K83" s="496">
        <f t="shared" si="7"/>
        <v>0</v>
      </c>
      <c r="L83" s="496">
        <f t="shared" si="8"/>
        <v>100</v>
      </c>
      <c r="M83" s="496">
        <f t="shared" si="9"/>
        <v>0</v>
      </c>
      <c r="N83" s="499">
        <f t="shared" si="10"/>
        <v>100</v>
      </c>
      <c r="O83" s="495"/>
      <c r="P83" s="496">
        <v>35.1</v>
      </c>
      <c r="Q83" s="496"/>
      <c r="R83" s="497">
        <f t="shared" si="11"/>
        <v>35.1</v>
      </c>
      <c r="S83" s="621">
        <v>1</v>
      </c>
      <c r="T83" s="839">
        <v>42358</v>
      </c>
      <c r="U83" s="852"/>
      <c r="V83" s="492" t="s">
        <v>479</v>
      </c>
      <c r="W83" s="621" t="s">
        <v>76</v>
      </c>
      <c r="X83" s="621" t="s">
        <v>18</v>
      </c>
      <c r="Y83" s="493">
        <v>35.1</v>
      </c>
      <c r="AD83" s="492"/>
      <c r="AG83" s="493"/>
      <c r="AL83" s="492"/>
      <c r="AO83" s="493"/>
      <c r="AP83" s="492"/>
      <c r="AS83" s="493"/>
      <c r="AW83" s="493"/>
      <c r="BA83" s="494"/>
    </row>
    <row r="84" spans="1:53" s="693" customFormat="1">
      <c r="A84" s="693">
        <v>2016</v>
      </c>
      <c r="B84" s="852"/>
      <c r="C84" s="950" t="s">
        <v>851</v>
      </c>
      <c r="D84" s="950"/>
      <c r="E84" s="693">
        <v>308</v>
      </c>
      <c r="G84" s="498"/>
      <c r="H84" s="693">
        <v>14</v>
      </c>
      <c r="J84" s="500">
        <v>14</v>
      </c>
      <c r="K84" s="496">
        <f t="shared" si="7"/>
        <v>0</v>
      </c>
      <c r="L84" s="496">
        <f t="shared" si="8"/>
        <v>100</v>
      </c>
      <c r="M84" s="496">
        <f t="shared" si="9"/>
        <v>0</v>
      </c>
      <c r="N84" s="499">
        <f t="shared" si="10"/>
        <v>100</v>
      </c>
      <c r="O84" s="495"/>
      <c r="P84" s="496">
        <v>35.1</v>
      </c>
      <c r="Q84" s="496"/>
      <c r="R84" s="497">
        <f t="shared" si="11"/>
        <v>35.1</v>
      </c>
      <c r="S84" s="693">
        <v>1</v>
      </c>
      <c r="T84" s="839"/>
      <c r="U84" s="852"/>
      <c r="V84" s="492" t="s">
        <v>479</v>
      </c>
      <c r="W84" s="693" t="s">
        <v>76</v>
      </c>
      <c r="X84" s="693" t="s">
        <v>18</v>
      </c>
      <c r="Y84" s="493">
        <v>35.1</v>
      </c>
      <c r="AD84" s="492"/>
      <c r="AG84" s="493"/>
      <c r="AL84" s="492"/>
      <c r="AO84" s="493"/>
      <c r="AP84" s="492"/>
      <c r="AS84" s="493"/>
      <c r="AW84" s="493"/>
      <c r="BA84" s="494"/>
    </row>
    <row r="85" spans="1:53" s="692" customFormat="1">
      <c r="A85" s="692">
        <v>2016</v>
      </c>
      <c r="B85" s="836">
        <v>42678</v>
      </c>
      <c r="C85" s="958" t="s">
        <v>1356</v>
      </c>
      <c r="D85" s="958"/>
      <c r="E85" s="692">
        <v>58</v>
      </c>
      <c r="F85" s="692">
        <v>1</v>
      </c>
      <c r="G85" s="539"/>
      <c r="H85" s="692">
        <v>14</v>
      </c>
      <c r="J85" s="541">
        <v>14</v>
      </c>
      <c r="K85" s="537">
        <f t="shared" si="7"/>
        <v>0</v>
      </c>
      <c r="L85" s="537">
        <f t="shared" si="8"/>
        <v>100</v>
      </c>
      <c r="M85" s="537">
        <f t="shared" si="9"/>
        <v>0</v>
      </c>
      <c r="N85" s="540">
        <f t="shared" si="10"/>
        <v>100</v>
      </c>
      <c r="O85" s="536"/>
      <c r="P85" s="537">
        <v>38.299999999999997</v>
      </c>
      <c r="Q85" s="537"/>
      <c r="R85" s="538">
        <f t="shared" si="11"/>
        <v>38.299999999999997</v>
      </c>
      <c r="S85" s="340">
        <v>4</v>
      </c>
      <c r="T85" s="838">
        <v>42547</v>
      </c>
      <c r="U85" s="836">
        <v>42678</v>
      </c>
      <c r="V85" s="532" t="s">
        <v>479</v>
      </c>
      <c r="W85" s="692" t="s">
        <v>76</v>
      </c>
      <c r="X85" s="692" t="s">
        <v>18</v>
      </c>
      <c r="Y85" s="533">
        <v>38.299999999999997</v>
      </c>
      <c r="AD85" s="532"/>
      <c r="AG85" s="533"/>
      <c r="AL85" s="532"/>
      <c r="AO85" s="533"/>
      <c r="AP85" s="532"/>
      <c r="AS85" s="533"/>
      <c r="AW85" s="533"/>
      <c r="BA85" s="534"/>
    </row>
    <row r="86" spans="1:53" s="731" customFormat="1">
      <c r="A86" s="731">
        <v>2017</v>
      </c>
      <c r="B86" s="836"/>
      <c r="C86" s="958" t="s">
        <v>1356</v>
      </c>
      <c r="D86" s="958"/>
      <c r="E86" s="731">
        <v>0</v>
      </c>
      <c r="G86" s="539"/>
      <c r="H86" s="731">
        <v>14</v>
      </c>
      <c r="J86" s="541">
        <v>14</v>
      </c>
      <c r="K86" s="537">
        <f t="shared" ref="K86:K87" si="12">G86/$J86*100</f>
        <v>0</v>
      </c>
      <c r="L86" s="537">
        <f t="shared" ref="L86:L87" si="13">H86/$J86*100</f>
        <v>100</v>
      </c>
      <c r="M86" s="537">
        <f t="shared" ref="M86:M87" si="14">I86/$J86*100</f>
        <v>0</v>
      </c>
      <c r="N86" s="540">
        <f t="shared" ref="N86:N87" si="15">K86+L86+M86</f>
        <v>100</v>
      </c>
      <c r="O86" s="536"/>
      <c r="P86" s="537">
        <v>38.299999999999997</v>
      </c>
      <c r="Q86" s="537"/>
      <c r="R86" s="538">
        <f t="shared" ref="R86:R87" si="16">O86+P86+Q86</f>
        <v>38.299999999999997</v>
      </c>
      <c r="S86" s="340">
        <v>4</v>
      </c>
      <c r="T86" s="838"/>
      <c r="U86" s="836"/>
      <c r="V86" s="532" t="s">
        <v>479</v>
      </c>
      <c r="W86" s="731" t="s">
        <v>76</v>
      </c>
      <c r="X86" s="731" t="s">
        <v>18</v>
      </c>
      <c r="Y86" s="533">
        <v>38.299999999999997</v>
      </c>
      <c r="AD86" s="532"/>
      <c r="AG86" s="533"/>
      <c r="AL86" s="532"/>
      <c r="AO86" s="533"/>
      <c r="AP86" s="532"/>
      <c r="AS86" s="533"/>
      <c r="AW86" s="533"/>
      <c r="BA86" s="534"/>
    </row>
    <row r="87" spans="1:53" s="731" customFormat="1">
      <c r="A87" s="731">
        <v>2017</v>
      </c>
      <c r="B87" s="836"/>
      <c r="C87" s="958" t="s">
        <v>1356</v>
      </c>
      <c r="D87" s="958"/>
      <c r="E87" s="731">
        <v>365</v>
      </c>
      <c r="G87" s="539"/>
      <c r="H87" s="731">
        <v>14</v>
      </c>
      <c r="J87" s="541">
        <v>14</v>
      </c>
      <c r="K87" s="537">
        <f t="shared" si="12"/>
        <v>0</v>
      </c>
      <c r="L87" s="537">
        <f t="shared" si="13"/>
        <v>100</v>
      </c>
      <c r="M87" s="537">
        <f t="shared" si="14"/>
        <v>0</v>
      </c>
      <c r="N87" s="540">
        <f t="shared" si="15"/>
        <v>100</v>
      </c>
      <c r="O87" s="536"/>
      <c r="P87" s="537">
        <v>38.299999999999997</v>
      </c>
      <c r="Q87" s="537"/>
      <c r="R87" s="538">
        <f t="shared" si="16"/>
        <v>38.299999999999997</v>
      </c>
      <c r="S87" s="340">
        <v>4</v>
      </c>
      <c r="T87" s="838"/>
      <c r="U87" s="836"/>
      <c r="V87" s="532" t="s">
        <v>479</v>
      </c>
      <c r="W87" s="731" t="s">
        <v>76</v>
      </c>
      <c r="X87" s="731" t="s">
        <v>18</v>
      </c>
      <c r="Y87" s="533">
        <v>38.299999999999997</v>
      </c>
      <c r="AD87" s="532"/>
      <c r="AG87" s="533"/>
      <c r="AL87" s="532"/>
      <c r="AO87" s="533"/>
      <c r="AP87" s="532"/>
      <c r="AS87" s="533"/>
      <c r="AW87" s="533"/>
      <c r="BA87" s="534"/>
    </row>
    <row r="88" spans="1:53" s="770" customFormat="1">
      <c r="A88" s="770">
        <v>2018</v>
      </c>
      <c r="B88" s="836"/>
      <c r="C88" s="958" t="s">
        <v>1356</v>
      </c>
      <c r="D88" s="958"/>
      <c r="E88" s="770">
        <v>157</v>
      </c>
      <c r="G88" s="539"/>
      <c r="H88" s="770">
        <v>14</v>
      </c>
      <c r="J88" s="541">
        <v>14</v>
      </c>
      <c r="K88" s="537">
        <f t="shared" ref="K88:K89" si="17">G88/$J88*100</f>
        <v>0</v>
      </c>
      <c r="L88" s="537">
        <f t="shared" ref="L88" si="18">H88/$J88*100</f>
        <v>100</v>
      </c>
      <c r="M88" s="537">
        <f t="shared" ref="M88" si="19">I88/$J88*100</f>
        <v>0</v>
      </c>
      <c r="N88" s="540">
        <f t="shared" ref="N88" si="20">K88+L88+M88</f>
        <v>100</v>
      </c>
      <c r="O88" s="536"/>
      <c r="P88" s="537">
        <v>38.299999999999997</v>
      </c>
      <c r="Q88" s="537"/>
      <c r="R88" s="538">
        <f t="shared" ref="R88" si="21">O88+P88+Q88</f>
        <v>38.299999999999997</v>
      </c>
      <c r="S88" s="340">
        <v>4</v>
      </c>
      <c r="T88" s="838"/>
      <c r="U88" s="836"/>
      <c r="V88" s="532" t="s">
        <v>479</v>
      </c>
      <c r="W88" s="770" t="s">
        <v>76</v>
      </c>
      <c r="X88" s="770" t="s">
        <v>18</v>
      </c>
      <c r="Y88" s="533">
        <v>38.299999999999997</v>
      </c>
      <c r="AD88" s="532"/>
      <c r="AG88" s="533"/>
      <c r="AL88" s="532"/>
      <c r="AO88" s="533"/>
      <c r="AP88" s="532"/>
      <c r="AS88" s="533"/>
      <c r="AW88" s="533"/>
      <c r="BA88" s="534"/>
    </row>
    <row r="89" spans="1:53" s="771" customFormat="1">
      <c r="A89" s="771">
        <v>2018</v>
      </c>
      <c r="B89" s="852">
        <v>43258</v>
      </c>
      <c r="C89" s="950" t="s">
        <v>1409</v>
      </c>
      <c r="D89" s="950"/>
      <c r="E89" s="771">
        <v>208</v>
      </c>
      <c r="F89" s="771">
        <v>5</v>
      </c>
      <c r="G89" s="498"/>
      <c r="I89" s="771">
        <v>18</v>
      </c>
      <c r="J89" s="500">
        <v>18</v>
      </c>
      <c r="K89" s="496">
        <f t="shared" si="17"/>
        <v>0</v>
      </c>
      <c r="L89" s="496">
        <f t="shared" ref="L89" si="22">H89/$J89*100</f>
        <v>0</v>
      </c>
      <c r="M89" s="496">
        <f t="shared" ref="M89" si="23">I89/$J89*100</f>
        <v>100</v>
      </c>
      <c r="N89" s="499">
        <f t="shared" ref="N89" si="24">K89+L89+M89</f>
        <v>100</v>
      </c>
      <c r="O89" s="495"/>
      <c r="P89" s="496"/>
      <c r="Q89" s="496">
        <v>24.3</v>
      </c>
      <c r="R89" s="497">
        <f>SUM(O89:Q89)</f>
        <v>24.3</v>
      </c>
      <c r="S89" s="771">
        <v>4</v>
      </c>
      <c r="T89" s="839"/>
      <c r="U89" s="852">
        <v>43258</v>
      </c>
      <c r="V89" s="492" t="s">
        <v>478</v>
      </c>
      <c r="W89" s="771" t="s">
        <v>20</v>
      </c>
      <c r="X89" s="771" t="s">
        <v>12</v>
      </c>
      <c r="Y89" s="493">
        <v>24.3</v>
      </c>
      <c r="AD89" s="492"/>
      <c r="AG89" s="493"/>
      <c r="AL89" s="492"/>
      <c r="AO89" s="493"/>
      <c r="AP89" s="492"/>
      <c r="AS89" s="493"/>
      <c r="AW89" s="493"/>
      <c r="BA89" s="494"/>
    </row>
    <row r="90" spans="1:53" s="813" customFormat="1">
      <c r="A90" s="813">
        <v>2019</v>
      </c>
      <c r="B90" s="852"/>
      <c r="C90" s="950" t="s">
        <v>1409</v>
      </c>
      <c r="D90" s="950"/>
      <c r="E90" s="813">
        <v>139</v>
      </c>
      <c r="G90" s="498"/>
      <c r="I90" s="813">
        <v>18</v>
      </c>
      <c r="J90" s="500">
        <v>18</v>
      </c>
      <c r="K90" s="496">
        <f t="shared" ref="K90:K92" si="25">G90/$J90*100</f>
        <v>0</v>
      </c>
      <c r="L90" s="496">
        <f t="shared" ref="L90:L92" si="26">H90/$J90*100</f>
        <v>0</v>
      </c>
      <c r="M90" s="496">
        <f t="shared" ref="M90:M92" si="27">I90/$J90*100</f>
        <v>100</v>
      </c>
      <c r="N90" s="499">
        <f t="shared" ref="N90:N92" si="28">K90+L90+M90</f>
        <v>100</v>
      </c>
      <c r="O90" s="495"/>
      <c r="P90" s="496"/>
      <c r="Q90" s="496">
        <v>24.3</v>
      </c>
      <c r="R90" s="497">
        <f t="shared" ref="R90:R92" si="29">SUM(O90:Q90)</f>
        <v>24.3</v>
      </c>
      <c r="S90" s="813">
        <v>4</v>
      </c>
      <c r="T90" s="839"/>
      <c r="U90" s="852"/>
      <c r="V90" s="492" t="s">
        <v>478</v>
      </c>
      <c r="W90" s="813" t="s">
        <v>20</v>
      </c>
      <c r="X90" s="813" t="s">
        <v>12</v>
      </c>
      <c r="Y90" s="493">
        <v>24.3</v>
      </c>
      <c r="AD90" s="492"/>
      <c r="AG90" s="493"/>
      <c r="AL90" s="492"/>
      <c r="AO90" s="493"/>
      <c r="AP90" s="492"/>
      <c r="AS90" s="493"/>
      <c r="AW90" s="493"/>
      <c r="BA90" s="494"/>
    </row>
    <row r="91" spans="1:53" s="813" customFormat="1">
      <c r="A91" s="813">
        <v>2019</v>
      </c>
      <c r="B91" s="860">
        <v>43605</v>
      </c>
      <c r="C91" s="950" t="s">
        <v>1409</v>
      </c>
      <c r="D91" s="950"/>
      <c r="E91" s="813">
        <v>193</v>
      </c>
      <c r="F91" s="502">
        <v>0</v>
      </c>
      <c r="G91" s="498"/>
      <c r="I91" s="813">
        <v>17</v>
      </c>
      <c r="J91" s="500">
        <v>17</v>
      </c>
      <c r="K91" s="496">
        <f t="shared" ref="K91" si="30">G91/$J91*100</f>
        <v>0</v>
      </c>
      <c r="L91" s="496">
        <f t="shared" ref="L91" si="31">H91/$J91*100</f>
        <v>0</v>
      </c>
      <c r="M91" s="496">
        <f t="shared" ref="M91" si="32">I91/$J91*100</f>
        <v>100</v>
      </c>
      <c r="N91" s="499">
        <f t="shared" ref="N91" si="33">K91+L91+M91</f>
        <v>100</v>
      </c>
      <c r="O91" s="495"/>
      <c r="P91" s="496"/>
      <c r="Q91" s="496">
        <v>35.1</v>
      </c>
      <c r="R91" s="497">
        <f t="shared" si="29"/>
        <v>35.1</v>
      </c>
      <c r="S91" s="813">
        <v>4</v>
      </c>
      <c r="T91" s="839">
        <v>43583</v>
      </c>
      <c r="U91" s="852"/>
      <c r="V91" s="492" t="s">
        <v>478</v>
      </c>
      <c r="W91" s="813" t="s">
        <v>20</v>
      </c>
      <c r="X91" s="813" t="s">
        <v>12</v>
      </c>
      <c r="Y91" s="493">
        <v>35.1</v>
      </c>
      <c r="AD91" s="492"/>
      <c r="AG91" s="493"/>
      <c r="AL91" s="492"/>
      <c r="AO91" s="493"/>
      <c r="AP91" s="492"/>
      <c r="AS91" s="493"/>
      <c r="AW91" s="493"/>
      <c r="BA91" s="494"/>
    </row>
    <row r="92" spans="1:53" s="813" customFormat="1">
      <c r="A92" s="813">
        <v>2019</v>
      </c>
      <c r="B92" s="860">
        <v>43798</v>
      </c>
      <c r="C92" s="950" t="s">
        <v>1409</v>
      </c>
      <c r="D92" s="950"/>
      <c r="E92" s="813">
        <v>33</v>
      </c>
      <c r="F92" s="502">
        <v>0</v>
      </c>
      <c r="G92" s="498"/>
      <c r="I92" s="813">
        <v>16</v>
      </c>
      <c r="J92" s="500">
        <v>16</v>
      </c>
      <c r="K92" s="496">
        <f t="shared" si="25"/>
        <v>0</v>
      </c>
      <c r="L92" s="496">
        <f t="shared" si="26"/>
        <v>0</v>
      </c>
      <c r="M92" s="496">
        <f t="shared" si="27"/>
        <v>100</v>
      </c>
      <c r="N92" s="499">
        <f t="shared" si="28"/>
        <v>100</v>
      </c>
      <c r="O92" s="495"/>
      <c r="P92" s="496"/>
      <c r="Q92" s="496">
        <v>34.299999999999997</v>
      </c>
      <c r="R92" s="497">
        <f t="shared" si="29"/>
        <v>34.299999999999997</v>
      </c>
      <c r="S92" s="813">
        <v>4</v>
      </c>
      <c r="T92" s="839">
        <v>43779</v>
      </c>
      <c r="U92" s="852"/>
      <c r="V92" s="492" t="s">
        <v>478</v>
      </c>
      <c r="W92" s="813" t="s">
        <v>20</v>
      </c>
      <c r="X92" s="813" t="s">
        <v>12</v>
      </c>
      <c r="Y92" s="493">
        <v>34.299999999999997</v>
      </c>
      <c r="AD92" s="492"/>
      <c r="AG92" s="493"/>
      <c r="AL92" s="492"/>
      <c r="AO92" s="493"/>
      <c r="AP92" s="492"/>
      <c r="AS92" s="493"/>
      <c r="AW92" s="493"/>
      <c r="BA92" s="494"/>
    </row>
    <row r="95" spans="1:53" s="2" customFormat="1" ht="18" customHeight="1">
      <c r="B95" s="22" t="s">
        <v>1269</v>
      </c>
      <c r="H95" s="6"/>
    </row>
    <row r="96" spans="1:53" s="2" customFormat="1" ht="9" customHeight="1">
      <c r="H96" s="6"/>
    </row>
    <row r="97" spans="1:30" s="317" customFormat="1" ht="9" customHeight="1">
      <c r="A97" s="315"/>
      <c r="B97" s="316" t="s">
        <v>1220</v>
      </c>
      <c r="C97" s="316"/>
      <c r="D97" s="316"/>
      <c r="E97" s="316"/>
      <c r="F97" s="316"/>
      <c r="G97" s="316" t="s">
        <v>1221</v>
      </c>
      <c r="H97" s="316"/>
      <c r="I97" s="316"/>
      <c r="J97" s="316"/>
      <c r="K97" s="316"/>
      <c r="L97" s="316"/>
      <c r="M97" s="316"/>
      <c r="N97" s="316"/>
      <c r="R97" s="895" t="s">
        <v>1222</v>
      </c>
      <c r="S97" s="895"/>
      <c r="T97" s="895"/>
      <c r="U97" s="895"/>
      <c r="V97" s="895"/>
      <c r="W97" s="895"/>
      <c r="X97" s="318"/>
      <c r="Y97" s="318"/>
      <c r="AA97" s="318"/>
      <c r="AB97" s="318"/>
      <c r="AC97" s="318"/>
      <c r="AD97" s="318"/>
    </row>
    <row r="98" spans="1:30" s="322" customFormat="1" ht="9" customHeight="1">
      <c r="A98" s="319"/>
      <c r="B98" s="320" t="s">
        <v>1224</v>
      </c>
      <c r="C98" s="321"/>
      <c r="D98" s="321"/>
      <c r="E98" s="321"/>
      <c r="F98" s="321"/>
      <c r="G98" s="320" t="s">
        <v>1223</v>
      </c>
      <c r="H98" s="321"/>
      <c r="I98" s="321"/>
      <c r="J98" s="321"/>
      <c r="K98" s="321"/>
      <c r="L98" s="321"/>
      <c r="M98" s="321"/>
      <c r="N98" s="321"/>
      <c r="R98" s="323" t="s">
        <v>1225</v>
      </c>
      <c r="S98" s="324"/>
      <c r="T98" s="325"/>
      <c r="U98" s="325"/>
      <c r="V98" s="325"/>
      <c r="W98" s="323" t="s">
        <v>1226</v>
      </c>
      <c r="X98" s="325"/>
      <c r="Y98" s="325"/>
      <c r="AA98" s="325"/>
      <c r="AB98" s="325"/>
      <c r="AC98" s="325"/>
      <c r="AD98" s="325"/>
    </row>
    <row r="99" spans="1:30" s="307" customFormat="1" ht="12" customHeight="1">
      <c r="A99" s="326" t="s">
        <v>3</v>
      </c>
      <c r="B99" s="327" t="s">
        <v>8</v>
      </c>
      <c r="C99" s="327" t="s">
        <v>9</v>
      </c>
      <c r="D99" s="327" t="s">
        <v>10</v>
      </c>
      <c r="E99" s="328" t="s">
        <v>1200</v>
      </c>
      <c r="F99" s="327"/>
      <c r="G99" s="307" t="s">
        <v>3</v>
      </c>
      <c r="H99" s="896" t="s">
        <v>0</v>
      </c>
      <c r="I99" s="896"/>
      <c r="J99" s="896" t="s">
        <v>1</v>
      </c>
      <c r="K99" s="896"/>
      <c r="L99" s="896" t="s">
        <v>2</v>
      </c>
      <c r="M99" s="896"/>
      <c r="N99" s="897" t="s">
        <v>1200</v>
      </c>
      <c r="O99" s="897"/>
      <c r="P99" s="329"/>
      <c r="Q99" s="329"/>
      <c r="R99" s="330" t="s">
        <v>3</v>
      </c>
      <c r="S99" s="331" t="s">
        <v>136</v>
      </c>
      <c r="T99" s="329" t="s">
        <v>134</v>
      </c>
      <c r="U99" s="327" t="s">
        <v>135</v>
      </c>
      <c r="V99" s="329"/>
      <c r="W99" s="332" t="s">
        <v>26</v>
      </c>
    </row>
    <row r="100" spans="1:30" s="16" customFormat="1" ht="9" customHeight="1">
      <c r="A100" s="1">
        <v>1960</v>
      </c>
      <c r="B100" s="175"/>
      <c r="C100" s="175"/>
      <c r="D100" s="175"/>
      <c r="E100" s="202"/>
      <c r="F100" s="175"/>
      <c r="G100" s="1">
        <v>1960</v>
      </c>
      <c r="H100" s="175"/>
      <c r="I100" s="175"/>
      <c r="J100" s="175"/>
      <c r="K100" s="175"/>
      <c r="L100" s="175"/>
      <c r="M100" s="175"/>
      <c r="N100" s="202"/>
      <c r="O100" s="202"/>
      <c r="P100" s="176"/>
      <c r="Q100" s="176"/>
      <c r="R100" s="1">
        <v>1960</v>
      </c>
      <c r="S100" s="54"/>
      <c r="T100" s="176"/>
      <c r="U100" s="175"/>
      <c r="V100" s="176"/>
      <c r="W100" s="177"/>
    </row>
    <row r="101" spans="1:30" s="16" customFormat="1" ht="9" customHeight="1">
      <c r="A101" s="1">
        <v>1961</v>
      </c>
      <c r="B101" s="175"/>
      <c r="C101" s="175"/>
      <c r="D101" s="175"/>
      <c r="E101" s="202"/>
      <c r="F101" s="175"/>
      <c r="G101" s="1">
        <v>1961</v>
      </c>
      <c r="H101" s="175"/>
      <c r="I101" s="175"/>
      <c r="J101" s="175"/>
      <c r="K101" s="175"/>
      <c r="L101" s="175"/>
      <c r="M101" s="175"/>
      <c r="N101" s="202"/>
      <c r="O101" s="202"/>
      <c r="P101" s="176"/>
      <c r="Q101" s="176"/>
      <c r="R101" s="1">
        <v>1961</v>
      </c>
      <c r="S101" s="54"/>
      <c r="T101" s="176"/>
      <c r="U101" s="175"/>
      <c r="V101" s="176"/>
      <c r="W101" s="177"/>
    </row>
    <row r="102" spans="1:30" s="16" customFormat="1" ht="9" customHeight="1">
      <c r="A102" s="1">
        <v>1962</v>
      </c>
      <c r="B102" s="175"/>
      <c r="C102" s="175"/>
      <c r="D102" s="175"/>
      <c r="E102" s="202"/>
      <c r="F102" s="175"/>
      <c r="G102" s="1">
        <v>1962</v>
      </c>
      <c r="H102" s="175"/>
      <c r="I102" s="175"/>
      <c r="J102" s="175"/>
      <c r="K102" s="175"/>
      <c r="L102" s="175"/>
      <c r="M102" s="175"/>
      <c r="N102" s="202"/>
      <c r="O102" s="202"/>
      <c r="P102" s="176"/>
      <c r="Q102" s="176"/>
      <c r="R102" s="1">
        <v>1962</v>
      </c>
      <c r="S102" s="54"/>
      <c r="T102" s="176"/>
      <c r="U102" s="175"/>
      <c r="V102" s="176"/>
      <c r="W102" s="177"/>
    </row>
    <row r="103" spans="1:30" s="16" customFormat="1" ht="9" customHeight="1">
      <c r="A103" s="1">
        <v>1963</v>
      </c>
      <c r="B103" s="175"/>
      <c r="C103" s="175"/>
      <c r="D103" s="175"/>
      <c r="E103" s="202"/>
      <c r="F103" s="175"/>
      <c r="G103" s="1">
        <v>1963</v>
      </c>
      <c r="H103" s="175"/>
      <c r="I103" s="175"/>
      <c r="J103" s="175"/>
      <c r="K103" s="175"/>
      <c r="L103" s="175"/>
      <c r="M103" s="175"/>
      <c r="N103" s="202"/>
      <c r="O103" s="202"/>
      <c r="P103" s="176"/>
      <c r="Q103" s="176"/>
      <c r="R103" s="1">
        <v>1963</v>
      </c>
      <c r="S103" s="54"/>
      <c r="T103" s="176"/>
      <c r="U103" s="175"/>
      <c r="V103" s="176"/>
      <c r="W103" s="177"/>
    </row>
    <row r="104" spans="1:30" s="16" customFormat="1" ht="9" customHeight="1">
      <c r="A104" s="1">
        <v>1964</v>
      </c>
      <c r="B104" s="175"/>
      <c r="C104" s="175"/>
      <c r="D104" s="175"/>
      <c r="E104" s="202"/>
      <c r="F104" s="175"/>
      <c r="G104" s="1">
        <v>1964</v>
      </c>
      <c r="H104" s="175"/>
      <c r="I104" s="175"/>
      <c r="J104" s="175"/>
      <c r="K104" s="175"/>
      <c r="L104" s="175"/>
      <c r="M104" s="175"/>
      <c r="N104" s="202"/>
      <c r="O104" s="202"/>
      <c r="P104" s="176"/>
      <c r="Q104" s="176"/>
      <c r="R104" s="1">
        <v>1964</v>
      </c>
      <c r="S104" s="54"/>
      <c r="T104" s="176"/>
      <c r="U104" s="175"/>
      <c r="V104" s="176"/>
      <c r="W104" s="177"/>
    </row>
    <row r="105" spans="1:30" s="16" customFormat="1" ht="9" customHeight="1">
      <c r="A105" s="1">
        <v>1965</v>
      </c>
      <c r="B105" s="175"/>
      <c r="C105" s="175"/>
      <c r="D105" s="175"/>
      <c r="E105" s="202"/>
      <c r="F105" s="175"/>
      <c r="G105" s="1">
        <v>1965</v>
      </c>
      <c r="H105" s="175"/>
      <c r="I105" s="175"/>
      <c r="J105" s="175"/>
      <c r="K105" s="175"/>
      <c r="L105" s="175"/>
      <c r="M105" s="175"/>
      <c r="N105" s="202"/>
      <c r="O105" s="202"/>
      <c r="P105" s="176"/>
      <c r="Q105" s="176"/>
      <c r="R105" s="1">
        <v>1965</v>
      </c>
      <c r="S105" s="54"/>
      <c r="T105" s="176"/>
      <c r="U105" s="175"/>
      <c r="V105" s="176"/>
      <c r="W105" s="177"/>
    </row>
    <row r="106" spans="1:30" s="16" customFormat="1" ht="9" customHeight="1">
      <c r="A106" s="1">
        <v>1966</v>
      </c>
      <c r="B106" s="175"/>
      <c r="C106" s="175"/>
      <c r="D106" s="175"/>
      <c r="E106" s="202"/>
      <c r="F106" s="175"/>
      <c r="G106" s="1">
        <v>1966</v>
      </c>
      <c r="H106" s="175"/>
      <c r="I106" s="175"/>
      <c r="J106" s="175"/>
      <c r="K106" s="175"/>
      <c r="L106" s="175"/>
      <c r="M106" s="175"/>
      <c r="N106" s="202"/>
      <c r="O106" s="202"/>
      <c r="P106" s="176"/>
      <c r="Q106" s="176"/>
      <c r="R106" s="1">
        <v>1966</v>
      </c>
      <c r="S106" s="54"/>
      <c r="T106" s="176"/>
      <c r="U106" s="175"/>
      <c r="V106" s="176"/>
      <c r="W106" s="177"/>
    </row>
    <row r="107" spans="1:30" s="16" customFormat="1" ht="9" customHeight="1">
      <c r="A107" s="1">
        <v>1967</v>
      </c>
      <c r="B107" s="175"/>
      <c r="C107" s="175"/>
      <c r="D107" s="175"/>
      <c r="E107" s="202"/>
      <c r="F107" s="175"/>
      <c r="G107" s="1">
        <v>1967</v>
      </c>
      <c r="H107" s="175"/>
      <c r="I107" s="175"/>
      <c r="J107" s="175"/>
      <c r="K107" s="175"/>
      <c r="L107" s="175"/>
      <c r="M107" s="175"/>
      <c r="N107" s="202"/>
      <c r="O107" s="202"/>
      <c r="P107" s="176"/>
      <c r="Q107" s="176"/>
      <c r="R107" s="1">
        <v>1967</v>
      </c>
      <c r="S107" s="54"/>
      <c r="T107" s="176"/>
      <c r="U107" s="175"/>
      <c r="V107" s="176"/>
      <c r="W107" s="177"/>
    </row>
    <row r="108" spans="1:30" s="16" customFormat="1" ht="9" customHeight="1">
      <c r="A108" s="1">
        <v>1968</v>
      </c>
      <c r="B108" s="175"/>
      <c r="C108" s="175"/>
      <c r="D108" s="175"/>
      <c r="E108" s="202"/>
      <c r="F108" s="175"/>
      <c r="G108" s="1">
        <v>1968</v>
      </c>
      <c r="H108" s="175"/>
      <c r="I108" s="175"/>
      <c r="J108" s="175"/>
      <c r="K108" s="175"/>
      <c r="L108" s="175"/>
      <c r="M108" s="175"/>
      <c r="N108" s="202"/>
      <c r="O108" s="202"/>
      <c r="P108" s="176"/>
      <c r="Q108" s="176"/>
      <c r="R108" s="1">
        <v>1968</v>
      </c>
      <c r="S108" s="54"/>
      <c r="T108" s="176"/>
      <c r="U108" s="175"/>
      <c r="V108" s="176"/>
      <c r="W108" s="177"/>
    </row>
    <row r="109" spans="1:30" s="16" customFormat="1" ht="9" customHeight="1">
      <c r="A109" s="1">
        <v>1969</v>
      </c>
      <c r="B109" s="175"/>
      <c r="C109" s="175"/>
      <c r="D109" s="175"/>
      <c r="E109" s="202"/>
      <c r="F109" s="175"/>
      <c r="G109" s="1">
        <v>1969</v>
      </c>
      <c r="H109" s="175"/>
      <c r="I109" s="175"/>
      <c r="J109" s="175"/>
      <c r="K109" s="175"/>
      <c r="L109" s="175"/>
      <c r="M109" s="175"/>
      <c r="N109" s="202"/>
      <c r="O109" s="202"/>
      <c r="P109" s="176"/>
      <c r="Q109" s="176"/>
      <c r="R109" s="1">
        <v>1969</v>
      </c>
      <c r="S109" s="54"/>
      <c r="T109" s="176"/>
      <c r="U109" s="175"/>
      <c r="V109" s="176"/>
      <c r="W109" s="177"/>
    </row>
    <row r="110" spans="1:30" s="16" customFormat="1" ht="9" customHeight="1">
      <c r="A110" s="1">
        <v>1970</v>
      </c>
      <c r="B110" s="175"/>
      <c r="C110" s="175"/>
      <c r="D110" s="175"/>
      <c r="E110" s="202"/>
      <c r="F110" s="175"/>
      <c r="G110" s="1">
        <v>1970</v>
      </c>
      <c r="H110" s="175"/>
      <c r="I110" s="175"/>
      <c r="J110" s="175"/>
      <c r="K110" s="175"/>
      <c r="L110" s="175"/>
      <c r="M110" s="175"/>
      <c r="N110" s="202"/>
      <c r="O110" s="202"/>
      <c r="P110" s="176"/>
      <c r="Q110" s="176"/>
      <c r="R110" s="1">
        <v>1970</v>
      </c>
      <c r="S110" s="54"/>
      <c r="T110" s="176"/>
      <c r="U110" s="175"/>
      <c r="V110" s="176"/>
      <c r="W110" s="177"/>
    </row>
    <row r="111" spans="1:30" s="16" customFormat="1" ht="9" customHeight="1">
      <c r="A111" s="1">
        <v>1971</v>
      </c>
      <c r="B111" s="175"/>
      <c r="C111" s="175"/>
      <c r="D111" s="175"/>
      <c r="E111" s="202"/>
      <c r="F111" s="175"/>
      <c r="G111" s="1">
        <v>1971</v>
      </c>
      <c r="H111" s="175"/>
      <c r="I111" s="175"/>
      <c r="J111" s="175"/>
      <c r="K111" s="175"/>
      <c r="L111" s="175"/>
      <c r="M111" s="175"/>
      <c r="N111" s="202"/>
      <c r="O111" s="202"/>
      <c r="P111" s="176"/>
      <c r="Q111" s="176"/>
      <c r="R111" s="1">
        <v>1971</v>
      </c>
      <c r="S111" s="54"/>
      <c r="T111" s="176"/>
      <c r="U111" s="175"/>
      <c r="V111" s="176"/>
      <c r="W111" s="177"/>
    </row>
    <row r="112" spans="1:30" s="16" customFormat="1" ht="9" customHeight="1">
      <c r="A112" s="1">
        <v>1972</v>
      </c>
      <c r="B112" s="175"/>
      <c r="C112" s="175"/>
      <c r="D112" s="175"/>
      <c r="E112" s="202"/>
      <c r="F112" s="175"/>
      <c r="G112" s="1">
        <v>1972</v>
      </c>
      <c r="H112" s="175"/>
      <c r="I112" s="175"/>
      <c r="J112" s="175"/>
      <c r="K112" s="175"/>
      <c r="L112" s="175"/>
      <c r="M112" s="175"/>
      <c r="N112" s="202"/>
      <c r="O112" s="202"/>
      <c r="P112" s="176"/>
      <c r="Q112" s="176"/>
      <c r="R112" s="1">
        <v>1972</v>
      </c>
      <c r="S112" s="54"/>
      <c r="T112" s="176"/>
      <c r="U112" s="175"/>
      <c r="V112" s="176"/>
      <c r="W112" s="177"/>
    </row>
    <row r="113" spans="1:29" s="16" customFormat="1" ht="9" customHeight="1">
      <c r="A113" s="1">
        <v>1973</v>
      </c>
      <c r="B113" s="175"/>
      <c r="C113" s="175"/>
      <c r="D113" s="175"/>
      <c r="E113" s="202"/>
      <c r="F113" s="175"/>
      <c r="G113" s="1">
        <v>1973</v>
      </c>
      <c r="H113" s="175"/>
      <c r="I113" s="175"/>
      <c r="J113" s="175"/>
      <c r="K113" s="175"/>
      <c r="L113" s="175"/>
      <c r="M113" s="175"/>
      <c r="N113" s="202"/>
      <c r="O113" s="202"/>
      <c r="P113" s="176"/>
      <c r="Q113" s="176"/>
      <c r="R113" s="1">
        <v>1973</v>
      </c>
      <c r="S113" s="54"/>
      <c r="T113" s="176"/>
      <c r="U113" s="175"/>
      <c r="V113" s="176"/>
      <c r="W113" s="177"/>
    </row>
    <row r="114" spans="1:29" s="16" customFormat="1" ht="9" customHeight="1">
      <c r="A114" s="1">
        <v>1974</v>
      </c>
      <c r="B114" s="175"/>
      <c r="C114" s="175"/>
      <c r="D114" s="175"/>
      <c r="E114" s="202"/>
      <c r="F114" s="175"/>
      <c r="G114" s="1">
        <v>1974</v>
      </c>
      <c r="H114" s="175"/>
      <c r="I114" s="175"/>
      <c r="J114" s="175"/>
      <c r="K114" s="175"/>
      <c r="L114" s="175"/>
      <c r="M114" s="175"/>
      <c r="N114" s="202"/>
      <c r="O114" s="202"/>
      <c r="P114" s="176"/>
      <c r="Q114" s="176"/>
      <c r="R114" s="1">
        <v>1974</v>
      </c>
      <c r="S114" s="54"/>
      <c r="T114" s="176"/>
      <c r="U114" s="175"/>
      <c r="V114" s="176"/>
      <c r="W114" s="177"/>
    </row>
    <row r="115" spans="1:29" s="16" customFormat="1" ht="9" customHeight="1">
      <c r="A115" s="1">
        <v>1975</v>
      </c>
      <c r="B115" s="175"/>
      <c r="C115" s="175"/>
      <c r="D115" s="175"/>
      <c r="E115" s="202"/>
      <c r="F115" s="175"/>
      <c r="G115" s="1">
        <v>1975</v>
      </c>
      <c r="H115" s="175"/>
      <c r="I115" s="175"/>
      <c r="J115" s="175"/>
      <c r="K115" s="175"/>
      <c r="L115" s="175"/>
      <c r="M115" s="175"/>
      <c r="N115" s="202"/>
      <c r="O115" s="202"/>
      <c r="P115" s="176"/>
      <c r="Q115" s="176"/>
      <c r="R115" s="1">
        <v>1975</v>
      </c>
      <c r="S115" s="54"/>
      <c r="T115" s="176"/>
      <c r="U115" s="175"/>
      <c r="V115" s="176"/>
      <c r="W115" s="177"/>
    </row>
    <row r="116" spans="1:29" s="16" customFormat="1" ht="9" customHeight="1">
      <c r="A116" s="1">
        <v>1976</v>
      </c>
      <c r="B116" s="175"/>
      <c r="C116" s="175"/>
      <c r="D116" s="175"/>
      <c r="E116" s="202"/>
      <c r="F116" s="175"/>
      <c r="G116" s="1">
        <v>1976</v>
      </c>
      <c r="H116" s="175"/>
      <c r="I116" s="175"/>
      <c r="J116" s="175"/>
      <c r="K116" s="175"/>
      <c r="L116" s="175"/>
      <c r="M116" s="175"/>
      <c r="N116" s="202"/>
      <c r="O116" s="202"/>
      <c r="P116" s="176"/>
      <c r="Q116" s="176"/>
      <c r="R116" s="1">
        <v>1976</v>
      </c>
      <c r="S116" s="54"/>
      <c r="T116" s="176"/>
      <c r="U116" s="175"/>
      <c r="V116" s="176"/>
      <c r="W116" s="177"/>
    </row>
    <row r="117" spans="1:29">
      <c r="A117" s="1">
        <v>1977</v>
      </c>
      <c r="B117" s="8">
        <f>(K7*($E7/180))</f>
        <v>0</v>
      </c>
      <c r="C117" s="8">
        <f>(L7*($E7/180))</f>
        <v>95</v>
      </c>
      <c r="D117" s="8">
        <f>(M7*($E7/180))</f>
        <v>0</v>
      </c>
      <c r="E117" s="49">
        <f>B117+C117+D117</f>
        <v>95</v>
      </c>
      <c r="G117" s="1">
        <v>1977</v>
      </c>
      <c r="H117" s="918">
        <f>(O7/$R7*100*($E7/180))</f>
        <v>0</v>
      </c>
      <c r="I117" s="918"/>
      <c r="J117" s="918">
        <f>(P7/$R7*100*($E7/180))</f>
        <v>100</v>
      </c>
      <c r="K117" s="918"/>
      <c r="L117" s="918">
        <f>(Q7/$R7*100*($E7/180))</f>
        <v>0</v>
      </c>
      <c r="M117" s="918"/>
      <c r="N117" s="887">
        <f t="shared" ref="N117:N152" si="34">H117+J117+L117</f>
        <v>100</v>
      </c>
      <c r="O117" s="887"/>
      <c r="R117" s="1">
        <v>1977</v>
      </c>
      <c r="S117" s="8">
        <f>(O7*($E7/180))</f>
        <v>0</v>
      </c>
      <c r="T117" s="8">
        <f>(P7*($E7/180))</f>
        <v>47.1</v>
      </c>
      <c r="U117" s="8">
        <f>(Q7*($E7/180))</f>
        <v>0</v>
      </c>
      <c r="V117" s="7"/>
      <c r="W117" s="7">
        <f>S117+T117+U117</f>
        <v>47.1</v>
      </c>
      <c r="Y117" s="203" t="s">
        <v>1228</v>
      </c>
      <c r="Z117" s="203"/>
      <c r="AA117" s="203"/>
      <c r="AB117" s="203"/>
      <c r="AC117" s="203"/>
    </row>
    <row r="118" spans="1:29">
      <c r="A118" s="1">
        <v>1978</v>
      </c>
      <c r="B118" s="8">
        <f>(K8*($E8/365))+(K9*($E9/365))</f>
        <v>0</v>
      </c>
      <c r="C118" s="8">
        <f>(L8*($E8/365))+(L9*($E9/365))</f>
        <v>95</v>
      </c>
      <c r="D118" s="8">
        <f>(M8*($E8/365))+(M9*($E9/365))</f>
        <v>0</v>
      </c>
      <c r="E118" s="49">
        <f t="shared" ref="E118:E153" si="35">B118+C118+D118</f>
        <v>95</v>
      </c>
      <c r="G118" s="1">
        <v>1978</v>
      </c>
      <c r="H118" s="918">
        <f>(O8/$R8*100*($E8/365))+(O9/$R9*100*($E9/365))</f>
        <v>0</v>
      </c>
      <c r="I118" s="918"/>
      <c r="J118" s="918">
        <f>(P8/$R8*100*($E8/365))+(P9/$R9*100*($E9/365))</f>
        <v>100</v>
      </c>
      <c r="K118" s="918"/>
      <c r="L118" s="918">
        <f>(Q8/$R8*100*($E8/365))+(Q9/$R9*100*($E9/365))</f>
        <v>0</v>
      </c>
      <c r="M118" s="918"/>
      <c r="N118" s="887">
        <f t="shared" si="34"/>
        <v>100</v>
      </c>
      <c r="O118" s="887"/>
      <c r="R118" s="1">
        <v>1978</v>
      </c>
      <c r="S118" s="8">
        <f>(O8*($E8/365))+(O9*($E9/365))</f>
        <v>0</v>
      </c>
      <c r="T118" s="8">
        <f>(P8*($E8/365))+(P9*($E9/365))</f>
        <v>47.1</v>
      </c>
      <c r="U118" s="8">
        <f>(Q8*($E8/365))+(Q9*($E9/365))</f>
        <v>0</v>
      </c>
      <c r="V118" s="7"/>
      <c r="W118" s="7">
        <f t="shared" ref="W118:W153" si="36">S118+T118+U118</f>
        <v>47.1</v>
      </c>
    </row>
    <row r="119" spans="1:29">
      <c r="A119" s="1">
        <v>1979</v>
      </c>
      <c r="B119" s="8">
        <f>(K10*($E10/365))+(K11*($E11/365))</f>
        <v>0</v>
      </c>
      <c r="C119" s="8">
        <f>(L10*($E10/365))+(L11*($E11/365))</f>
        <v>92.534246575342451</v>
      </c>
      <c r="D119" s="8">
        <f>(M10*($E10/365))+(M11*($E11/365))</f>
        <v>0</v>
      </c>
      <c r="E119" s="49">
        <f t="shared" si="35"/>
        <v>92.534246575342451</v>
      </c>
      <c r="G119" s="1">
        <v>1979</v>
      </c>
      <c r="H119" s="918">
        <f>(O10/$R10*100*($E10/365))+(O11/$R11*100*($E11/365))</f>
        <v>0</v>
      </c>
      <c r="I119" s="918"/>
      <c r="J119" s="918">
        <f>(P10/$R10*100*($E10/365))+(P11/$R11*100*($E11/365))</f>
        <v>100</v>
      </c>
      <c r="K119" s="918"/>
      <c r="L119" s="918">
        <f>(Q10/$R10*100*($E10/365))+(Q11/$R11*100*($E11/365))</f>
        <v>0</v>
      </c>
      <c r="M119" s="918"/>
      <c r="N119" s="887">
        <f t="shared" si="34"/>
        <v>100</v>
      </c>
      <c r="O119" s="887"/>
      <c r="R119" s="1">
        <v>1979</v>
      </c>
      <c r="S119" s="8">
        <f>(O10*($E10/365))+(O11*($E11/365))</f>
        <v>0</v>
      </c>
      <c r="T119" s="8">
        <f>(P10*($E10/365))+(P11*($E11/365))</f>
        <v>47.765753424657532</v>
      </c>
      <c r="U119" s="8">
        <f>(Q10*($E10/365))+(Q11*($E11/365))</f>
        <v>0</v>
      </c>
      <c r="V119" s="7"/>
      <c r="W119" s="7">
        <f t="shared" si="36"/>
        <v>47.765753424657532</v>
      </c>
    </row>
    <row r="120" spans="1:29">
      <c r="A120" s="1">
        <v>1980</v>
      </c>
      <c r="B120" s="8">
        <f>(K12*($E12/366))+(K13*($E13/366))</f>
        <v>0</v>
      </c>
      <c r="C120" s="8">
        <f>(L12*($E12/366))+(L13*($E13/366))</f>
        <v>91.666666666666657</v>
      </c>
      <c r="D120" s="8">
        <f>(M12*($E12/366))+(M13*($E13/366))</f>
        <v>0</v>
      </c>
      <c r="E120" s="49">
        <f t="shared" si="35"/>
        <v>91.666666666666657</v>
      </c>
      <c r="G120" s="1">
        <v>1980</v>
      </c>
      <c r="H120" s="918">
        <f>(O12/$R12*100*($E12/366))+(O13/$R13*100*($E13/366))</f>
        <v>0</v>
      </c>
      <c r="I120" s="918"/>
      <c r="J120" s="918">
        <f>(P12/$R12*100*($E12/366))+(P13/$R13*100*($E13/366))</f>
        <v>100</v>
      </c>
      <c r="K120" s="918"/>
      <c r="L120" s="918">
        <f>(Q12/$R12*100*($E12/366))+(Q13/$R13*100*($E13/366))</f>
        <v>0</v>
      </c>
      <c r="M120" s="918"/>
      <c r="N120" s="887">
        <f t="shared" si="34"/>
        <v>100</v>
      </c>
      <c r="O120" s="887"/>
      <c r="R120" s="1">
        <v>1980</v>
      </c>
      <c r="S120" s="8">
        <f>(O12*($E12/366))+(O13*($E13/366))</f>
        <v>0</v>
      </c>
      <c r="T120" s="8">
        <f>(P12*($E12/366))+(P13*($E13/366))</f>
        <v>48</v>
      </c>
      <c r="U120" s="8">
        <f>(Q12*($E12/366))+(Q13*($E13/366))</f>
        <v>0</v>
      </c>
      <c r="V120" s="7"/>
      <c r="W120" s="7">
        <f t="shared" si="36"/>
        <v>48</v>
      </c>
    </row>
    <row r="121" spans="1:29">
      <c r="A121" s="1">
        <v>1981</v>
      </c>
      <c r="B121" s="8">
        <f>(K14*($E14/365))+(K15*($E15/365))</f>
        <v>0</v>
      </c>
      <c r="C121" s="8">
        <f>(L14*($E14/365))+(L15*($E15/365))</f>
        <v>98.69863013698631</v>
      </c>
      <c r="D121" s="8">
        <f>(M14*($E14/365))+(M15*($E15/365))</f>
        <v>0</v>
      </c>
      <c r="E121" s="49">
        <f t="shared" si="35"/>
        <v>98.69863013698631</v>
      </c>
      <c r="G121" s="1">
        <v>1981</v>
      </c>
      <c r="H121" s="918">
        <f>(O14/$R14*100*($E14/365))+(O15/$R15*100*($E15/365))</f>
        <v>0</v>
      </c>
      <c r="I121" s="918"/>
      <c r="J121" s="918">
        <f>(P14/$R14*100*($E14/365))+(P15/$R15*100*($E15/365))</f>
        <v>100</v>
      </c>
      <c r="K121" s="918"/>
      <c r="L121" s="918">
        <f>(Q14/$R14*100*($E14/365))+(Q15/$R15*100*($E15/365))</f>
        <v>0</v>
      </c>
      <c r="M121" s="918"/>
      <c r="N121" s="887">
        <f t="shared" si="34"/>
        <v>100</v>
      </c>
      <c r="O121" s="887"/>
      <c r="R121" s="1">
        <v>1981</v>
      </c>
      <c r="S121" s="8">
        <f>(O14*($E14/365))+(O15*($E15/365))</f>
        <v>0</v>
      </c>
      <c r="T121" s="8">
        <f>(P14*($E14/365))+(P15*($E15/365))</f>
        <v>48</v>
      </c>
      <c r="U121" s="8">
        <f>(Q14*($E14/365))+(Q15*($E15/365))</f>
        <v>0</v>
      </c>
      <c r="V121" s="7"/>
      <c r="W121" s="7">
        <f t="shared" si="36"/>
        <v>48</v>
      </c>
    </row>
    <row r="122" spans="1:29">
      <c r="A122" s="1">
        <v>1982</v>
      </c>
      <c r="B122" s="8">
        <f>(K16*($E16/365))+(K17*($E17/365))</f>
        <v>0</v>
      </c>
      <c r="C122" s="8">
        <f>(L16*($E16/365))+(L17*($E17/365))</f>
        <v>92.054794520547944</v>
      </c>
      <c r="D122" s="8">
        <f>(M16*($E16/365))+(M17*($E17/365))</f>
        <v>7.9452054794520555</v>
      </c>
      <c r="E122" s="49">
        <f t="shared" si="35"/>
        <v>100</v>
      </c>
      <c r="G122" s="1">
        <v>1982</v>
      </c>
      <c r="H122" s="918">
        <f>(O16/$R16*100*($E16/365))+(O17/$R17*100*($E17/365))</f>
        <v>0</v>
      </c>
      <c r="I122" s="918"/>
      <c r="J122" s="918">
        <f>(P16/$R16*100*($E16/365))+(P17/$R17*100*($E17/365))</f>
        <v>92.054794520547944</v>
      </c>
      <c r="K122" s="918"/>
      <c r="L122" s="918">
        <f>(Q16/$R16*100*($E16/365))+(Q17/$R17*100*($E17/365))</f>
        <v>7.9452054794520555</v>
      </c>
      <c r="M122" s="918"/>
      <c r="N122" s="887">
        <f t="shared" si="34"/>
        <v>100</v>
      </c>
      <c r="O122" s="887"/>
      <c r="R122" s="1">
        <v>1982</v>
      </c>
      <c r="S122" s="8">
        <f>(O16*($E16/365))+(O17*($E17/365))</f>
        <v>0</v>
      </c>
      <c r="T122" s="8">
        <f>(P16*($E16/365))+(P17*($E17/365))</f>
        <v>44.186301369863017</v>
      </c>
      <c r="U122" s="8">
        <f>(Q16*($E16/365))+(Q17*($E17/365))</f>
        <v>4.5843835616438362</v>
      </c>
      <c r="V122" s="7"/>
      <c r="W122" s="7">
        <f t="shared" si="36"/>
        <v>48.77068493150685</v>
      </c>
    </row>
    <row r="123" spans="1:29">
      <c r="A123" s="1">
        <v>1983</v>
      </c>
      <c r="B123" s="8">
        <f>(K18*($E18/365))+(K19*($E19/365))</f>
        <v>0</v>
      </c>
      <c r="C123" s="8">
        <f>(L18*($E18/365))+(L19*($E19/365))</f>
        <v>0</v>
      </c>
      <c r="D123" s="8">
        <f>(M18*($E18/365))+(M19*($E19/365))</f>
        <v>100</v>
      </c>
      <c r="E123" s="49">
        <f t="shared" si="35"/>
        <v>100</v>
      </c>
      <c r="G123" s="1">
        <v>1983</v>
      </c>
      <c r="H123" s="918">
        <f>(O18/$R18*100*($E18/365))+(O19/$R19*100*($E19/365))</f>
        <v>0</v>
      </c>
      <c r="I123" s="918"/>
      <c r="J123" s="918">
        <f>(P18/$R18*100*($E18/365))+(P19/$R19*100*($E19/365))</f>
        <v>0</v>
      </c>
      <c r="K123" s="918"/>
      <c r="L123" s="918">
        <f>(Q18/$R18*100*($E18/365))+(Q19/$R19*100*($E19/365))</f>
        <v>100</v>
      </c>
      <c r="M123" s="918"/>
      <c r="N123" s="887">
        <f t="shared" si="34"/>
        <v>100</v>
      </c>
      <c r="O123" s="887"/>
      <c r="R123" s="1">
        <v>1983</v>
      </c>
      <c r="S123" s="8">
        <f>(O18*($E18/365))+(O19*($E19/365))</f>
        <v>0</v>
      </c>
      <c r="T123" s="8">
        <f>(P18*($E18/365))+(P19*($E19/365))</f>
        <v>0</v>
      </c>
      <c r="U123" s="8">
        <f>(Q18*($E18/365))+(Q19*($E19/365))</f>
        <v>57.7</v>
      </c>
      <c r="V123" s="7"/>
      <c r="W123" s="7">
        <f t="shared" si="36"/>
        <v>57.7</v>
      </c>
    </row>
    <row r="124" spans="1:29">
      <c r="A124" s="1">
        <v>1984</v>
      </c>
      <c r="B124" s="8">
        <f>(K20*($E20/366))+(K21*($E21/366))</f>
        <v>0</v>
      </c>
      <c r="C124" s="8">
        <f>(L20*($E20/366))+(L21*($E21/366))</f>
        <v>0</v>
      </c>
      <c r="D124" s="8">
        <f>(M20*($E20/366))+(M21*($E21/366))</f>
        <v>100</v>
      </c>
      <c r="E124" s="49">
        <f t="shared" si="35"/>
        <v>100</v>
      </c>
      <c r="G124" s="1">
        <v>1984</v>
      </c>
      <c r="H124" s="918">
        <f>(O20/$R20*100*($E20/366))+(O21/$R21*100*($E21/366))</f>
        <v>0</v>
      </c>
      <c r="I124" s="918"/>
      <c r="J124" s="918">
        <f>(P20/$R20*100*($E20/366))+(P21/$R21*100*($E21/366))</f>
        <v>0</v>
      </c>
      <c r="K124" s="918"/>
      <c r="L124" s="918">
        <f>(Q20/$R20*100*($E20/366))+(Q21/$R21*100*($E21/366))</f>
        <v>100</v>
      </c>
      <c r="M124" s="918"/>
      <c r="N124" s="887">
        <f t="shared" si="34"/>
        <v>100</v>
      </c>
      <c r="O124" s="887"/>
      <c r="R124" s="1">
        <v>1984</v>
      </c>
      <c r="S124" s="8">
        <f>(O20*($E20/366))+(O21*($E21/366))</f>
        <v>0</v>
      </c>
      <c r="T124" s="8">
        <f>(P20*($E20/366))+(P21*($E21/366))</f>
        <v>0</v>
      </c>
      <c r="U124" s="8">
        <f>(Q20*($E20/366))+(Q21*($E21/366))</f>
        <v>57.7</v>
      </c>
      <c r="V124" s="7"/>
      <c r="W124" s="7">
        <f t="shared" si="36"/>
        <v>57.7</v>
      </c>
    </row>
    <row r="125" spans="1:29">
      <c r="A125" s="1">
        <v>1985</v>
      </c>
      <c r="B125" s="8">
        <f>(K22*($E22/365))+(K23*($E23/365))</f>
        <v>0</v>
      </c>
      <c r="C125" s="8">
        <f>(L22*($E22/365))+(L23*($E23/365))</f>
        <v>0</v>
      </c>
      <c r="D125" s="8">
        <f>(M22*($E22/365))+(M23*($E23/365))</f>
        <v>100</v>
      </c>
      <c r="E125" s="49">
        <f t="shared" si="35"/>
        <v>100</v>
      </c>
      <c r="G125" s="1">
        <v>1985</v>
      </c>
      <c r="H125" s="918">
        <f>(O22/$R22*100*($E22/365))+(O23/$R23*100*($E23/365))</f>
        <v>0</v>
      </c>
      <c r="I125" s="918"/>
      <c r="J125" s="918">
        <f>(P22/$R22*100*($E22/365))+(P23/$R23*100*($E23/365))</f>
        <v>0</v>
      </c>
      <c r="K125" s="918"/>
      <c r="L125" s="918">
        <f>(Q22/$R22*100*($E22/365))+(Q23/$R23*100*($E23/365))</f>
        <v>100</v>
      </c>
      <c r="M125" s="918"/>
      <c r="N125" s="887">
        <f t="shared" si="34"/>
        <v>100</v>
      </c>
      <c r="O125" s="887"/>
      <c r="R125" s="1">
        <v>1985</v>
      </c>
      <c r="S125" s="8">
        <f>(O22*($E22/365))+(O23*($E23/365))</f>
        <v>0</v>
      </c>
      <c r="T125" s="8">
        <f>(P22*($E22/365))+(P23*($E23/365))</f>
        <v>0</v>
      </c>
      <c r="U125" s="8">
        <f>(Q22*($E22/365))+(Q23*($E23/365))</f>
        <v>57.7</v>
      </c>
      <c r="V125" s="7"/>
      <c r="W125" s="7">
        <f t="shared" si="36"/>
        <v>57.7</v>
      </c>
    </row>
    <row r="126" spans="1:29">
      <c r="A126" s="1">
        <v>1986</v>
      </c>
      <c r="B126" s="8">
        <f>(K24*($E24/365))+(K25*($E25/365))</f>
        <v>0</v>
      </c>
      <c r="C126" s="8">
        <f>(L24*($E24/365))+(L25*($E25/365))</f>
        <v>0</v>
      </c>
      <c r="D126" s="8">
        <f>(M24*($E24/365))+(M25*($E25/365))</f>
        <v>100</v>
      </c>
      <c r="E126" s="49">
        <f t="shared" si="35"/>
        <v>100</v>
      </c>
      <c r="G126" s="1">
        <v>1986</v>
      </c>
      <c r="H126" s="918">
        <f>(O24/$R24*100*($E24/365))+(O25/$R25*100*($E25/365))</f>
        <v>0</v>
      </c>
      <c r="I126" s="918"/>
      <c r="J126" s="918">
        <f>(P24/$R24*100*($E24/365))+(P25/$R25*100*($E25/365))</f>
        <v>0</v>
      </c>
      <c r="K126" s="918"/>
      <c r="L126" s="918">
        <f>(Q24/$R24*100*($E24/365))+(Q25/$R25*100*($E25/365))</f>
        <v>100</v>
      </c>
      <c r="M126" s="918"/>
      <c r="N126" s="887">
        <f t="shared" si="34"/>
        <v>100</v>
      </c>
      <c r="O126" s="887"/>
      <c r="R126" s="1">
        <v>1986</v>
      </c>
      <c r="S126" s="8">
        <f>(O24*($E24/365))+(O25*($E25/365))</f>
        <v>0</v>
      </c>
      <c r="T126" s="8">
        <f>(P24*($E24/365))+(P25*($E25/365))</f>
        <v>0</v>
      </c>
      <c r="U126" s="8">
        <f>(Q24*($E24/365))+(Q25*($E25/365))</f>
        <v>55.520273972602737</v>
      </c>
      <c r="V126" s="7"/>
      <c r="W126" s="7">
        <f t="shared" si="36"/>
        <v>55.520273972602737</v>
      </c>
    </row>
    <row r="127" spans="1:29">
      <c r="A127" s="1">
        <v>1987</v>
      </c>
      <c r="B127" s="8">
        <f>(K26*($E26/365))+(K27*($E27/365))</f>
        <v>0</v>
      </c>
      <c r="C127" s="8">
        <f>(L26*($E26/365))+(L27*($E27/365))</f>
        <v>0</v>
      </c>
      <c r="D127" s="8">
        <f>(M26*($E26/365))+(M27*($E27/365))</f>
        <v>100</v>
      </c>
      <c r="E127" s="49">
        <f t="shared" si="35"/>
        <v>100</v>
      </c>
      <c r="G127" s="1">
        <v>1987</v>
      </c>
      <c r="H127" s="918">
        <f>(O26/$R26*100*($E26/365))+(O27/$R27*100*($E27/365))</f>
        <v>0</v>
      </c>
      <c r="I127" s="918"/>
      <c r="J127" s="918">
        <f>(P26/$R26*100*($E26/365))+(P27/$R27*100*($E27/365))</f>
        <v>0</v>
      </c>
      <c r="K127" s="918"/>
      <c r="L127" s="918">
        <f>(Q26/$R26*100*($E26/365))+(Q27/$R27*100*($E27/365))</f>
        <v>100</v>
      </c>
      <c r="M127" s="918"/>
      <c r="N127" s="887">
        <f t="shared" si="34"/>
        <v>100</v>
      </c>
      <c r="O127" s="887"/>
      <c r="R127" s="1">
        <v>1987</v>
      </c>
      <c r="S127" s="8">
        <f>(O26*($E26/365))+(O27*($E27/365))</f>
        <v>0</v>
      </c>
      <c r="T127" s="8">
        <f>(P26*($E26/365))+(P27*($E27/365))</f>
        <v>0</v>
      </c>
      <c r="U127" s="8">
        <f>(Q26*($E26/365))+(Q27*($E27/365))</f>
        <v>52.6</v>
      </c>
      <c r="V127" s="7"/>
      <c r="W127" s="7">
        <f t="shared" si="36"/>
        <v>52.6</v>
      </c>
    </row>
    <row r="128" spans="1:29">
      <c r="A128" s="1">
        <v>1988</v>
      </c>
      <c r="B128" s="8">
        <f>(K28*($E28/366))+(K29*($E29/366))</f>
        <v>0</v>
      </c>
      <c r="C128" s="8">
        <f>(L28*($E28/366))+(L29*($E29/366))</f>
        <v>0</v>
      </c>
      <c r="D128" s="8">
        <f>(M28*($E28/366))+(M29*($E29/366))</f>
        <v>100</v>
      </c>
      <c r="E128" s="49">
        <f t="shared" si="35"/>
        <v>100</v>
      </c>
      <c r="G128" s="1">
        <v>1988</v>
      </c>
      <c r="H128" s="918">
        <f>(O28/$R28*100*($E28/366))+(O29/$R29*100*($E29/366))</f>
        <v>0</v>
      </c>
      <c r="I128" s="918"/>
      <c r="J128" s="918">
        <f>(P28/$R28*100*($E28/366))+(P29/$R29*100*($E29/366))</f>
        <v>0</v>
      </c>
      <c r="K128" s="918"/>
      <c r="L128" s="918">
        <f>(Q28/$R28*100*($E28/366))+(Q29/$R29*100*($E29/366))</f>
        <v>100</v>
      </c>
      <c r="M128" s="918"/>
      <c r="N128" s="887">
        <f t="shared" si="34"/>
        <v>100</v>
      </c>
      <c r="O128" s="887"/>
      <c r="R128" s="1">
        <v>1988</v>
      </c>
      <c r="S128" s="8">
        <f>(O28*($E28/366))+(O29*($E29/366))</f>
        <v>0</v>
      </c>
      <c r="T128" s="8">
        <f>(P28*($E28/366))+(P29*($E29/366))</f>
        <v>0</v>
      </c>
      <c r="U128" s="8">
        <f>(Q28*($E28/366))+(Q29*($E29/366))</f>
        <v>52.6</v>
      </c>
      <c r="V128" s="7"/>
      <c r="W128" s="7">
        <f t="shared" si="36"/>
        <v>52.6</v>
      </c>
    </row>
    <row r="129" spans="1:23">
      <c r="A129" s="1">
        <v>1989</v>
      </c>
      <c r="B129" s="8">
        <f>(K30*($E30/365))+(K31*($E31/365))</f>
        <v>0</v>
      </c>
      <c r="C129" s="8">
        <f>(L30*($E30/365))+(L31*($E31/365))</f>
        <v>0</v>
      </c>
      <c r="D129" s="8">
        <f>(M30*($E30/365))+(M31*($E31/365))</f>
        <v>100</v>
      </c>
      <c r="E129" s="49">
        <f t="shared" si="35"/>
        <v>100</v>
      </c>
      <c r="G129" s="1">
        <v>1989</v>
      </c>
      <c r="H129" s="918">
        <f>(O30/$R30*100*($E30/365))+(O31/$R31*100*($E31/365))</f>
        <v>0</v>
      </c>
      <c r="I129" s="918"/>
      <c r="J129" s="918">
        <f>(P30/$R30*100*($E30/365))+(P31/$R31*100*($E31/365))</f>
        <v>0</v>
      </c>
      <c r="K129" s="918"/>
      <c r="L129" s="918">
        <f>(Q30/$R30*100*($E30/365))+(Q31/$R31*100*($E31/365))</f>
        <v>100</v>
      </c>
      <c r="M129" s="918"/>
      <c r="N129" s="887">
        <f t="shared" si="34"/>
        <v>100</v>
      </c>
      <c r="O129" s="887"/>
      <c r="R129" s="1">
        <v>1989</v>
      </c>
      <c r="S129" s="8">
        <f>(O30*($E30/365))+(O31*($E31/365))</f>
        <v>0</v>
      </c>
      <c r="T129" s="8">
        <f>(P30*($E30/365))+(P31*($E31/365))</f>
        <v>0</v>
      </c>
      <c r="U129" s="8">
        <f>(Q30*($E30/365))+(Q31*($E31/365))</f>
        <v>52.421917808219177</v>
      </c>
      <c r="V129" s="7"/>
      <c r="W129" s="7">
        <f t="shared" si="36"/>
        <v>52.421917808219177</v>
      </c>
    </row>
    <row r="130" spans="1:23">
      <c r="A130" s="1">
        <v>1990</v>
      </c>
      <c r="B130" s="8">
        <f>(K32*($E32/365))+(K33*($E33/365))</f>
        <v>0</v>
      </c>
      <c r="C130" s="8">
        <f>(L32*($E32/365))+(L33*($E33/365))</f>
        <v>0</v>
      </c>
      <c r="D130" s="8">
        <f>(M32*($E32/365))+(M33*($E33/365))</f>
        <v>100</v>
      </c>
      <c r="E130" s="49">
        <f t="shared" si="35"/>
        <v>100</v>
      </c>
      <c r="G130" s="1">
        <v>1990</v>
      </c>
      <c r="H130" s="918">
        <f>(O32/$R32*100*($E32/365))+(O33/$R33*100*($E33/365))</f>
        <v>0</v>
      </c>
      <c r="I130" s="918"/>
      <c r="J130" s="918">
        <f>(P32/$R32*100*($E32/365))+(P33/$R33*100*($E33/365))</f>
        <v>0</v>
      </c>
      <c r="K130" s="918"/>
      <c r="L130" s="918">
        <f>(Q32/$R32*100*($E32/365))+(Q33/$R33*100*($E33/365))</f>
        <v>100</v>
      </c>
      <c r="M130" s="918"/>
      <c r="N130" s="887">
        <f t="shared" si="34"/>
        <v>100</v>
      </c>
      <c r="O130" s="887"/>
      <c r="R130" s="1">
        <v>1990</v>
      </c>
      <c r="S130" s="8">
        <f>(O32*($E32/365))+(O33*($E33/365))</f>
        <v>0</v>
      </c>
      <c r="T130" s="8">
        <f>(P32*($E32/365))+(P33*($E33/365))</f>
        <v>0</v>
      </c>
      <c r="U130" s="8">
        <f>(Q32*($E32/365))+(Q33*($E33/365))</f>
        <v>50</v>
      </c>
      <c r="V130" s="7"/>
      <c r="W130" s="7">
        <f t="shared" si="36"/>
        <v>50</v>
      </c>
    </row>
    <row r="131" spans="1:23">
      <c r="A131" s="1">
        <v>1991</v>
      </c>
      <c r="B131" s="8">
        <f>(K34*($E34/365))+(K35*($E35/365))</f>
        <v>0</v>
      </c>
      <c r="C131" s="8">
        <f>(L34*($E34/365))+(L35*($E35/365))</f>
        <v>0</v>
      </c>
      <c r="D131" s="8">
        <f>(M34*($E34/365))+(M35*($E35/365))</f>
        <v>100</v>
      </c>
      <c r="E131" s="49">
        <f t="shared" si="35"/>
        <v>100</v>
      </c>
      <c r="G131" s="1">
        <v>1991</v>
      </c>
      <c r="H131" s="918">
        <f>(O34/$R34*100*($E34/365))+(O35/$R35*100*($E35/365))</f>
        <v>0</v>
      </c>
      <c r="I131" s="918"/>
      <c r="J131" s="918">
        <f>(P34/$R34*100*($E34/365))+(P35/$R35*100*($E35/365))</f>
        <v>0</v>
      </c>
      <c r="K131" s="918"/>
      <c r="L131" s="918">
        <f>(Q34/$R34*100*($E34/365))+(Q35/$R35*100*($E35/365))</f>
        <v>100</v>
      </c>
      <c r="M131" s="918"/>
      <c r="N131" s="887">
        <f t="shared" si="34"/>
        <v>100</v>
      </c>
      <c r="O131" s="887"/>
      <c r="R131" s="1">
        <v>1991</v>
      </c>
      <c r="S131" s="8">
        <f>(O34*($E34/365))+(O35*($E35/365))</f>
        <v>0</v>
      </c>
      <c r="T131" s="8">
        <f>(P34*($E34/365))+(P35*($E35/365))</f>
        <v>0</v>
      </c>
      <c r="U131" s="8">
        <f>(Q34*($E34/365))+(Q35*($E35/365))</f>
        <v>50</v>
      </c>
      <c r="V131" s="7"/>
      <c r="W131" s="7">
        <f t="shared" si="36"/>
        <v>50</v>
      </c>
    </row>
    <row r="132" spans="1:23">
      <c r="A132" s="1">
        <v>1992</v>
      </c>
      <c r="B132" s="8">
        <f>(K36*($E36/366))+(K37*($E37/366))</f>
        <v>0</v>
      </c>
      <c r="C132" s="8">
        <f>(L36*($E36/366))+(L37*($E37/366))</f>
        <v>0</v>
      </c>
      <c r="D132" s="8">
        <f>(M36*($E36/366))+(M37*($E37/366))</f>
        <v>100</v>
      </c>
      <c r="E132" s="49">
        <f t="shared" si="35"/>
        <v>100</v>
      </c>
      <c r="G132" s="1">
        <v>1992</v>
      </c>
      <c r="H132" s="918">
        <f>(O36/$R36*100*($E36/366))+(O37/$R37*100*($E37/366))</f>
        <v>0</v>
      </c>
      <c r="I132" s="918"/>
      <c r="J132" s="918">
        <f>(P36/$R36*100*($E36/366))+(P37/$R37*100*($E37/366))</f>
        <v>0</v>
      </c>
      <c r="K132" s="918"/>
      <c r="L132" s="918">
        <f>(Q36/$R36*100*($E36/366))+(Q37/$R37*100*($E37/366))</f>
        <v>100</v>
      </c>
      <c r="M132" s="918"/>
      <c r="N132" s="887">
        <f t="shared" si="34"/>
        <v>100</v>
      </c>
      <c r="O132" s="887"/>
      <c r="R132" s="1">
        <v>1992</v>
      </c>
      <c r="S132" s="8">
        <f>(O36*($E36/366))+(O37*($E37/366))</f>
        <v>0</v>
      </c>
      <c r="T132" s="8">
        <f>(P36*($E36/366))+(P37*($E37/366))</f>
        <v>0</v>
      </c>
      <c r="U132" s="8">
        <f>(Q36*($E36/366))+(Q37*($E37/366))</f>
        <v>50</v>
      </c>
      <c r="V132" s="7"/>
      <c r="W132" s="7">
        <f t="shared" si="36"/>
        <v>50</v>
      </c>
    </row>
    <row r="133" spans="1:23">
      <c r="A133" s="1">
        <v>1993</v>
      </c>
      <c r="B133" s="8">
        <f>(K38*($E38/365))+(K39*($E39/365))</f>
        <v>0</v>
      </c>
      <c r="C133" s="8">
        <f>(L38*($E38/365))+(L39*($E39/365))</f>
        <v>0</v>
      </c>
      <c r="D133" s="8">
        <f>(M38*($E38/365))+(M39*($E39/365))</f>
        <v>100</v>
      </c>
      <c r="E133" s="49">
        <f t="shared" si="35"/>
        <v>100</v>
      </c>
      <c r="G133" s="1">
        <v>1993</v>
      </c>
      <c r="H133" s="918">
        <f>(O38/$R38*100*($E38/365))+(O39/$R39*100*($E39/365))</f>
        <v>0</v>
      </c>
      <c r="I133" s="918"/>
      <c r="J133" s="918">
        <f>(P38/$R38*100*($E38/365))+(P39/$R39*100*($E39/365))</f>
        <v>0</v>
      </c>
      <c r="K133" s="918"/>
      <c r="L133" s="918">
        <f>(Q38/$R38*100*($E38/365))+(Q39/$R39*100*($E39/365))</f>
        <v>100</v>
      </c>
      <c r="M133" s="918"/>
      <c r="N133" s="887">
        <f t="shared" si="34"/>
        <v>100</v>
      </c>
      <c r="O133" s="887"/>
      <c r="R133" s="1">
        <v>1993</v>
      </c>
      <c r="S133" s="8">
        <f>(O38*($E38/365))+(O39*($E39/365))</f>
        <v>0</v>
      </c>
      <c r="T133" s="8">
        <f>(P38*($E38/365))+(P39*($E39/365))</f>
        <v>0</v>
      </c>
      <c r="U133" s="8">
        <f>(Q38*($E38/365))+(Q39*($E39/365))</f>
        <v>47.844931506849321</v>
      </c>
      <c r="V133" s="7"/>
      <c r="W133" s="7">
        <f t="shared" si="36"/>
        <v>47.844931506849321</v>
      </c>
    </row>
    <row r="134" spans="1:23">
      <c r="A134" s="1">
        <v>1994</v>
      </c>
      <c r="B134" s="8">
        <f>(K40*($E40/365))+(K41*($E41/365))</f>
        <v>0</v>
      </c>
      <c r="C134" s="8">
        <f>(L40*($E40/365))+(L41*($E41/365))</f>
        <v>0</v>
      </c>
      <c r="D134" s="8">
        <f>(M40*($E40/365))+(M41*($E41/365))</f>
        <v>100</v>
      </c>
      <c r="E134" s="49">
        <f t="shared" si="35"/>
        <v>100</v>
      </c>
      <c r="G134" s="1">
        <v>1994</v>
      </c>
      <c r="H134" s="918">
        <f>(O40/$R40*100*($E40/365))+(O41/$R41*100*($E41/365))</f>
        <v>0</v>
      </c>
      <c r="I134" s="918"/>
      <c r="J134" s="918">
        <f>(P40/$R40*100*($E40/365))+(P41/$R41*100*($E41/365))</f>
        <v>0</v>
      </c>
      <c r="K134" s="918"/>
      <c r="L134" s="918">
        <f>(Q40/$R40*100*($E40/365))+(Q41/$R41*100*($E41/365))</f>
        <v>100</v>
      </c>
      <c r="M134" s="918"/>
      <c r="N134" s="887">
        <f t="shared" si="34"/>
        <v>100</v>
      </c>
      <c r="O134" s="887"/>
      <c r="R134" s="1">
        <v>1994</v>
      </c>
      <c r="S134" s="8">
        <f>(O40*($E40/365))+(O41*($E41/365))</f>
        <v>0</v>
      </c>
      <c r="T134" s="8">
        <f>(P40*($E40/365))+(P41*($E41/365))</f>
        <v>0</v>
      </c>
      <c r="U134" s="8">
        <f>(Q40*($E40/365))+(Q41*($E41/365))</f>
        <v>45.4</v>
      </c>
      <c r="V134" s="7"/>
      <c r="W134" s="7">
        <f t="shared" si="36"/>
        <v>45.4</v>
      </c>
    </row>
    <row r="135" spans="1:23">
      <c r="A135" s="1">
        <v>1995</v>
      </c>
      <c r="B135" s="8">
        <f>(K42*($E42/365))+(K43*($E43/365))</f>
        <v>0</v>
      </c>
      <c r="C135" s="8">
        <f>(L42*($E42/365))+(L43*($E43/365))</f>
        <v>0</v>
      </c>
      <c r="D135" s="8">
        <f>(M42*($E42/365))+(M43*($E43/365))</f>
        <v>100</v>
      </c>
      <c r="E135" s="49">
        <f t="shared" si="35"/>
        <v>100</v>
      </c>
      <c r="G135" s="1">
        <v>1995</v>
      </c>
      <c r="H135" s="918">
        <f>(O42/$R42*100*($E42/365))+(O43/$R43*100*($E43/365))</f>
        <v>0</v>
      </c>
      <c r="I135" s="918"/>
      <c r="J135" s="918">
        <f>(P42/$R42*100*($E42/365))+(P43/$R43*100*($E43/365))</f>
        <v>0</v>
      </c>
      <c r="K135" s="918"/>
      <c r="L135" s="918">
        <f>(Q42/$R42*100*($E42/365))+(Q43/$R43*100*($E43/365))</f>
        <v>100</v>
      </c>
      <c r="M135" s="918"/>
      <c r="N135" s="887">
        <f t="shared" si="34"/>
        <v>100</v>
      </c>
      <c r="O135" s="887"/>
      <c r="R135" s="1">
        <v>1995</v>
      </c>
      <c r="S135" s="8">
        <f>(O42*($E42/365))+(O43*($E43/365))</f>
        <v>0</v>
      </c>
      <c r="T135" s="8">
        <f>(P42*($E42/365))+(P43*($E43/365))</f>
        <v>0</v>
      </c>
      <c r="U135" s="8">
        <f>(Q42*($E42/365))+(Q43*($E43/365))</f>
        <v>45.4</v>
      </c>
      <c r="V135" s="7"/>
      <c r="W135" s="7">
        <f t="shared" si="36"/>
        <v>45.4</v>
      </c>
    </row>
    <row r="136" spans="1:23">
      <c r="A136" s="1">
        <v>1996</v>
      </c>
      <c r="B136" s="8">
        <f>(K44*($E44/366))+(K45*($E45/366))</f>
        <v>0</v>
      </c>
      <c r="C136" s="8">
        <f>(L44*($E44/366))+(L45*($E45/366))</f>
        <v>66.120218579234972</v>
      </c>
      <c r="D136" s="8">
        <f>(M44*($E44/366))+(M45*($E45/366))</f>
        <v>33.879781420765028</v>
      </c>
      <c r="E136" s="49">
        <f t="shared" si="35"/>
        <v>100</v>
      </c>
      <c r="G136" s="1">
        <v>1996</v>
      </c>
      <c r="H136" s="918">
        <f>(O44/$R44*100*($E44/366))+(O45/$R45*100*($E45/366))</f>
        <v>0</v>
      </c>
      <c r="I136" s="918"/>
      <c r="J136" s="918">
        <f>(P44/$R44*100*($E44/366))+(P45/$R45*100*($E45/366))</f>
        <v>66.120218579234972</v>
      </c>
      <c r="K136" s="918"/>
      <c r="L136" s="918">
        <f>(Q44/$R44*100*($E44/366))+(Q45/$R45*100*($E45/366))</f>
        <v>33.879781420765028</v>
      </c>
      <c r="M136" s="918"/>
      <c r="N136" s="887">
        <f t="shared" si="34"/>
        <v>100</v>
      </c>
      <c r="O136" s="887"/>
      <c r="R136" s="1">
        <v>1996</v>
      </c>
      <c r="S136" s="8">
        <f>(O44*($E44/366))+(O45*($E45/366))</f>
        <v>0</v>
      </c>
      <c r="T136" s="8">
        <f>(P44*($E44/366))+(P45*($E45/366))</f>
        <v>29.489617486338798</v>
      </c>
      <c r="U136" s="8">
        <f>(Q44*($E44/366))+(Q45*($E45/366))</f>
        <v>15.381420765027322</v>
      </c>
      <c r="V136" s="7"/>
      <c r="W136" s="7">
        <f t="shared" si="36"/>
        <v>44.871038251366116</v>
      </c>
    </row>
    <row r="137" spans="1:23">
      <c r="A137" s="1">
        <v>1997</v>
      </c>
      <c r="B137" s="8">
        <f>(K46*($E46/365))+(K47*($E47/365))</f>
        <v>0</v>
      </c>
      <c r="C137" s="8">
        <f>(L46*($E46/365))+(L47*($E47/365))</f>
        <v>100</v>
      </c>
      <c r="D137" s="8">
        <f>(M46*($E46/365))+(M47*($E47/365))</f>
        <v>0</v>
      </c>
      <c r="E137" s="49">
        <f t="shared" si="35"/>
        <v>100</v>
      </c>
      <c r="G137" s="1">
        <v>1997</v>
      </c>
      <c r="H137" s="918">
        <f>(O46/$R46*100*($E46/365))+(O47/$R47*100*($E47/365))</f>
        <v>0</v>
      </c>
      <c r="I137" s="918"/>
      <c r="J137" s="918">
        <f>(P46/$R46*100*($E46/365))+(P47/$R47*100*($E47/365))</f>
        <v>100</v>
      </c>
      <c r="K137" s="918"/>
      <c r="L137" s="918">
        <f>(Q46/$R46*100*($E46/365))+(Q47/$R47*100*($E47/365))</f>
        <v>0</v>
      </c>
      <c r="M137" s="918"/>
      <c r="N137" s="887">
        <f t="shared" si="34"/>
        <v>100</v>
      </c>
      <c r="O137" s="887"/>
      <c r="R137" s="1">
        <v>1997</v>
      </c>
      <c r="S137" s="8">
        <f>(O46*($E46/365))+(O47*($E47/365))</f>
        <v>0</v>
      </c>
      <c r="T137" s="8">
        <f>(P46*($E46/365))+(P47*($E47/365))</f>
        <v>44.6</v>
      </c>
      <c r="U137" s="8">
        <f>(Q46*($E46/365))+(Q47*($E47/365))</f>
        <v>0</v>
      </c>
      <c r="V137" s="7"/>
      <c r="W137" s="7">
        <f t="shared" si="36"/>
        <v>44.6</v>
      </c>
    </row>
    <row r="138" spans="1:23">
      <c r="A138" s="1">
        <v>1998</v>
      </c>
      <c r="B138" s="8">
        <f>(K48*($E48/365))+(K49*($E49/365))</f>
        <v>0</v>
      </c>
      <c r="C138" s="8">
        <f>(L48*($E48/365))+(L49*($E49/365))</f>
        <v>100</v>
      </c>
      <c r="D138" s="8">
        <f>(M48*($E48/365))+(M49*($E49/365))</f>
        <v>0</v>
      </c>
      <c r="E138" s="49">
        <f t="shared" si="35"/>
        <v>100</v>
      </c>
      <c r="G138" s="1">
        <v>1998</v>
      </c>
      <c r="H138" s="918">
        <f>(O48/$R48*100*($E48/365))+(O49/$R49*100*($E49/365))</f>
        <v>0</v>
      </c>
      <c r="I138" s="918"/>
      <c r="J138" s="918">
        <f>(P48/$R48*100*($E48/365))+(P49/$R49*100*($E49/365))</f>
        <v>100</v>
      </c>
      <c r="K138" s="918"/>
      <c r="L138" s="918">
        <f>(Q48/$R48*100*($E48/365))+(Q49/$R49*100*($E49/365))</f>
        <v>0</v>
      </c>
      <c r="M138" s="918"/>
      <c r="N138" s="887">
        <f t="shared" si="34"/>
        <v>100</v>
      </c>
      <c r="O138" s="887"/>
      <c r="R138" s="1">
        <v>1998</v>
      </c>
      <c r="S138" s="8">
        <f>(O48*($E48/365))+(O49*($E49/365))</f>
        <v>0</v>
      </c>
      <c r="T138" s="8">
        <f>(P48*($E48/365))+(P49*($E49/365))</f>
        <v>44.6</v>
      </c>
      <c r="U138" s="8">
        <f>(Q48*($E48/365))+(Q49*($E49/365))</f>
        <v>0</v>
      </c>
      <c r="V138" s="7"/>
      <c r="W138" s="7">
        <f t="shared" si="36"/>
        <v>44.6</v>
      </c>
    </row>
    <row r="139" spans="1:23">
      <c r="A139" s="1">
        <v>1999</v>
      </c>
      <c r="B139" s="8">
        <f>(K50*($E50/365))+(K51*($E51/365))</f>
        <v>0</v>
      </c>
      <c r="C139" s="8">
        <f>(L50*($E50/365))+(L51*($E51/365))</f>
        <v>100</v>
      </c>
      <c r="D139" s="8">
        <f>(M50*($E50/365))+(M51*($E51/365))</f>
        <v>0</v>
      </c>
      <c r="E139" s="49">
        <f t="shared" si="35"/>
        <v>100</v>
      </c>
      <c r="G139" s="1">
        <v>1999</v>
      </c>
      <c r="H139" s="918">
        <f>(O50/$R50*100*($E50/365))+(O51/$R51*100*($E51/365))</f>
        <v>0</v>
      </c>
      <c r="I139" s="918"/>
      <c r="J139" s="918">
        <f>(P50/$R50*100*($E50/365))+(P51/$R51*100*($E51/365))</f>
        <v>100</v>
      </c>
      <c r="K139" s="918"/>
      <c r="L139" s="918">
        <f>(Q50/$R50*100*($E50/365))+(Q51/$R51*100*($E51/365))</f>
        <v>0</v>
      </c>
      <c r="M139" s="918"/>
      <c r="N139" s="887">
        <f t="shared" si="34"/>
        <v>100</v>
      </c>
      <c r="O139" s="887"/>
      <c r="R139" s="1">
        <v>1999</v>
      </c>
      <c r="S139" s="8">
        <f>(O50*($E50/365))+(O51*($E51/365))</f>
        <v>0</v>
      </c>
      <c r="T139" s="8">
        <f>(P50*($E50/365))+(P51*($E51/365))</f>
        <v>44.6</v>
      </c>
      <c r="U139" s="8">
        <f>(Q50*($E50/365))+(Q51*($E51/365))</f>
        <v>0</v>
      </c>
      <c r="V139" s="7"/>
      <c r="W139" s="7">
        <f t="shared" si="36"/>
        <v>44.6</v>
      </c>
    </row>
    <row r="140" spans="1:23">
      <c r="A140" s="1">
        <v>2000</v>
      </c>
      <c r="B140" s="8">
        <f>(K52*($E52/366))+(K53*($E53/366))</f>
        <v>0</v>
      </c>
      <c r="C140" s="8">
        <f>(L52*($E52/366))+(L53*($E53/366))</f>
        <v>100</v>
      </c>
      <c r="D140" s="8">
        <f>(M52*($E52/366))+(M53*($E53/366))</f>
        <v>0</v>
      </c>
      <c r="E140" s="49">
        <f t="shared" si="35"/>
        <v>100</v>
      </c>
      <c r="G140" s="1">
        <v>2000</v>
      </c>
      <c r="H140" s="918">
        <f>(O52/$R52*100*($E52/366))+(O53/$R53*100*($E53/366))</f>
        <v>0</v>
      </c>
      <c r="I140" s="918"/>
      <c r="J140" s="918">
        <f>(P52/$R52*100*($E52/366))+(P53/$R53*100*($E53/366))</f>
        <v>100</v>
      </c>
      <c r="K140" s="918"/>
      <c r="L140" s="918">
        <f>(Q52/$R52*100*($E52/366))+(Q53/$R53*100*($E53/366))</f>
        <v>0</v>
      </c>
      <c r="M140" s="918"/>
      <c r="N140" s="887">
        <f t="shared" si="34"/>
        <v>100</v>
      </c>
      <c r="O140" s="887"/>
      <c r="R140" s="1">
        <v>2000</v>
      </c>
      <c r="S140" s="8">
        <f>(O52*($E52/366))+(O53*($E53/366))</f>
        <v>0</v>
      </c>
      <c r="T140" s="8">
        <f>(P52*($E52/366))+(P53*($E53/366))</f>
        <v>49.85956284153005</v>
      </c>
      <c r="U140" s="8">
        <f>(Q52*($E52/366))+(Q53*($E53/366))</f>
        <v>0</v>
      </c>
      <c r="V140" s="7"/>
      <c r="W140" s="7">
        <f t="shared" si="36"/>
        <v>49.85956284153005</v>
      </c>
    </row>
    <row r="141" spans="1:23">
      <c r="A141" s="1">
        <v>2001</v>
      </c>
      <c r="B141" s="8">
        <f>(K54*($E54/365))+(K55*($E55/365))</f>
        <v>0</v>
      </c>
      <c r="C141" s="8">
        <f>(L54*($E54/365))+(L55*($E55/365))</f>
        <v>100</v>
      </c>
      <c r="D141" s="8">
        <f>(M54*($E54/365))+(M55*($E55/365))</f>
        <v>0</v>
      </c>
      <c r="E141" s="49">
        <f t="shared" si="35"/>
        <v>100</v>
      </c>
      <c r="G141" s="1">
        <v>2001</v>
      </c>
      <c r="H141" s="918">
        <f>(O54/$R54*100*($E54/365))+(O55/$R55*100*($E55/365))</f>
        <v>0</v>
      </c>
      <c r="I141" s="918"/>
      <c r="J141" s="918">
        <f>(P54/$R54*100*($E54/365))+(P55/$R55*100*($E55/365))</f>
        <v>100</v>
      </c>
      <c r="K141" s="918"/>
      <c r="L141" s="918">
        <f>(Q54/$R54*100*($E54/365))+(Q55/$R55*100*($E55/365))</f>
        <v>0</v>
      </c>
      <c r="M141" s="918"/>
      <c r="N141" s="887">
        <f t="shared" si="34"/>
        <v>100</v>
      </c>
      <c r="O141" s="887"/>
      <c r="R141" s="1">
        <v>2001</v>
      </c>
      <c r="S141" s="8">
        <f>(O54*($E54/365))+(O55*($E55/365))</f>
        <v>0</v>
      </c>
      <c r="T141" s="8">
        <f>(P54*($E54/365))+(P55*($E55/365))</f>
        <v>52.3</v>
      </c>
      <c r="U141" s="8">
        <f>(Q54*($E54/365))+(Q55*($E55/365))</f>
        <v>0</v>
      </c>
      <c r="V141" s="7"/>
      <c r="W141" s="7">
        <f t="shared" si="36"/>
        <v>52.3</v>
      </c>
    </row>
    <row r="142" spans="1:23">
      <c r="A142" s="1">
        <v>2002</v>
      </c>
      <c r="B142" s="8">
        <f>(K56*($E56/365))+(K57*($E57/365))</f>
        <v>0</v>
      </c>
      <c r="C142" s="8">
        <f>(L56*($E56/365))+(L57*($E57/365))</f>
        <v>100</v>
      </c>
      <c r="D142" s="8">
        <f>(M56*($E56/365))+(M57*($E57/365))</f>
        <v>0</v>
      </c>
      <c r="E142" s="49">
        <f t="shared" si="35"/>
        <v>100</v>
      </c>
      <c r="G142" s="1">
        <v>2002</v>
      </c>
      <c r="H142" s="918">
        <f>(O56/$R56*100*($E56/365))+(O57/$R57*100*($E57/365))</f>
        <v>0</v>
      </c>
      <c r="I142" s="918"/>
      <c r="J142" s="918">
        <f>(P56/$R56*100*($E56/365))+(P57/$R57*100*($E57/365))</f>
        <v>100</v>
      </c>
      <c r="K142" s="918"/>
      <c r="L142" s="918">
        <f>(Q56/$R56*100*($E56/365))+(Q57/$R57*100*($E57/365))</f>
        <v>0</v>
      </c>
      <c r="M142" s="918"/>
      <c r="N142" s="887">
        <f t="shared" si="34"/>
        <v>100</v>
      </c>
      <c r="O142" s="887"/>
      <c r="R142" s="1">
        <v>2002</v>
      </c>
      <c r="S142" s="8">
        <f>(O56*($E56/365))+(O57*($E57/365))</f>
        <v>0</v>
      </c>
      <c r="T142" s="8">
        <f>(P56*($E56/365))+(P57*($E57/365))</f>
        <v>52.3</v>
      </c>
      <c r="U142" s="8">
        <f>(Q56*($E56/365))+(Q57*($E57/365))</f>
        <v>0</v>
      </c>
      <c r="V142" s="7"/>
      <c r="W142" s="7">
        <f t="shared" si="36"/>
        <v>52.3</v>
      </c>
    </row>
    <row r="143" spans="1:23">
      <c r="A143" s="1">
        <v>2003</v>
      </c>
      <c r="B143" s="8">
        <f>(K58*($E58/365))+(K59*($E59/365))</f>
        <v>0</v>
      </c>
      <c r="C143" s="8">
        <f>(L58*($E58/365))+(L59*($E59/365))</f>
        <v>100</v>
      </c>
      <c r="D143" s="8">
        <f>(M58*($E58/365))+(M59*($E59/365))</f>
        <v>0</v>
      </c>
      <c r="E143" s="49">
        <f t="shared" si="35"/>
        <v>100</v>
      </c>
      <c r="G143" s="1">
        <v>2003</v>
      </c>
      <c r="H143" s="918">
        <f>(O58/$R58*100*($E58/365))+(O59/$R59*100*($E59/365))</f>
        <v>0</v>
      </c>
      <c r="I143" s="918"/>
      <c r="J143" s="918">
        <f>(P58/$R58*100*($E58/365))+(P59/$R59*100*($E59/365))</f>
        <v>100</v>
      </c>
      <c r="K143" s="918"/>
      <c r="L143" s="918">
        <f>(Q58/$R58*100*($E58/365))+(Q59/$R59*100*($E59/365))</f>
        <v>0</v>
      </c>
      <c r="M143" s="918"/>
      <c r="N143" s="887">
        <f t="shared" si="34"/>
        <v>100</v>
      </c>
      <c r="O143" s="887"/>
      <c r="R143" s="1">
        <v>2003</v>
      </c>
      <c r="S143" s="8">
        <f>(O58*($E58/365))+(O59*($E59/365))</f>
        <v>0</v>
      </c>
      <c r="T143" s="8">
        <f>(P58*($E58/365))+(P59*($E59/365))</f>
        <v>52.3</v>
      </c>
      <c r="U143" s="8">
        <f>(Q58*($E58/365))+(Q59*($E59/365))</f>
        <v>0</v>
      </c>
      <c r="V143" s="7"/>
      <c r="W143" s="7">
        <f t="shared" si="36"/>
        <v>52.3</v>
      </c>
    </row>
    <row r="144" spans="1:23">
      <c r="A144" s="1">
        <v>2004</v>
      </c>
      <c r="B144" s="8">
        <f>(K60*($E60/366))+(K61*($E61/366))</f>
        <v>0</v>
      </c>
      <c r="C144" s="8">
        <f>(L60*($E60/366))+(L61*($E61/366))</f>
        <v>29.234972677595628</v>
      </c>
      <c r="D144" s="8">
        <f>(M60*($E60/366))+(M61*($E61/366))</f>
        <v>70.765027322404379</v>
      </c>
      <c r="E144" s="49">
        <f t="shared" si="35"/>
        <v>100</v>
      </c>
      <c r="G144" s="1">
        <v>2004</v>
      </c>
      <c r="H144" s="918">
        <f>(O60/$R60*100*($E60/366))+(O61/$R61*100*($E61/366))</f>
        <v>0</v>
      </c>
      <c r="I144" s="918"/>
      <c r="J144" s="918">
        <f>(P60/$R60*100*($E60/366))+(P61/$R61*100*($E61/366))</f>
        <v>29.234972677595628</v>
      </c>
      <c r="K144" s="918"/>
      <c r="L144" s="918">
        <f>(Q60/$R60*100*($E60/366))+(Q61/$R61*100*($E61/366))</f>
        <v>70.765027322404379</v>
      </c>
      <c r="M144" s="918"/>
      <c r="N144" s="887">
        <f t="shared" si="34"/>
        <v>100</v>
      </c>
      <c r="O144" s="887"/>
      <c r="R144" s="1">
        <v>2004</v>
      </c>
      <c r="S144" s="8">
        <f>(O60*($E60/366))+(O61*($E61/366))</f>
        <v>0</v>
      </c>
      <c r="T144" s="8">
        <f>(P60*($E60/366))+(P61*($E61/366))</f>
        <v>15.289890710382512</v>
      </c>
      <c r="U144" s="8">
        <f>(Q60*($E60/366))+(Q61*($E61/366))</f>
        <v>33.188797814207646</v>
      </c>
      <c r="V144" s="7"/>
      <c r="W144" s="7">
        <f t="shared" si="36"/>
        <v>48.478688524590154</v>
      </c>
    </row>
    <row r="145" spans="1:23">
      <c r="A145" s="1">
        <v>2005</v>
      </c>
      <c r="B145" s="8">
        <f>(K62*($E62/365))+(K63*($E63/365))</f>
        <v>0</v>
      </c>
      <c r="C145" s="8">
        <f>(L62*($E62/365))+(L63*($E63/365))</f>
        <v>0</v>
      </c>
      <c r="D145" s="8">
        <f>(M62*($E62/365))+(M63*($E63/365))</f>
        <v>100</v>
      </c>
      <c r="E145" s="49">
        <f t="shared" si="35"/>
        <v>100</v>
      </c>
      <c r="G145" s="1">
        <v>2005</v>
      </c>
      <c r="H145" s="918">
        <f>(O62/$R62*100*($E62/365))+(O63/$R63*100*($E63/365))</f>
        <v>0</v>
      </c>
      <c r="I145" s="918"/>
      <c r="J145" s="918">
        <f>(P62/$R62*100*($E62/365))+(P63/$R63*100*($E63/365))</f>
        <v>0</v>
      </c>
      <c r="K145" s="918"/>
      <c r="L145" s="918">
        <f>(Q62/$R62*100*($E62/365))+(Q63/$R63*100*($E63/365))</f>
        <v>100</v>
      </c>
      <c r="M145" s="918"/>
      <c r="N145" s="887">
        <f t="shared" si="34"/>
        <v>100</v>
      </c>
      <c r="O145" s="887"/>
      <c r="R145" s="1">
        <v>2005</v>
      </c>
      <c r="S145" s="8">
        <f>(O62*($E62/365))+(O63*($E63/365))</f>
        <v>0</v>
      </c>
      <c r="T145" s="8">
        <f>(P62*($E62/365))+(P63*($E63/365))</f>
        <v>0</v>
      </c>
      <c r="U145" s="8">
        <f>(Q62*($E62/365))+(Q63*($E63/365))</f>
        <v>46.9</v>
      </c>
      <c r="V145" s="7"/>
      <c r="W145" s="7">
        <f t="shared" si="36"/>
        <v>46.9</v>
      </c>
    </row>
    <row r="146" spans="1:23">
      <c r="A146" s="1">
        <v>2006</v>
      </c>
      <c r="B146" s="8">
        <f>(K64*($E64/365))+(K65*($E65/365))</f>
        <v>0</v>
      </c>
      <c r="C146" s="8">
        <f>(L64*($E64/365))+(L65*($E65/365))</f>
        <v>0</v>
      </c>
      <c r="D146" s="8">
        <f>(M64*($E64/365))+(M65*($E65/365))</f>
        <v>100</v>
      </c>
      <c r="E146" s="49">
        <f t="shared" si="35"/>
        <v>100</v>
      </c>
      <c r="G146" s="1">
        <v>2006</v>
      </c>
      <c r="H146" s="918">
        <f>(O64/$R64*100*($E64/365))+(O65/$R65*100*($E65/365))</f>
        <v>0</v>
      </c>
      <c r="I146" s="918"/>
      <c r="J146" s="918">
        <f>(P64/$R64*100*($E64/365))+(P65/$R65*100*($E65/365))</f>
        <v>0</v>
      </c>
      <c r="K146" s="918"/>
      <c r="L146" s="918">
        <f>(Q64/$R64*100*($E64/365))+(Q65/$R65*100*($E65/365))</f>
        <v>100</v>
      </c>
      <c r="M146" s="918"/>
      <c r="N146" s="887">
        <f t="shared" si="34"/>
        <v>100</v>
      </c>
      <c r="O146" s="887"/>
      <c r="R146" s="1">
        <v>2006</v>
      </c>
      <c r="S146" s="8">
        <f>(O64*($E64/365))+(O65*($E65/365))</f>
        <v>0</v>
      </c>
      <c r="T146" s="8">
        <f>(P64*($E64/365))+(P65*($E65/365))</f>
        <v>0</v>
      </c>
      <c r="U146" s="8">
        <f>(Q64*($E64/365))+(Q65*($E65/365))</f>
        <v>46.9</v>
      </c>
      <c r="V146" s="7"/>
      <c r="W146" s="7">
        <f t="shared" si="36"/>
        <v>46.9</v>
      </c>
    </row>
    <row r="147" spans="1:23">
      <c r="A147" s="1">
        <v>2007</v>
      </c>
      <c r="B147" s="8">
        <f>(K66*($E66/365))+(K67*($E67/365))</f>
        <v>0</v>
      </c>
      <c r="C147" s="8">
        <f>(L66*($E66/365))+(L67*($E67/365))</f>
        <v>0</v>
      </c>
      <c r="D147" s="8">
        <f>(M66*($E66/365))+(M67*($E67/365))</f>
        <v>100</v>
      </c>
      <c r="E147" s="49">
        <f t="shared" si="35"/>
        <v>100</v>
      </c>
      <c r="G147" s="1">
        <v>2007</v>
      </c>
      <c r="H147" s="918">
        <f>(O66/$R66*100*($E66/365))+(O67/$R67*100*($E67/365))</f>
        <v>0</v>
      </c>
      <c r="I147" s="918"/>
      <c r="J147" s="918">
        <f>(P66/$R66*100*($E66/365))+(P67/$R67*100*($E67/365))</f>
        <v>0</v>
      </c>
      <c r="K147" s="918"/>
      <c r="L147" s="918">
        <f>(Q66/$R66*100*($E66/365))+(Q67/$R67*100*($E67/365))</f>
        <v>100</v>
      </c>
      <c r="M147" s="918"/>
      <c r="N147" s="887">
        <f t="shared" si="34"/>
        <v>100</v>
      </c>
      <c r="O147" s="887"/>
      <c r="R147" s="1">
        <v>2007</v>
      </c>
      <c r="S147" s="8">
        <f>(O66*($E66/365))+(O67*($E67/365))</f>
        <v>0</v>
      </c>
      <c r="T147" s="8">
        <f>(P66*($E66/365))+(P67*($E67/365))</f>
        <v>0</v>
      </c>
      <c r="U147" s="8">
        <f>(Q66*($E66/365))+(Q67*($E67/365))</f>
        <v>46.9</v>
      </c>
      <c r="V147" s="7"/>
      <c r="W147" s="7">
        <f t="shared" si="36"/>
        <v>46.9</v>
      </c>
    </row>
    <row r="148" spans="1:23">
      <c r="A148" s="1">
        <v>2008</v>
      </c>
      <c r="B148" s="8">
        <f>(K68*($E68/366))+(K69*($E69/366))</f>
        <v>0</v>
      </c>
      <c r="C148" s="8">
        <f>(L68*($E68/366))+(L69*($E69/366))</f>
        <v>0</v>
      </c>
      <c r="D148" s="8">
        <f>(M68*($E68/366))+(M69*($E69/366))</f>
        <v>100.00000000000001</v>
      </c>
      <c r="E148" s="49">
        <f t="shared" si="35"/>
        <v>100.00000000000001</v>
      </c>
      <c r="G148" s="1">
        <v>2008</v>
      </c>
      <c r="H148" s="918">
        <f>(O68/$R68*100*($E68/366))+(O69/$R69*100*($E69/366))</f>
        <v>0</v>
      </c>
      <c r="I148" s="918"/>
      <c r="J148" s="918">
        <f>(P68/$R68*100*($E68/366))+(P69/$R69*100*($E69/366))</f>
        <v>0</v>
      </c>
      <c r="K148" s="918"/>
      <c r="L148" s="918">
        <f>(Q68/$R68*100*($E68/366))+(Q69/$R69*100*($E69/366))</f>
        <v>100.00000000000001</v>
      </c>
      <c r="M148" s="918"/>
      <c r="N148" s="887">
        <f t="shared" si="34"/>
        <v>100.00000000000001</v>
      </c>
      <c r="O148" s="887"/>
      <c r="R148" s="1">
        <v>2008</v>
      </c>
      <c r="S148" s="8">
        <f>(O68*($E68/366))+(O69*($E69/366))</f>
        <v>0</v>
      </c>
      <c r="T148" s="8">
        <f>(P68*($E68/366))+(P69*($E69/366))</f>
        <v>0</v>
      </c>
      <c r="U148" s="8">
        <f>(Q68*($E68/366))+(Q69*($E69/366))</f>
        <v>47.910491803278688</v>
      </c>
      <c r="V148" s="7"/>
      <c r="W148" s="7">
        <f t="shared" si="36"/>
        <v>47.910491803278688</v>
      </c>
    </row>
    <row r="149" spans="1:23">
      <c r="A149" s="1">
        <v>2009</v>
      </c>
      <c r="B149" s="8">
        <f>(K70*($E70/365))+(K71*($E71/365))</f>
        <v>0</v>
      </c>
      <c r="C149" s="8">
        <f>(L70*($E70/365))+(L71*($E71/365))</f>
        <v>0</v>
      </c>
      <c r="D149" s="8">
        <f>(M70*($E70/365))+(M71*($E71/365))</f>
        <v>100</v>
      </c>
      <c r="E149" s="49">
        <f t="shared" si="35"/>
        <v>100</v>
      </c>
      <c r="G149" s="1">
        <v>2009</v>
      </c>
      <c r="H149" s="918">
        <f>(O70/$R70*100*($E70/365))+(O71/$R71*100*($E71/365))</f>
        <v>0</v>
      </c>
      <c r="I149" s="918"/>
      <c r="J149" s="918">
        <f>(P70/$R70*100*($E70/365))+(P71/$R71*100*($E71/365))</f>
        <v>0</v>
      </c>
      <c r="K149" s="918"/>
      <c r="L149" s="918">
        <f>(Q70/$R70*100*($E70/365))+(Q71/$R71*100*($E71/365))</f>
        <v>100</v>
      </c>
      <c r="M149" s="918"/>
      <c r="N149" s="887">
        <f t="shared" si="34"/>
        <v>100</v>
      </c>
      <c r="O149" s="887"/>
      <c r="R149" s="1">
        <v>2009</v>
      </c>
      <c r="S149" s="8">
        <f>(O70*($E70/365))+(O71*($E71/365))</f>
        <v>0</v>
      </c>
      <c r="T149" s="8">
        <f>(P70*($E70/365))+(P71*($E71/365))</f>
        <v>0</v>
      </c>
      <c r="U149" s="8">
        <f>(Q70*($E70/365))+(Q71*($E71/365))</f>
        <v>48.279999999999994</v>
      </c>
      <c r="V149" s="7"/>
      <c r="W149" s="7">
        <f t="shared" si="36"/>
        <v>48.279999999999994</v>
      </c>
    </row>
    <row r="150" spans="1:23">
      <c r="A150" s="1">
        <v>2010</v>
      </c>
      <c r="B150" s="8">
        <f>(K72*($E72/365))+(K73*($E73/365))</f>
        <v>0</v>
      </c>
      <c r="C150" s="8">
        <f>(L72*($E72/365))+(L73*($E73/365))</f>
        <v>0</v>
      </c>
      <c r="D150" s="8">
        <f>(M72*($E72/365))+(M73*($E73/365))</f>
        <v>98.75</v>
      </c>
      <c r="E150" s="49">
        <f t="shared" si="35"/>
        <v>98.75</v>
      </c>
      <c r="G150" s="1">
        <v>2010</v>
      </c>
      <c r="H150" s="918">
        <f>(O72/$R72*100*($E72/365))+(O73/$R73*100*($E73/365))</f>
        <v>0</v>
      </c>
      <c r="I150" s="918"/>
      <c r="J150" s="918">
        <f>(P72/$R72*100*($E72/365))+(P73/$R73*100*($E73/365))</f>
        <v>0</v>
      </c>
      <c r="K150" s="918"/>
      <c r="L150" s="918">
        <f>(Q72/$R72*100*($E72/365))+(Q73/$R73*100*($E73/365))</f>
        <v>100</v>
      </c>
      <c r="M150" s="918"/>
      <c r="N150" s="887">
        <f t="shared" si="34"/>
        <v>100</v>
      </c>
      <c r="O150" s="887"/>
      <c r="R150" s="1">
        <v>2010</v>
      </c>
      <c r="S150" s="8">
        <f>(O72*($E72/365))+(O73*($E73/365))</f>
        <v>0</v>
      </c>
      <c r="T150" s="8">
        <f>(P72*($E72/365))+(P73*($E73/365))</f>
        <v>0</v>
      </c>
      <c r="U150" s="8">
        <f>(Q72*($E72/365))+(Q73*($E73/365))</f>
        <v>48.28</v>
      </c>
      <c r="V150" s="7"/>
      <c r="W150" s="7">
        <f t="shared" si="36"/>
        <v>48.28</v>
      </c>
    </row>
    <row r="151" spans="1:23">
      <c r="A151" s="1">
        <v>2011</v>
      </c>
      <c r="B151" s="8">
        <f>(K74*($E74/365))+(K75*($E75/365))</f>
        <v>0</v>
      </c>
      <c r="C151" s="8">
        <f>(L74*($E74/365))+(L75*($E75/365))</f>
        <v>3.5616438356164384</v>
      </c>
      <c r="D151" s="8">
        <f>(M74*($E74/365))+(M75*($E75/365))</f>
        <v>90.410958904109592</v>
      </c>
      <c r="E151" s="49">
        <f t="shared" si="35"/>
        <v>93.972602739726028</v>
      </c>
      <c r="G151" s="1">
        <v>2011</v>
      </c>
      <c r="H151" s="918">
        <f>(O74/$R74*100*($E74/365))+(O75/$R75*100*($E75/365))</f>
        <v>0</v>
      </c>
      <c r="I151" s="918"/>
      <c r="J151" s="918">
        <f>(P74/$R74*100*($E74/365))+(P75/$R75*100*($E75/365))</f>
        <v>3.5616438356164384</v>
      </c>
      <c r="K151" s="918"/>
      <c r="L151" s="918">
        <f>(Q74/$R74*100*($E74/365))+(Q75/$R75*100*($E75/365))</f>
        <v>96.438356164383563</v>
      </c>
      <c r="M151" s="918"/>
      <c r="N151" s="887">
        <f t="shared" si="34"/>
        <v>100</v>
      </c>
      <c r="O151" s="887"/>
      <c r="R151" s="1">
        <v>2011</v>
      </c>
      <c r="S151" s="8">
        <f>(O74*($E74/365))+(O75*($E75/365))</f>
        <v>0</v>
      </c>
      <c r="T151" s="8">
        <f>(P74*($E74/365))+(P75*($E75/365))</f>
        <v>1.8926575342465752</v>
      </c>
      <c r="U151" s="8">
        <f>(Q74*($E74/365))+(Q75*($E75/365))</f>
        <v>46.560438356164383</v>
      </c>
      <c r="V151" s="7"/>
      <c r="W151" s="7">
        <f t="shared" si="36"/>
        <v>48.453095890410957</v>
      </c>
    </row>
    <row r="152" spans="1:23">
      <c r="A152" s="1">
        <v>2012</v>
      </c>
      <c r="B152" s="8">
        <f>(K76*($E76/366))+(K77*($E77/366))</f>
        <v>0</v>
      </c>
      <c r="C152" s="8">
        <f>(L76*($E76/366))+(L77*($E77/366))</f>
        <v>100</v>
      </c>
      <c r="D152" s="8">
        <f>(M76*($E76/366))+(M77*($E77/366))</f>
        <v>0</v>
      </c>
      <c r="E152" s="49">
        <f t="shared" si="35"/>
        <v>100</v>
      </c>
      <c r="G152" s="1">
        <v>2012</v>
      </c>
      <c r="H152" s="918">
        <f>(O76/$R76*100*($E76/366))+(O77/$R77*100*($E77/366))</f>
        <v>0</v>
      </c>
      <c r="I152" s="918"/>
      <c r="J152" s="918">
        <f>(P76/$R76*100*($E76/366))+(P77/$R77*100*($E77/366))</f>
        <v>100</v>
      </c>
      <c r="K152" s="918"/>
      <c r="L152" s="918">
        <f>(Q76/$R76*100*($E76/366))+(Q77/$R77*100*($E77/366))</f>
        <v>0</v>
      </c>
      <c r="M152" s="918"/>
      <c r="N152" s="887">
        <f t="shared" si="34"/>
        <v>100</v>
      </c>
      <c r="O152" s="887"/>
      <c r="R152" s="1">
        <v>2012</v>
      </c>
      <c r="S152" s="8">
        <f>(O76*($E76/366))+(O77*($E77/366))</f>
        <v>0</v>
      </c>
      <c r="T152" s="8">
        <f>(P76*($E76/366))+(P77*($E77/366))</f>
        <v>53.14</v>
      </c>
      <c r="U152" s="8">
        <f>(Q76*($E76/366))+(Q77*($E77/366))</f>
        <v>0</v>
      </c>
      <c r="V152" s="7"/>
      <c r="W152" s="7">
        <f t="shared" si="36"/>
        <v>53.14</v>
      </c>
    </row>
    <row r="153" spans="1:23">
      <c r="A153" s="1">
        <v>2013</v>
      </c>
      <c r="B153" s="8">
        <f>(K78*($E78/365))+(K79*($E79/365))</f>
        <v>0</v>
      </c>
      <c r="C153" s="8">
        <f>(L78*($E78/365))+(L79*($E79/365))</f>
        <v>100</v>
      </c>
      <c r="D153" s="8">
        <f>(M78*($E78/365))+(M79*($E79/365))</f>
        <v>0</v>
      </c>
      <c r="E153" s="272">
        <f t="shared" si="35"/>
        <v>100</v>
      </c>
      <c r="G153" s="1">
        <v>2013</v>
      </c>
      <c r="H153" s="918">
        <f>(O78/$R78*100*($E78/365))+(O79/$R79*100*($E79/365))</f>
        <v>0</v>
      </c>
      <c r="I153" s="918"/>
      <c r="J153" s="918">
        <f>(P78/$R78*100*($E78/365))+(P79/$R79*100*($E79/365))</f>
        <v>100</v>
      </c>
      <c r="K153" s="918"/>
      <c r="L153" s="918">
        <f>(Q78/$R78*100*($E78/365))+(Q79/$R79*100*($E79/365))</f>
        <v>0</v>
      </c>
      <c r="M153" s="918"/>
      <c r="N153" s="887">
        <f>H153+J153+L153</f>
        <v>100</v>
      </c>
      <c r="O153" s="887"/>
      <c r="R153" s="1">
        <v>2013</v>
      </c>
      <c r="S153" s="8">
        <f>(O78*($E78/365))+(O79*($E79/365))</f>
        <v>0</v>
      </c>
      <c r="T153" s="8">
        <f>(P78*($E78/365))+(P79*($E79/365))</f>
        <v>53.14</v>
      </c>
      <c r="U153" s="8">
        <f>(Q78*($E78/365))+(Q79*($E79/365))</f>
        <v>0</v>
      </c>
      <c r="W153" s="7">
        <f t="shared" si="36"/>
        <v>53.14</v>
      </c>
    </row>
    <row r="154" spans="1:23">
      <c r="A154" s="1">
        <v>2014</v>
      </c>
      <c r="B154" s="8">
        <f>(K80*($E80/365))+(K81*($E81/365))</f>
        <v>0</v>
      </c>
      <c r="C154" s="8">
        <f>(L80*($E80/365))+(L81*($E81/365))</f>
        <v>100</v>
      </c>
      <c r="D154" s="8">
        <f>(M80*($E80/365))+(M81*($E81/365))</f>
        <v>0</v>
      </c>
      <c r="E154" s="546">
        <f>B154+C154+D154</f>
        <v>100</v>
      </c>
      <c r="G154" s="1">
        <v>2014</v>
      </c>
      <c r="H154" s="918">
        <f>(O80/$R80*100*($E80/365))+(O81/$R81*100*($E81/365))</f>
        <v>0</v>
      </c>
      <c r="I154" s="918"/>
      <c r="J154" s="918">
        <f>(P80/$R80*100*($E80/365))+(P81/$R81*100*($E81/365))</f>
        <v>100</v>
      </c>
      <c r="K154" s="918"/>
      <c r="L154" s="918">
        <f>(Q80/$R80*100*($E80/365))+(Q81/$R81*100*($E81/365))</f>
        <v>0</v>
      </c>
      <c r="M154" s="918"/>
      <c r="N154" s="887">
        <f>H154+J154+L154</f>
        <v>100</v>
      </c>
      <c r="O154" s="887"/>
      <c r="R154" s="1">
        <v>2014</v>
      </c>
      <c r="S154" s="8">
        <f>(O80*($E80/365))+(O81*($E81/365))</f>
        <v>0</v>
      </c>
      <c r="T154" s="8">
        <f>(P80*($E80/365))+(P81*($E81/365))</f>
        <v>53.14</v>
      </c>
      <c r="U154" s="8">
        <f>(Q80*($E80/365))+(Q81*($E81/365))</f>
        <v>0</v>
      </c>
      <c r="W154" s="7">
        <f>S154+T154+U154</f>
        <v>53.14</v>
      </c>
    </row>
    <row r="155" spans="1:23" s="625" customFormat="1">
      <c r="A155" s="625">
        <v>2015</v>
      </c>
      <c r="B155" s="620">
        <f>(K82*($E82/365))+(K83*($E83/365))</f>
        <v>0</v>
      </c>
      <c r="C155" s="620">
        <f>(L82*($E82/365))+(L83*($E83/365))</f>
        <v>100</v>
      </c>
      <c r="D155" s="620">
        <f>(M82*($E82/365))+(M83*($E83/365))</f>
        <v>0</v>
      </c>
      <c r="E155" s="619">
        <f>B155+C155+D155</f>
        <v>100</v>
      </c>
      <c r="G155" s="625">
        <v>2015</v>
      </c>
      <c r="H155" s="918">
        <f>(O82/$R82*100*($E82/365))+(O83/$R83*100*($E83/365))</f>
        <v>0</v>
      </c>
      <c r="I155" s="918"/>
      <c r="J155" s="918">
        <f>(P82/$R82*100*($E82/365))+(P83/$R83*100*($E83/365))</f>
        <v>100</v>
      </c>
      <c r="K155" s="918"/>
      <c r="L155" s="918">
        <f>(Q82/$R82*100*($E82/365))+(Q83/$R83*100*($E83/365))</f>
        <v>0</v>
      </c>
      <c r="M155" s="918"/>
      <c r="N155" s="887">
        <f>H155+J155+L155</f>
        <v>100</v>
      </c>
      <c r="O155" s="887"/>
      <c r="R155" s="625">
        <v>2015</v>
      </c>
      <c r="S155" s="620">
        <f>(O82*($E82/365))+(O83*($E83/365))</f>
        <v>0</v>
      </c>
      <c r="T155" s="620">
        <f>(P82*($E82/365))+(P83*($E83/365))</f>
        <v>35.1</v>
      </c>
      <c r="U155" s="620">
        <f>(Q82*($E82/365))+(Q83*($E83/365))</f>
        <v>0</v>
      </c>
      <c r="W155" s="623">
        <f>S155+T155+U155</f>
        <v>35.1</v>
      </c>
    </row>
    <row r="156" spans="1:23" s="625" customFormat="1">
      <c r="A156" s="697">
        <v>2016</v>
      </c>
      <c r="B156" s="694">
        <f>(K84*($E84/366))+(K85*($E85/366))</f>
        <v>0</v>
      </c>
      <c r="C156" s="694">
        <f>(L84*($E84/366))+(L85*($E85/366))</f>
        <v>100.00000000000001</v>
      </c>
      <c r="D156" s="694">
        <f>(M84*($E84/366))+(M85*($E85/366))</f>
        <v>0</v>
      </c>
      <c r="E156" s="691">
        <f t="shared" ref="E156" si="37">B156+C156+D156</f>
        <v>100.00000000000001</v>
      </c>
      <c r="F156" s="697"/>
      <c r="G156" s="697">
        <v>2016</v>
      </c>
      <c r="H156" s="918">
        <f>(O84/$R84*100*($E84/366))+(O85/$R85*100*($E85/366))</f>
        <v>0</v>
      </c>
      <c r="I156" s="918"/>
      <c r="J156" s="918">
        <f>(P84/$R84*100*($E84/366))+(P85/$R85*100*($E85/366))</f>
        <v>100.00000000000001</v>
      </c>
      <c r="K156" s="918"/>
      <c r="L156" s="918">
        <f>(Q84/$R84*100*($E84/366))+(Q85/$R85*100*($E85/366))</f>
        <v>0</v>
      </c>
      <c r="M156" s="918"/>
      <c r="N156" s="887">
        <f t="shared" ref="N156" si="38">H156+J156+L156</f>
        <v>100.00000000000001</v>
      </c>
      <c r="O156" s="887"/>
      <c r="P156" s="697"/>
      <c r="Q156" s="697"/>
      <c r="R156" s="697">
        <v>2016</v>
      </c>
      <c r="S156" s="694">
        <f>(O84*($E84/366))+(O85*($E85/366))</f>
        <v>0</v>
      </c>
      <c r="T156" s="694">
        <f>(P84*($E84/366))+(P85*($E85/366))</f>
        <v>35.607103825136619</v>
      </c>
      <c r="U156" s="694">
        <f>(Q84*($E84/366))+(Q85*($E85/366))</f>
        <v>0</v>
      </c>
      <c r="V156" s="697"/>
      <c r="W156" s="696">
        <f t="shared" ref="W156" si="39">S156+T156+U156</f>
        <v>35.607103825136619</v>
      </c>
    </row>
    <row r="157" spans="1:23">
      <c r="A157" s="749">
        <v>2017</v>
      </c>
      <c r="B157" s="744">
        <f>(K86*($E86/365))+(K87*($E87/365))</f>
        <v>0</v>
      </c>
      <c r="C157" s="744">
        <f>(L86*($E86/365))+(L87*($E87/365))</f>
        <v>100</v>
      </c>
      <c r="D157" s="744">
        <f>(M86*($E86/365))+(M87*($E87/365))</f>
        <v>0</v>
      </c>
      <c r="E157" s="743">
        <f t="shared" ref="E157" si="40">B157+C157+D157</f>
        <v>100</v>
      </c>
      <c r="F157" s="749"/>
      <c r="G157" s="749">
        <v>2017</v>
      </c>
      <c r="H157" s="918">
        <f>(O86/$R86*100*($E86/365))+(O87/$R87*100*($E87/365))</f>
        <v>0</v>
      </c>
      <c r="I157" s="918"/>
      <c r="J157" s="918">
        <f>(P86/$R86*100*($E86/365))+(P87/$R87*100*($E87/365))</f>
        <v>100</v>
      </c>
      <c r="K157" s="918"/>
      <c r="L157" s="918">
        <f>(Q86/$R86*100*($E86/365))+(Q87/$R87*100*($E87/365))</f>
        <v>0</v>
      </c>
      <c r="M157" s="918"/>
      <c r="N157" s="887">
        <f t="shared" ref="N157" si="41">H157+J157+L157</f>
        <v>100</v>
      </c>
      <c r="O157" s="887"/>
      <c r="P157" s="749"/>
      <c r="Q157" s="749"/>
      <c r="R157" s="749">
        <v>2017</v>
      </c>
      <c r="S157" s="744">
        <f>(O86*($E86/365))+(O87*($E87/365))</f>
        <v>0</v>
      </c>
      <c r="T157" s="744">
        <f>(P86*($E86/365))+(P87*($E87/365))</f>
        <v>38.299999999999997</v>
      </c>
      <c r="U157" s="744">
        <f>(Q86*($E86/365))+(Q87*($E87/365))</f>
        <v>0</v>
      </c>
      <c r="V157" s="749"/>
      <c r="W157" s="746">
        <f t="shared" ref="W157" si="42">S157+T157+U157</f>
        <v>38.299999999999997</v>
      </c>
    </row>
    <row r="158" spans="1:23">
      <c r="A158" s="775">
        <v>2018</v>
      </c>
      <c r="B158" s="772">
        <f>(K88*($E88/365))+(K89*($E89/365))</f>
        <v>0</v>
      </c>
      <c r="C158" s="772">
        <f>(L88*($E88/365))+(L89*($E89/365))</f>
        <v>43.013698630136986</v>
      </c>
      <c r="D158" s="772">
        <f>(M88*($E88/365))+(M89*($E89/365))</f>
        <v>56.986301369863014</v>
      </c>
      <c r="E158" s="769">
        <f t="shared" ref="E158" si="43">B158+C158+D158</f>
        <v>100</v>
      </c>
      <c r="F158" s="775"/>
      <c r="G158" s="775">
        <v>2018</v>
      </c>
      <c r="H158" s="918">
        <f>(O88/$R88*100*($E88/365))+(O89/$R89*100*($E89/365))</f>
        <v>0</v>
      </c>
      <c r="I158" s="918"/>
      <c r="J158" s="918">
        <f>(P88/$R88*100*($E88/365))+(P89/$R89*100*($E89/365))</f>
        <v>43.013698630136986</v>
      </c>
      <c r="K158" s="918"/>
      <c r="L158" s="918">
        <f>(Q88/$R88*100*($E88/365))+(Q89/$R89*100*($E89/365))</f>
        <v>56.986301369863014</v>
      </c>
      <c r="M158" s="918"/>
      <c r="N158" s="887">
        <f t="shared" ref="N158" si="44">H158+J158+L158</f>
        <v>100</v>
      </c>
      <c r="O158" s="887"/>
      <c r="P158" s="775"/>
      <c r="Q158" s="775"/>
      <c r="R158" s="775">
        <v>2018</v>
      </c>
      <c r="S158" s="772">
        <f>(O88*($E88/365))+(O89*($E89/365))</f>
        <v>0</v>
      </c>
      <c r="T158" s="772">
        <f>(P88*($E88/365))+(P89*($E89/365))</f>
        <v>16.474246575342466</v>
      </c>
      <c r="U158" s="772">
        <f>(Q88*($E88/365))+(Q89*($E89/365))</f>
        <v>13.847671232876712</v>
      </c>
      <c r="V158" s="775"/>
      <c r="W158" s="774">
        <f t="shared" ref="W158" si="45">S158+T158+U158</f>
        <v>30.321917808219176</v>
      </c>
    </row>
    <row r="159" spans="1:23">
      <c r="A159" s="816">
        <v>2019</v>
      </c>
      <c r="B159" s="812">
        <f>(K90*($E90/365))+(K91*($E91/365))+(K92*(E92/365))</f>
        <v>0</v>
      </c>
      <c r="C159" s="812">
        <f>(L90*($E90/365))+(L91*($E91/365))+(L92*(E92/365))</f>
        <v>0</v>
      </c>
      <c r="D159" s="812">
        <f>(M90*($E90/365))+(M91*($E91/365))+(M92*(E92/365))</f>
        <v>100</v>
      </c>
      <c r="E159" s="810">
        <f t="shared" ref="E159" si="46">B159+C159+D159</f>
        <v>100</v>
      </c>
      <c r="F159" s="816"/>
      <c r="G159" s="816">
        <v>2019</v>
      </c>
      <c r="H159" s="918">
        <f>(O90/$R90*100*($E90/365))+(O91/$R91*100*($E91/365))+(O92/R92*100*(E92/365))</f>
        <v>0</v>
      </c>
      <c r="I159" s="918"/>
      <c r="J159" s="918">
        <f>(P90/$R90*100*($E90/365))+(P91/$R91*100*($E91/365))+(P92/R92*100*(E92/365))</f>
        <v>0</v>
      </c>
      <c r="K159" s="918"/>
      <c r="L159" s="918">
        <f>(Q90/$R90*100*($E90/365))+(Q91/$R91*100*($E91/365))+(Q92/R92*100*(E92/365))</f>
        <v>100</v>
      </c>
      <c r="M159" s="918"/>
      <c r="N159" s="887">
        <f t="shared" ref="N159" si="47">H159+J159+L159</f>
        <v>100</v>
      </c>
      <c r="O159" s="887"/>
      <c r="P159" s="816"/>
      <c r="Q159" s="816"/>
      <c r="R159" s="816">
        <v>2019</v>
      </c>
      <c r="S159" s="812">
        <f>(O90*($E90/365))+(O91*($E91/365))+(O92*(E92/365))</f>
        <v>0</v>
      </c>
      <c r="T159" s="812">
        <f>(P90*($E90/365))+(P91*($E91/365))+(P92*(E92/365))</f>
        <v>0</v>
      </c>
      <c r="U159" s="812">
        <f>(Q90*($E90/365))+(Q91*($E91/365))+(Q92*(E92/365))</f>
        <v>30.91479452054795</v>
      </c>
      <c r="V159" s="816"/>
      <c r="W159" s="815">
        <f t="shared" ref="W159" si="48">S159+T159+U159</f>
        <v>30.91479452054795</v>
      </c>
    </row>
    <row r="160" spans="1:23">
      <c r="A160" s="816"/>
      <c r="F160" s="816"/>
      <c r="G160" s="816"/>
      <c r="Q160" s="816"/>
      <c r="R160" s="816"/>
    </row>
  </sheetData>
  <mergeCells count="285">
    <mergeCell ref="J159:K159"/>
    <mergeCell ref="L159:M159"/>
    <mergeCell ref="H159:I159"/>
    <mergeCell ref="N159:O159"/>
    <mergeCell ref="H157:I157"/>
    <mergeCell ref="J157:K157"/>
    <mergeCell ref="L157:M157"/>
    <mergeCell ref="N157:O157"/>
    <mergeCell ref="H120:I120"/>
    <mergeCell ref="J120:K120"/>
    <mergeCell ref="L120:M120"/>
    <mergeCell ref="N120:O120"/>
    <mergeCell ref="H121:I121"/>
    <mergeCell ref="J121:K121"/>
    <mergeCell ref="H155:I155"/>
    <mergeCell ref="J155:K155"/>
    <mergeCell ref="L155:M155"/>
    <mergeCell ref="N155:O155"/>
    <mergeCell ref="H154:I154"/>
    <mergeCell ref="J154:K154"/>
    <mergeCell ref="L154:M154"/>
    <mergeCell ref="N154:O154"/>
    <mergeCell ref="H122:I122"/>
    <mergeCell ref="J122:K122"/>
    <mergeCell ref="L122:M122"/>
    <mergeCell ref="N122:O122"/>
    <mergeCell ref="H123:I123"/>
    <mergeCell ref="J123:K123"/>
    <mergeCell ref="L123:M123"/>
    <mergeCell ref="N123:O123"/>
    <mergeCell ref="L121:M121"/>
    <mergeCell ref="N121:O121"/>
    <mergeCell ref="C80:D80"/>
    <mergeCell ref="C81:D81"/>
    <mergeCell ref="N99:O99"/>
    <mergeCell ref="H118:I118"/>
    <mergeCell ref="J118:K118"/>
    <mergeCell ref="L118:M118"/>
    <mergeCell ref="L99:M99"/>
    <mergeCell ref="H119:I119"/>
    <mergeCell ref="J119:K119"/>
    <mergeCell ref="L119:M119"/>
    <mergeCell ref="N119:O119"/>
    <mergeCell ref="C82:D82"/>
    <mergeCell ref="C83:D83"/>
    <mergeCell ref="C84:D84"/>
    <mergeCell ref="C85:D85"/>
    <mergeCell ref="C86:D86"/>
    <mergeCell ref="C87:D87"/>
    <mergeCell ref="C88:D88"/>
    <mergeCell ref="C89:D89"/>
    <mergeCell ref="C90:D90"/>
    <mergeCell ref="C92:D92"/>
    <mergeCell ref="C91:D91"/>
    <mergeCell ref="C74:D74"/>
    <mergeCell ref="C67:D67"/>
    <mergeCell ref="C68:D68"/>
    <mergeCell ref="C75:D75"/>
    <mergeCell ref="C76:D76"/>
    <mergeCell ref="C77:D77"/>
    <mergeCell ref="C69:D69"/>
    <mergeCell ref="C70:D70"/>
    <mergeCell ref="C71:D71"/>
    <mergeCell ref="C72:D72"/>
    <mergeCell ref="C78:D78"/>
    <mergeCell ref="C79:D79"/>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45:D45"/>
    <mergeCell ref="C46:D46"/>
    <mergeCell ref="C47:D47"/>
    <mergeCell ref="C48:D48"/>
    <mergeCell ref="C49:D49"/>
    <mergeCell ref="C50:D50"/>
    <mergeCell ref="C51:D51"/>
    <mergeCell ref="C52:D52"/>
    <mergeCell ref="C53:D53"/>
    <mergeCell ref="C36:D36"/>
    <mergeCell ref="C37:D37"/>
    <mergeCell ref="C38:D38"/>
    <mergeCell ref="C39:D39"/>
    <mergeCell ref="C40:D40"/>
    <mergeCell ref="C41:D41"/>
    <mergeCell ref="C42:D42"/>
    <mergeCell ref="C43:D43"/>
    <mergeCell ref="C44:D44"/>
    <mergeCell ref="C27:D27"/>
    <mergeCell ref="C28:D28"/>
    <mergeCell ref="C29:D29"/>
    <mergeCell ref="C30:D30"/>
    <mergeCell ref="C31:D31"/>
    <mergeCell ref="C32:D32"/>
    <mergeCell ref="C33:D33"/>
    <mergeCell ref="C34:D34"/>
    <mergeCell ref="C35:D35"/>
    <mergeCell ref="C18:D18"/>
    <mergeCell ref="C19:D19"/>
    <mergeCell ref="C20:D20"/>
    <mergeCell ref="C21:D21"/>
    <mergeCell ref="C22:D22"/>
    <mergeCell ref="C23:D23"/>
    <mergeCell ref="C24:D24"/>
    <mergeCell ref="C25:D25"/>
    <mergeCell ref="C26:D26"/>
    <mergeCell ref="C9:D9"/>
    <mergeCell ref="C10:D10"/>
    <mergeCell ref="C11:D11"/>
    <mergeCell ref="C12:D12"/>
    <mergeCell ref="C13:D13"/>
    <mergeCell ref="C14:D14"/>
    <mergeCell ref="C15:D15"/>
    <mergeCell ref="C16:D16"/>
    <mergeCell ref="C17:D17"/>
    <mergeCell ref="C6:D6"/>
    <mergeCell ref="Z4:AC4"/>
    <mergeCell ref="AD4:AG4"/>
    <mergeCell ref="AH4:AK4"/>
    <mergeCell ref="AL4:AO4"/>
    <mergeCell ref="C7:D7"/>
    <mergeCell ref="U4:U5"/>
    <mergeCell ref="V4:Y4"/>
    <mergeCell ref="C8:D8"/>
    <mergeCell ref="A4:A5"/>
    <mergeCell ref="B4:B5"/>
    <mergeCell ref="C4:D5"/>
    <mergeCell ref="E4:E5"/>
    <mergeCell ref="AP4:AS4"/>
    <mergeCell ref="K4:N4"/>
    <mergeCell ref="O4:R4"/>
    <mergeCell ref="S4:S5"/>
    <mergeCell ref="T4:T5"/>
    <mergeCell ref="F4:F5"/>
    <mergeCell ref="G3:M3"/>
    <mergeCell ref="O3:Q3"/>
    <mergeCell ref="R97:W97"/>
    <mergeCell ref="H99:I99"/>
    <mergeCell ref="J99:K99"/>
    <mergeCell ref="H117:I117"/>
    <mergeCell ref="J117:K117"/>
    <mergeCell ref="L117:M117"/>
    <mergeCell ref="N117:O117"/>
    <mergeCell ref="G4:J4"/>
    <mergeCell ref="N127:O127"/>
    <mergeCell ref="H124:I124"/>
    <mergeCell ref="J124:K124"/>
    <mergeCell ref="L124:M124"/>
    <mergeCell ref="N124:O124"/>
    <mergeCell ref="H125:I125"/>
    <mergeCell ref="J125:K125"/>
    <mergeCell ref="L125:M125"/>
    <mergeCell ref="N125:O125"/>
    <mergeCell ref="H128:I128"/>
    <mergeCell ref="H129:I129"/>
    <mergeCell ref="H130:I130"/>
    <mergeCell ref="H131:I131"/>
    <mergeCell ref="H132:I132"/>
    <mergeCell ref="H133:I133"/>
    <mergeCell ref="H126:I126"/>
    <mergeCell ref="J126:K126"/>
    <mergeCell ref="L126:M126"/>
    <mergeCell ref="H127:I127"/>
    <mergeCell ref="J127:K127"/>
    <mergeCell ref="L127:M127"/>
    <mergeCell ref="J132:K132"/>
    <mergeCell ref="J133:K133"/>
    <mergeCell ref="L128:M128"/>
    <mergeCell ref="L129:M129"/>
    <mergeCell ref="L130:M130"/>
    <mergeCell ref="L131:M131"/>
    <mergeCell ref="L132:M132"/>
    <mergeCell ref="L133:M133"/>
    <mergeCell ref="J128:K128"/>
    <mergeCell ref="J129:K129"/>
    <mergeCell ref="J130:K130"/>
    <mergeCell ref="J131:K131"/>
    <mergeCell ref="J134:K134"/>
    <mergeCell ref="J135:K135"/>
    <mergeCell ref="J136:K136"/>
    <mergeCell ref="H146:I146"/>
    <mergeCell ref="H147:I147"/>
    <mergeCell ref="H148:I148"/>
    <mergeCell ref="H149:I149"/>
    <mergeCell ref="H140:I140"/>
    <mergeCell ref="H141:I141"/>
    <mergeCell ref="H142:I142"/>
    <mergeCell ref="H143:I143"/>
    <mergeCell ref="H144:I144"/>
    <mergeCell ref="H145:I145"/>
    <mergeCell ref="H134:I134"/>
    <mergeCell ref="H135:I135"/>
    <mergeCell ref="H136:I136"/>
    <mergeCell ref="H137:I137"/>
    <mergeCell ref="H138:I138"/>
    <mergeCell ref="H139:I139"/>
    <mergeCell ref="J147:K147"/>
    <mergeCell ref="J148:K148"/>
    <mergeCell ref="J137:K137"/>
    <mergeCell ref="J138:K138"/>
    <mergeCell ref="J139:K139"/>
    <mergeCell ref="J140:K140"/>
    <mergeCell ref="J141:K141"/>
    <mergeCell ref="J142:K142"/>
    <mergeCell ref="L140:M140"/>
    <mergeCell ref="L141:M141"/>
    <mergeCell ref="L142:M142"/>
    <mergeCell ref="L136:M136"/>
    <mergeCell ref="L137:M137"/>
    <mergeCell ref="L148:M148"/>
    <mergeCell ref="L143:M143"/>
    <mergeCell ref="L144:M144"/>
    <mergeCell ref="L145:M145"/>
    <mergeCell ref="L138:M138"/>
    <mergeCell ref="L139:M139"/>
    <mergeCell ref="J149:K149"/>
    <mergeCell ref="J150:K150"/>
    <mergeCell ref="L149:M149"/>
    <mergeCell ref="H153:I153"/>
    <mergeCell ref="J153:K153"/>
    <mergeCell ref="L153:M153"/>
    <mergeCell ref="L152:M152"/>
    <mergeCell ref="J146:K146"/>
    <mergeCell ref="L151:M151"/>
    <mergeCell ref="H152:I152"/>
    <mergeCell ref="H150:I150"/>
    <mergeCell ref="H151:I151"/>
    <mergeCell ref="AX4:BA4"/>
    <mergeCell ref="N147:O147"/>
    <mergeCell ref="N148:O148"/>
    <mergeCell ref="N137:O137"/>
    <mergeCell ref="N138:O138"/>
    <mergeCell ref="N118:O118"/>
    <mergeCell ref="N130:O130"/>
    <mergeCell ref="N131:O131"/>
    <mergeCell ref="N132:O132"/>
    <mergeCell ref="N133:O133"/>
    <mergeCell ref="N134:O134"/>
    <mergeCell ref="N135:O135"/>
    <mergeCell ref="N136:O136"/>
    <mergeCell ref="N128:O128"/>
    <mergeCell ref="N129:O129"/>
    <mergeCell ref="N143:O143"/>
    <mergeCell ref="N144:O144"/>
    <mergeCell ref="N145:O145"/>
    <mergeCell ref="N146:O146"/>
    <mergeCell ref="N139:O139"/>
    <mergeCell ref="N140:O140"/>
    <mergeCell ref="N141:O141"/>
    <mergeCell ref="N142:O142"/>
    <mergeCell ref="N126:O126"/>
    <mergeCell ref="H158:I158"/>
    <mergeCell ref="J158:K158"/>
    <mergeCell ref="L158:M158"/>
    <mergeCell ref="N158:O158"/>
    <mergeCell ref="H156:I156"/>
    <mergeCell ref="J156:K156"/>
    <mergeCell ref="L156:M156"/>
    <mergeCell ref="N156:O156"/>
    <mergeCell ref="AT4:AW4"/>
    <mergeCell ref="N151:O151"/>
    <mergeCell ref="N152:O152"/>
    <mergeCell ref="N149:O149"/>
    <mergeCell ref="N150:O150"/>
    <mergeCell ref="L134:M134"/>
    <mergeCell ref="L135:M135"/>
    <mergeCell ref="N153:O153"/>
    <mergeCell ref="L150:M150"/>
    <mergeCell ref="L146:M146"/>
    <mergeCell ref="L147:M147"/>
    <mergeCell ref="J151:K151"/>
    <mergeCell ref="J152:K152"/>
    <mergeCell ref="J143:K143"/>
    <mergeCell ref="J144:K144"/>
    <mergeCell ref="J145:K14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A196"/>
  <sheetViews>
    <sheetView zoomScale="180" zoomScaleNormal="120" workbookViewId="0">
      <pane xSplit="1" ySplit="5" topLeftCell="B80" activePane="bottomRight" state="frozen"/>
      <selection pane="topRight" activeCell="B1" sqref="B1"/>
      <selection pane="bottomLeft" activeCell="A6" sqref="A6"/>
      <selection pane="bottomRight" activeCell="T6" sqref="T6:U127"/>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68</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588</v>
      </c>
      <c r="D6" s="925"/>
      <c r="E6" s="227">
        <v>0</v>
      </c>
      <c r="G6" s="235"/>
      <c r="I6" s="227">
        <v>14</v>
      </c>
      <c r="J6" s="242">
        <v>15</v>
      </c>
      <c r="K6" s="218">
        <f t="shared" ref="K6:M7" si="0">G6/$J6*100</f>
        <v>0</v>
      </c>
      <c r="L6" s="218">
        <f t="shared" si="0"/>
        <v>0</v>
      </c>
      <c r="M6" s="218">
        <f t="shared" si="0"/>
        <v>93.333333333333329</v>
      </c>
      <c r="N6" s="218">
        <f>K6+L6+M6</f>
        <v>93.333333333333329</v>
      </c>
      <c r="O6" s="217"/>
      <c r="P6" s="218"/>
      <c r="Q6" s="218">
        <v>48.1</v>
      </c>
      <c r="R6" s="219">
        <f>O6+P6+Q6</f>
        <v>48.1</v>
      </c>
      <c r="S6" s="227">
        <v>4</v>
      </c>
      <c r="T6" s="870"/>
      <c r="U6" s="853"/>
      <c r="V6" s="226" t="s">
        <v>472</v>
      </c>
      <c r="W6" s="227" t="s">
        <v>20</v>
      </c>
      <c r="X6" s="227" t="s">
        <v>12</v>
      </c>
      <c r="Y6" s="228">
        <v>48.1</v>
      </c>
      <c r="AD6" s="226"/>
      <c r="AG6" s="228"/>
      <c r="AL6" s="226"/>
      <c r="AO6" s="228"/>
      <c r="AP6" s="226"/>
      <c r="AS6" s="228"/>
      <c r="AW6" s="228"/>
      <c r="BA6" s="229"/>
    </row>
    <row r="7" spans="1:53" s="227" customFormat="1">
      <c r="A7" s="233">
        <v>1959</v>
      </c>
      <c r="B7" s="853"/>
      <c r="C7" s="925" t="s">
        <v>588</v>
      </c>
      <c r="D7" s="925"/>
      <c r="E7" s="227">
        <v>365</v>
      </c>
      <c r="G7" s="235"/>
      <c r="I7" s="227">
        <v>14</v>
      </c>
      <c r="J7" s="242">
        <v>15</v>
      </c>
      <c r="K7" s="218">
        <f t="shared" si="0"/>
        <v>0</v>
      </c>
      <c r="L7" s="218">
        <f t="shared" si="0"/>
        <v>0</v>
      </c>
      <c r="M7" s="218">
        <f t="shared" si="0"/>
        <v>93.333333333333329</v>
      </c>
      <c r="N7" s="218">
        <f>K7+L7+M7</f>
        <v>93.333333333333329</v>
      </c>
      <c r="O7" s="217"/>
      <c r="P7" s="218"/>
      <c r="Q7" s="218">
        <v>48.1</v>
      </c>
      <c r="R7" s="219">
        <f>O7+P7+Q7</f>
        <v>48.1</v>
      </c>
      <c r="S7" s="227">
        <v>4</v>
      </c>
      <c r="T7" s="870"/>
      <c r="U7" s="853"/>
      <c r="V7" s="226" t="s">
        <v>472</v>
      </c>
      <c r="W7" s="227" t="s">
        <v>20</v>
      </c>
      <c r="X7" s="227" t="s">
        <v>12</v>
      </c>
      <c r="Y7" s="228">
        <v>48.1</v>
      </c>
      <c r="AD7" s="226"/>
      <c r="AG7" s="228"/>
      <c r="AL7" s="226"/>
      <c r="AO7" s="228"/>
      <c r="AP7" s="226"/>
      <c r="AS7" s="228"/>
      <c r="AW7" s="228"/>
      <c r="BA7" s="229"/>
    </row>
    <row r="8" spans="1:53" s="185" customFormat="1">
      <c r="A8" s="101">
        <v>1960</v>
      </c>
      <c r="B8" s="852"/>
      <c r="C8" s="917" t="s">
        <v>588</v>
      </c>
      <c r="D8" s="917"/>
      <c r="E8" s="185">
        <v>274</v>
      </c>
      <c r="G8" s="119"/>
      <c r="I8" s="185">
        <v>14</v>
      </c>
      <c r="J8" s="126">
        <v>15</v>
      </c>
      <c r="K8" s="92">
        <f>G8/$J8*100</f>
        <v>0</v>
      </c>
      <c r="L8" s="92">
        <f t="shared" ref="L8:M23" si="1">H8/$J8*100</f>
        <v>0</v>
      </c>
      <c r="M8" s="92">
        <f t="shared" si="1"/>
        <v>93.333333333333329</v>
      </c>
      <c r="N8" s="92">
        <f>K8+L8+M8</f>
        <v>93.333333333333329</v>
      </c>
      <c r="O8" s="91"/>
      <c r="P8" s="92"/>
      <c r="Q8" s="92">
        <v>48.1</v>
      </c>
      <c r="R8" s="93">
        <f>O8+P8+Q8</f>
        <v>48.1</v>
      </c>
      <c r="S8" s="185">
        <v>4</v>
      </c>
      <c r="T8" s="839"/>
      <c r="U8" s="852"/>
      <c r="V8" s="82" t="s">
        <v>472</v>
      </c>
      <c r="W8" s="185" t="s">
        <v>20</v>
      </c>
      <c r="X8" s="185" t="s">
        <v>12</v>
      </c>
      <c r="Y8" s="83">
        <v>48.1</v>
      </c>
      <c r="AD8" s="82"/>
      <c r="AG8" s="83"/>
      <c r="AL8" s="82"/>
      <c r="AO8" s="83"/>
      <c r="AP8" s="82"/>
      <c r="AS8" s="83"/>
      <c r="AW8" s="83"/>
      <c r="BA8" s="84"/>
    </row>
    <row r="9" spans="1:53" s="292" customFormat="1">
      <c r="A9" s="338">
        <v>1960</v>
      </c>
      <c r="B9" s="836">
        <v>22190</v>
      </c>
      <c r="C9" s="916" t="s">
        <v>589</v>
      </c>
      <c r="D9" s="916"/>
      <c r="E9" s="292">
        <f>366-E8</f>
        <v>92</v>
      </c>
      <c r="F9" s="292">
        <v>1</v>
      </c>
      <c r="G9" s="366"/>
      <c r="I9" s="292">
        <v>13</v>
      </c>
      <c r="J9" s="377">
        <v>14</v>
      </c>
      <c r="K9" s="336">
        <f t="shared" ref="K9:M59" si="2">G9/$J9*100</f>
        <v>0</v>
      </c>
      <c r="L9" s="336">
        <f t="shared" si="1"/>
        <v>0</v>
      </c>
      <c r="M9" s="336">
        <f t="shared" si="1"/>
        <v>92.857142857142861</v>
      </c>
      <c r="N9" s="336">
        <f t="shared" ref="N9:N72" si="3">K9+L9+M9</f>
        <v>92.857142857142861</v>
      </c>
      <c r="O9" s="335"/>
      <c r="P9" s="336"/>
      <c r="Q9" s="336">
        <v>49.1</v>
      </c>
      <c r="R9" s="337">
        <f>O9+P9+Q9</f>
        <v>49.1</v>
      </c>
      <c r="S9" s="292">
        <v>4</v>
      </c>
      <c r="T9" s="838">
        <v>22177</v>
      </c>
      <c r="U9" s="836">
        <v>22190</v>
      </c>
      <c r="V9" s="299" t="s">
        <v>472</v>
      </c>
      <c r="W9" s="292" t="s">
        <v>20</v>
      </c>
      <c r="X9" s="292" t="s">
        <v>12</v>
      </c>
      <c r="Y9" s="300">
        <v>49.1</v>
      </c>
      <c r="AD9" s="299"/>
      <c r="AG9" s="300"/>
      <c r="AL9" s="299"/>
      <c r="AO9" s="300"/>
      <c r="AP9" s="299"/>
      <c r="AS9" s="300"/>
      <c r="AW9" s="300"/>
      <c r="BA9" s="301"/>
    </row>
    <row r="10" spans="1:53" s="292" customFormat="1">
      <c r="A10" s="338">
        <v>1961</v>
      </c>
      <c r="B10" s="836"/>
      <c r="C10" s="916" t="s">
        <v>589</v>
      </c>
      <c r="D10" s="916"/>
      <c r="E10" s="292">
        <v>0</v>
      </c>
      <c r="G10" s="366"/>
      <c r="I10" s="292">
        <v>13</v>
      </c>
      <c r="J10" s="377">
        <v>14</v>
      </c>
      <c r="K10" s="336">
        <f t="shared" si="2"/>
        <v>0</v>
      </c>
      <c r="L10" s="336">
        <f t="shared" si="1"/>
        <v>0</v>
      </c>
      <c r="M10" s="336">
        <f t="shared" si="1"/>
        <v>92.857142857142861</v>
      </c>
      <c r="N10" s="336">
        <f t="shared" si="3"/>
        <v>92.857142857142861</v>
      </c>
      <c r="O10" s="335"/>
      <c r="P10" s="336"/>
      <c r="Q10" s="336">
        <v>49.1</v>
      </c>
      <c r="R10" s="337">
        <f t="shared" ref="R10:R73" si="4">O10+P10+Q10</f>
        <v>49.1</v>
      </c>
      <c r="S10" s="292">
        <v>4</v>
      </c>
      <c r="T10" s="838"/>
      <c r="U10" s="836"/>
      <c r="V10" s="299" t="s">
        <v>472</v>
      </c>
      <c r="W10" s="292" t="s">
        <v>20</v>
      </c>
      <c r="X10" s="292" t="s">
        <v>12</v>
      </c>
      <c r="Y10" s="300">
        <v>49.1</v>
      </c>
      <c r="AD10" s="299"/>
      <c r="AG10" s="300"/>
      <c r="AL10" s="299"/>
      <c r="AO10" s="300"/>
      <c r="AP10" s="299"/>
      <c r="AS10" s="300"/>
      <c r="AW10" s="300"/>
      <c r="BA10" s="301"/>
    </row>
    <row r="11" spans="1:53" s="292" customFormat="1">
      <c r="A11" s="338">
        <v>1961</v>
      </c>
      <c r="B11" s="836"/>
      <c r="C11" s="916" t="s">
        <v>589</v>
      </c>
      <c r="D11" s="916"/>
      <c r="E11" s="292">
        <v>365</v>
      </c>
      <c r="G11" s="366"/>
      <c r="I11" s="292">
        <v>13</v>
      </c>
      <c r="J11" s="377">
        <v>14</v>
      </c>
      <c r="K11" s="336">
        <f t="shared" si="2"/>
        <v>0</v>
      </c>
      <c r="L11" s="336">
        <f t="shared" si="1"/>
        <v>0</v>
      </c>
      <c r="M11" s="336">
        <f t="shared" si="1"/>
        <v>92.857142857142861</v>
      </c>
      <c r="N11" s="336">
        <f t="shared" si="3"/>
        <v>92.857142857142861</v>
      </c>
      <c r="O11" s="335"/>
      <c r="P11" s="336"/>
      <c r="Q11" s="336">
        <v>49.1</v>
      </c>
      <c r="R11" s="337">
        <f t="shared" si="4"/>
        <v>49.1</v>
      </c>
      <c r="S11" s="292">
        <v>4</v>
      </c>
      <c r="T11" s="838"/>
      <c r="U11" s="836"/>
      <c r="V11" s="299" t="s">
        <v>472</v>
      </c>
      <c r="W11" s="292" t="s">
        <v>20</v>
      </c>
      <c r="X11" s="292" t="s">
        <v>12</v>
      </c>
      <c r="Y11" s="300">
        <v>49.1</v>
      </c>
      <c r="AD11" s="299"/>
      <c r="AG11" s="300"/>
      <c r="AL11" s="299"/>
      <c r="AO11" s="300"/>
      <c r="AP11" s="299"/>
      <c r="AS11" s="300"/>
      <c r="AW11" s="300"/>
      <c r="BA11" s="301"/>
    </row>
    <row r="12" spans="1:53" s="292" customFormat="1">
      <c r="A12" s="338">
        <v>1962</v>
      </c>
      <c r="B12" s="836"/>
      <c r="C12" s="916" t="s">
        <v>589</v>
      </c>
      <c r="D12" s="916"/>
      <c r="E12" s="292">
        <v>0</v>
      </c>
      <c r="G12" s="366"/>
      <c r="I12" s="292">
        <v>13</v>
      </c>
      <c r="J12" s="377">
        <v>14</v>
      </c>
      <c r="K12" s="336">
        <f t="shared" si="2"/>
        <v>0</v>
      </c>
      <c r="L12" s="336">
        <f t="shared" si="1"/>
        <v>0</v>
      </c>
      <c r="M12" s="336">
        <f t="shared" si="1"/>
        <v>92.857142857142861</v>
      </c>
      <c r="N12" s="336">
        <f t="shared" si="3"/>
        <v>92.857142857142861</v>
      </c>
      <c r="O12" s="335"/>
      <c r="P12" s="336"/>
      <c r="Q12" s="336">
        <v>49.1</v>
      </c>
      <c r="R12" s="337">
        <f t="shared" si="4"/>
        <v>49.1</v>
      </c>
      <c r="S12" s="292">
        <v>4</v>
      </c>
      <c r="T12" s="838"/>
      <c r="U12" s="836"/>
      <c r="V12" s="299" t="s">
        <v>472</v>
      </c>
      <c r="W12" s="292" t="s">
        <v>20</v>
      </c>
      <c r="X12" s="292" t="s">
        <v>12</v>
      </c>
      <c r="Y12" s="300">
        <v>49.1</v>
      </c>
      <c r="AD12" s="299"/>
      <c r="AG12" s="300"/>
      <c r="AL12" s="299"/>
      <c r="AO12" s="300"/>
      <c r="AP12" s="299"/>
      <c r="AS12" s="300"/>
      <c r="AW12" s="300"/>
      <c r="BA12" s="301"/>
    </row>
    <row r="13" spans="1:53" s="292" customFormat="1">
      <c r="A13" s="338">
        <v>1962</v>
      </c>
      <c r="B13" s="836"/>
      <c r="C13" s="916" t="s">
        <v>589</v>
      </c>
      <c r="D13" s="916"/>
      <c r="E13" s="292">
        <v>365</v>
      </c>
      <c r="G13" s="366"/>
      <c r="I13" s="292">
        <v>13</v>
      </c>
      <c r="J13" s="377">
        <v>14</v>
      </c>
      <c r="K13" s="336">
        <f t="shared" si="2"/>
        <v>0</v>
      </c>
      <c r="L13" s="336">
        <f t="shared" si="1"/>
        <v>0</v>
      </c>
      <c r="M13" s="336">
        <f t="shared" si="1"/>
        <v>92.857142857142861</v>
      </c>
      <c r="N13" s="336">
        <f t="shared" si="3"/>
        <v>92.857142857142861</v>
      </c>
      <c r="O13" s="335"/>
      <c r="P13" s="336"/>
      <c r="Q13" s="336">
        <v>49.1</v>
      </c>
      <c r="R13" s="337">
        <f t="shared" si="4"/>
        <v>49.1</v>
      </c>
      <c r="S13" s="292">
        <v>4</v>
      </c>
      <c r="T13" s="838"/>
      <c r="U13" s="836"/>
      <c r="V13" s="299" t="s">
        <v>472</v>
      </c>
      <c r="W13" s="292" t="s">
        <v>20</v>
      </c>
      <c r="X13" s="292" t="s">
        <v>12</v>
      </c>
      <c r="Y13" s="300">
        <v>49.1</v>
      </c>
      <c r="AD13" s="299"/>
      <c r="AG13" s="300"/>
      <c r="AL13" s="299"/>
      <c r="AO13" s="300"/>
      <c r="AP13" s="299"/>
      <c r="AS13" s="300"/>
      <c r="AW13" s="300"/>
      <c r="BA13" s="301"/>
    </row>
    <row r="14" spans="1:53" s="292" customFormat="1">
      <c r="A14" s="338">
        <v>1962.6</v>
      </c>
      <c r="B14" s="836"/>
      <c r="C14" s="916" t="s">
        <v>589</v>
      </c>
      <c r="D14" s="916"/>
      <c r="E14" s="292">
        <v>0</v>
      </c>
      <c r="G14" s="366"/>
      <c r="I14" s="292">
        <v>13</v>
      </c>
      <c r="J14" s="377">
        <v>14</v>
      </c>
      <c r="K14" s="336">
        <f t="shared" si="2"/>
        <v>0</v>
      </c>
      <c r="L14" s="336">
        <f t="shared" si="1"/>
        <v>0</v>
      </c>
      <c r="M14" s="336">
        <f t="shared" si="1"/>
        <v>92.857142857142861</v>
      </c>
      <c r="N14" s="336">
        <f t="shared" si="3"/>
        <v>92.857142857142861</v>
      </c>
      <c r="O14" s="335"/>
      <c r="P14" s="336"/>
      <c r="Q14" s="336">
        <v>49.1</v>
      </c>
      <c r="R14" s="337">
        <f t="shared" si="4"/>
        <v>49.1</v>
      </c>
      <c r="S14" s="292">
        <v>4</v>
      </c>
      <c r="T14" s="838"/>
      <c r="U14" s="836"/>
      <c r="V14" s="299" t="s">
        <v>472</v>
      </c>
      <c r="W14" s="292" t="s">
        <v>20</v>
      </c>
      <c r="X14" s="292" t="s">
        <v>12</v>
      </c>
      <c r="Y14" s="300">
        <v>49.1</v>
      </c>
      <c r="AD14" s="299"/>
      <c r="AG14" s="300"/>
      <c r="AL14" s="299"/>
      <c r="AO14" s="300"/>
      <c r="AP14" s="299"/>
      <c r="AS14" s="300"/>
      <c r="AW14" s="300"/>
      <c r="BA14" s="301"/>
    </row>
    <row r="15" spans="1:53" s="292" customFormat="1">
      <c r="A15" s="338">
        <v>1963.05714285714</v>
      </c>
      <c r="B15" s="836"/>
      <c r="C15" s="916" t="s">
        <v>589</v>
      </c>
      <c r="D15" s="916"/>
      <c r="E15" s="292">
        <v>365</v>
      </c>
      <c r="G15" s="366"/>
      <c r="I15" s="292">
        <v>13</v>
      </c>
      <c r="J15" s="377">
        <v>14</v>
      </c>
      <c r="K15" s="336">
        <f t="shared" si="2"/>
        <v>0</v>
      </c>
      <c r="L15" s="336">
        <f t="shared" si="1"/>
        <v>0</v>
      </c>
      <c r="M15" s="336">
        <f t="shared" si="1"/>
        <v>92.857142857142861</v>
      </c>
      <c r="N15" s="336">
        <f t="shared" si="3"/>
        <v>92.857142857142861</v>
      </c>
      <c r="O15" s="335"/>
      <c r="P15" s="336"/>
      <c r="Q15" s="336">
        <v>49.1</v>
      </c>
      <c r="R15" s="337">
        <f t="shared" si="4"/>
        <v>49.1</v>
      </c>
      <c r="S15" s="292">
        <v>4</v>
      </c>
      <c r="T15" s="838"/>
      <c r="U15" s="836"/>
      <c r="V15" s="299" t="s">
        <v>472</v>
      </c>
      <c r="W15" s="292" t="s">
        <v>20</v>
      </c>
      <c r="X15" s="292" t="s">
        <v>12</v>
      </c>
      <c r="Y15" s="300">
        <v>49.1</v>
      </c>
      <c r="AD15" s="299"/>
      <c r="AG15" s="300"/>
      <c r="AL15" s="299"/>
      <c r="AO15" s="300"/>
      <c r="AP15" s="299"/>
      <c r="AS15" s="300"/>
      <c r="AW15" s="300"/>
      <c r="BA15" s="301"/>
    </row>
    <row r="16" spans="1:53" s="292" customFormat="1">
      <c r="A16" s="338">
        <v>1963.5142857142901</v>
      </c>
      <c r="B16" s="836"/>
      <c r="C16" s="916" t="s">
        <v>589</v>
      </c>
      <c r="D16" s="916"/>
      <c r="E16" s="292">
        <v>277</v>
      </c>
      <c r="G16" s="366"/>
      <c r="I16" s="292">
        <v>13</v>
      </c>
      <c r="J16" s="377">
        <v>14</v>
      </c>
      <c r="K16" s="336">
        <f t="shared" si="2"/>
        <v>0</v>
      </c>
      <c r="L16" s="336">
        <f t="shared" si="1"/>
        <v>0</v>
      </c>
      <c r="M16" s="336">
        <f t="shared" si="1"/>
        <v>92.857142857142861</v>
      </c>
      <c r="N16" s="336">
        <f t="shared" si="3"/>
        <v>92.857142857142861</v>
      </c>
      <c r="O16" s="335"/>
      <c r="P16" s="336"/>
      <c r="Q16" s="336">
        <v>49.1</v>
      </c>
      <c r="R16" s="337">
        <f t="shared" si="4"/>
        <v>49.1</v>
      </c>
      <c r="S16" s="292">
        <v>4</v>
      </c>
      <c r="T16" s="838"/>
      <c r="U16" s="836"/>
      <c r="V16" s="299" t="s">
        <v>472</v>
      </c>
      <c r="W16" s="292" t="s">
        <v>20</v>
      </c>
      <c r="X16" s="292" t="s">
        <v>12</v>
      </c>
      <c r="Y16" s="300">
        <v>49.1</v>
      </c>
      <c r="AD16" s="299"/>
      <c r="AG16" s="300"/>
      <c r="AL16" s="299"/>
      <c r="AO16" s="300"/>
      <c r="AP16" s="299"/>
      <c r="AS16" s="300"/>
      <c r="AW16" s="300"/>
      <c r="BA16" s="301"/>
    </row>
    <row r="17" spans="1:53" s="185" customFormat="1">
      <c r="A17" s="101">
        <v>1963.9714285714299</v>
      </c>
      <c r="B17" s="852">
        <v>23654</v>
      </c>
      <c r="C17" s="917" t="s">
        <v>590</v>
      </c>
      <c r="D17" s="917"/>
      <c r="E17" s="185">
        <f>366-E16</f>
        <v>89</v>
      </c>
      <c r="F17" s="185">
        <v>1</v>
      </c>
      <c r="G17" s="119"/>
      <c r="I17" s="185">
        <v>16</v>
      </c>
      <c r="J17" s="126">
        <v>16</v>
      </c>
      <c r="K17" s="92">
        <f t="shared" si="2"/>
        <v>0</v>
      </c>
      <c r="L17" s="92">
        <f t="shared" si="1"/>
        <v>0</v>
      </c>
      <c r="M17" s="92">
        <f t="shared" si="1"/>
        <v>100</v>
      </c>
      <c r="N17" s="92">
        <f t="shared" si="3"/>
        <v>100</v>
      </c>
      <c r="O17" s="91"/>
      <c r="P17" s="92"/>
      <c r="Q17" s="92">
        <v>48.5</v>
      </c>
      <c r="R17" s="93">
        <f t="shared" si="4"/>
        <v>48.5</v>
      </c>
      <c r="S17" s="185">
        <v>4</v>
      </c>
      <c r="T17" s="839">
        <v>23640</v>
      </c>
      <c r="U17" s="852">
        <v>23654</v>
      </c>
      <c r="V17" s="82" t="s">
        <v>472</v>
      </c>
      <c r="W17" s="185" t="s">
        <v>20</v>
      </c>
      <c r="X17" s="185" t="s">
        <v>12</v>
      </c>
      <c r="Y17" s="83">
        <v>48.5</v>
      </c>
      <c r="AD17" s="82"/>
      <c r="AG17" s="83"/>
      <c r="AL17" s="82"/>
      <c r="AO17" s="83"/>
      <c r="AP17" s="82"/>
      <c r="AS17" s="83"/>
      <c r="AW17" s="83"/>
      <c r="BA17" s="84"/>
    </row>
    <row r="18" spans="1:53" s="185" customFormat="1">
      <c r="A18" s="101">
        <v>1965</v>
      </c>
      <c r="B18" s="852"/>
      <c r="C18" s="917" t="s">
        <v>590</v>
      </c>
      <c r="D18" s="917"/>
      <c r="E18" s="185">
        <v>0</v>
      </c>
      <c r="G18" s="119"/>
      <c r="I18" s="185">
        <v>16</v>
      </c>
      <c r="J18" s="126">
        <v>16</v>
      </c>
      <c r="K18" s="92">
        <f t="shared" si="2"/>
        <v>0</v>
      </c>
      <c r="L18" s="92">
        <f t="shared" si="1"/>
        <v>0</v>
      </c>
      <c r="M18" s="92">
        <f t="shared" si="1"/>
        <v>100</v>
      </c>
      <c r="N18" s="92">
        <f t="shared" si="3"/>
        <v>100</v>
      </c>
      <c r="O18" s="91"/>
      <c r="P18" s="92"/>
      <c r="Q18" s="92">
        <v>48.5</v>
      </c>
      <c r="R18" s="93">
        <f t="shared" si="4"/>
        <v>48.5</v>
      </c>
      <c r="S18" s="185">
        <v>4</v>
      </c>
      <c r="T18" s="839"/>
      <c r="U18" s="852"/>
      <c r="V18" s="82" t="s">
        <v>472</v>
      </c>
      <c r="W18" s="185" t="s">
        <v>20</v>
      </c>
      <c r="X18" s="185" t="s">
        <v>12</v>
      </c>
      <c r="Y18" s="83">
        <v>48.5</v>
      </c>
      <c r="AD18" s="82"/>
      <c r="AG18" s="83"/>
      <c r="AL18" s="82"/>
      <c r="AO18" s="83"/>
      <c r="AP18" s="82"/>
      <c r="AS18" s="83"/>
      <c r="AW18" s="83"/>
      <c r="BA18" s="84"/>
    </row>
    <row r="19" spans="1:53" s="185" customFormat="1">
      <c r="A19" s="101">
        <v>1964.88571428572</v>
      </c>
      <c r="B19" s="852"/>
      <c r="C19" s="917" t="s">
        <v>590</v>
      </c>
      <c r="D19" s="917"/>
      <c r="E19" s="185">
        <v>365</v>
      </c>
      <c r="G19" s="119"/>
      <c r="I19" s="185">
        <v>16</v>
      </c>
      <c r="J19" s="126">
        <v>16</v>
      </c>
      <c r="K19" s="92">
        <f t="shared" si="2"/>
        <v>0</v>
      </c>
      <c r="L19" s="92">
        <f t="shared" si="1"/>
        <v>0</v>
      </c>
      <c r="M19" s="92">
        <f t="shared" si="1"/>
        <v>100</v>
      </c>
      <c r="N19" s="92">
        <f t="shared" si="3"/>
        <v>100</v>
      </c>
      <c r="O19" s="91"/>
      <c r="P19" s="92"/>
      <c r="Q19" s="92">
        <v>48.5</v>
      </c>
      <c r="R19" s="93">
        <f t="shared" si="4"/>
        <v>48.5</v>
      </c>
      <c r="S19" s="185">
        <v>4</v>
      </c>
      <c r="T19" s="839"/>
      <c r="U19" s="852"/>
      <c r="V19" s="82" t="s">
        <v>472</v>
      </c>
      <c r="W19" s="185" t="s">
        <v>20</v>
      </c>
      <c r="X19" s="185" t="s">
        <v>12</v>
      </c>
      <c r="Y19" s="83">
        <v>48.5</v>
      </c>
      <c r="AD19" s="82"/>
      <c r="AG19" s="83"/>
      <c r="AL19" s="82"/>
      <c r="AO19" s="83"/>
      <c r="AP19" s="82"/>
      <c r="AS19" s="83"/>
      <c r="AW19" s="83"/>
      <c r="BA19" s="84"/>
    </row>
    <row r="20" spans="1:53" s="185" customFormat="1">
      <c r="A20" s="101">
        <v>1966</v>
      </c>
      <c r="B20" s="852"/>
      <c r="C20" s="917" t="s">
        <v>590</v>
      </c>
      <c r="D20" s="917"/>
      <c r="E20" s="185">
        <v>0</v>
      </c>
      <c r="G20" s="119"/>
      <c r="I20" s="185">
        <v>16</v>
      </c>
      <c r="J20" s="126">
        <v>16</v>
      </c>
      <c r="K20" s="92">
        <f t="shared" si="2"/>
        <v>0</v>
      </c>
      <c r="L20" s="92">
        <f t="shared" si="1"/>
        <v>0</v>
      </c>
      <c r="M20" s="92">
        <f t="shared" si="1"/>
        <v>100</v>
      </c>
      <c r="N20" s="92">
        <f t="shared" si="3"/>
        <v>100</v>
      </c>
      <c r="O20" s="91"/>
      <c r="P20" s="92"/>
      <c r="Q20" s="92">
        <v>48.5</v>
      </c>
      <c r="R20" s="93">
        <f t="shared" si="4"/>
        <v>48.5</v>
      </c>
      <c r="S20" s="185">
        <v>4</v>
      </c>
      <c r="T20" s="839"/>
      <c r="U20" s="852"/>
      <c r="V20" s="82" t="s">
        <v>472</v>
      </c>
      <c r="W20" s="185" t="s">
        <v>20</v>
      </c>
      <c r="X20" s="185" t="s">
        <v>12</v>
      </c>
      <c r="Y20" s="83">
        <v>48.5</v>
      </c>
      <c r="AD20" s="82"/>
      <c r="AG20" s="83"/>
      <c r="AL20" s="82"/>
      <c r="AO20" s="83"/>
      <c r="AP20" s="82"/>
      <c r="AS20" s="83"/>
      <c r="AW20" s="83"/>
      <c r="BA20" s="84"/>
    </row>
    <row r="21" spans="1:53" s="185" customFormat="1">
      <c r="A21" s="101">
        <v>1965.8</v>
      </c>
      <c r="B21" s="852"/>
      <c r="C21" s="917" t="s">
        <v>590</v>
      </c>
      <c r="D21" s="917"/>
      <c r="E21" s="185">
        <v>365</v>
      </c>
      <c r="G21" s="119"/>
      <c r="I21" s="185">
        <v>16</v>
      </c>
      <c r="J21" s="126">
        <v>16</v>
      </c>
      <c r="K21" s="92">
        <f t="shared" si="2"/>
        <v>0</v>
      </c>
      <c r="L21" s="92">
        <f t="shared" si="1"/>
        <v>0</v>
      </c>
      <c r="M21" s="92">
        <f t="shared" si="1"/>
        <v>100</v>
      </c>
      <c r="N21" s="92">
        <f t="shared" si="3"/>
        <v>100</v>
      </c>
      <c r="O21" s="91"/>
      <c r="P21" s="92"/>
      <c r="Q21" s="92">
        <v>48.5</v>
      </c>
      <c r="R21" s="93">
        <f t="shared" si="4"/>
        <v>48.5</v>
      </c>
      <c r="S21" s="185">
        <v>4</v>
      </c>
      <c r="T21" s="839"/>
      <c r="U21" s="852"/>
      <c r="V21" s="82" t="s">
        <v>472</v>
      </c>
      <c r="W21" s="185" t="s">
        <v>20</v>
      </c>
      <c r="X21" s="185" t="s">
        <v>12</v>
      </c>
      <c r="Y21" s="83">
        <v>48.5</v>
      </c>
      <c r="AD21" s="82"/>
      <c r="AG21" s="83"/>
      <c r="AL21" s="82"/>
      <c r="AO21" s="83"/>
      <c r="AP21" s="82"/>
      <c r="AS21" s="83"/>
      <c r="AW21" s="83"/>
      <c r="BA21" s="84"/>
    </row>
    <row r="22" spans="1:53" s="185" customFormat="1">
      <c r="A22" s="101">
        <v>1967</v>
      </c>
      <c r="B22" s="852"/>
      <c r="C22" s="917" t="s">
        <v>590</v>
      </c>
      <c r="D22" s="917"/>
      <c r="E22" s="185">
        <v>0</v>
      </c>
      <c r="G22" s="119"/>
      <c r="I22" s="185">
        <v>16</v>
      </c>
      <c r="J22" s="126">
        <v>16</v>
      </c>
      <c r="K22" s="92">
        <f t="shared" si="2"/>
        <v>0</v>
      </c>
      <c r="L22" s="92">
        <f t="shared" si="1"/>
        <v>0</v>
      </c>
      <c r="M22" s="92">
        <f t="shared" si="1"/>
        <v>100</v>
      </c>
      <c r="N22" s="92">
        <f t="shared" si="3"/>
        <v>100</v>
      </c>
      <c r="O22" s="91"/>
      <c r="P22" s="92"/>
      <c r="Q22" s="92">
        <v>48.5</v>
      </c>
      <c r="R22" s="93">
        <f t="shared" si="4"/>
        <v>48.5</v>
      </c>
      <c r="S22" s="185">
        <v>4</v>
      </c>
      <c r="T22" s="839"/>
      <c r="U22" s="852"/>
      <c r="V22" s="82" t="s">
        <v>472</v>
      </c>
      <c r="W22" s="185" t="s">
        <v>20</v>
      </c>
      <c r="X22" s="185" t="s">
        <v>12</v>
      </c>
      <c r="Y22" s="83">
        <v>48.5</v>
      </c>
      <c r="AD22" s="82"/>
      <c r="AG22" s="83"/>
      <c r="AL22" s="82"/>
      <c r="AO22" s="83"/>
      <c r="AP22" s="82"/>
      <c r="AS22" s="83"/>
      <c r="AW22" s="83"/>
      <c r="BA22" s="84"/>
    </row>
    <row r="23" spans="1:53" s="185" customFormat="1">
      <c r="A23" s="101">
        <v>1966.7142857142901</v>
      </c>
      <c r="B23" s="852"/>
      <c r="C23" s="917" t="s">
        <v>590</v>
      </c>
      <c r="D23" s="917"/>
      <c r="E23" s="185">
        <v>365</v>
      </c>
      <c r="G23" s="119"/>
      <c r="I23" s="185">
        <v>16</v>
      </c>
      <c r="J23" s="126">
        <v>16</v>
      </c>
      <c r="K23" s="92">
        <f t="shared" si="2"/>
        <v>0</v>
      </c>
      <c r="L23" s="92">
        <f t="shared" si="1"/>
        <v>0</v>
      </c>
      <c r="M23" s="92">
        <f t="shared" si="1"/>
        <v>100</v>
      </c>
      <c r="N23" s="92">
        <f t="shared" si="3"/>
        <v>100</v>
      </c>
      <c r="O23" s="91"/>
      <c r="P23" s="92"/>
      <c r="Q23" s="92">
        <v>48.5</v>
      </c>
      <c r="R23" s="93">
        <f t="shared" si="4"/>
        <v>48.5</v>
      </c>
      <c r="S23" s="185">
        <v>4</v>
      </c>
      <c r="T23" s="839"/>
      <c r="U23" s="852"/>
      <c r="V23" s="82" t="s">
        <v>472</v>
      </c>
      <c r="W23" s="185" t="s">
        <v>20</v>
      </c>
      <c r="X23" s="185" t="s">
        <v>12</v>
      </c>
      <c r="Y23" s="83">
        <v>48.5</v>
      </c>
      <c r="AD23" s="82"/>
      <c r="AG23" s="83"/>
      <c r="AL23" s="82"/>
      <c r="AO23" s="83"/>
      <c r="AP23" s="82"/>
      <c r="AS23" s="83"/>
      <c r="AW23" s="83"/>
      <c r="BA23" s="84"/>
    </row>
    <row r="24" spans="1:53" s="185" customFormat="1">
      <c r="A24" s="101">
        <v>1968</v>
      </c>
      <c r="B24" s="852"/>
      <c r="C24" s="917" t="s">
        <v>590</v>
      </c>
      <c r="D24" s="917"/>
      <c r="E24" s="185">
        <v>272</v>
      </c>
      <c r="G24" s="119"/>
      <c r="I24" s="185">
        <v>16</v>
      </c>
      <c r="J24" s="126">
        <v>16</v>
      </c>
      <c r="K24" s="92">
        <f t="shared" si="2"/>
        <v>0</v>
      </c>
      <c r="L24" s="92">
        <f t="shared" si="2"/>
        <v>0</v>
      </c>
      <c r="M24" s="92">
        <f t="shared" si="2"/>
        <v>100</v>
      </c>
      <c r="N24" s="92">
        <f t="shared" si="3"/>
        <v>100</v>
      </c>
      <c r="O24" s="91"/>
      <c r="P24" s="92"/>
      <c r="Q24" s="92">
        <v>48.5</v>
      </c>
      <c r="R24" s="93">
        <f t="shared" si="4"/>
        <v>48.5</v>
      </c>
      <c r="S24" s="185">
        <v>4</v>
      </c>
      <c r="T24" s="839"/>
      <c r="U24" s="852"/>
      <c r="V24" s="82" t="s">
        <v>472</v>
      </c>
      <c r="W24" s="185" t="s">
        <v>20</v>
      </c>
      <c r="X24" s="185" t="s">
        <v>12</v>
      </c>
      <c r="Y24" s="83">
        <v>48.5</v>
      </c>
      <c r="AD24" s="82"/>
      <c r="AG24" s="83"/>
      <c r="AL24" s="82"/>
      <c r="AO24" s="83"/>
      <c r="AP24" s="82"/>
      <c r="AS24" s="83"/>
      <c r="AW24" s="83"/>
      <c r="BA24" s="84"/>
    </row>
    <row r="25" spans="1:53" s="292" customFormat="1">
      <c r="A25" s="338">
        <v>1967.62857142857</v>
      </c>
      <c r="B25" s="836">
        <v>25110</v>
      </c>
      <c r="C25" s="916" t="s">
        <v>591</v>
      </c>
      <c r="D25" s="916"/>
      <c r="E25" s="292">
        <f>366-E24</f>
        <v>94</v>
      </c>
      <c r="F25" s="292">
        <v>1</v>
      </c>
      <c r="G25" s="366"/>
      <c r="I25" s="292">
        <v>17</v>
      </c>
      <c r="J25" s="377">
        <v>17</v>
      </c>
      <c r="K25" s="336">
        <f t="shared" si="2"/>
        <v>0</v>
      </c>
      <c r="L25" s="336">
        <f t="shared" si="2"/>
        <v>0</v>
      </c>
      <c r="M25" s="336">
        <f t="shared" si="2"/>
        <v>100</v>
      </c>
      <c r="N25" s="336">
        <f t="shared" si="3"/>
        <v>100</v>
      </c>
      <c r="O25" s="335"/>
      <c r="P25" s="336"/>
      <c r="Q25" s="336">
        <v>53.6</v>
      </c>
      <c r="R25" s="337">
        <f t="shared" si="4"/>
        <v>53.6</v>
      </c>
      <c r="S25" s="292">
        <v>1</v>
      </c>
      <c r="T25" s="838">
        <v>25096</v>
      </c>
      <c r="U25" s="836">
        <v>25110</v>
      </c>
      <c r="V25" s="299" t="s">
        <v>472</v>
      </c>
      <c r="W25" s="292" t="s">
        <v>20</v>
      </c>
      <c r="X25" s="292" t="s">
        <v>12</v>
      </c>
      <c r="Y25" s="300">
        <v>53.6</v>
      </c>
      <c r="AD25" s="299"/>
      <c r="AG25" s="300"/>
      <c r="AL25" s="299"/>
      <c r="AO25" s="300"/>
      <c r="AP25" s="299"/>
      <c r="AS25" s="300"/>
      <c r="AW25" s="300"/>
      <c r="BA25" s="301"/>
    </row>
    <row r="26" spans="1:53" s="292" customFormat="1">
      <c r="A26" s="338">
        <v>1969</v>
      </c>
      <c r="B26" s="836"/>
      <c r="C26" s="916" t="s">
        <v>591</v>
      </c>
      <c r="D26" s="916"/>
      <c r="E26" s="292">
        <v>287</v>
      </c>
      <c r="G26" s="366"/>
      <c r="I26" s="292">
        <v>17</v>
      </c>
      <c r="J26" s="377">
        <v>17</v>
      </c>
      <c r="K26" s="336">
        <f t="shared" si="2"/>
        <v>0</v>
      </c>
      <c r="L26" s="336">
        <f t="shared" si="2"/>
        <v>0</v>
      </c>
      <c r="M26" s="336">
        <f t="shared" si="2"/>
        <v>100</v>
      </c>
      <c r="N26" s="336">
        <f t="shared" si="3"/>
        <v>100</v>
      </c>
      <c r="O26" s="335"/>
      <c r="P26" s="336"/>
      <c r="Q26" s="336">
        <v>53.6</v>
      </c>
      <c r="R26" s="337">
        <f t="shared" si="4"/>
        <v>53.6</v>
      </c>
      <c r="S26" s="292">
        <v>1</v>
      </c>
      <c r="T26" s="838"/>
      <c r="U26" s="836"/>
      <c r="V26" s="299" t="s">
        <v>472</v>
      </c>
      <c r="W26" s="292" t="s">
        <v>20</v>
      </c>
      <c r="X26" s="292" t="s">
        <v>12</v>
      </c>
      <c r="Y26" s="300">
        <v>53.6</v>
      </c>
      <c r="AD26" s="299"/>
      <c r="AG26" s="300"/>
      <c r="AL26" s="299"/>
      <c r="AO26" s="300"/>
      <c r="AP26" s="299"/>
      <c r="AS26" s="300"/>
      <c r="AW26" s="300"/>
      <c r="BA26" s="301"/>
    </row>
    <row r="27" spans="1:53" s="185" customFormat="1">
      <c r="A27" s="101">
        <v>1968.5428571428599</v>
      </c>
      <c r="B27" s="852">
        <v>25491</v>
      </c>
      <c r="C27" s="917" t="s">
        <v>592</v>
      </c>
      <c r="D27" s="917"/>
      <c r="E27" s="185">
        <f>365-E26</f>
        <v>78</v>
      </c>
      <c r="F27" s="185">
        <v>2</v>
      </c>
      <c r="G27" s="119"/>
      <c r="I27" s="185">
        <v>19</v>
      </c>
      <c r="J27" s="126">
        <v>19</v>
      </c>
      <c r="K27" s="92">
        <f t="shared" si="2"/>
        <v>0</v>
      </c>
      <c r="L27" s="92">
        <f t="shared" si="2"/>
        <v>0</v>
      </c>
      <c r="M27" s="92">
        <f t="shared" si="2"/>
        <v>100</v>
      </c>
      <c r="N27" s="92">
        <f t="shared" si="3"/>
        <v>100</v>
      </c>
      <c r="O27" s="91"/>
      <c r="P27" s="92"/>
      <c r="Q27" s="92">
        <v>53.6</v>
      </c>
      <c r="R27" s="93">
        <f t="shared" si="4"/>
        <v>53.6</v>
      </c>
      <c r="S27" s="185">
        <v>1</v>
      </c>
      <c r="T27" s="839"/>
      <c r="U27" s="852">
        <v>25491</v>
      </c>
      <c r="V27" s="82" t="s">
        <v>472</v>
      </c>
      <c r="W27" s="185" t="s">
        <v>20</v>
      </c>
      <c r="X27" s="185" t="s">
        <v>12</v>
      </c>
      <c r="Y27" s="83">
        <v>53.6</v>
      </c>
      <c r="AD27" s="82"/>
      <c r="AG27" s="83"/>
      <c r="AL27" s="82"/>
      <c r="AO27" s="83"/>
      <c r="AP27" s="82"/>
      <c r="AS27" s="83"/>
      <c r="AW27" s="83"/>
      <c r="BA27" s="84"/>
    </row>
    <row r="28" spans="1:53" s="185" customFormat="1">
      <c r="A28" s="101">
        <v>1970</v>
      </c>
      <c r="B28" s="852"/>
      <c r="C28" s="917" t="s">
        <v>592</v>
      </c>
      <c r="D28" s="917"/>
      <c r="E28" s="185">
        <v>271</v>
      </c>
      <c r="G28" s="119"/>
      <c r="I28" s="185">
        <v>19</v>
      </c>
      <c r="J28" s="126">
        <v>19</v>
      </c>
      <c r="K28" s="92">
        <f t="shared" si="2"/>
        <v>0</v>
      </c>
      <c r="L28" s="92">
        <f t="shared" si="2"/>
        <v>0</v>
      </c>
      <c r="M28" s="92">
        <f t="shared" si="2"/>
        <v>100</v>
      </c>
      <c r="N28" s="92">
        <f t="shared" si="3"/>
        <v>100</v>
      </c>
      <c r="O28" s="91"/>
      <c r="P28" s="92"/>
      <c r="Q28" s="92">
        <v>53.6</v>
      </c>
      <c r="R28" s="93">
        <f t="shared" si="4"/>
        <v>53.6</v>
      </c>
      <c r="S28" s="185">
        <v>1</v>
      </c>
      <c r="T28" s="839"/>
      <c r="U28" s="852"/>
      <c r="V28" s="82" t="s">
        <v>472</v>
      </c>
      <c r="W28" s="185" t="s">
        <v>20</v>
      </c>
      <c r="X28" s="185" t="s">
        <v>12</v>
      </c>
      <c r="Y28" s="83">
        <v>53.6</v>
      </c>
      <c r="AD28" s="82"/>
      <c r="AG28" s="83"/>
      <c r="AL28" s="82"/>
      <c r="AO28" s="83"/>
      <c r="AP28" s="82"/>
      <c r="AS28" s="83"/>
      <c r="AW28" s="83"/>
      <c r="BA28" s="84"/>
    </row>
    <row r="29" spans="1:53" s="292" customFormat="1">
      <c r="A29" s="338">
        <v>1970</v>
      </c>
      <c r="B29" s="836">
        <v>25840</v>
      </c>
      <c r="C29" s="916" t="s">
        <v>593</v>
      </c>
      <c r="D29" s="916"/>
      <c r="E29" s="292">
        <f>365-E28</f>
        <v>94</v>
      </c>
      <c r="F29" s="292">
        <v>1</v>
      </c>
      <c r="G29" s="366"/>
      <c r="I29" s="292">
        <v>19</v>
      </c>
      <c r="J29" s="377">
        <v>19</v>
      </c>
      <c r="K29" s="336">
        <f t="shared" si="2"/>
        <v>0</v>
      </c>
      <c r="L29" s="336">
        <f t="shared" si="2"/>
        <v>0</v>
      </c>
      <c r="M29" s="336">
        <f t="shared" si="2"/>
        <v>100</v>
      </c>
      <c r="N29" s="336">
        <f t="shared" si="3"/>
        <v>100</v>
      </c>
      <c r="O29" s="335"/>
      <c r="P29" s="336"/>
      <c r="Q29" s="336">
        <v>46.6</v>
      </c>
      <c r="R29" s="337">
        <f t="shared" si="4"/>
        <v>46.6</v>
      </c>
      <c r="S29" s="292">
        <v>4</v>
      </c>
      <c r="T29" s="838">
        <v>25833</v>
      </c>
      <c r="U29" s="836">
        <v>25840</v>
      </c>
      <c r="V29" s="299" t="s">
        <v>472</v>
      </c>
      <c r="W29" s="292" t="s">
        <v>20</v>
      </c>
      <c r="X29" s="292" t="s">
        <v>12</v>
      </c>
      <c r="Y29" s="300">
        <v>46.6</v>
      </c>
      <c r="AD29" s="299"/>
      <c r="AG29" s="300"/>
      <c r="AL29" s="299"/>
      <c r="AO29" s="300"/>
      <c r="AP29" s="299"/>
      <c r="AS29" s="300"/>
      <c r="AW29" s="300"/>
      <c r="BA29" s="301"/>
    </row>
    <row r="30" spans="1:53" s="292" customFormat="1">
      <c r="A30" s="338">
        <v>1971</v>
      </c>
      <c r="B30" s="836"/>
      <c r="C30" s="916" t="s">
        <v>593</v>
      </c>
      <c r="D30" s="916"/>
      <c r="E30" s="292">
        <v>0</v>
      </c>
      <c r="G30" s="366"/>
      <c r="I30" s="292">
        <v>19</v>
      </c>
      <c r="J30" s="377">
        <v>19</v>
      </c>
      <c r="K30" s="336">
        <f t="shared" si="2"/>
        <v>0</v>
      </c>
      <c r="L30" s="336">
        <f t="shared" si="2"/>
        <v>0</v>
      </c>
      <c r="M30" s="336">
        <f t="shared" si="2"/>
        <v>100</v>
      </c>
      <c r="N30" s="336">
        <f t="shared" si="3"/>
        <v>100</v>
      </c>
      <c r="O30" s="335"/>
      <c r="P30" s="336"/>
      <c r="Q30" s="336">
        <v>46.6</v>
      </c>
      <c r="R30" s="337">
        <f t="shared" si="4"/>
        <v>46.6</v>
      </c>
      <c r="S30" s="292">
        <v>4</v>
      </c>
      <c r="T30" s="838"/>
      <c r="U30" s="836"/>
      <c r="V30" s="299" t="s">
        <v>472</v>
      </c>
      <c r="W30" s="292" t="s">
        <v>20</v>
      </c>
      <c r="X30" s="292" t="s">
        <v>12</v>
      </c>
      <c r="Y30" s="300">
        <v>46.6</v>
      </c>
      <c r="AD30" s="299"/>
      <c r="AG30" s="300"/>
      <c r="AL30" s="299"/>
      <c r="AO30" s="300"/>
      <c r="AP30" s="299"/>
      <c r="AS30" s="300"/>
      <c r="AW30" s="300"/>
      <c r="BA30" s="301"/>
    </row>
    <row r="31" spans="1:53" s="292" customFormat="1">
      <c r="A31" s="338">
        <v>1971</v>
      </c>
      <c r="B31" s="836"/>
      <c r="C31" s="916" t="s">
        <v>593</v>
      </c>
      <c r="D31" s="916"/>
      <c r="E31" s="292">
        <v>365</v>
      </c>
      <c r="G31" s="366"/>
      <c r="I31" s="292">
        <v>19</v>
      </c>
      <c r="J31" s="377">
        <v>19</v>
      </c>
      <c r="K31" s="336">
        <f t="shared" si="2"/>
        <v>0</v>
      </c>
      <c r="L31" s="336">
        <f t="shared" si="2"/>
        <v>0</v>
      </c>
      <c r="M31" s="336">
        <f t="shared" si="2"/>
        <v>100</v>
      </c>
      <c r="N31" s="336">
        <f t="shared" si="3"/>
        <v>100</v>
      </c>
      <c r="O31" s="335"/>
      <c r="P31" s="336"/>
      <c r="Q31" s="336">
        <v>46.6</v>
      </c>
      <c r="R31" s="337">
        <f t="shared" si="4"/>
        <v>46.6</v>
      </c>
      <c r="S31" s="292">
        <v>4</v>
      </c>
      <c r="T31" s="838"/>
      <c r="U31" s="836"/>
      <c r="V31" s="299" t="s">
        <v>472</v>
      </c>
      <c r="W31" s="292" t="s">
        <v>20</v>
      </c>
      <c r="X31" s="292" t="s">
        <v>12</v>
      </c>
      <c r="Y31" s="300">
        <v>46.6</v>
      </c>
      <c r="AD31" s="299"/>
      <c r="AG31" s="300"/>
      <c r="AL31" s="299"/>
      <c r="AO31" s="300"/>
      <c r="AP31" s="299"/>
      <c r="AS31" s="300"/>
      <c r="AW31" s="300"/>
      <c r="BA31" s="301"/>
    </row>
    <row r="32" spans="1:53" s="292" customFormat="1">
      <c r="A32" s="338">
        <v>1972</v>
      </c>
      <c r="B32" s="836"/>
      <c r="C32" s="916" t="s">
        <v>593</v>
      </c>
      <c r="D32" s="916"/>
      <c r="E32" s="292">
        <v>0</v>
      </c>
      <c r="G32" s="366"/>
      <c r="I32" s="292">
        <v>19</v>
      </c>
      <c r="J32" s="377">
        <v>19</v>
      </c>
      <c r="K32" s="336">
        <f t="shared" si="2"/>
        <v>0</v>
      </c>
      <c r="L32" s="336">
        <f t="shared" si="2"/>
        <v>0</v>
      </c>
      <c r="M32" s="336">
        <f t="shared" si="2"/>
        <v>100</v>
      </c>
      <c r="N32" s="336">
        <f t="shared" si="3"/>
        <v>100</v>
      </c>
      <c r="O32" s="335"/>
      <c r="P32" s="336"/>
      <c r="Q32" s="336">
        <v>46.6</v>
      </c>
      <c r="R32" s="337">
        <f t="shared" si="4"/>
        <v>46.6</v>
      </c>
      <c r="S32" s="292">
        <v>4</v>
      </c>
      <c r="T32" s="838"/>
      <c r="U32" s="836"/>
      <c r="V32" s="299" t="s">
        <v>472</v>
      </c>
      <c r="W32" s="292" t="s">
        <v>20</v>
      </c>
      <c r="X32" s="292" t="s">
        <v>12</v>
      </c>
      <c r="Y32" s="300">
        <v>46.6</v>
      </c>
      <c r="AD32" s="299"/>
      <c r="AG32" s="300"/>
      <c r="AL32" s="299"/>
      <c r="AO32" s="300"/>
      <c r="AP32" s="299"/>
      <c r="AS32" s="300"/>
      <c r="AW32" s="300"/>
      <c r="BA32" s="301"/>
    </row>
    <row r="33" spans="1:53" s="292" customFormat="1">
      <c r="A33" s="338">
        <v>1972</v>
      </c>
      <c r="B33" s="836"/>
      <c r="C33" s="916" t="s">
        <v>593</v>
      </c>
      <c r="D33" s="916"/>
      <c r="E33" s="292">
        <v>366</v>
      </c>
      <c r="G33" s="366"/>
      <c r="I33" s="292">
        <v>19</v>
      </c>
      <c r="J33" s="377">
        <v>19</v>
      </c>
      <c r="K33" s="336">
        <f t="shared" si="2"/>
        <v>0</v>
      </c>
      <c r="L33" s="336">
        <f t="shared" si="2"/>
        <v>0</v>
      </c>
      <c r="M33" s="336">
        <f t="shared" si="2"/>
        <v>100</v>
      </c>
      <c r="N33" s="336">
        <f t="shared" si="3"/>
        <v>100</v>
      </c>
      <c r="O33" s="335"/>
      <c r="P33" s="336"/>
      <c r="Q33" s="336">
        <v>46.6</v>
      </c>
      <c r="R33" s="337">
        <f t="shared" si="4"/>
        <v>46.6</v>
      </c>
      <c r="S33" s="292">
        <v>4</v>
      </c>
      <c r="T33" s="838"/>
      <c r="U33" s="836"/>
      <c r="V33" s="299" t="s">
        <v>472</v>
      </c>
      <c r="W33" s="292" t="s">
        <v>20</v>
      </c>
      <c r="X33" s="292" t="s">
        <v>12</v>
      </c>
      <c r="Y33" s="300">
        <v>46.6</v>
      </c>
      <c r="AD33" s="299"/>
      <c r="AG33" s="300"/>
      <c r="AL33" s="299"/>
      <c r="AO33" s="300"/>
      <c r="AP33" s="299"/>
      <c r="AS33" s="300"/>
      <c r="AW33" s="300"/>
      <c r="BA33" s="301"/>
    </row>
    <row r="34" spans="1:53" s="292" customFormat="1">
      <c r="A34" s="338">
        <v>1973</v>
      </c>
      <c r="B34" s="836"/>
      <c r="C34" s="916" t="s">
        <v>593</v>
      </c>
      <c r="D34" s="916"/>
      <c r="E34" s="292">
        <v>303</v>
      </c>
      <c r="G34" s="366"/>
      <c r="I34" s="292">
        <v>19</v>
      </c>
      <c r="J34" s="377">
        <v>19</v>
      </c>
      <c r="K34" s="336">
        <f t="shared" si="2"/>
        <v>0</v>
      </c>
      <c r="L34" s="336">
        <f t="shared" si="2"/>
        <v>0</v>
      </c>
      <c r="M34" s="336">
        <f t="shared" si="2"/>
        <v>100</v>
      </c>
      <c r="N34" s="336">
        <f t="shared" si="3"/>
        <v>100</v>
      </c>
      <c r="O34" s="335"/>
      <c r="P34" s="336"/>
      <c r="Q34" s="336">
        <v>46.6</v>
      </c>
      <c r="R34" s="337">
        <f t="shared" si="4"/>
        <v>46.6</v>
      </c>
      <c r="S34" s="292">
        <v>4</v>
      </c>
      <c r="T34" s="838"/>
      <c r="U34" s="836"/>
      <c r="V34" s="299" t="s">
        <v>472</v>
      </c>
      <c r="W34" s="292" t="s">
        <v>20</v>
      </c>
      <c r="X34" s="292" t="s">
        <v>12</v>
      </c>
      <c r="Y34" s="300">
        <v>46.6</v>
      </c>
      <c r="AD34" s="299"/>
      <c r="AG34" s="300"/>
      <c r="AL34" s="299"/>
      <c r="AO34" s="300"/>
      <c r="AP34" s="299"/>
      <c r="AS34" s="300"/>
      <c r="AW34" s="300"/>
      <c r="BA34" s="301"/>
    </row>
    <row r="35" spans="1:53" s="185" customFormat="1">
      <c r="A35" s="101">
        <v>1973</v>
      </c>
      <c r="B35" s="852">
        <v>26968</v>
      </c>
      <c r="C35" s="917" t="s">
        <v>594</v>
      </c>
      <c r="D35" s="917"/>
      <c r="E35" s="185">
        <f>365-E34</f>
        <v>62</v>
      </c>
      <c r="F35" s="185">
        <v>1</v>
      </c>
      <c r="G35" s="119"/>
      <c r="I35" s="185">
        <v>18</v>
      </c>
      <c r="J35" s="126">
        <v>18</v>
      </c>
      <c r="K35" s="92">
        <f t="shared" si="2"/>
        <v>0</v>
      </c>
      <c r="L35" s="92">
        <f t="shared" si="2"/>
        <v>0</v>
      </c>
      <c r="M35" s="92">
        <f t="shared" si="2"/>
        <v>100</v>
      </c>
      <c r="N35" s="92">
        <f t="shared" si="3"/>
        <v>100</v>
      </c>
      <c r="O35" s="91"/>
      <c r="P35" s="92"/>
      <c r="Q35" s="92">
        <v>44.6</v>
      </c>
      <c r="R35" s="93">
        <f t="shared" si="4"/>
        <v>44.6</v>
      </c>
      <c r="S35" s="185">
        <v>4</v>
      </c>
      <c r="T35" s="839">
        <v>26923</v>
      </c>
      <c r="U35" s="852">
        <v>26968</v>
      </c>
      <c r="V35" s="82" t="s">
        <v>472</v>
      </c>
      <c r="W35" s="185" t="s">
        <v>20</v>
      </c>
      <c r="X35" s="185" t="s">
        <v>12</v>
      </c>
      <c r="Y35" s="83">
        <v>44.6</v>
      </c>
      <c r="AD35" s="82"/>
      <c r="AG35" s="83"/>
      <c r="AL35" s="82"/>
      <c r="AO35" s="83"/>
      <c r="AP35" s="82"/>
      <c r="AS35" s="83"/>
      <c r="AW35" s="83"/>
      <c r="BA35" s="84"/>
    </row>
    <row r="36" spans="1:53" s="185" customFormat="1">
      <c r="A36" s="101">
        <v>1974</v>
      </c>
      <c r="B36" s="852"/>
      <c r="C36" s="917" t="s">
        <v>594</v>
      </c>
      <c r="D36" s="917"/>
      <c r="E36" s="185">
        <v>0</v>
      </c>
      <c r="G36" s="119"/>
      <c r="I36" s="185">
        <v>18</v>
      </c>
      <c r="J36" s="126">
        <v>18</v>
      </c>
      <c r="K36" s="92">
        <f t="shared" si="2"/>
        <v>0</v>
      </c>
      <c r="L36" s="92">
        <f t="shared" si="2"/>
        <v>0</v>
      </c>
      <c r="M36" s="92">
        <f t="shared" si="2"/>
        <v>100</v>
      </c>
      <c r="N36" s="92">
        <f t="shared" si="3"/>
        <v>100</v>
      </c>
      <c r="O36" s="91"/>
      <c r="P36" s="92"/>
      <c r="Q36" s="92">
        <v>44.6</v>
      </c>
      <c r="R36" s="93">
        <f t="shared" si="4"/>
        <v>44.6</v>
      </c>
      <c r="S36" s="185">
        <v>4</v>
      </c>
      <c r="T36" s="839"/>
      <c r="U36" s="852"/>
      <c r="V36" s="82" t="s">
        <v>472</v>
      </c>
      <c r="W36" s="185" t="s">
        <v>20</v>
      </c>
      <c r="X36" s="185" t="s">
        <v>12</v>
      </c>
      <c r="Y36" s="83">
        <v>44.6</v>
      </c>
      <c r="AD36" s="82"/>
      <c r="AG36" s="83"/>
      <c r="AL36" s="82"/>
      <c r="AO36" s="83"/>
      <c r="AP36" s="82"/>
      <c r="AS36" s="83"/>
      <c r="AW36" s="83"/>
      <c r="BA36" s="84"/>
    </row>
    <row r="37" spans="1:53" s="185" customFormat="1">
      <c r="A37" s="101">
        <v>1974</v>
      </c>
      <c r="B37" s="852"/>
      <c r="C37" s="917" t="s">
        <v>594</v>
      </c>
      <c r="D37" s="917"/>
      <c r="E37" s="185">
        <v>365</v>
      </c>
      <c r="G37" s="119"/>
      <c r="I37" s="185">
        <v>18</v>
      </c>
      <c r="J37" s="126">
        <v>18</v>
      </c>
      <c r="K37" s="92">
        <f t="shared" si="2"/>
        <v>0</v>
      </c>
      <c r="L37" s="92">
        <f t="shared" si="2"/>
        <v>0</v>
      </c>
      <c r="M37" s="92">
        <f t="shared" si="2"/>
        <v>100</v>
      </c>
      <c r="N37" s="92">
        <f t="shared" si="3"/>
        <v>100</v>
      </c>
      <c r="O37" s="91"/>
      <c r="P37" s="92"/>
      <c r="Q37" s="92">
        <v>44.6</v>
      </c>
      <c r="R37" s="93">
        <f t="shared" si="4"/>
        <v>44.6</v>
      </c>
      <c r="S37" s="185">
        <v>4</v>
      </c>
      <c r="T37" s="839"/>
      <c r="U37" s="852"/>
      <c r="V37" s="82" t="s">
        <v>472</v>
      </c>
      <c r="W37" s="185" t="s">
        <v>20</v>
      </c>
      <c r="X37" s="185" t="s">
        <v>12</v>
      </c>
      <c r="Y37" s="83">
        <v>44.6</v>
      </c>
      <c r="AD37" s="82"/>
      <c r="AG37" s="83"/>
      <c r="AL37" s="82"/>
      <c r="AO37" s="83"/>
      <c r="AP37" s="82"/>
      <c r="AS37" s="83"/>
      <c r="AW37" s="83"/>
      <c r="BA37" s="84"/>
    </row>
    <row r="38" spans="1:53" s="185" customFormat="1">
      <c r="A38" s="101">
        <v>1975</v>
      </c>
      <c r="B38" s="852"/>
      <c r="C38" s="917" t="s">
        <v>594</v>
      </c>
      <c r="D38" s="917"/>
      <c r="E38" s="185">
        <v>0</v>
      </c>
      <c r="G38" s="119"/>
      <c r="I38" s="185">
        <v>18</v>
      </c>
      <c r="J38" s="126">
        <v>18</v>
      </c>
      <c r="K38" s="92">
        <f t="shared" si="2"/>
        <v>0</v>
      </c>
      <c r="L38" s="92">
        <f t="shared" si="2"/>
        <v>0</v>
      </c>
      <c r="M38" s="92">
        <f t="shared" si="2"/>
        <v>100</v>
      </c>
      <c r="N38" s="92">
        <f t="shared" si="3"/>
        <v>100</v>
      </c>
      <c r="O38" s="91"/>
      <c r="P38" s="92"/>
      <c r="Q38" s="92">
        <v>44.6</v>
      </c>
      <c r="R38" s="93">
        <f t="shared" si="4"/>
        <v>44.6</v>
      </c>
      <c r="S38" s="185">
        <v>4</v>
      </c>
      <c r="T38" s="839"/>
      <c r="U38" s="852"/>
      <c r="V38" s="82" t="s">
        <v>472</v>
      </c>
      <c r="W38" s="185" t="s">
        <v>20</v>
      </c>
      <c r="X38" s="185" t="s">
        <v>12</v>
      </c>
      <c r="Y38" s="83">
        <v>44.6</v>
      </c>
      <c r="AD38" s="82"/>
      <c r="AG38" s="83"/>
      <c r="AL38" s="82"/>
      <c r="AO38" s="83"/>
      <c r="AP38" s="82"/>
      <c r="AS38" s="83"/>
      <c r="AW38" s="83"/>
      <c r="BA38" s="84"/>
    </row>
    <row r="39" spans="1:53" s="185" customFormat="1">
      <c r="A39" s="101">
        <v>1975</v>
      </c>
      <c r="B39" s="852"/>
      <c r="C39" s="917" t="s">
        <v>594</v>
      </c>
      <c r="D39" s="917"/>
      <c r="E39" s="185">
        <v>365</v>
      </c>
      <c r="G39" s="119"/>
      <c r="I39" s="185">
        <v>18</v>
      </c>
      <c r="J39" s="126">
        <v>18</v>
      </c>
      <c r="K39" s="92">
        <f t="shared" si="2"/>
        <v>0</v>
      </c>
      <c r="L39" s="92">
        <f t="shared" si="2"/>
        <v>0</v>
      </c>
      <c r="M39" s="92">
        <f t="shared" si="2"/>
        <v>100</v>
      </c>
      <c r="N39" s="92">
        <f t="shared" si="3"/>
        <v>100</v>
      </c>
      <c r="O39" s="91"/>
      <c r="P39" s="92"/>
      <c r="Q39" s="92">
        <v>44.6</v>
      </c>
      <c r="R39" s="93">
        <f t="shared" si="4"/>
        <v>44.6</v>
      </c>
      <c r="S39" s="185">
        <v>4</v>
      </c>
      <c r="T39" s="839"/>
      <c r="U39" s="852"/>
      <c r="V39" s="82" t="s">
        <v>472</v>
      </c>
      <c r="W39" s="185" t="s">
        <v>20</v>
      </c>
      <c r="X39" s="185" t="s">
        <v>12</v>
      </c>
      <c r="Y39" s="83">
        <v>44.6</v>
      </c>
      <c r="AD39" s="82"/>
      <c r="AG39" s="83"/>
      <c r="AL39" s="82"/>
      <c r="AO39" s="83"/>
      <c r="AP39" s="82"/>
      <c r="AS39" s="83"/>
      <c r="AW39" s="83"/>
      <c r="BA39" s="84"/>
    </row>
    <row r="40" spans="1:53" s="185" customFormat="1">
      <c r="A40" s="101">
        <v>1976</v>
      </c>
      <c r="B40" s="852"/>
      <c r="C40" s="917" t="s">
        <v>594</v>
      </c>
      <c r="D40" s="917"/>
      <c r="E40" s="185">
        <v>277</v>
      </c>
      <c r="G40" s="119"/>
      <c r="I40" s="185">
        <v>18</v>
      </c>
      <c r="J40" s="126">
        <v>18</v>
      </c>
      <c r="K40" s="92">
        <f t="shared" si="2"/>
        <v>0</v>
      </c>
      <c r="L40" s="92">
        <f t="shared" si="2"/>
        <v>0</v>
      </c>
      <c r="M40" s="92">
        <f t="shared" si="2"/>
        <v>100</v>
      </c>
      <c r="N40" s="92">
        <f t="shared" si="3"/>
        <v>100</v>
      </c>
      <c r="O40" s="91"/>
      <c r="P40" s="92"/>
      <c r="Q40" s="92">
        <v>44.6</v>
      </c>
      <c r="R40" s="93">
        <f t="shared" si="4"/>
        <v>44.6</v>
      </c>
      <c r="S40" s="185">
        <v>4</v>
      </c>
      <c r="T40" s="839"/>
      <c r="U40" s="852"/>
      <c r="V40" s="82" t="s">
        <v>472</v>
      </c>
      <c r="W40" s="185" t="s">
        <v>20</v>
      </c>
      <c r="X40" s="185" t="s">
        <v>12</v>
      </c>
      <c r="Y40" s="83">
        <v>44.6</v>
      </c>
      <c r="AD40" s="82"/>
      <c r="AG40" s="83"/>
      <c r="AL40" s="82"/>
      <c r="AO40" s="83"/>
      <c r="AP40" s="82"/>
      <c r="AS40" s="83"/>
      <c r="AW40" s="83"/>
      <c r="BA40" s="84"/>
    </row>
    <row r="41" spans="1:53" s="292" customFormat="1">
      <c r="A41" s="338">
        <v>1976</v>
      </c>
      <c r="B41" s="836">
        <v>28037</v>
      </c>
      <c r="C41" s="969" t="s">
        <v>595</v>
      </c>
      <c r="D41" s="969"/>
      <c r="E41" s="292">
        <f>366-E40</f>
        <v>89</v>
      </c>
      <c r="F41" s="292">
        <v>1</v>
      </c>
      <c r="G41" s="366">
        <v>10</v>
      </c>
      <c r="H41" s="292">
        <v>9</v>
      </c>
      <c r="J41" s="377">
        <v>20</v>
      </c>
      <c r="K41" s="336">
        <f t="shared" si="2"/>
        <v>50</v>
      </c>
      <c r="L41" s="336">
        <f t="shared" si="2"/>
        <v>45</v>
      </c>
      <c r="M41" s="336">
        <f t="shared" si="2"/>
        <v>0</v>
      </c>
      <c r="N41" s="336">
        <f t="shared" si="3"/>
        <v>95</v>
      </c>
      <c r="O41" s="335">
        <f xml:space="preserve"> 11.2+15.8</f>
        <v>27</v>
      </c>
      <c r="P41" s="336">
        <v>24.6</v>
      </c>
      <c r="Q41" s="336"/>
      <c r="R41" s="337">
        <f t="shared" si="4"/>
        <v>51.6</v>
      </c>
      <c r="S41" s="292">
        <v>2</v>
      </c>
      <c r="T41" s="838">
        <v>28022</v>
      </c>
      <c r="U41" s="836">
        <v>28037</v>
      </c>
      <c r="V41" s="299" t="s">
        <v>473</v>
      </c>
      <c r="W41" s="292" t="s">
        <v>75</v>
      </c>
      <c r="X41" s="292" t="s">
        <v>18</v>
      </c>
      <c r="Y41" s="300">
        <v>24.6</v>
      </c>
      <c r="Z41" s="292" t="s">
        <v>475</v>
      </c>
      <c r="AA41" s="292" t="s">
        <v>74</v>
      </c>
      <c r="AB41" s="292" t="s">
        <v>11</v>
      </c>
      <c r="AC41" s="292">
        <v>15.8</v>
      </c>
      <c r="AD41" s="299" t="s">
        <v>474</v>
      </c>
      <c r="AE41" s="292" t="s">
        <v>22</v>
      </c>
      <c r="AF41" s="292" t="s">
        <v>11</v>
      </c>
      <c r="AG41" s="300">
        <v>11.2</v>
      </c>
      <c r="AL41" s="299"/>
      <c r="AO41" s="300"/>
      <c r="AP41" s="299"/>
      <c r="AS41" s="300"/>
      <c r="AW41" s="300"/>
      <c r="BA41" s="301"/>
    </row>
    <row r="42" spans="1:53" s="292" customFormat="1">
      <c r="A42" s="338">
        <v>1977</v>
      </c>
      <c r="B42" s="836"/>
      <c r="C42" s="969" t="s">
        <v>595</v>
      </c>
      <c r="D42" s="969"/>
      <c r="E42" s="292">
        <v>0</v>
      </c>
      <c r="G42" s="366">
        <v>10</v>
      </c>
      <c r="H42" s="292">
        <v>9</v>
      </c>
      <c r="J42" s="377">
        <v>20</v>
      </c>
      <c r="K42" s="336">
        <f t="shared" si="2"/>
        <v>50</v>
      </c>
      <c r="L42" s="336">
        <f t="shared" si="2"/>
        <v>45</v>
      </c>
      <c r="M42" s="336">
        <f t="shared" si="2"/>
        <v>0</v>
      </c>
      <c r="N42" s="336">
        <f t="shared" si="3"/>
        <v>95</v>
      </c>
      <c r="O42" s="335">
        <f xml:space="preserve"> 11.2+15.8</f>
        <v>27</v>
      </c>
      <c r="P42" s="336">
        <v>24.6</v>
      </c>
      <c r="Q42" s="336"/>
      <c r="R42" s="337">
        <f t="shared" si="4"/>
        <v>51.6</v>
      </c>
      <c r="S42" s="292">
        <v>2</v>
      </c>
      <c r="T42" s="838"/>
      <c r="U42" s="836"/>
      <c r="V42" s="299" t="s">
        <v>473</v>
      </c>
      <c r="W42" s="292" t="s">
        <v>75</v>
      </c>
      <c r="X42" s="292" t="s">
        <v>18</v>
      </c>
      <c r="Y42" s="300">
        <v>24.6</v>
      </c>
      <c r="Z42" s="292" t="s">
        <v>475</v>
      </c>
      <c r="AA42" s="292" t="s">
        <v>74</v>
      </c>
      <c r="AB42" s="292" t="s">
        <v>11</v>
      </c>
      <c r="AC42" s="292">
        <v>15.8</v>
      </c>
      <c r="AD42" s="299" t="s">
        <v>474</v>
      </c>
      <c r="AE42" s="292" t="s">
        <v>22</v>
      </c>
      <c r="AF42" s="292" t="s">
        <v>11</v>
      </c>
      <c r="AG42" s="300">
        <v>11.2</v>
      </c>
      <c r="AL42" s="299"/>
      <c r="AO42" s="300"/>
      <c r="AP42" s="299"/>
      <c r="AS42" s="300"/>
      <c r="AW42" s="300"/>
      <c r="BA42" s="301"/>
    </row>
    <row r="43" spans="1:53" s="292" customFormat="1">
      <c r="A43" s="338">
        <v>1977</v>
      </c>
      <c r="B43" s="836"/>
      <c r="C43" s="969" t="s">
        <v>595</v>
      </c>
      <c r="D43" s="969"/>
      <c r="E43" s="292">
        <v>365</v>
      </c>
      <c r="G43" s="366">
        <v>10</v>
      </c>
      <c r="H43" s="292">
        <v>9</v>
      </c>
      <c r="J43" s="377">
        <v>20</v>
      </c>
      <c r="K43" s="336">
        <f t="shared" si="2"/>
        <v>50</v>
      </c>
      <c r="L43" s="336">
        <f t="shared" si="2"/>
        <v>45</v>
      </c>
      <c r="M43" s="336">
        <f t="shared" si="2"/>
        <v>0</v>
      </c>
      <c r="N43" s="336">
        <f t="shared" si="3"/>
        <v>95</v>
      </c>
      <c r="O43" s="335">
        <f xml:space="preserve"> 11.2+15.8</f>
        <v>27</v>
      </c>
      <c r="P43" s="336">
        <v>24.6</v>
      </c>
      <c r="Q43" s="336"/>
      <c r="R43" s="337">
        <f t="shared" si="4"/>
        <v>51.6</v>
      </c>
      <c r="S43" s="292">
        <v>2</v>
      </c>
      <c r="T43" s="838"/>
      <c r="U43" s="836"/>
      <c r="V43" s="299" t="s">
        <v>473</v>
      </c>
      <c r="W43" s="292" t="s">
        <v>75</v>
      </c>
      <c r="X43" s="292" t="s">
        <v>18</v>
      </c>
      <c r="Y43" s="300">
        <v>24.6</v>
      </c>
      <c r="Z43" s="292" t="s">
        <v>475</v>
      </c>
      <c r="AA43" s="292" t="s">
        <v>74</v>
      </c>
      <c r="AB43" s="292" t="s">
        <v>11</v>
      </c>
      <c r="AC43" s="292">
        <v>15.8</v>
      </c>
      <c r="AD43" s="299" t="s">
        <v>474</v>
      </c>
      <c r="AE43" s="292" t="s">
        <v>22</v>
      </c>
      <c r="AF43" s="292" t="s">
        <v>11</v>
      </c>
      <c r="AG43" s="300">
        <v>11.2</v>
      </c>
      <c r="AL43" s="299"/>
      <c r="AO43" s="300"/>
      <c r="AP43" s="299"/>
      <c r="AS43" s="300"/>
      <c r="AW43" s="300"/>
      <c r="BA43" s="301"/>
    </row>
    <row r="44" spans="1:53" s="292" customFormat="1">
      <c r="A44" s="338">
        <v>1978</v>
      </c>
      <c r="B44" s="836"/>
      <c r="C44" s="969" t="s">
        <v>595</v>
      </c>
      <c r="D44" s="969"/>
      <c r="E44" s="292">
        <v>285</v>
      </c>
      <c r="G44" s="366">
        <v>10</v>
      </c>
      <c r="H44" s="292">
        <v>9</v>
      </c>
      <c r="J44" s="377">
        <v>20</v>
      </c>
      <c r="K44" s="336">
        <f t="shared" si="2"/>
        <v>50</v>
      </c>
      <c r="L44" s="336">
        <f t="shared" si="2"/>
        <v>45</v>
      </c>
      <c r="M44" s="336">
        <f t="shared" si="2"/>
        <v>0</v>
      </c>
      <c r="N44" s="336">
        <f t="shared" si="3"/>
        <v>95</v>
      </c>
      <c r="O44" s="335">
        <f xml:space="preserve"> 11.2+15.8</f>
        <v>27</v>
      </c>
      <c r="P44" s="336">
        <v>24.6</v>
      </c>
      <c r="Q44" s="336"/>
      <c r="R44" s="337">
        <f t="shared" si="4"/>
        <v>51.6</v>
      </c>
      <c r="S44" s="292">
        <v>2</v>
      </c>
      <c r="T44" s="838"/>
      <c r="U44" s="836"/>
      <c r="V44" s="299" t="s">
        <v>473</v>
      </c>
      <c r="W44" s="292" t="s">
        <v>75</v>
      </c>
      <c r="X44" s="292" t="s">
        <v>18</v>
      </c>
      <c r="Y44" s="300">
        <v>24.6</v>
      </c>
      <c r="Z44" s="292" t="s">
        <v>475</v>
      </c>
      <c r="AA44" s="292" t="s">
        <v>74</v>
      </c>
      <c r="AB44" s="292" t="s">
        <v>11</v>
      </c>
      <c r="AC44" s="292">
        <v>15.8</v>
      </c>
      <c r="AD44" s="299" t="s">
        <v>474</v>
      </c>
      <c r="AE44" s="292" t="s">
        <v>22</v>
      </c>
      <c r="AF44" s="292" t="s">
        <v>11</v>
      </c>
      <c r="AG44" s="300">
        <v>11.2</v>
      </c>
      <c r="AL44" s="299"/>
      <c r="AO44" s="300"/>
      <c r="AP44" s="299"/>
      <c r="AS44" s="300"/>
      <c r="AW44" s="300"/>
      <c r="BA44" s="301"/>
    </row>
    <row r="45" spans="1:53" s="185" customFormat="1">
      <c r="A45" s="101">
        <v>1978</v>
      </c>
      <c r="B45" s="852">
        <v>28776</v>
      </c>
      <c r="C45" s="917" t="s">
        <v>852</v>
      </c>
      <c r="D45" s="917"/>
      <c r="E45" s="185">
        <f>365-E44</f>
        <v>80</v>
      </c>
      <c r="F45" s="185">
        <v>4</v>
      </c>
      <c r="G45" s="119">
        <v>18</v>
      </c>
      <c r="J45" s="126">
        <v>19</v>
      </c>
      <c r="K45" s="92">
        <f t="shared" si="2"/>
        <v>94.73684210526315</v>
      </c>
      <c r="L45" s="92">
        <f t="shared" si="2"/>
        <v>0</v>
      </c>
      <c r="M45" s="92">
        <f t="shared" si="2"/>
        <v>0</v>
      </c>
      <c r="N45" s="92">
        <f t="shared" si="3"/>
        <v>94.73684210526315</v>
      </c>
      <c r="O45" s="91">
        <v>11.2</v>
      </c>
      <c r="P45" s="92"/>
      <c r="Q45" s="92"/>
      <c r="R45" s="93">
        <f t="shared" si="4"/>
        <v>11.2</v>
      </c>
      <c r="S45" s="185">
        <v>4</v>
      </c>
      <c r="T45" s="839"/>
      <c r="U45" s="852">
        <v>28776</v>
      </c>
      <c r="V45" s="82" t="s">
        <v>474</v>
      </c>
      <c r="W45" s="185" t="s">
        <v>22</v>
      </c>
      <c r="X45" s="185" t="s">
        <v>11</v>
      </c>
      <c r="Y45" s="83">
        <v>11.2</v>
      </c>
      <c r="AD45" s="82"/>
      <c r="AG45" s="83"/>
      <c r="AL45" s="82"/>
      <c r="AO45" s="83"/>
      <c r="AP45" s="82"/>
      <c r="AS45" s="83"/>
      <c r="AW45" s="83"/>
      <c r="BA45" s="84"/>
    </row>
    <row r="46" spans="1:53" s="185" customFormat="1">
      <c r="A46" s="101">
        <v>1979</v>
      </c>
      <c r="B46" s="852"/>
      <c r="C46" s="917" t="s">
        <v>852</v>
      </c>
      <c r="D46" s="917"/>
      <c r="E46" s="185">
        <v>284</v>
      </c>
      <c r="G46" s="119">
        <v>18</v>
      </c>
      <c r="J46" s="126">
        <v>19</v>
      </c>
      <c r="K46" s="92">
        <f t="shared" si="2"/>
        <v>94.73684210526315</v>
      </c>
      <c r="L46" s="92">
        <f t="shared" si="2"/>
        <v>0</v>
      </c>
      <c r="M46" s="92">
        <f t="shared" si="2"/>
        <v>0</v>
      </c>
      <c r="N46" s="92">
        <f t="shared" si="3"/>
        <v>94.73684210526315</v>
      </c>
      <c r="O46" s="91">
        <v>11.2</v>
      </c>
      <c r="P46" s="92"/>
      <c r="Q46" s="92"/>
      <c r="R46" s="93">
        <f t="shared" si="4"/>
        <v>11.2</v>
      </c>
      <c r="S46" s="185">
        <v>4</v>
      </c>
      <c r="T46" s="839"/>
      <c r="U46" s="852"/>
      <c r="V46" s="82" t="s">
        <v>474</v>
      </c>
      <c r="W46" s="185" t="s">
        <v>22</v>
      </c>
      <c r="X46" s="185" t="s">
        <v>11</v>
      </c>
      <c r="Y46" s="83">
        <v>11.2</v>
      </c>
      <c r="AD46" s="82"/>
      <c r="AG46" s="83"/>
      <c r="AL46" s="82"/>
      <c r="AO46" s="83"/>
      <c r="AP46" s="82"/>
      <c r="AS46" s="83"/>
      <c r="AW46" s="83"/>
      <c r="BA46" s="84"/>
    </row>
    <row r="47" spans="1:53" s="292" customFormat="1">
      <c r="A47" s="338">
        <v>1979</v>
      </c>
      <c r="B47" s="836">
        <v>29140</v>
      </c>
      <c r="C47" s="969" t="s">
        <v>596</v>
      </c>
      <c r="D47" s="969"/>
      <c r="E47" s="292">
        <f>365-E46</f>
        <v>81</v>
      </c>
      <c r="F47" s="292">
        <v>1</v>
      </c>
      <c r="G47" s="366">
        <v>13</v>
      </c>
      <c r="H47" s="292">
        <v>7</v>
      </c>
      <c r="J47" s="377">
        <v>21</v>
      </c>
      <c r="K47" s="336">
        <f t="shared" si="2"/>
        <v>61.904761904761905</v>
      </c>
      <c r="L47" s="336">
        <f t="shared" si="2"/>
        <v>33.333333333333329</v>
      </c>
      <c r="M47" s="336">
        <f t="shared" si="2"/>
        <v>0</v>
      </c>
      <c r="N47" s="336">
        <f t="shared" si="3"/>
        <v>95.238095238095241</v>
      </c>
      <c r="O47" s="335">
        <f>10.9+20.9</f>
        <v>31.799999999999997</v>
      </c>
      <c r="P47" s="336">
        <v>18.3</v>
      </c>
      <c r="Q47" s="336"/>
      <c r="R47" s="337">
        <f t="shared" si="4"/>
        <v>50.099999999999994</v>
      </c>
      <c r="S47" s="292">
        <v>2</v>
      </c>
      <c r="T47" s="838">
        <v>29114</v>
      </c>
      <c r="U47" s="836">
        <v>29140</v>
      </c>
      <c r="V47" s="299" t="s">
        <v>473</v>
      </c>
      <c r="W47" s="292" t="s">
        <v>75</v>
      </c>
      <c r="X47" s="292" t="s">
        <v>18</v>
      </c>
      <c r="Y47" s="300">
        <v>18.3</v>
      </c>
      <c r="Z47" s="292" t="s">
        <v>475</v>
      </c>
      <c r="AA47" s="292" t="s">
        <v>74</v>
      </c>
      <c r="AB47" s="292" t="s">
        <v>11</v>
      </c>
      <c r="AC47" s="292">
        <v>20.9</v>
      </c>
      <c r="AD47" s="299" t="s">
        <v>474</v>
      </c>
      <c r="AE47" s="292" t="s">
        <v>22</v>
      </c>
      <c r="AF47" s="292" t="s">
        <v>11</v>
      </c>
      <c r="AG47" s="300">
        <v>10.9</v>
      </c>
      <c r="AL47" s="299"/>
      <c r="AO47" s="300"/>
      <c r="AP47" s="299"/>
      <c r="AS47" s="300"/>
      <c r="AW47" s="300"/>
      <c r="BA47" s="301"/>
    </row>
    <row r="48" spans="1:53" s="292" customFormat="1">
      <c r="A48" s="338">
        <v>1980</v>
      </c>
      <c r="B48" s="836"/>
      <c r="C48" s="969" t="s">
        <v>596</v>
      </c>
      <c r="D48" s="969"/>
      <c r="E48" s="292">
        <v>0</v>
      </c>
      <c r="G48" s="366">
        <v>13</v>
      </c>
      <c r="H48" s="292">
        <v>7</v>
      </c>
      <c r="J48" s="377">
        <v>21</v>
      </c>
      <c r="K48" s="336">
        <f t="shared" si="2"/>
        <v>61.904761904761905</v>
      </c>
      <c r="L48" s="336">
        <f t="shared" si="2"/>
        <v>33.333333333333329</v>
      </c>
      <c r="M48" s="336">
        <f t="shared" si="2"/>
        <v>0</v>
      </c>
      <c r="N48" s="336">
        <f t="shared" si="3"/>
        <v>95.238095238095241</v>
      </c>
      <c r="O48" s="335">
        <f>10.9+20.9</f>
        <v>31.799999999999997</v>
      </c>
      <c r="P48" s="336">
        <v>18.3</v>
      </c>
      <c r="Q48" s="336"/>
      <c r="R48" s="337">
        <f t="shared" si="4"/>
        <v>50.099999999999994</v>
      </c>
      <c r="S48" s="292">
        <v>2</v>
      </c>
      <c r="T48" s="838"/>
      <c r="U48" s="836"/>
      <c r="V48" s="299" t="s">
        <v>473</v>
      </c>
      <c r="W48" s="292" t="s">
        <v>75</v>
      </c>
      <c r="X48" s="292" t="s">
        <v>18</v>
      </c>
      <c r="Y48" s="300">
        <v>18.3</v>
      </c>
      <c r="Z48" s="292" t="s">
        <v>475</v>
      </c>
      <c r="AA48" s="292" t="s">
        <v>74</v>
      </c>
      <c r="AB48" s="292" t="s">
        <v>11</v>
      </c>
      <c r="AC48" s="292">
        <v>20.9</v>
      </c>
      <c r="AD48" s="299" t="s">
        <v>474</v>
      </c>
      <c r="AE48" s="292" t="s">
        <v>22</v>
      </c>
      <c r="AF48" s="292" t="s">
        <v>11</v>
      </c>
      <c r="AG48" s="300">
        <v>10.9</v>
      </c>
      <c r="AL48" s="299"/>
      <c r="AO48" s="300"/>
      <c r="AP48" s="299"/>
      <c r="AS48" s="300"/>
      <c r="AW48" s="300"/>
      <c r="BA48" s="301"/>
    </row>
    <row r="49" spans="1:53" s="292" customFormat="1">
      <c r="A49" s="338">
        <v>1980</v>
      </c>
      <c r="B49" s="836"/>
      <c r="C49" s="969" t="s">
        <v>596</v>
      </c>
      <c r="D49" s="969"/>
      <c r="E49" s="292">
        <v>366</v>
      </c>
      <c r="G49" s="366">
        <v>13</v>
      </c>
      <c r="H49" s="292">
        <v>7</v>
      </c>
      <c r="J49" s="377">
        <v>21</v>
      </c>
      <c r="K49" s="336">
        <f t="shared" si="2"/>
        <v>61.904761904761905</v>
      </c>
      <c r="L49" s="336">
        <f t="shared" si="2"/>
        <v>33.333333333333329</v>
      </c>
      <c r="M49" s="336">
        <f t="shared" si="2"/>
        <v>0</v>
      </c>
      <c r="N49" s="336">
        <f t="shared" si="3"/>
        <v>95.238095238095241</v>
      </c>
      <c r="O49" s="335">
        <f>10.9+20.9</f>
        <v>31.799999999999997</v>
      </c>
      <c r="P49" s="336">
        <v>18.3</v>
      </c>
      <c r="Q49" s="336"/>
      <c r="R49" s="337">
        <f t="shared" si="4"/>
        <v>50.099999999999994</v>
      </c>
      <c r="S49" s="292">
        <v>2</v>
      </c>
      <c r="T49" s="838"/>
      <c r="U49" s="836"/>
      <c r="V49" s="299" t="s">
        <v>473</v>
      </c>
      <c r="W49" s="292" t="s">
        <v>75</v>
      </c>
      <c r="X49" s="292" t="s">
        <v>18</v>
      </c>
      <c r="Y49" s="300">
        <v>18.3</v>
      </c>
      <c r="Z49" s="292" t="s">
        <v>475</v>
      </c>
      <c r="AA49" s="292" t="s">
        <v>74</v>
      </c>
      <c r="AB49" s="292" t="s">
        <v>11</v>
      </c>
      <c r="AC49" s="292">
        <v>20.9</v>
      </c>
      <c r="AD49" s="299" t="s">
        <v>474</v>
      </c>
      <c r="AE49" s="292" t="s">
        <v>22</v>
      </c>
      <c r="AF49" s="292" t="s">
        <v>11</v>
      </c>
      <c r="AG49" s="300">
        <v>10.9</v>
      </c>
      <c r="AL49" s="299"/>
      <c r="AO49" s="300"/>
      <c r="AP49" s="299"/>
      <c r="AS49" s="300"/>
      <c r="AW49" s="300"/>
      <c r="BA49" s="301"/>
    </row>
    <row r="50" spans="1:53" s="292" customFormat="1">
      <c r="A50" s="338">
        <v>1981</v>
      </c>
      <c r="B50" s="836"/>
      <c r="C50" s="969" t="s">
        <v>596</v>
      </c>
      <c r="D50" s="969"/>
      <c r="E50" s="292">
        <v>141</v>
      </c>
      <c r="G50" s="366">
        <v>13</v>
      </c>
      <c r="H50" s="292">
        <v>7</v>
      </c>
      <c r="J50" s="377">
        <v>21</v>
      </c>
      <c r="K50" s="336">
        <f t="shared" si="2"/>
        <v>61.904761904761905</v>
      </c>
      <c r="L50" s="336">
        <f t="shared" si="2"/>
        <v>33.333333333333329</v>
      </c>
      <c r="M50" s="336">
        <f t="shared" si="2"/>
        <v>0</v>
      </c>
      <c r="N50" s="336">
        <f t="shared" si="3"/>
        <v>95.238095238095241</v>
      </c>
      <c r="O50" s="335">
        <f>10.9+20.9</f>
        <v>31.799999999999997</v>
      </c>
      <c r="P50" s="336">
        <v>18.3</v>
      </c>
      <c r="Q50" s="336"/>
      <c r="R50" s="337">
        <f t="shared" si="4"/>
        <v>50.099999999999994</v>
      </c>
      <c r="S50" s="292">
        <v>2</v>
      </c>
      <c r="T50" s="838"/>
      <c r="U50" s="836"/>
      <c r="V50" s="299" t="s">
        <v>473</v>
      </c>
      <c r="W50" s="292" t="s">
        <v>75</v>
      </c>
      <c r="X50" s="292" t="s">
        <v>18</v>
      </c>
      <c r="Y50" s="300">
        <v>18.3</v>
      </c>
      <c r="Z50" s="292" t="s">
        <v>475</v>
      </c>
      <c r="AA50" s="292" t="s">
        <v>74</v>
      </c>
      <c r="AB50" s="292" t="s">
        <v>11</v>
      </c>
      <c r="AC50" s="292">
        <v>20.9</v>
      </c>
      <c r="AD50" s="299" t="s">
        <v>474</v>
      </c>
      <c r="AE50" s="292" t="s">
        <v>22</v>
      </c>
      <c r="AF50" s="292" t="s">
        <v>11</v>
      </c>
      <c r="AG50" s="300">
        <v>10.9</v>
      </c>
      <c r="AL50" s="299"/>
      <c r="AO50" s="300"/>
      <c r="AP50" s="299"/>
      <c r="AS50" s="300"/>
      <c r="AW50" s="300"/>
      <c r="BA50" s="301"/>
    </row>
    <row r="51" spans="1:53" s="185" customFormat="1">
      <c r="A51" s="101">
        <v>1981</v>
      </c>
      <c r="B51" s="852">
        <v>29728</v>
      </c>
      <c r="C51" s="970" t="s">
        <v>597</v>
      </c>
      <c r="D51" s="970"/>
      <c r="E51" s="185">
        <f>365-E50</f>
        <v>224</v>
      </c>
      <c r="F51" s="185">
        <v>4</v>
      </c>
      <c r="G51" s="119">
        <v>7</v>
      </c>
      <c r="H51" s="185">
        <v>10</v>
      </c>
      <c r="J51" s="126">
        <v>18</v>
      </c>
      <c r="K51" s="92">
        <f t="shared" si="2"/>
        <v>38.888888888888893</v>
      </c>
      <c r="L51" s="92">
        <f t="shared" si="2"/>
        <v>55.555555555555557</v>
      </c>
      <c r="M51" s="92">
        <f t="shared" si="2"/>
        <v>0</v>
      </c>
      <c r="N51" s="92">
        <f t="shared" si="3"/>
        <v>94.444444444444457</v>
      </c>
      <c r="O51" s="91">
        <v>10.9</v>
      </c>
      <c r="P51" s="92">
        <v>18.3</v>
      </c>
      <c r="Q51" s="92"/>
      <c r="R51" s="93">
        <f t="shared" si="4"/>
        <v>29.200000000000003</v>
      </c>
      <c r="S51" s="185">
        <v>5</v>
      </c>
      <c r="T51" s="839"/>
      <c r="U51" s="852">
        <v>29728</v>
      </c>
      <c r="V51" s="82" t="s">
        <v>473</v>
      </c>
      <c r="W51" s="185" t="s">
        <v>75</v>
      </c>
      <c r="X51" s="185" t="s">
        <v>18</v>
      </c>
      <c r="Y51" s="185">
        <v>18.3</v>
      </c>
      <c r="Z51" s="82" t="s">
        <v>474</v>
      </c>
      <c r="AA51" s="185" t="s">
        <v>22</v>
      </c>
      <c r="AB51" s="185" t="s">
        <v>11</v>
      </c>
      <c r="AC51" s="83">
        <v>10.9</v>
      </c>
      <c r="AD51" s="82"/>
      <c r="AG51" s="83"/>
      <c r="AL51" s="82"/>
      <c r="AO51" s="83"/>
      <c r="AP51" s="82"/>
      <c r="AS51" s="83"/>
      <c r="AW51" s="83"/>
      <c r="BA51" s="84"/>
    </row>
    <row r="52" spans="1:53" s="185" customFormat="1">
      <c r="A52" s="101">
        <v>1982</v>
      </c>
      <c r="B52" s="852"/>
      <c r="C52" s="970" t="s">
        <v>597</v>
      </c>
      <c r="D52" s="970"/>
      <c r="E52" s="185">
        <v>280</v>
      </c>
      <c r="G52" s="119">
        <v>7</v>
      </c>
      <c r="H52" s="185">
        <v>10</v>
      </c>
      <c r="J52" s="126">
        <v>18</v>
      </c>
      <c r="K52" s="92">
        <f>G52/$J52*100</f>
        <v>38.888888888888893</v>
      </c>
      <c r="L52" s="92">
        <f>H52/$J52*100</f>
        <v>55.555555555555557</v>
      </c>
      <c r="M52" s="92">
        <f t="shared" si="2"/>
        <v>0</v>
      </c>
      <c r="N52" s="92">
        <f t="shared" si="3"/>
        <v>94.444444444444457</v>
      </c>
      <c r="O52" s="91">
        <v>10.9</v>
      </c>
      <c r="P52" s="92">
        <v>18.3</v>
      </c>
      <c r="Q52" s="92"/>
      <c r="R52" s="93">
        <f t="shared" si="4"/>
        <v>29.200000000000003</v>
      </c>
      <c r="S52" s="185">
        <v>5</v>
      </c>
      <c r="T52" s="839"/>
      <c r="U52" s="852"/>
      <c r="V52" s="82" t="s">
        <v>473</v>
      </c>
      <c r="W52" s="185" t="s">
        <v>75</v>
      </c>
      <c r="X52" s="185" t="s">
        <v>18</v>
      </c>
      <c r="Y52" s="185">
        <v>18.3</v>
      </c>
      <c r="Z52" s="82" t="s">
        <v>474</v>
      </c>
      <c r="AA52" s="185" t="s">
        <v>22</v>
      </c>
      <c r="AB52" s="185" t="s">
        <v>11</v>
      </c>
      <c r="AC52" s="83">
        <v>10.9</v>
      </c>
      <c r="AD52" s="82"/>
      <c r="AG52" s="83"/>
      <c r="AL52" s="82"/>
      <c r="AO52" s="83"/>
      <c r="AP52" s="82"/>
      <c r="AS52" s="83"/>
      <c r="AW52" s="83"/>
      <c r="BA52" s="84"/>
    </row>
    <row r="53" spans="1:53" s="292" customFormat="1">
      <c r="A53" s="338">
        <v>1982</v>
      </c>
      <c r="B53" s="836">
        <v>30232</v>
      </c>
      <c r="C53" s="916" t="s">
        <v>598</v>
      </c>
      <c r="D53" s="916"/>
      <c r="E53" s="292">
        <f>365-E52</f>
        <v>85</v>
      </c>
      <c r="F53" s="292">
        <v>1</v>
      </c>
      <c r="G53" s="366"/>
      <c r="I53" s="292">
        <v>20</v>
      </c>
      <c r="J53" s="377">
        <v>20</v>
      </c>
      <c r="K53" s="336">
        <f t="shared" ref="K53:M67" si="5">G53/$J53*100</f>
        <v>0</v>
      </c>
      <c r="L53" s="336">
        <f t="shared" si="5"/>
        <v>0</v>
      </c>
      <c r="M53" s="336">
        <f>I53/$J53*100</f>
        <v>100</v>
      </c>
      <c r="N53" s="336">
        <f t="shared" si="3"/>
        <v>100</v>
      </c>
      <c r="O53" s="335"/>
      <c r="P53" s="336"/>
      <c r="Q53" s="336">
        <v>47.6</v>
      </c>
      <c r="R53" s="337">
        <f t="shared" si="4"/>
        <v>47.6</v>
      </c>
      <c r="S53" s="292">
        <v>4</v>
      </c>
      <c r="T53" s="838">
        <v>30213</v>
      </c>
      <c r="U53" s="836">
        <v>30232</v>
      </c>
      <c r="V53" s="299" t="s">
        <v>472</v>
      </c>
      <c r="W53" s="292" t="s">
        <v>20</v>
      </c>
      <c r="X53" s="292" t="s">
        <v>12</v>
      </c>
      <c r="Y53" s="300">
        <v>47.6</v>
      </c>
      <c r="AD53" s="299"/>
      <c r="AG53" s="300"/>
      <c r="AL53" s="299"/>
      <c r="AO53" s="300"/>
      <c r="AP53" s="299"/>
      <c r="AS53" s="300"/>
      <c r="AW53" s="300"/>
      <c r="BA53" s="301"/>
    </row>
    <row r="54" spans="1:53" s="292" customFormat="1">
      <c r="A54" s="338">
        <v>1983</v>
      </c>
      <c r="B54" s="836"/>
      <c r="C54" s="916" t="s">
        <v>598</v>
      </c>
      <c r="D54" s="916"/>
      <c r="E54" s="292">
        <v>0</v>
      </c>
      <c r="G54" s="366"/>
      <c r="I54" s="292">
        <v>20</v>
      </c>
      <c r="J54" s="377">
        <v>20</v>
      </c>
      <c r="K54" s="336">
        <f t="shared" si="5"/>
        <v>0</v>
      </c>
      <c r="L54" s="336">
        <f t="shared" si="5"/>
        <v>0</v>
      </c>
      <c r="M54" s="336">
        <f t="shared" si="2"/>
        <v>100</v>
      </c>
      <c r="N54" s="336">
        <f t="shared" si="3"/>
        <v>100</v>
      </c>
      <c r="O54" s="335"/>
      <c r="P54" s="336"/>
      <c r="Q54" s="336">
        <v>47.6</v>
      </c>
      <c r="R54" s="337">
        <f t="shared" si="4"/>
        <v>47.6</v>
      </c>
      <c r="S54" s="292">
        <v>4</v>
      </c>
      <c r="T54" s="838"/>
      <c r="U54" s="836"/>
      <c r="V54" s="299" t="s">
        <v>472</v>
      </c>
      <c r="W54" s="292" t="s">
        <v>20</v>
      </c>
      <c r="X54" s="292" t="s">
        <v>12</v>
      </c>
      <c r="Y54" s="300">
        <v>47.6</v>
      </c>
      <c r="AD54" s="299"/>
      <c r="AG54" s="300"/>
      <c r="AL54" s="299"/>
      <c r="AO54" s="300"/>
      <c r="AP54" s="299"/>
      <c r="AS54" s="300"/>
      <c r="AW54" s="300"/>
      <c r="BA54" s="301"/>
    </row>
    <row r="55" spans="1:53" s="292" customFormat="1">
      <c r="A55" s="338">
        <v>1983</v>
      </c>
      <c r="B55" s="836"/>
      <c r="C55" s="916" t="s">
        <v>598</v>
      </c>
      <c r="D55" s="916"/>
      <c r="E55" s="292">
        <v>365</v>
      </c>
      <c r="G55" s="366"/>
      <c r="I55" s="292">
        <v>20</v>
      </c>
      <c r="J55" s="377">
        <v>20</v>
      </c>
      <c r="K55" s="336">
        <f t="shared" si="5"/>
        <v>0</v>
      </c>
      <c r="L55" s="336">
        <f t="shared" si="5"/>
        <v>0</v>
      </c>
      <c r="M55" s="336">
        <f t="shared" si="2"/>
        <v>100</v>
      </c>
      <c r="N55" s="336">
        <f t="shared" si="3"/>
        <v>100</v>
      </c>
      <c r="O55" s="335"/>
      <c r="P55" s="336"/>
      <c r="Q55" s="336">
        <v>47.6</v>
      </c>
      <c r="R55" s="337">
        <f t="shared" si="4"/>
        <v>47.6</v>
      </c>
      <c r="S55" s="292">
        <v>4</v>
      </c>
      <c r="T55" s="838"/>
      <c r="U55" s="836"/>
      <c r="V55" s="299" t="s">
        <v>472</v>
      </c>
      <c r="W55" s="292" t="s">
        <v>20</v>
      </c>
      <c r="X55" s="292" t="s">
        <v>12</v>
      </c>
      <c r="Y55" s="300">
        <v>47.6</v>
      </c>
      <c r="AD55" s="299"/>
      <c r="AG55" s="300"/>
      <c r="AL55" s="299"/>
      <c r="AO55" s="300"/>
      <c r="AP55" s="299"/>
      <c r="AS55" s="300"/>
      <c r="AW55" s="300"/>
      <c r="BA55" s="301"/>
    </row>
    <row r="56" spans="1:53" s="292" customFormat="1">
      <c r="A56" s="338">
        <v>1984</v>
      </c>
      <c r="B56" s="836"/>
      <c r="C56" s="916" t="s">
        <v>598</v>
      </c>
      <c r="D56" s="916"/>
      <c r="E56" s="292">
        <v>0</v>
      </c>
      <c r="G56" s="366"/>
      <c r="I56" s="292">
        <v>20</v>
      </c>
      <c r="J56" s="377">
        <v>20</v>
      </c>
      <c r="K56" s="336">
        <f t="shared" si="5"/>
        <v>0</v>
      </c>
      <c r="L56" s="336">
        <f t="shared" si="5"/>
        <v>0</v>
      </c>
      <c r="M56" s="336">
        <f t="shared" si="2"/>
        <v>100</v>
      </c>
      <c r="N56" s="336">
        <f t="shared" si="3"/>
        <v>100</v>
      </c>
      <c r="O56" s="335"/>
      <c r="P56" s="336"/>
      <c r="Q56" s="336">
        <v>47.6</v>
      </c>
      <c r="R56" s="337">
        <f t="shared" si="4"/>
        <v>47.6</v>
      </c>
      <c r="S56" s="292">
        <v>4</v>
      </c>
      <c r="T56" s="838"/>
      <c r="U56" s="836"/>
      <c r="V56" s="299" t="s">
        <v>472</v>
      </c>
      <c r="W56" s="292" t="s">
        <v>20</v>
      </c>
      <c r="X56" s="292" t="s">
        <v>12</v>
      </c>
      <c r="Y56" s="300">
        <v>47.6</v>
      </c>
      <c r="AD56" s="299"/>
      <c r="AG56" s="300"/>
      <c r="AL56" s="299"/>
      <c r="AO56" s="300"/>
      <c r="AP56" s="299"/>
      <c r="AS56" s="300"/>
      <c r="AW56" s="300"/>
      <c r="BA56" s="301"/>
    </row>
    <row r="57" spans="1:53" s="292" customFormat="1">
      <c r="A57" s="338">
        <v>1984</v>
      </c>
      <c r="B57" s="836"/>
      <c r="C57" s="916" t="s">
        <v>598</v>
      </c>
      <c r="D57" s="916"/>
      <c r="E57" s="292">
        <v>366</v>
      </c>
      <c r="G57" s="366"/>
      <c r="I57" s="292">
        <v>20</v>
      </c>
      <c r="J57" s="377">
        <v>20</v>
      </c>
      <c r="K57" s="336">
        <f t="shared" si="5"/>
        <v>0</v>
      </c>
      <c r="L57" s="336">
        <f t="shared" si="5"/>
        <v>0</v>
      </c>
      <c r="M57" s="336">
        <f t="shared" si="2"/>
        <v>100</v>
      </c>
      <c r="N57" s="336">
        <f t="shared" si="3"/>
        <v>100</v>
      </c>
      <c r="O57" s="335"/>
      <c r="P57" s="336"/>
      <c r="Q57" s="336">
        <v>47.6</v>
      </c>
      <c r="R57" s="337">
        <f t="shared" si="4"/>
        <v>47.6</v>
      </c>
      <c r="S57" s="292">
        <v>4</v>
      </c>
      <c r="T57" s="838"/>
      <c r="U57" s="836"/>
      <c r="V57" s="299" t="s">
        <v>472</v>
      </c>
      <c r="W57" s="292" t="s">
        <v>20</v>
      </c>
      <c r="X57" s="292" t="s">
        <v>12</v>
      </c>
      <c r="Y57" s="300">
        <v>47.6</v>
      </c>
      <c r="AD57" s="299"/>
      <c r="AG57" s="300"/>
      <c r="AL57" s="299"/>
      <c r="AO57" s="300"/>
      <c r="AP57" s="299"/>
      <c r="AS57" s="300"/>
      <c r="AW57" s="300"/>
      <c r="BA57" s="301"/>
    </row>
    <row r="58" spans="1:53" s="292" customFormat="1">
      <c r="A58" s="338">
        <v>1985</v>
      </c>
      <c r="B58" s="836"/>
      <c r="C58" s="916" t="s">
        <v>598</v>
      </c>
      <c r="D58" s="916"/>
      <c r="E58" s="292">
        <v>276</v>
      </c>
      <c r="G58" s="366"/>
      <c r="I58" s="292">
        <v>20</v>
      </c>
      <c r="J58" s="377">
        <v>20</v>
      </c>
      <c r="K58" s="336">
        <f t="shared" si="5"/>
        <v>0</v>
      </c>
      <c r="L58" s="336">
        <f t="shared" si="5"/>
        <v>0</v>
      </c>
      <c r="M58" s="336">
        <f t="shared" si="2"/>
        <v>100</v>
      </c>
      <c r="N58" s="336">
        <f t="shared" si="3"/>
        <v>100</v>
      </c>
      <c r="O58" s="335"/>
      <c r="P58" s="336"/>
      <c r="Q58" s="336">
        <v>47.6</v>
      </c>
      <c r="R58" s="337">
        <f t="shared" si="4"/>
        <v>47.6</v>
      </c>
      <c r="S58" s="292">
        <v>4</v>
      </c>
      <c r="T58" s="838"/>
      <c r="U58" s="836"/>
      <c r="V58" s="299" t="s">
        <v>472</v>
      </c>
      <c r="W58" s="292" t="s">
        <v>20</v>
      </c>
      <c r="X58" s="292" t="s">
        <v>12</v>
      </c>
      <c r="Y58" s="300">
        <v>47.6</v>
      </c>
      <c r="AD58" s="299"/>
      <c r="AG58" s="300"/>
      <c r="AL58" s="299"/>
      <c r="AO58" s="300"/>
      <c r="AP58" s="299"/>
      <c r="AS58" s="300"/>
      <c r="AW58" s="300"/>
      <c r="BA58" s="301"/>
    </row>
    <row r="59" spans="1:53" s="185" customFormat="1">
      <c r="A59" s="101">
        <v>1985</v>
      </c>
      <c r="B59" s="852">
        <v>31324</v>
      </c>
      <c r="C59" s="917" t="s">
        <v>599</v>
      </c>
      <c r="D59" s="917"/>
      <c r="E59" s="185">
        <f>365-E58</f>
        <v>89</v>
      </c>
      <c r="F59" s="185">
        <v>1</v>
      </c>
      <c r="G59" s="119"/>
      <c r="I59" s="185">
        <v>21</v>
      </c>
      <c r="J59" s="126">
        <v>21</v>
      </c>
      <c r="K59" s="92">
        <f t="shared" si="5"/>
        <v>0</v>
      </c>
      <c r="L59" s="92">
        <f t="shared" si="5"/>
        <v>0</v>
      </c>
      <c r="M59" s="92">
        <f t="shared" si="2"/>
        <v>100</v>
      </c>
      <c r="N59" s="92">
        <f t="shared" si="3"/>
        <v>100</v>
      </c>
      <c r="O59" s="91"/>
      <c r="P59" s="92"/>
      <c r="Q59" s="92">
        <v>45.6</v>
      </c>
      <c r="R59" s="93">
        <f t="shared" si="4"/>
        <v>45.6</v>
      </c>
      <c r="S59" s="185">
        <v>4</v>
      </c>
      <c r="T59" s="839">
        <v>31305</v>
      </c>
      <c r="U59" s="852">
        <v>31324</v>
      </c>
      <c r="V59" s="82" t="s">
        <v>472</v>
      </c>
      <c r="W59" s="185" t="s">
        <v>20</v>
      </c>
      <c r="X59" s="185" t="s">
        <v>12</v>
      </c>
      <c r="Y59" s="83">
        <v>45.6</v>
      </c>
      <c r="AD59" s="82"/>
      <c r="AG59" s="83"/>
      <c r="AL59" s="82"/>
      <c r="AO59" s="83"/>
      <c r="AP59" s="82"/>
      <c r="AS59" s="83"/>
      <c r="AW59" s="83"/>
      <c r="BA59" s="84"/>
    </row>
    <row r="60" spans="1:53" s="185" customFormat="1">
      <c r="A60" s="101">
        <v>1986</v>
      </c>
      <c r="B60" s="852"/>
      <c r="C60" s="917" t="s">
        <v>599</v>
      </c>
      <c r="D60" s="917"/>
      <c r="E60" s="185">
        <v>59</v>
      </c>
      <c r="G60" s="119"/>
      <c r="I60" s="185">
        <v>21</v>
      </c>
      <c r="J60" s="126">
        <v>21</v>
      </c>
      <c r="K60" s="92">
        <f t="shared" si="5"/>
        <v>0</v>
      </c>
      <c r="L60" s="92">
        <f t="shared" si="5"/>
        <v>0</v>
      </c>
      <c r="M60" s="92">
        <f t="shared" si="5"/>
        <v>100</v>
      </c>
      <c r="N60" s="92">
        <f t="shared" si="3"/>
        <v>100</v>
      </c>
      <c r="O60" s="91"/>
      <c r="P60" s="92"/>
      <c r="Q60" s="92">
        <v>45.6</v>
      </c>
      <c r="R60" s="93">
        <f t="shared" si="4"/>
        <v>45.6</v>
      </c>
      <c r="S60" s="185">
        <v>4</v>
      </c>
      <c r="T60" s="839"/>
      <c r="U60" s="852"/>
      <c r="V60" s="82" t="s">
        <v>472</v>
      </c>
      <c r="W60" s="185" t="s">
        <v>20</v>
      </c>
      <c r="X60" s="185" t="s">
        <v>12</v>
      </c>
      <c r="Y60" s="83">
        <v>45.6</v>
      </c>
      <c r="AD60" s="82"/>
      <c r="AG60" s="83"/>
      <c r="AL60" s="82"/>
      <c r="AO60" s="83"/>
      <c r="AP60" s="82"/>
      <c r="AS60" s="83"/>
      <c r="AW60" s="83"/>
      <c r="BA60" s="84"/>
    </row>
    <row r="61" spans="1:53" s="292" customFormat="1">
      <c r="A61" s="338">
        <v>1986</v>
      </c>
      <c r="B61" s="836">
        <v>31472</v>
      </c>
      <c r="C61" s="916" t="s">
        <v>600</v>
      </c>
      <c r="D61" s="916"/>
      <c r="E61" s="292">
        <f>365-E60</f>
        <v>306</v>
      </c>
      <c r="F61" s="292" t="s">
        <v>338</v>
      </c>
      <c r="G61" s="366"/>
      <c r="I61" s="292">
        <v>20</v>
      </c>
      <c r="J61" s="377">
        <v>20</v>
      </c>
      <c r="K61" s="336">
        <f t="shared" si="5"/>
        <v>0</v>
      </c>
      <c r="L61" s="336">
        <f t="shared" si="5"/>
        <v>0</v>
      </c>
      <c r="M61" s="336">
        <f t="shared" si="5"/>
        <v>100</v>
      </c>
      <c r="N61" s="336">
        <f t="shared" si="3"/>
        <v>100</v>
      </c>
      <c r="O61" s="335"/>
      <c r="P61" s="336"/>
      <c r="Q61" s="336">
        <v>45.6</v>
      </c>
      <c r="R61" s="337">
        <f t="shared" si="4"/>
        <v>45.6</v>
      </c>
      <c r="S61" s="292">
        <v>4</v>
      </c>
      <c r="T61" s="838"/>
      <c r="U61" s="836">
        <v>31472</v>
      </c>
      <c r="V61" s="299" t="s">
        <v>472</v>
      </c>
      <c r="W61" s="292" t="s">
        <v>20</v>
      </c>
      <c r="X61" s="292" t="s">
        <v>12</v>
      </c>
      <c r="Y61" s="300">
        <v>45.6</v>
      </c>
      <c r="AD61" s="299"/>
      <c r="AG61" s="300"/>
      <c r="AL61" s="299"/>
      <c r="AO61" s="300"/>
      <c r="AP61" s="299"/>
      <c r="AS61" s="300"/>
      <c r="AW61" s="300"/>
      <c r="BA61" s="301"/>
    </row>
    <row r="62" spans="1:53" s="292" customFormat="1">
      <c r="A62" s="338">
        <v>1987</v>
      </c>
      <c r="B62" s="836"/>
      <c r="C62" s="916" t="s">
        <v>600</v>
      </c>
      <c r="D62" s="916"/>
      <c r="E62" s="292">
        <v>0</v>
      </c>
      <c r="G62" s="366"/>
      <c r="I62" s="292">
        <v>20</v>
      </c>
      <c r="J62" s="377">
        <v>20</v>
      </c>
      <c r="K62" s="336">
        <f t="shared" si="5"/>
        <v>0</v>
      </c>
      <c r="L62" s="336">
        <f t="shared" si="5"/>
        <v>0</v>
      </c>
      <c r="M62" s="336">
        <f t="shared" si="5"/>
        <v>100</v>
      </c>
      <c r="N62" s="336">
        <f t="shared" si="3"/>
        <v>100</v>
      </c>
      <c r="O62" s="335"/>
      <c r="P62" s="336"/>
      <c r="Q62" s="336">
        <v>45.6</v>
      </c>
      <c r="R62" s="337">
        <f t="shared" si="4"/>
        <v>45.6</v>
      </c>
      <c r="S62" s="292">
        <v>4</v>
      </c>
      <c r="T62" s="838"/>
      <c r="U62" s="836"/>
      <c r="V62" s="299" t="s">
        <v>472</v>
      </c>
      <c r="W62" s="292" t="s">
        <v>20</v>
      </c>
      <c r="X62" s="292" t="s">
        <v>12</v>
      </c>
      <c r="Y62" s="300">
        <v>45.6</v>
      </c>
      <c r="AD62" s="299"/>
      <c r="AG62" s="300"/>
      <c r="AL62" s="299"/>
      <c r="AO62" s="300"/>
      <c r="AP62" s="299"/>
      <c r="AS62" s="300"/>
      <c r="AW62" s="300"/>
      <c r="BA62" s="301"/>
    </row>
    <row r="63" spans="1:53" s="292" customFormat="1">
      <c r="A63" s="338">
        <v>1987</v>
      </c>
      <c r="B63" s="836"/>
      <c r="C63" s="916" t="s">
        <v>600</v>
      </c>
      <c r="D63" s="916"/>
      <c r="E63" s="292">
        <v>365</v>
      </c>
      <c r="G63" s="366"/>
      <c r="I63" s="292">
        <v>20</v>
      </c>
      <c r="J63" s="377">
        <v>20</v>
      </c>
      <c r="K63" s="336">
        <f t="shared" si="5"/>
        <v>0</v>
      </c>
      <c r="L63" s="336">
        <f t="shared" si="5"/>
        <v>0</v>
      </c>
      <c r="M63" s="336">
        <f>I63/$J63*100</f>
        <v>100</v>
      </c>
      <c r="N63" s="336">
        <f t="shared" si="3"/>
        <v>100</v>
      </c>
      <c r="O63" s="335"/>
      <c r="P63" s="336"/>
      <c r="Q63" s="336">
        <v>45.6</v>
      </c>
      <c r="R63" s="337">
        <f t="shared" si="4"/>
        <v>45.6</v>
      </c>
      <c r="S63" s="292">
        <v>4</v>
      </c>
      <c r="T63" s="838"/>
      <c r="U63" s="836"/>
      <c r="V63" s="299" t="s">
        <v>472</v>
      </c>
      <c r="W63" s="292" t="s">
        <v>20</v>
      </c>
      <c r="X63" s="292" t="s">
        <v>12</v>
      </c>
      <c r="Y63" s="300">
        <v>45.6</v>
      </c>
      <c r="AD63" s="299"/>
      <c r="AG63" s="300"/>
      <c r="AL63" s="299"/>
      <c r="AO63" s="300"/>
      <c r="AP63" s="299"/>
      <c r="AS63" s="300"/>
      <c r="AW63" s="300"/>
      <c r="BA63" s="301"/>
    </row>
    <row r="64" spans="1:53" s="292" customFormat="1">
      <c r="A64" s="338">
        <v>1988</v>
      </c>
      <c r="B64" s="836"/>
      <c r="C64" s="916" t="s">
        <v>600</v>
      </c>
      <c r="D64" s="916"/>
      <c r="E64" s="292">
        <v>277</v>
      </c>
      <c r="G64" s="366"/>
      <c r="I64" s="292">
        <v>20</v>
      </c>
      <c r="J64" s="377">
        <v>20</v>
      </c>
      <c r="K64" s="336">
        <f t="shared" si="5"/>
        <v>0</v>
      </c>
      <c r="L64" s="336">
        <f t="shared" si="5"/>
        <v>0</v>
      </c>
      <c r="M64" s="336">
        <f t="shared" si="5"/>
        <v>100</v>
      </c>
      <c r="N64" s="336">
        <f t="shared" si="3"/>
        <v>100</v>
      </c>
      <c r="O64" s="335"/>
      <c r="P64" s="336"/>
      <c r="Q64" s="336">
        <v>45.6</v>
      </c>
      <c r="R64" s="337">
        <f t="shared" si="4"/>
        <v>45.6</v>
      </c>
      <c r="S64" s="292">
        <v>4</v>
      </c>
      <c r="T64" s="838"/>
      <c r="U64" s="836"/>
      <c r="V64" s="299" t="s">
        <v>472</v>
      </c>
      <c r="W64" s="292" t="s">
        <v>20</v>
      </c>
      <c r="X64" s="292" t="s">
        <v>12</v>
      </c>
      <c r="Y64" s="300">
        <v>45.6</v>
      </c>
      <c r="AD64" s="299"/>
      <c r="AG64" s="300"/>
      <c r="AL64" s="299"/>
      <c r="AO64" s="300"/>
      <c r="AP64" s="299"/>
      <c r="AS64" s="300"/>
      <c r="AW64" s="300"/>
      <c r="BA64" s="301"/>
    </row>
    <row r="65" spans="1:53" s="185" customFormat="1">
      <c r="A65" s="101">
        <v>1988</v>
      </c>
      <c r="B65" s="852">
        <v>32420</v>
      </c>
      <c r="C65" s="917" t="s">
        <v>601</v>
      </c>
      <c r="D65" s="917"/>
      <c r="E65" s="185">
        <f>366-E64</f>
        <v>89</v>
      </c>
      <c r="F65" s="185">
        <v>1</v>
      </c>
      <c r="G65" s="119"/>
      <c r="I65" s="185">
        <v>21</v>
      </c>
      <c r="J65" s="126">
        <v>21</v>
      </c>
      <c r="K65" s="92">
        <f t="shared" si="5"/>
        <v>0</v>
      </c>
      <c r="L65" s="92">
        <f t="shared" si="5"/>
        <v>0</v>
      </c>
      <c r="M65" s="92">
        <f t="shared" si="5"/>
        <v>100</v>
      </c>
      <c r="N65" s="92">
        <f t="shared" si="3"/>
        <v>100</v>
      </c>
      <c r="O65" s="91"/>
      <c r="P65" s="92"/>
      <c r="Q65" s="92">
        <v>44.7</v>
      </c>
      <c r="R65" s="93">
        <f t="shared" si="4"/>
        <v>44.7</v>
      </c>
      <c r="S65" s="185">
        <v>4</v>
      </c>
      <c r="T65" s="839">
        <v>32404</v>
      </c>
      <c r="U65" s="852">
        <v>32420</v>
      </c>
      <c r="V65" s="82" t="s">
        <v>472</v>
      </c>
      <c r="W65" s="185" t="s">
        <v>20</v>
      </c>
      <c r="X65" s="185" t="s">
        <v>12</v>
      </c>
      <c r="Y65" s="83">
        <v>44.7</v>
      </c>
      <c r="AD65" s="82"/>
      <c r="AG65" s="83"/>
      <c r="AL65" s="82"/>
      <c r="AO65" s="83"/>
      <c r="AP65" s="82"/>
      <c r="AS65" s="83"/>
      <c r="AW65" s="83"/>
      <c r="BA65" s="84"/>
    </row>
    <row r="66" spans="1:53" s="185" customFormat="1">
      <c r="A66" s="101">
        <v>1989</v>
      </c>
      <c r="B66" s="852"/>
      <c r="C66" s="917" t="s">
        <v>601</v>
      </c>
      <c r="D66" s="917"/>
      <c r="E66" s="185">
        <v>0</v>
      </c>
      <c r="G66" s="119"/>
      <c r="I66" s="185">
        <v>21</v>
      </c>
      <c r="J66" s="126">
        <v>21</v>
      </c>
      <c r="K66" s="92">
        <f t="shared" si="5"/>
        <v>0</v>
      </c>
      <c r="L66" s="92">
        <f t="shared" si="5"/>
        <v>0</v>
      </c>
      <c r="M66" s="92">
        <f t="shared" si="5"/>
        <v>100</v>
      </c>
      <c r="N66" s="92">
        <f t="shared" si="3"/>
        <v>100</v>
      </c>
      <c r="O66" s="91"/>
      <c r="P66" s="92"/>
      <c r="Q66" s="92">
        <v>44.7</v>
      </c>
      <c r="R66" s="93">
        <f t="shared" si="4"/>
        <v>44.7</v>
      </c>
      <c r="S66" s="185">
        <v>4</v>
      </c>
      <c r="T66" s="839"/>
      <c r="U66" s="852"/>
      <c r="V66" s="82" t="s">
        <v>472</v>
      </c>
      <c r="W66" s="185" t="s">
        <v>20</v>
      </c>
      <c r="X66" s="185" t="s">
        <v>12</v>
      </c>
      <c r="Y66" s="83">
        <v>44.7</v>
      </c>
      <c r="AD66" s="82"/>
      <c r="AG66" s="83"/>
      <c r="AL66" s="82"/>
      <c r="AO66" s="83"/>
      <c r="AP66" s="82"/>
      <c r="AS66" s="83"/>
      <c r="AW66" s="83"/>
      <c r="BA66" s="84"/>
    </row>
    <row r="67" spans="1:53" s="185" customFormat="1">
      <c r="A67" s="101">
        <v>1989</v>
      </c>
      <c r="B67" s="852"/>
      <c r="C67" s="917" t="s">
        <v>601</v>
      </c>
      <c r="D67" s="917"/>
      <c r="E67" s="185">
        <f>365-E66</f>
        <v>365</v>
      </c>
      <c r="G67" s="129"/>
      <c r="H67" s="188"/>
      <c r="I67" s="188">
        <v>21</v>
      </c>
      <c r="J67" s="126">
        <v>21</v>
      </c>
      <c r="K67" s="92">
        <f t="shared" si="5"/>
        <v>0</v>
      </c>
      <c r="L67" s="92">
        <f t="shared" si="5"/>
        <v>0</v>
      </c>
      <c r="M67" s="92">
        <f t="shared" si="5"/>
        <v>100</v>
      </c>
      <c r="N67" s="92">
        <f t="shared" si="3"/>
        <v>100</v>
      </c>
      <c r="O67" s="91"/>
      <c r="P67" s="92"/>
      <c r="Q67" s="92">
        <v>44.7</v>
      </c>
      <c r="R67" s="93">
        <f t="shared" si="4"/>
        <v>44.7</v>
      </c>
      <c r="S67" s="185">
        <v>4</v>
      </c>
      <c r="T67" s="839"/>
      <c r="U67" s="852"/>
      <c r="V67" s="82" t="s">
        <v>472</v>
      </c>
      <c r="W67" s="185" t="s">
        <v>20</v>
      </c>
      <c r="X67" s="185" t="s">
        <v>12</v>
      </c>
      <c r="Y67" s="83">
        <v>44.7</v>
      </c>
      <c r="AD67" s="82"/>
      <c r="AG67" s="83"/>
      <c r="AL67" s="82"/>
      <c r="AO67" s="83"/>
      <c r="AP67" s="82"/>
      <c r="AS67" s="83"/>
      <c r="AW67" s="83"/>
      <c r="BA67" s="84"/>
    </row>
    <row r="68" spans="1:53" s="186" customFormat="1">
      <c r="A68" s="186">
        <v>1990</v>
      </c>
      <c r="B68" s="874"/>
      <c r="C68" s="960" t="s">
        <v>601</v>
      </c>
      <c r="D68" s="960"/>
      <c r="E68" s="186">
        <v>56</v>
      </c>
      <c r="G68" s="119"/>
      <c r="H68" s="185"/>
      <c r="I68" s="185">
        <v>21</v>
      </c>
      <c r="J68" s="152">
        <v>21</v>
      </c>
      <c r="K68" s="153">
        <v>0</v>
      </c>
      <c r="L68" s="153">
        <v>0</v>
      </c>
      <c r="M68" s="153">
        <v>100</v>
      </c>
      <c r="N68" s="193">
        <f t="shared" si="3"/>
        <v>100</v>
      </c>
      <c r="O68" s="155"/>
      <c r="P68" s="153"/>
      <c r="Q68" s="153">
        <v>44.7</v>
      </c>
      <c r="R68" s="156">
        <f t="shared" si="4"/>
        <v>44.7</v>
      </c>
      <c r="S68" s="186">
        <v>4</v>
      </c>
      <c r="T68" s="875"/>
      <c r="U68" s="874"/>
      <c r="V68" s="157" t="s">
        <v>472</v>
      </c>
      <c r="W68" s="186" t="s">
        <v>20</v>
      </c>
      <c r="X68" s="186" t="s">
        <v>12</v>
      </c>
      <c r="Y68" s="158">
        <v>44.7</v>
      </c>
      <c r="AD68" s="157"/>
      <c r="AG68" s="158"/>
      <c r="AL68" s="157"/>
      <c r="AO68" s="158"/>
      <c r="AP68" s="157"/>
      <c r="AS68" s="158"/>
      <c r="AW68" s="158"/>
      <c r="BA68" s="159"/>
    </row>
    <row r="69" spans="1:53" s="292" customFormat="1">
      <c r="A69" s="292">
        <v>1990</v>
      </c>
      <c r="B69" s="836">
        <v>32930</v>
      </c>
      <c r="C69" s="916" t="s">
        <v>602</v>
      </c>
      <c r="D69" s="916"/>
      <c r="E69" s="292">
        <f>365-E68</f>
        <v>309</v>
      </c>
      <c r="F69" s="292">
        <v>5</v>
      </c>
      <c r="G69" s="366"/>
      <c r="I69" s="292">
        <v>22</v>
      </c>
      <c r="J69" s="377">
        <v>22</v>
      </c>
      <c r="K69" s="336">
        <f>G69/J69*100</f>
        <v>0</v>
      </c>
      <c r="L69" s="336">
        <f>H69/J69*100</f>
        <v>0</v>
      </c>
      <c r="M69" s="336">
        <f>I69/J69*100</f>
        <v>100</v>
      </c>
      <c r="N69" s="336">
        <f t="shared" si="3"/>
        <v>100</v>
      </c>
      <c r="O69" s="335"/>
      <c r="P69" s="336"/>
      <c r="Q69" s="336">
        <v>44.7</v>
      </c>
      <c r="R69" s="337">
        <f t="shared" si="4"/>
        <v>44.7</v>
      </c>
      <c r="S69" s="292">
        <v>4</v>
      </c>
      <c r="T69" s="838"/>
      <c r="U69" s="836">
        <v>32930</v>
      </c>
      <c r="V69" s="299" t="s">
        <v>472</v>
      </c>
      <c r="W69" s="292" t="s">
        <v>20</v>
      </c>
      <c r="X69" s="292" t="s">
        <v>12</v>
      </c>
      <c r="Y69" s="300">
        <v>44.7</v>
      </c>
      <c r="AD69" s="299"/>
      <c r="AG69" s="300"/>
      <c r="AL69" s="299"/>
      <c r="AO69" s="300"/>
      <c r="AP69" s="299"/>
      <c r="AS69" s="300"/>
      <c r="AW69" s="300"/>
      <c r="BA69" s="301"/>
    </row>
    <row r="70" spans="1:53" s="292" customFormat="1">
      <c r="A70" s="292">
        <v>1991</v>
      </c>
      <c r="B70" s="836"/>
      <c r="C70" s="916" t="s">
        <v>602</v>
      </c>
      <c r="D70" s="916"/>
      <c r="E70" s="292">
        <v>275</v>
      </c>
      <c r="G70" s="366"/>
      <c r="I70" s="292">
        <v>22</v>
      </c>
      <c r="J70" s="377">
        <v>22</v>
      </c>
      <c r="K70" s="336">
        <f>G70/J70*100</f>
        <v>0</v>
      </c>
      <c r="L70" s="336">
        <f>H70/J70*100</f>
        <v>0</v>
      </c>
      <c r="M70" s="336">
        <f>I70/J70*100</f>
        <v>100</v>
      </c>
      <c r="N70" s="336">
        <f t="shared" si="3"/>
        <v>100</v>
      </c>
      <c r="O70" s="335"/>
      <c r="P70" s="336"/>
      <c r="Q70" s="336">
        <v>44.7</v>
      </c>
      <c r="R70" s="337">
        <f t="shared" si="4"/>
        <v>44.7</v>
      </c>
      <c r="S70" s="292">
        <v>4</v>
      </c>
      <c r="T70" s="838"/>
      <c r="U70" s="836"/>
      <c r="V70" s="299" t="s">
        <v>472</v>
      </c>
      <c r="W70" s="292" t="s">
        <v>20</v>
      </c>
      <c r="X70" s="292" t="s">
        <v>12</v>
      </c>
      <c r="Y70" s="300">
        <v>44.7</v>
      </c>
      <c r="AD70" s="299"/>
      <c r="AG70" s="300"/>
      <c r="AL70" s="299"/>
      <c r="AO70" s="300"/>
      <c r="AP70" s="299"/>
      <c r="AS70" s="300"/>
      <c r="AW70" s="300"/>
      <c r="BA70" s="301"/>
    </row>
    <row r="71" spans="1:53" s="185" customFormat="1">
      <c r="A71" s="185">
        <v>1991</v>
      </c>
      <c r="B71" s="852">
        <v>33514</v>
      </c>
      <c r="C71" s="917" t="s">
        <v>603</v>
      </c>
      <c r="D71" s="917"/>
      <c r="E71" s="185">
        <f>365-E70</f>
        <v>90</v>
      </c>
      <c r="F71" s="185">
        <v>1</v>
      </c>
      <c r="G71" s="119">
        <v>13</v>
      </c>
      <c r="H71" s="185">
        <v>7</v>
      </c>
      <c r="J71" s="126">
        <v>21</v>
      </c>
      <c r="K71" s="92">
        <f>G71/J71*100</f>
        <v>61.904761904761905</v>
      </c>
      <c r="L71" s="92">
        <f>H71/J71*100</f>
        <v>33.333333333333329</v>
      </c>
      <c r="M71" s="92">
        <f>I71/J71*100</f>
        <v>0</v>
      </c>
      <c r="N71" s="92">
        <f t="shared" si="3"/>
        <v>95.238095238095241</v>
      </c>
      <c r="O71" s="91">
        <v>32.4</v>
      </c>
      <c r="P71" s="92">
        <v>16.3</v>
      </c>
      <c r="Q71" s="92"/>
      <c r="R71" s="93">
        <f t="shared" si="4"/>
        <v>48.7</v>
      </c>
      <c r="S71" s="185">
        <v>5</v>
      </c>
      <c r="T71" s="839">
        <v>33496</v>
      </c>
      <c r="U71" s="852">
        <v>33514</v>
      </c>
      <c r="V71" s="82" t="s">
        <v>475</v>
      </c>
      <c r="W71" s="185" t="s">
        <v>74</v>
      </c>
      <c r="X71" s="185" t="s">
        <v>11</v>
      </c>
      <c r="Y71" s="83">
        <v>22.9</v>
      </c>
      <c r="Z71" s="185" t="s">
        <v>474</v>
      </c>
      <c r="AA71" s="185" t="s">
        <v>22</v>
      </c>
      <c r="AB71" s="185" t="s">
        <v>11</v>
      </c>
      <c r="AC71" s="185">
        <v>9.5</v>
      </c>
      <c r="AD71" s="82" t="s">
        <v>473</v>
      </c>
      <c r="AE71" s="185" t="s">
        <v>75</v>
      </c>
      <c r="AF71" s="185" t="s">
        <v>18</v>
      </c>
      <c r="AG71" s="83">
        <v>8.9</v>
      </c>
      <c r="AH71" s="82" t="s">
        <v>476</v>
      </c>
      <c r="AI71" s="185" t="s">
        <v>17</v>
      </c>
      <c r="AJ71" s="185" t="s">
        <v>18</v>
      </c>
      <c r="AK71" s="185">
        <v>7.4</v>
      </c>
      <c r="AL71" s="82"/>
      <c r="AO71" s="83"/>
      <c r="AP71" s="82"/>
      <c r="AS71" s="83"/>
      <c r="AW71" s="83"/>
      <c r="BA71" s="84"/>
    </row>
    <row r="72" spans="1:53" s="185" customFormat="1">
      <c r="A72" s="185">
        <v>1992</v>
      </c>
      <c r="B72" s="852"/>
      <c r="C72" s="917" t="s">
        <v>603</v>
      </c>
      <c r="D72" s="917"/>
      <c r="E72" s="185">
        <v>0</v>
      </c>
      <c r="G72" s="119">
        <v>13</v>
      </c>
      <c r="H72" s="185">
        <v>6</v>
      </c>
      <c r="J72" s="126">
        <v>20</v>
      </c>
      <c r="K72" s="92">
        <f>G72/J72*100</f>
        <v>65</v>
      </c>
      <c r="L72" s="92">
        <f>H72/J72*100</f>
        <v>30</v>
      </c>
      <c r="M72" s="92">
        <f>I72/J72*100</f>
        <v>0</v>
      </c>
      <c r="N72" s="92">
        <f t="shared" si="3"/>
        <v>95</v>
      </c>
      <c r="O72" s="91">
        <v>32.4</v>
      </c>
      <c r="P72" s="92">
        <v>16.3</v>
      </c>
      <c r="Q72" s="92"/>
      <c r="R72" s="93">
        <f t="shared" si="4"/>
        <v>48.7</v>
      </c>
      <c r="S72" s="185">
        <v>5</v>
      </c>
      <c r="T72" s="839"/>
      <c r="U72" s="852"/>
      <c r="V72" s="82" t="s">
        <v>475</v>
      </c>
      <c r="W72" s="185" t="s">
        <v>74</v>
      </c>
      <c r="X72" s="185" t="s">
        <v>11</v>
      </c>
      <c r="Y72" s="83">
        <v>22.9</v>
      </c>
      <c r="Z72" s="185" t="s">
        <v>474</v>
      </c>
      <c r="AA72" s="185" t="s">
        <v>22</v>
      </c>
      <c r="AB72" s="185" t="s">
        <v>11</v>
      </c>
      <c r="AC72" s="185">
        <v>9.5</v>
      </c>
      <c r="AD72" s="82" t="s">
        <v>473</v>
      </c>
      <c r="AE72" s="185" t="s">
        <v>75</v>
      </c>
      <c r="AF72" s="185" t="s">
        <v>18</v>
      </c>
      <c r="AG72" s="83">
        <v>8.9</v>
      </c>
      <c r="AH72" s="82" t="s">
        <v>476</v>
      </c>
      <c r="AI72" s="185" t="s">
        <v>17</v>
      </c>
      <c r="AJ72" s="185" t="s">
        <v>18</v>
      </c>
      <c r="AK72" s="185">
        <v>7.4</v>
      </c>
      <c r="AL72" s="82"/>
      <c r="AO72" s="83"/>
      <c r="AP72" s="82"/>
      <c r="AS72" s="83"/>
      <c r="AW72" s="83"/>
      <c r="BA72" s="84"/>
    </row>
    <row r="73" spans="1:53" s="185" customFormat="1">
      <c r="A73" s="185">
        <v>1992</v>
      </c>
      <c r="B73" s="852"/>
      <c r="C73" s="917" t="s">
        <v>603</v>
      </c>
      <c r="D73" s="917"/>
      <c r="E73" s="185">
        <v>366</v>
      </c>
      <c r="G73" s="119">
        <v>13</v>
      </c>
      <c r="H73" s="185">
        <v>6</v>
      </c>
      <c r="J73" s="126">
        <v>20</v>
      </c>
      <c r="K73" s="92">
        <f>G73/J73*100</f>
        <v>65</v>
      </c>
      <c r="L73" s="92">
        <f>H73/J73*100</f>
        <v>30</v>
      </c>
      <c r="M73" s="92">
        <f>I73/J73*100</f>
        <v>0</v>
      </c>
      <c r="N73" s="92">
        <f t="shared" ref="N73:N115" si="6">K73+L73+M73</f>
        <v>95</v>
      </c>
      <c r="O73" s="91">
        <v>32.4</v>
      </c>
      <c r="P73" s="92">
        <v>16.3</v>
      </c>
      <c r="Q73" s="92"/>
      <c r="R73" s="93">
        <f t="shared" si="4"/>
        <v>48.7</v>
      </c>
      <c r="S73" s="185">
        <v>5</v>
      </c>
      <c r="T73" s="839"/>
      <c r="U73" s="852"/>
      <c r="V73" s="82" t="s">
        <v>475</v>
      </c>
      <c r="W73" s="185" t="s">
        <v>74</v>
      </c>
      <c r="X73" s="185" t="s">
        <v>11</v>
      </c>
      <c r="Y73" s="83">
        <v>22.9</v>
      </c>
      <c r="Z73" s="185" t="s">
        <v>474</v>
      </c>
      <c r="AA73" s="185" t="s">
        <v>22</v>
      </c>
      <c r="AB73" s="185" t="s">
        <v>11</v>
      </c>
      <c r="AC73" s="185">
        <v>9.5</v>
      </c>
      <c r="AD73" s="82" t="s">
        <v>473</v>
      </c>
      <c r="AE73" s="185" t="s">
        <v>75</v>
      </c>
      <c r="AF73" s="185" t="s">
        <v>18</v>
      </c>
      <c r="AG73" s="83">
        <v>8.9</v>
      </c>
      <c r="AH73" s="82" t="s">
        <v>476</v>
      </c>
      <c r="AI73" s="185" t="s">
        <v>17</v>
      </c>
      <c r="AJ73" s="185" t="s">
        <v>18</v>
      </c>
      <c r="AK73" s="185">
        <v>7.4</v>
      </c>
      <c r="AL73" s="82"/>
      <c r="AO73" s="83"/>
      <c r="AP73" s="82"/>
      <c r="AS73" s="83"/>
      <c r="AW73" s="83"/>
      <c r="BA73" s="84"/>
    </row>
    <row r="74" spans="1:53" s="185" customFormat="1">
      <c r="A74" s="185">
        <v>1993</v>
      </c>
      <c r="B74" s="852"/>
      <c r="C74" s="917" t="s">
        <v>603</v>
      </c>
      <c r="D74" s="917"/>
      <c r="E74" s="185">
        <v>0</v>
      </c>
      <c r="G74" s="119">
        <v>13</v>
      </c>
      <c r="H74" s="185">
        <v>7</v>
      </c>
      <c r="J74" s="126">
        <v>21</v>
      </c>
      <c r="K74" s="92">
        <f t="shared" ref="K74:K109" si="7">G74/J74*100</f>
        <v>61.904761904761905</v>
      </c>
      <c r="L74" s="92">
        <f t="shared" ref="L74:L109" si="8">H74/J74*100</f>
        <v>33.333333333333329</v>
      </c>
      <c r="M74" s="92">
        <f t="shared" ref="M74:M109" si="9">I74/J74*100</f>
        <v>0</v>
      </c>
      <c r="N74" s="92">
        <f t="shared" si="6"/>
        <v>95.238095238095241</v>
      </c>
      <c r="O74" s="91">
        <v>32.4</v>
      </c>
      <c r="P74" s="92">
        <v>16.3</v>
      </c>
      <c r="Q74" s="92"/>
      <c r="R74" s="93">
        <f t="shared" ref="R74:R115" si="10">O74+P74+Q74</f>
        <v>48.7</v>
      </c>
      <c r="S74" s="185">
        <v>5</v>
      </c>
      <c r="T74" s="839"/>
      <c r="U74" s="852"/>
      <c r="V74" s="82" t="s">
        <v>475</v>
      </c>
      <c r="W74" s="185" t="s">
        <v>74</v>
      </c>
      <c r="X74" s="185" t="s">
        <v>11</v>
      </c>
      <c r="Y74" s="83">
        <v>22.9</v>
      </c>
      <c r="Z74" s="185" t="s">
        <v>474</v>
      </c>
      <c r="AA74" s="185" t="s">
        <v>22</v>
      </c>
      <c r="AB74" s="185" t="s">
        <v>11</v>
      </c>
      <c r="AC74" s="185">
        <v>9.5</v>
      </c>
      <c r="AD74" s="82" t="s">
        <v>473</v>
      </c>
      <c r="AE74" s="185" t="s">
        <v>75</v>
      </c>
      <c r="AF74" s="185" t="s">
        <v>18</v>
      </c>
      <c r="AG74" s="83">
        <v>8.9</v>
      </c>
      <c r="AH74" s="82" t="s">
        <v>476</v>
      </c>
      <c r="AI74" s="185" t="s">
        <v>17</v>
      </c>
      <c r="AJ74" s="185" t="s">
        <v>18</v>
      </c>
      <c r="AK74" s="185">
        <v>7.4</v>
      </c>
      <c r="AL74" s="82"/>
      <c r="AO74" s="83"/>
      <c r="AP74" s="82"/>
      <c r="AS74" s="83"/>
      <c r="AW74" s="83"/>
      <c r="BA74" s="84"/>
    </row>
    <row r="75" spans="1:53" s="185" customFormat="1">
      <c r="A75" s="185">
        <v>1993</v>
      </c>
      <c r="B75" s="852"/>
      <c r="C75" s="917" t="s">
        <v>603</v>
      </c>
      <c r="D75" s="917"/>
      <c r="E75" s="185">
        <f>365-E74</f>
        <v>365</v>
      </c>
      <c r="G75" s="119">
        <v>13</v>
      </c>
      <c r="H75" s="185">
        <v>7</v>
      </c>
      <c r="J75" s="126">
        <v>21</v>
      </c>
      <c r="K75" s="92">
        <f t="shared" si="7"/>
        <v>61.904761904761905</v>
      </c>
      <c r="L75" s="92">
        <f t="shared" si="8"/>
        <v>33.333333333333329</v>
      </c>
      <c r="M75" s="92">
        <f t="shared" si="9"/>
        <v>0</v>
      </c>
      <c r="N75" s="92">
        <f t="shared" si="6"/>
        <v>95.238095238095241</v>
      </c>
      <c r="O75" s="91">
        <v>32.4</v>
      </c>
      <c r="P75" s="92">
        <v>16.3</v>
      </c>
      <c r="Q75" s="92"/>
      <c r="R75" s="93">
        <f t="shared" si="10"/>
        <v>48.7</v>
      </c>
      <c r="S75" s="185">
        <v>5</v>
      </c>
      <c r="T75" s="839"/>
      <c r="U75" s="852"/>
      <c r="V75" s="82" t="s">
        <v>475</v>
      </c>
      <c r="W75" s="185" t="s">
        <v>74</v>
      </c>
      <c r="X75" s="185" t="s">
        <v>11</v>
      </c>
      <c r="Y75" s="83">
        <v>22.9</v>
      </c>
      <c r="Z75" s="185" t="s">
        <v>474</v>
      </c>
      <c r="AA75" s="185" t="s">
        <v>22</v>
      </c>
      <c r="AB75" s="185" t="s">
        <v>11</v>
      </c>
      <c r="AC75" s="185">
        <v>9.5</v>
      </c>
      <c r="AD75" s="82" t="s">
        <v>473</v>
      </c>
      <c r="AE75" s="185" t="s">
        <v>75</v>
      </c>
      <c r="AF75" s="185" t="s">
        <v>18</v>
      </c>
      <c r="AG75" s="83">
        <v>8.9</v>
      </c>
      <c r="AH75" s="82" t="s">
        <v>476</v>
      </c>
      <c r="AI75" s="185" t="s">
        <v>17</v>
      </c>
      <c r="AJ75" s="185" t="s">
        <v>18</v>
      </c>
      <c r="AK75" s="185">
        <v>7.4</v>
      </c>
      <c r="AL75" s="82"/>
      <c r="AO75" s="83"/>
      <c r="AP75" s="82"/>
      <c r="AS75" s="83"/>
      <c r="AW75" s="83"/>
      <c r="BA75" s="84"/>
    </row>
    <row r="76" spans="1:53" s="185" customFormat="1">
      <c r="A76" s="185">
        <v>1994</v>
      </c>
      <c r="B76" s="852"/>
      <c r="C76" s="917" t="s">
        <v>603</v>
      </c>
      <c r="D76" s="917"/>
      <c r="E76" s="185">
        <v>278</v>
      </c>
      <c r="G76" s="119">
        <v>13</v>
      </c>
      <c r="H76" s="185">
        <v>7</v>
      </c>
      <c r="J76" s="126">
        <v>21</v>
      </c>
      <c r="K76" s="92">
        <f t="shared" si="7"/>
        <v>61.904761904761905</v>
      </c>
      <c r="L76" s="92">
        <f t="shared" si="8"/>
        <v>33.333333333333329</v>
      </c>
      <c r="M76" s="92">
        <f t="shared" si="9"/>
        <v>0</v>
      </c>
      <c r="N76" s="92">
        <f t="shared" si="6"/>
        <v>95.238095238095241</v>
      </c>
      <c r="O76" s="91">
        <v>32.4</v>
      </c>
      <c r="P76" s="92">
        <v>16.3</v>
      </c>
      <c r="Q76" s="92"/>
      <c r="R76" s="93">
        <f t="shared" si="10"/>
        <v>48.7</v>
      </c>
      <c r="S76" s="185">
        <v>5</v>
      </c>
      <c r="T76" s="839"/>
      <c r="U76" s="852"/>
      <c r="V76" s="82" t="s">
        <v>475</v>
      </c>
      <c r="W76" s="185" t="s">
        <v>74</v>
      </c>
      <c r="X76" s="185" t="s">
        <v>11</v>
      </c>
      <c r="Y76" s="83">
        <v>22.9</v>
      </c>
      <c r="Z76" s="185" t="s">
        <v>474</v>
      </c>
      <c r="AA76" s="185" t="s">
        <v>22</v>
      </c>
      <c r="AB76" s="185" t="s">
        <v>11</v>
      </c>
      <c r="AC76" s="185">
        <v>9.5</v>
      </c>
      <c r="AD76" s="82" t="s">
        <v>473</v>
      </c>
      <c r="AE76" s="185" t="s">
        <v>75</v>
      </c>
      <c r="AF76" s="185" t="s">
        <v>18</v>
      </c>
      <c r="AG76" s="83">
        <v>8.9</v>
      </c>
      <c r="AH76" s="82" t="s">
        <v>476</v>
      </c>
      <c r="AI76" s="185" t="s">
        <v>17</v>
      </c>
      <c r="AJ76" s="185" t="s">
        <v>18</v>
      </c>
      <c r="AK76" s="185">
        <v>7.4</v>
      </c>
      <c r="AL76" s="82"/>
      <c r="AO76" s="83"/>
      <c r="AP76" s="82"/>
      <c r="AS76" s="83"/>
      <c r="AW76" s="83"/>
      <c r="BA76" s="84"/>
    </row>
    <row r="77" spans="1:53" s="292" customFormat="1">
      <c r="A77" s="292">
        <v>1994</v>
      </c>
      <c r="B77" s="836">
        <v>34613</v>
      </c>
      <c r="C77" s="916" t="s">
        <v>604</v>
      </c>
      <c r="D77" s="916"/>
      <c r="E77" s="292">
        <f>365-E76</f>
        <v>87</v>
      </c>
      <c r="F77" s="292">
        <v>1</v>
      </c>
      <c r="G77" s="366"/>
      <c r="I77" s="292">
        <v>22</v>
      </c>
      <c r="J77" s="377">
        <v>22</v>
      </c>
      <c r="K77" s="336">
        <f t="shared" si="7"/>
        <v>0</v>
      </c>
      <c r="L77" s="336">
        <f t="shared" si="8"/>
        <v>0</v>
      </c>
      <c r="M77" s="336">
        <f t="shared" si="9"/>
        <v>100</v>
      </c>
      <c r="N77" s="336">
        <f t="shared" si="6"/>
        <v>100</v>
      </c>
      <c r="O77" s="335"/>
      <c r="P77" s="336"/>
      <c r="Q77" s="336">
        <v>46.1</v>
      </c>
      <c r="R77" s="337">
        <f t="shared" si="10"/>
        <v>46.1</v>
      </c>
      <c r="S77" s="292">
        <v>4</v>
      </c>
      <c r="T77" s="838">
        <v>34595</v>
      </c>
      <c r="U77" s="836">
        <v>34613</v>
      </c>
      <c r="V77" s="299" t="s">
        <v>472</v>
      </c>
      <c r="W77" s="292" t="s">
        <v>20</v>
      </c>
      <c r="X77" s="292" t="s">
        <v>12</v>
      </c>
      <c r="Y77" s="300">
        <v>46.1</v>
      </c>
      <c r="AD77" s="299"/>
      <c r="AG77" s="300"/>
      <c r="AL77" s="299"/>
      <c r="AO77" s="300"/>
      <c r="AP77" s="299"/>
      <c r="AS77" s="300"/>
      <c r="AW77" s="300"/>
      <c r="BA77" s="301"/>
    </row>
    <row r="78" spans="1:53" s="292" customFormat="1">
      <c r="A78" s="292">
        <v>1995</v>
      </c>
      <c r="B78" s="836"/>
      <c r="C78" s="916" t="s">
        <v>604</v>
      </c>
      <c r="D78" s="916"/>
      <c r="E78" s="292">
        <v>0</v>
      </c>
      <c r="G78" s="366"/>
      <c r="I78" s="292">
        <v>22</v>
      </c>
      <c r="J78" s="377">
        <v>22</v>
      </c>
      <c r="K78" s="336">
        <f t="shared" si="7"/>
        <v>0</v>
      </c>
      <c r="L78" s="336">
        <f t="shared" si="8"/>
        <v>0</v>
      </c>
      <c r="M78" s="336">
        <f t="shared" si="9"/>
        <v>100</v>
      </c>
      <c r="N78" s="336">
        <f t="shared" si="6"/>
        <v>100</v>
      </c>
      <c r="O78" s="335"/>
      <c r="P78" s="336"/>
      <c r="Q78" s="336">
        <v>46.1</v>
      </c>
      <c r="R78" s="337">
        <f t="shared" si="10"/>
        <v>46.1</v>
      </c>
      <c r="S78" s="292">
        <v>4</v>
      </c>
      <c r="T78" s="838"/>
      <c r="U78" s="836"/>
      <c r="V78" s="299" t="s">
        <v>472</v>
      </c>
      <c r="W78" s="292" t="s">
        <v>20</v>
      </c>
      <c r="X78" s="292" t="s">
        <v>12</v>
      </c>
      <c r="Y78" s="300">
        <v>46.1</v>
      </c>
      <c r="AD78" s="299"/>
      <c r="AG78" s="300"/>
      <c r="AL78" s="299"/>
      <c r="AO78" s="300"/>
      <c r="AP78" s="299"/>
      <c r="AS78" s="300"/>
      <c r="AW78" s="300"/>
      <c r="BA78" s="301"/>
    </row>
    <row r="79" spans="1:53" s="292" customFormat="1">
      <c r="A79" s="292">
        <v>1995</v>
      </c>
      <c r="B79" s="836"/>
      <c r="C79" s="916" t="s">
        <v>604</v>
      </c>
      <c r="D79" s="916"/>
      <c r="E79" s="292">
        <f>365-E78</f>
        <v>365</v>
      </c>
      <c r="G79" s="366"/>
      <c r="I79" s="292">
        <v>22</v>
      </c>
      <c r="J79" s="377">
        <v>22</v>
      </c>
      <c r="K79" s="336">
        <f t="shared" si="7"/>
        <v>0</v>
      </c>
      <c r="L79" s="336">
        <f t="shared" si="8"/>
        <v>0</v>
      </c>
      <c r="M79" s="336">
        <f t="shared" si="9"/>
        <v>100</v>
      </c>
      <c r="N79" s="336">
        <f t="shared" si="6"/>
        <v>100</v>
      </c>
      <c r="O79" s="335"/>
      <c r="P79" s="336"/>
      <c r="Q79" s="336">
        <v>46.1</v>
      </c>
      <c r="R79" s="337">
        <f t="shared" si="10"/>
        <v>46.1</v>
      </c>
      <c r="S79" s="292">
        <v>4</v>
      </c>
      <c r="T79" s="838"/>
      <c r="U79" s="836"/>
      <c r="V79" s="299" t="s">
        <v>472</v>
      </c>
      <c r="W79" s="292" t="s">
        <v>20</v>
      </c>
      <c r="X79" s="292" t="s">
        <v>12</v>
      </c>
      <c r="Y79" s="300">
        <v>46.1</v>
      </c>
      <c r="AD79" s="299"/>
      <c r="AG79" s="300"/>
      <c r="AL79" s="299"/>
      <c r="AO79" s="300"/>
      <c r="AP79" s="299"/>
      <c r="AS79" s="300"/>
      <c r="AW79" s="300"/>
      <c r="BA79" s="301"/>
    </row>
    <row r="80" spans="1:53" s="292" customFormat="1">
      <c r="A80" s="292">
        <v>1996</v>
      </c>
      <c r="B80" s="836"/>
      <c r="C80" s="916" t="s">
        <v>604</v>
      </c>
      <c r="D80" s="916"/>
      <c r="E80" s="292">
        <v>81</v>
      </c>
      <c r="G80" s="366"/>
      <c r="I80" s="292">
        <v>21</v>
      </c>
      <c r="J80" s="377">
        <v>21</v>
      </c>
      <c r="K80" s="336">
        <f t="shared" si="7"/>
        <v>0</v>
      </c>
      <c r="L80" s="336">
        <f t="shared" si="8"/>
        <v>0</v>
      </c>
      <c r="M80" s="336">
        <f t="shared" si="9"/>
        <v>100</v>
      </c>
      <c r="N80" s="336">
        <f t="shared" si="6"/>
        <v>100</v>
      </c>
      <c r="O80" s="335"/>
      <c r="P80" s="336"/>
      <c r="Q80" s="336">
        <v>46.1</v>
      </c>
      <c r="R80" s="337">
        <f t="shared" si="10"/>
        <v>46.1</v>
      </c>
      <c r="S80" s="292">
        <v>4</v>
      </c>
      <c r="T80" s="838"/>
      <c r="U80" s="836"/>
      <c r="V80" s="299" t="s">
        <v>472</v>
      </c>
      <c r="W80" s="292" t="s">
        <v>20</v>
      </c>
      <c r="X80" s="292" t="s">
        <v>12</v>
      </c>
      <c r="Y80" s="300">
        <v>46.1</v>
      </c>
      <c r="AD80" s="299"/>
      <c r="AG80" s="300"/>
      <c r="AL80" s="299"/>
      <c r="AO80" s="300"/>
      <c r="AP80" s="299"/>
      <c r="AS80" s="300"/>
      <c r="AW80" s="300"/>
      <c r="BA80" s="301"/>
    </row>
    <row r="81" spans="1:53" s="185" customFormat="1">
      <c r="A81" s="185">
        <v>1996</v>
      </c>
      <c r="B81" s="852">
        <v>35146</v>
      </c>
      <c r="C81" s="917" t="s">
        <v>605</v>
      </c>
      <c r="D81" s="917"/>
      <c r="E81" s="185">
        <f>366-E80</f>
        <v>285</v>
      </c>
      <c r="F81" s="185">
        <v>2</v>
      </c>
      <c r="G81" s="119"/>
      <c r="I81" s="185">
        <v>22</v>
      </c>
      <c r="J81" s="126">
        <v>22</v>
      </c>
      <c r="K81" s="92">
        <f t="shared" si="7"/>
        <v>0</v>
      </c>
      <c r="L81" s="92">
        <f t="shared" si="8"/>
        <v>0</v>
      </c>
      <c r="M81" s="92">
        <f t="shared" si="9"/>
        <v>100</v>
      </c>
      <c r="N81" s="92">
        <f t="shared" si="6"/>
        <v>100</v>
      </c>
      <c r="O81" s="91"/>
      <c r="P81" s="92"/>
      <c r="Q81" s="92">
        <v>46.1</v>
      </c>
      <c r="R81" s="93">
        <f t="shared" si="10"/>
        <v>46.1</v>
      </c>
      <c r="S81" s="185">
        <v>4</v>
      </c>
      <c r="T81" s="839"/>
      <c r="U81" s="852">
        <v>35146</v>
      </c>
      <c r="V81" s="82" t="s">
        <v>472</v>
      </c>
      <c r="W81" s="185" t="s">
        <v>20</v>
      </c>
      <c r="X81" s="185" t="s">
        <v>12</v>
      </c>
      <c r="Y81" s="83">
        <v>46.1</v>
      </c>
      <c r="AD81" s="82"/>
      <c r="AG81" s="83"/>
      <c r="AL81" s="82"/>
      <c r="AO81" s="83"/>
      <c r="AP81" s="82"/>
      <c r="AS81" s="83"/>
      <c r="AW81" s="83"/>
      <c r="BA81" s="84"/>
    </row>
    <row r="82" spans="1:53" s="185" customFormat="1">
      <c r="A82" s="185">
        <v>1997</v>
      </c>
      <c r="B82" s="852"/>
      <c r="C82" s="917" t="s">
        <v>605</v>
      </c>
      <c r="D82" s="917"/>
      <c r="E82" s="185">
        <v>0</v>
      </c>
      <c r="G82" s="119"/>
      <c r="I82" s="185">
        <v>22</v>
      </c>
      <c r="J82" s="126">
        <v>22</v>
      </c>
      <c r="K82" s="92">
        <f t="shared" si="7"/>
        <v>0</v>
      </c>
      <c r="L82" s="92">
        <f t="shared" si="8"/>
        <v>0</v>
      </c>
      <c r="M82" s="92">
        <f t="shared" si="9"/>
        <v>100</v>
      </c>
      <c r="N82" s="92">
        <f t="shared" si="6"/>
        <v>100</v>
      </c>
      <c r="O82" s="91"/>
      <c r="P82" s="92"/>
      <c r="Q82" s="92">
        <v>46.1</v>
      </c>
      <c r="R82" s="93">
        <f t="shared" si="10"/>
        <v>46.1</v>
      </c>
      <c r="S82" s="185">
        <v>4</v>
      </c>
      <c r="T82" s="839"/>
      <c r="U82" s="852"/>
      <c r="V82" s="82" t="s">
        <v>472</v>
      </c>
      <c r="W82" s="185" t="s">
        <v>20</v>
      </c>
      <c r="X82" s="185" t="s">
        <v>12</v>
      </c>
      <c r="Y82" s="83">
        <v>46.1</v>
      </c>
      <c r="AD82" s="82"/>
      <c r="AG82" s="83"/>
      <c r="AL82" s="82"/>
      <c r="AO82" s="83"/>
      <c r="AP82" s="82"/>
      <c r="AS82" s="83"/>
      <c r="AW82" s="83"/>
      <c r="BA82" s="84"/>
    </row>
    <row r="83" spans="1:53" s="185" customFormat="1">
      <c r="A83" s="185">
        <v>1997</v>
      </c>
      <c r="B83" s="852"/>
      <c r="C83" s="917" t="s">
        <v>605</v>
      </c>
      <c r="D83" s="917"/>
      <c r="E83" s="185">
        <f>365-E82</f>
        <v>365</v>
      </c>
      <c r="G83" s="119"/>
      <c r="I83" s="185">
        <v>22</v>
      </c>
      <c r="J83" s="126">
        <v>22</v>
      </c>
      <c r="K83" s="92">
        <f t="shared" si="7"/>
        <v>0</v>
      </c>
      <c r="L83" s="92">
        <f t="shared" si="8"/>
        <v>0</v>
      </c>
      <c r="M83" s="92">
        <f t="shared" si="9"/>
        <v>100</v>
      </c>
      <c r="N83" s="92">
        <f t="shared" si="6"/>
        <v>100</v>
      </c>
      <c r="O83" s="91"/>
      <c r="P83" s="92"/>
      <c r="Q83" s="92">
        <v>46.1</v>
      </c>
      <c r="R83" s="93">
        <f t="shared" si="10"/>
        <v>46.1</v>
      </c>
      <c r="S83" s="185">
        <v>4</v>
      </c>
      <c r="T83" s="839"/>
      <c r="U83" s="852"/>
      <c r="V83" s="82" t="s">
        <v>472</v>
      </c>
      <c r="W83" s="185" t="s">
        <v>20</v>
      </c>
      <c r="X83" s="185" t="s">
        <v>12</v>
      </c>
      <c r="Y83" s="83">
        <v>46.1</v>
      </c>
      <c r="AD83" s="82"/>
      <c r="AG83" s="83"/>
      <c r="AL83" s="82"/>
      <c r="AO83" s="83"/>
      <c r="AP83" s="82"/>
      <c r="AS83" s="83"/>
      <c r="AW83" s="83"/>
      <c r="BA83" s="84"/>
    </row>
    <row r="84" spans="1:53" s="185" customFormat="1">
      <c r="A84" s="185">
        <v>1998</v>
      </c>
      <c r="B84" s="852"/>
      <c r="C84" s="917" t="s">
        <v>605</v>
      </c>
      <c r="D84" s="917"/>
      <c r="E84" s="185">
        <v>278</v>
      </c>
      <c r="G84" s="119"/>
      <c r="I84" s="185">
        <v>22</v>
      </c>
      <c r="J84" s="126">
        <v>22</v>
      </c>
      <c r="K84" s="92">
        <f t="shared" si="7"/>
        <v>0</v>
      </c>
      <c r="L84" s="92">
        <f t="shared" si="8"/>
        <v>0</v>
      </c>
      <c r="M84" s="92">
        <f t="shared" si="9"/>
        <v>100</v>
      </c>
      <c r="N84" s="92">
        <f t="shared" si="6"/>
        <v>100</v>
      </c>
      <c r="O84" s="91"/>
      <c r="P84" s="92"/>
      <c r="Q84" s="92">
        <v>46.1</v>
      </c>
      <c r="R84" s="93">
        <f t="shared" si="10"/>
        <v>46.1</v>
      </c>
      <c r="S84" s="185">
        <v>4</v>
      </c>
      <c r="T84" s="839"/>
      <c r="U84" s="852"/>
      <c r="V84" s="82" t="s">
        <v>472</v>
      </c>
      <c r="W84" s="185" t="s">
        <v>20</v>
      </c>
      <c r="X84" s="185" t="s">
        <v>12</v>
      </c>
      <c r="Y84" s="83">
        <v>46.1</v>
      </c>
      <c r="AD84" s="82"/>
      <c r="AG84" s="83"/>
      <c r="AL84" s="82"/>
      <c r="AO84" s="83"/>
      <c r="AP84" s="82"/>
      <c r="AS84" s="83"/>
      <c r="AW84" s="83"/>
      <c r="BA84" s="84"/>
    </row>
    <row r="85" spans="1:53" s="292" customFormat="1">
      <c r="A85" s="292">
        <v>1998</v>
      </c>
      <c r="B85" s="836">
        <v>36074</v>
      </c>
      <c r="C85" s="916" t="s">
        <v>606</v>
      </c>
      <c r="D85" s="916"/>
      <c r="E85" s="292">
        <f>365-E84</f>
        <v>87</v>
      </c>
      <c r="F85" s="292">
        <v>1</v>
      </c>
      <c r="G85" s="366"/>
      <c r="I85" s="292">
        <v>20</v>
      </c>
      <c r="J85" s="377">
        <v>20</v>
      </c>
      <c r="K85" s="336">
        <f t="shared" si="7"/>
        <v>0</v>
      </c>
      <c r="L85" s="336">
        <f t="shared" si="8"/>
        <v>0</v>
      </c>
      <c r="M85" s="336">
        <f t="shared" si="9"/>
        <v>100</v>
      </c>
      <c r="N85" s="336">
        <f t="shared" si="6"/>
        <v>100</v>
      </c>
      <c r="O85" s="335"/>
      <c r="P85" s="336"/>
      <c r="Q85" s="336">
        <v>37.5</v>
      </c>
      <c r="R85" s="337">
        <f t="shared" si="10"/>
        <v>37.5</v>
      </c>
      <c r="S85" s="292">
        <v>4</v>
      </c>
      <c r="T85" s="838">
        <v>36058</v>
      </c>
      <c r="U85" s="836">
        <v>36074</v>
      </c>
      <c r="V85" s="299" t="s">
        <v>472</v>
      </c>
      <c r="W85" s="292" t="s">
        <v>20</v>
      </c>
      <c r="X85" s="292" t="s">
        <v>12</v>
      </c>
      <c r="Y85" s="300">
        <v>37.5</v>
      </c>
      <c r="AD85" s="299"/>
      <c r="AG85" s="300"/>
      <c r="AL85" s="299"/>
      <c r="AO85" s="300"/>
      <c r="AP85" s="299"/>
      <c r="AS85" s="300"/>
      <c r="AW85" s="300"/>
      <c r="BA85" s="301"/>
    </row>
    <row r="86" spans="1:53" s="292" customFormat="1">
      <c r="A86" s="292">
        <v>1999</v>
      </c>
      <c r="B86" s="836"/>
      <c r="C86" s="916" t="s">
        <v>606</v>
      </c>
      <c r="D86" s="916"/>
      <c r="E86" s="292">
        <v>0</v>
      </c>
      <c r="G86" s="366"/>
      <c r="I86" s="292">
        <v>20</v>
      </c>
      <c r="J86" s="377">
        <v>20</v>
      </c>
      <c r="K86" s="336">
        <f t="shared" si="7"/>
        <v>0</v>
      </c>
      <c r="L86" s="336">
        <f t="shared" si="8"/>
        <v>0</v>
      </c>
      <c r="M86" s="336">
        <f t="shared" si="9"/>
        <v>100</v>
      </c>
      <c r="N86" s="336">
        <f t="shared" si="6"/>
        <v>100</v>
      </c>
      <c r="O86" s="335"/>
      <c r="P86" s="336"/>
      <c r="Q86" s="336">
        <v>37.5</v>
      </c>
      <c r="R86" s="337">
        <f t="shared" si="10"/>
        <v>37.5</v>
      </c>
      <c r="S86" s="292">
        <v>4</v>
      </c>
      <c r="T86" s="838"/>
      <c r="U86" s="836"/>
      <c r="V86" s="299" t="s">
        <v>472</v>
      </c>
      <c r="W86" s="292" t="s">
        <v>20</v>
      </c>
      <c r="X86" s="292" t="s">
        <v>12</v>
      </c>
      <c r="Y86" s="300">
        <v>37.5</v>
      </c>
      <c r="AD86" s="299"/>
      <c r="AG86" s="300"/>
      <c r="AL86" s="299"/>
      <c r="AO86" s="300"/>
      <c r="AP86" s="299"/>
      <c r="AS86" s="300"/>
      <c r="AW86" s="300"/>
      <c r="BA86" s="301"/>
    </row>
    <row r="87" spans="1:53" s="292" customFormat="1">
      <c r="A87" s="292">
        <v>1999</v>
      </c>
      <c r="B87" s="836"/>
      <c r="C87" s="916" t="s">
        <v>606</v>
      </c>
      <c r="D87" s="916"/>
      <c r="E87" s="292">
        <f>365-E86</f>
        <v>365</v>
      </c>
      <c r="G87" s="366"/>
      <c r="I87" s="292">
        <v>20</v>
      </c>
      <c r="J87" s="377">
        <v>20</v>
      </c>
      <c r="K87" s="336">
        <f t="shared" si="7"/>
        <v>0</v>
      </c>
      <c r="L87" s="336">
        <f t="shared" si="8"/>
        <v>0</v>
      </c>
      <c r="M87" s="336">
        <f t="shared" si="9"/>
        <v>100</v>
      </c>
      <c r="N87" s="336">
        <f t="shared" si="6"/>
        <v>100</v>
      </c>
      <c r="O87" s="335"/>
      <c r="P87" s="336"/>
      <c r="Q87" s="336">
        <v>37.5</v>
      </c>
      <c r="R87" s="337">
        <f t="shared" si="10"/>
        <v>37.5</v>
      </c>
      <c r="S87" s="292">
        <v>4</v>
      </c>
      <c r="T87" s="838"/>
      <c r="U87" s="836"/>
      <c r="V87" s="299" t="s">
        <v>472</v>
      </c>
      <c r="W87" s="292" t="s">
        <v>20</v>
      </c>
      <c r="X87" s="292" t="s">
        <v>12</v>
      </c>
      <c r="Y87" s="300">
        <v>37.5</v>
      </c>
      <c r="AD87" s="299"/>
      <c r="AG87" s="300"/>
      <c r="AL87" s="299"/>
      <c r="AO87" s="300"/>
      <c r="AP87" s="299"/>
      <c r="AS87" s="300"/>
      <c r="AW87" s="300"/>
      <c r="BA87" s="301"/>
    </row>
    <row r="88" spans="1:53" s="292" customFormat="1">
      <c r="A88" s="292">
        <v>2000</v>
      </c>
      <c r="B88" s="836"/>
      <c r="C88" s="916" t="s">
        <v>606</v>
      </c>
      <c r="D88" s="916"/>
      <c r="E88" s="292">
        <v>0</v>
      </c>
      <c r="G88" s="366"/>
      <c r="I88" s="292">
        <v>20</v>
      </c>
      <c r="J88" s="377">
        <v>20</v>
      </c>
      <c r="K88" s="336">
        <f t="shared" si="7"/>
        <v>0</v>
      </c>
      <c r="L88" s="336">
        <f t="shared" si="8"/>
        <v>0</v>
      </c>
      <c r="M88" s="336">
        <f t="shared" si="9"/>
        <v>100</v>
      </c>
      <c r="N88" s="336">
        <f t="shared" si="6"/>
        <v>100</v>
      </c>
      <c r="O88" s="335"/>
      <c r="P88" s="336"/>
      <c r="Q88" s="336">
        <v>37.5</v>
      </c>
      <c r="R88" s="337">
        <f t="shared" si="10"/>
        <v>37.5</v>
      </c>
      <c r="S88" s="292">
        <v>4</v>
      </c>
      <c r="T88" s="838"/>
      <c r="U88" s="836"/>
      <c r="V88" s="299" t="s">
        <v>472</v>
      </c>
      <c r="W88" s="292" t="s">
        <v>20</v>
      </c>
      <c r="X88" s="292" t="s">
        <v>12</v>
      </c>
      <c r="Y88" s="300">
        <v>37.5</v>
      </c>
      <c r="AD88" s="299"/>
      <c r="AG88" s="300"/>
      <c r="AL88" s="299"/>
      <c r="AO88" s="300"/>
      <c r="AP88" s="299"/>
      <c r="AS88" s="300"/>
      <c r="AW88" s="300"/>
      <c r="BA88" s="301"/>
    </row>
    <row r="89" spans="1:53" s="292" customFormat="1">
      <c r="A89" s="292">
        <v>2000</v>
      </c>
      <c r="B89" s="836"/>
      <c r="C89" s="916" t="s">
        <v>606</v>
      </c>
      <c r="D89" s="916"/>
      <c r="E89" s="292">
        <v>366</v>
      </c>
      <c r="G89" s="366"/>
      <c r="I89" s="292">
        <v>20</v>
      </c>
      <c r="J89" s="377">
        <v>20</v>
      </c>
      <c r="K89" s="336">
        <f t="shared" si="7"/>
        <v>0</v>
      </c>
      <c r="L89" s="336">
        <f t="shared" si="8"/>
        <v>0</v>
      </c>
      <c r="M89" s="336">
        <f t="shared" si="9"/>
        <v>100</v>
      </c>
      <c r="N89" s="336">
        <f t="shared" si="6"/>
        <v>100</v>
      </c>
      <c r="O89" s="335"/>
      <c r="P89" s="336"/>
      <c r="Q89" s="336">
        <v>37.5</v>
      </c>
      <c r="R89" s="337">
        <f t="shared" si="10"/>
        <v>37.5</v>
      </c>
      <c r="S89" s="292">
        <v>4</v>
      </c>
      <c r="T89" s="838"/>
      <c r="U89" s="836"/>
      <c r="V89" s="299" t="s">
        <v>472</v>
      </c>
      <c r="W89" s="292" t="s">
        <v>20</v>
      </c>
      <c r="X89" s="292" t="s">
        <v>12</v>
      </c>
      <c r="Y89" s="300">
        <v>37.5</v>
      </c>
      <c r="AD89" s="299"/>
      <c r="AG89" s="300"/>
      <c r="AL89" s="299"/>
      <c r="AO89" s="300"/>
      <c r="AP89" s="299"/>
      <c r="AS89" s="300"/>
      <c r="AW89" s="300"/>
      <c r="BA89" s="301"/>
    </row>
    <row r="90" spans="1:53" s="292" customFormat="1">
      <c r="A90" s="292">
        <v>2001</v>
      </c>
      <c r="B90" s="836"/>
      <c r="C90" s="916" t="s">
        <v>606</v>
      </c>
      <c r="D90" s="916"/>
      <c r="E90" s="292">
        <v>0</v>
      </c>
      <c r="G90" s="366"/>
      <c r="I90" s="292">
        <v>20</v>
      </c>
      <c r="J90" s="377">
        <v>20</v>
      </c>
      <c r="K90" s="336">
        <f t="shared" si="7"/>
        <v>0</v>
      </c>
      <c r="L90" s="336">
        <f t="shared" si="8"/>
        <v>0</v>
      </c>
      <c r="M90" s="336">
        <f t="shared" si="9"/>
        <v>100</v>
      </c>
      <c r="N90" s="336">
        <f t="shared" si="6"/>
        <v>100</v>
      </c>
      <c r="O90" s="335"/>
      <c r="P90" s="336"/>
      <c r="Q90" s="336">
        <v>37.5</v>
      </c>
      <c r="R90" s="337">
        <f t="shared" si="10"/>
        <v>37.5</v>
      </c>
      <c r="S90" s="292">
        <v>4</v>
      </c>
      <c r="T90" s="838"/>
      <c r="U90" s="836"/>
      <c r="V90" s="299" t="s">
        <v>472</v>
      </c>
      <c r="W90" s="292" t="s">
        <v>20</v>
      </c>
      <c r="X90" s="292" t="s">
        <v>12</v>
      </c>
      <c r="Y90" s="300">
        <v>37.5</v>
      </c>
      <c r="AD90" s="299"/>
      <c r="AG90" s="300"/>
      <c r="AL90" s="299"/>
      <c r="AO90" s="300"/>
      <c r="AP90" s="299"/>
      <c r="AS90" s="300"/>
      <c r="AW90" s="300"/>
      <c r="BA90" s="301"/>
    </row>
    <row r="91" spans="1:53" s="292" customFormat="1">
      <c r="A91" s="292">
        <v>2001</v>
      </c>
      <c r="B91" s="836"/>
      <c r="C91" s="916" t="s">
        <v>606</v>
      </c>
      <c r="D91" s="916"/>
      <c r="E91" s="292">
        <f>365-E90</f>
        <v>365</v>
      </c>
      <c r="G91" s="366"/>
      <c r="I91" s="292">
        <v>20</v>
      </c>
      <c r="J91" s="377">
        <v>20</v>
      </c>
      <c r="K91" s="336">
        <f t="shared" si="7"/>
        <v>0</v>
      </c>
      <c r="L91" s="336">
        <f t="shared" si="8"/>
        <v>0</v>
      </c>
      <c r="M91" s="336">
        <f t="shared" si="9"/>
        <v>100</v>
      </c>
      <c r="N91" s="336">
        <f t="shared" si="6"/>
        <v>100</v>
      </c>
      <c r="O91" s="335"/>
      <c r="P91" s="336"/>
      <c r="Q91" s="336">
        <v>37.5</v>
      </c>
      <c r="R91" s="337">
        <f t="shared" si="10"/>
        <v>37.5</v>
      </c>
      <c r="S91" s="292">
        <v>4</v>
      </c>
      <c r="T91" s="838"/>
      <c r="U91" s="836"/>
      <c r="V91" s="299" t="s">
        <v>472</v>
      </c>
      <c r="W91" s="292" t="s">
        <v>20</v>
      </c>
      <c r="X91" s="292" t="s">
        <v>12</v>
      </c>
      <c r="Y91" s="300">
        <v>37.5</v>
      </c>
      <c r="AD91" s="299"/>
      <c r="AG91" s="300"/>
      <c r="AL91" s="299"/>
      <c r="AO91" s="300"/>
      <c r="AP91" s="299"/>
      <c r="AS91" s="300"/>
      <c r="AW91" s="300"/>
      <c r="BA91" s="301"/>
    </row>
    <row r="92" spans="1:53" s="292" customFormat="1">
      <c r="A92" s="292">
        <v>2002</v>
      </c>
      <c r="B92" s="836"/>
      <c r="C92" s="916" t="s">
        <v>606</v>
      </c>
      <c r="D92" s="916"/>
      <c r="E92" s="292">
        <v>274</v>
      </c>
      <c r="G92" s="366"/>
      <c r="I92" s="292">
        <v>20</v>
      </c>
      <c r="J92" s="377">
        <v>20</v>
      </c>
      <c r="K92" s="336">
        <f t="shared" si="7"/>
        <v>0</v>
      </c>
      <c r="L92" s="336">
        <f t="shared" si="8"/>
        <v>0</v>
      </c>
      <c r="M92" s="336">
        <f t="shared" si="9"/>
        <v>100</v>
      </c>
      <c r="N92" s="336">
        <f t="shared" si="6"/>
        <v>100</v>
      </c>
      <c r="O92" s="335"/>
      <c r="P92" s="336"/>
      <c r="Q92" s="336">
        <v>37.5</v>
      </c>
      <c r="R92" s="337">
        <f t="shared" si="10"/>
        <v>37.5</v>
      </c>
      <c r="S92" s="292">
        <v>4</v>
      </c>
      <c r="T92" s="838"/>
      <c r="U92" s="836"/>
      <c r="V92" s="299" t="s">
        <v>472</v>
      </c>
      <c r="W92" s="292" t="s">
        <v>20</v>
      </c>
      <c r="X92" s="292" t="s">
        <v>12</v>
      </c>
      <c r="Y92" s="300">
        <v>37.5</v>
      </c>
      <c r="AD92" s="299"/>
      <c r="AG92" s="300"/>
      <c r="AL92" s="299"/>
      <c r="AO92" s="300"/>
      <c r="AP92" s="299"/>
      <c r="AS92" s="300"/>
      <c r="AW92" s="300"/>
      <c r="BA92" s="301"/>
    </row>
    <row r="93" spans="1:53" s="185" customFormat="1">
      <c r="A93" s="185">
        <v>2002</v>
      </c>
      <c r="B93" s="852">
        <v>37531</v>
      </c>
      <c r="C93" s="917" t="s">
        <v>607</v>
      </c>
      <c r="D93" s="917"/>
      <c r="E93" s="185">
        <f>365-E92</f>
        <v>91</v>
      </c>
      <c r="F93" s="185">
        <v>1</v>
      </c>
      <c r="G93" s="119"/>
      <c r="I93" s="185">
        <v>22</v>
      </c>
      <c r="J93" s="126">
        <v>22</v>
      </c>
      <c r="K93" s="92">
        <f t="shared" si="7"/>
        <v>0</v>
      </c>
      <c r="L93" s="92">
        <f t="shared" si="8"/>
        <v>0</v>
      </c>
      <c r="M93" s="92">
        <f t="shared" si="9"/>
        <v>100</v>
      </c>
      <c r="N93" s="92">
        <f t="shared" si="6"/>
        <v>100</v>
      </c>
      <c r="O93" s="91"/>
      <c r="P93" s="92"/>
      <c r="Q93" s="92">
        <v>41.3</v>
      </c>
      <c r="R93" s="93">
        <f t="shared" si="10"/>
        <v>41.3</v>
      </c>
      <c r="S93" s="185">
        <v>4</v>
      </c>
      <c r="T93" s="839">
        <v>37514</v>
      </c>
      <c r="U93" s="852">
        <v>37531</v>
      </c>
      <c r="V93" s="82" t="s">
        <v>472</v>
      </c>
      <c r="W93" s="185" t="s">
        <v>20</v>
      </c>
      <c r="X93" s="185" t="s">
        <v>12</v>
      </c>
      <c r="Y93" s="83">
        <v>41.3</v>
      </c>
      <c r="AD93" s="82"/>
      <c r="AG93" s="83"/>
      <c r="AL93" s="82"/>
      <c r="AO93" s="83"/>
      <c r="AP93" s="82"/>
      <c r="AS93" s="83"/>
      <c r="AW93" s="83"/>
      <c r="BA93" s="84"/>
    </row>
    <row r="94" spans="1:53" s="185" customFormat="1">
      <c r="A94" s="185">
        <v>2003</v>
      </c>
      <c r="B94" s="852"/>
      <c r="C94" s="917" t="s">
        <v>607</v>
      </c>
      <c r="D94" s="917"/>
      <c r="E94" s="185">
        <v>0</v>
      </c>
      <c r="G94" s="119"/>
      <c r="I94" s="185">
        <v>22</v>
      </c>
      <c r="J94" s="126">
        <v>22</v>
      </c>
      <c r="K94" s="92">
        <f t="shared" si="7"/>
        <v>0</v>
      </c>
      <c r="L94" s="92">
        <f t="shared" si="8"/>
        <v>0</v>
      </c>
      <c r="M94" s="92">
        <f t="shared" si="9"/>
        <v>100</v>
      </c>
      <c r="N94" s="92">
        <f t="shared" si="6"/>
        <v>100</v>
      </c>
      <c r="O94" s="91"/>
      <c r="P94" s="92"/>
      <c r="Q94" s="92">
        <v>41.3</v>
      </c>
      <c r="R94" s="93">
        <f t="shared" si="10"/>
        <v>41.3</v>
      </c>
      <c r="S94" s="185">
        <v>4</v>
      </c>
      <c r="T94" s="839"/>
      <c r="U94" s="852"/>
      <c r="V94" s="82" t="s">
        <v>472</v>
      </c>
      <c r="W94" s="185" t="s">
        <v>20</v>
      </c>
      <c r="X94" s="185" t="s">
        <v>12</v>
      </c>
      <c r="Y94" s="83">
        <v>41.3</v>
      </c>
      <c r="AD94" s="82"/>
      <c r="AG94" s="83"/>
      <c r="AL94" s="82"/>
      <c r="AO94" s="83"/>
      <c r="AP94" s="82"/>
      <c r="AS94" s="83"/>
      <c r="AW94" s="83"/>
      <c r="BA94" s="84"/>
    </row>
    <row r="95" spans="1:53" s="185" customFormat="1">
      <c r="A95" s="185">
        <v>2003</v>
      </c>
      <c r="B95" s="852"/>
      <c r="C95" s="917" t="s">
        <v>607</v>
      </c>
      <c r="D95" s="917"/>
      <c r="E95" s="185">
        <f>365-E94</f>
        <v>365</v>
      </c>
      <c r="G95" s="119"/>
      <c r="I95" s="185">
        <v>22</v>
      </c>
      <c r="J95" s="126">
        <v>22</v>
      </c>
      <c r="K95" s="92">
        <f t="shared" si="7"/>
        <v>0</v>
      </c>
      <c r="L95" s="92">
        <f t="shared" si="8"/>
        <v>0</v>
      </c>
      <c r="M95" s="92">
        <f t="shared" si="9"/>
        <v>100</v>
      </c>
      <c r="N95" s="92">
        <f t="shared" si="6"/>
        <v>100</v>
      </c>
      <c r="O95" s="91"/>
      <c r="P95" s="92"/>
      <c r="Q95" s="92">
        <v>41.3</v>
      </c>
      <c r="R95" s="93">
        <f t="shared" si="10"/>
        <v>41.3</v>
      </c>
      <c r="S95" s="185">
        <v>4</v>
      </c>
      <c r="T95" s="839"/>
      <c r="U95" s="852"/>
      <c r="V95" s="82" t="s">
        <v>472</v>
      </c>
      <c r="W95" s="185" t="s">
        <v>20</v>
      </c>
      <c r="X95" s="185" t="s">
        <v>12</v>
      </c>
      <c r="Y95" s="83">
        <v>41.3</v>
      </c>
      <c r="AD95" s="82"/>
      <c r="AG95" s="83"/>
      <c r="AL95" s="82"/>
      <c r="AO95" s="83"/>
      <c r="AP95" s="82"/>
      <c r="AS95" s="83"/>
      <c r="AW95" s="83"/>
      <c r="BA95" s="84"/>
    </row>
    <row r="96" spans="1:53" s="185" customFormat="1">
      <c r="A96" s="185">
        <v>2004</v>
      </c>
      <c r="B96" s="852"/>
      <c r="C96" s="917" t="s">
        <v>607</v>
      </c>
      <c r="D96" s="917"/>
      <c r="E96" s="185">
        <v>0</v>
      </c>
      <c r="G96" s="119"/>
      <c r="I96" s="185">
        <v>22</v>
      </c>
      <c r="J96" s="126">
        <v>22</v>
      </c>
      <c r="K96" s="92">
        <f t="shared" si="7"/>
        <v>0</v>
      </c>
      <c r="L96" s="92">
        <f t="shared" si="8"/>
        <v>0</v>
      </c>
      <c r="M96" s="92">
        <f t="shared" si="9"/>
        <v>100</v>
      </c>
      <c r="N96" s="92">
        <f t="shared" si="6"/>
        <v>100</v>
      </c>
      <c r="O96" s="91"/>
      <c r="P96" s="92"/>
      <c r="Q96" s="92">
        <v>41.3</v>
      </c>
      <c r="R96" s="93">
        <f t="shared" si="10"/>
        <v>41.3</v>
      </c>
      <c r="S96" s="185">
        <v>4</v>
      </c>
      <c r="T96" s="839"/>
      <c r="U96" s="852"/>
      <c r="V96" s="82" t="s">
        <v>472</v>
      </c>
      <c r="W96" s="185" t="s">
        <v>20</v>
      </c>
      <c r="X96" s="185" t="s">
        <v>12</v>
      </c>
      <c r="Y96" s="83">
        <v>41.3</v>
      </c>
      <c r="AD96" s="82"/>
      <c r="AG96" s="83"/>
      <c r="AL96" s="82"/>
      <c r="AO96" s="83"/>
      <c r="AP96" s="82"/>
      <c r="AS96" s="83"/>
      <c r="AW96" s="83"/>
      <c r="BA96" s="84"/>
    </row>
    <row r="97" spans="1:53" s="185" customFormat="1">
      <c r="A97" s="185">
        <v>2004</v>
      </c>
      <c r="B97" s="852"/>
      <c r="C97" s="917" t="s">
        <v>607</v>
      </c>
      <c r="D97" s="917"/>
      <c r="E97" s="185">
        <v>366</v>
      </c>
      <c r="G97" s="119"/>
      <c r="I97" s="185">
        <v>22</v>
      </c>
      <c r="J97" s="126">
        <v>22</v>
      </c>
      <c r="K97" s="92">
        <f t="shared" si="7"/>
        <v>0</v>
      </c>
      <c r="L97" s="92">
        <f t="shared" si="8"/>
        <v>0</v>
      </c>
      <c r="M97" s="92">
        <f t="shared" si="9"/>
        <v>100</v>
      </c>
      <c r="N97" s="92">
        <f t="shared" si="6"/>
        <v>100</v>
      </c>
      <c r="O97" s="91"/>
      <c r="P97" s="92"/>
      <c r="Q97" s="92">
        <v>41.3</v>
      </c>
      <c r="R97" s="93">
        <f t="shared" si="10"/>
        <v>41.3</v>
      </c>
      <c r="S97" s="185">
        <v>4</v>
      </c>
      <c r="T97" s="839"/>
      <c r="U97" s="852"/>
      <c r="V97" s="82" t="s">
        <v>472</v>
      </c>
      <c r="W97" s="185" t="s">
        <v>20</v>
      </c>
      <c r="X97" s="185" t="s">
        <v>12</v>
      </c>
      <c r="Y97" s="83">
        <v>41.3</v>
      </c>
      <c r="AD97" s="82"/>
      <c r="AG97" s="83"/>
      <c r="AL97" s="82"/>
      <c r="AO97" s="83"/>
      <c r="AP97" s="82"/>
      <c r="AS97" s="83"/>
      <c r="AW97" s="83"/>
      <c r="BA97" s="84"/>
    </row>
    <row r="98" spans="1:53" s="185" customFormat="1">
      <c r="A98" s="185">
        <v>2005</v>
      </c>
      <c r="B98" s="852"/>
      <c r="C98" s="917" t="s">
        <v>607</v>
      </c>
      <c r="D98" s="917"/>
      <c r="E98" s="185">
        <v>0</v>
      </c>
      <c r="G98" s="119"/>
      <c r="I98" s="185">
        <v>22</v>
      </c>
      <c r="J98" s="126">
        <v>22</v>
      </c>
      <c r="K98" s="92">
        <f t="shared" si="7"/>
        <v>0</v>
      </c>
      <c r="L98" s="92">
        <f t="shared" si="8"/>
        <v>0</v>
      </c>
      <c r="M98" s="92">
        <f t="shared" si="9"/>
        <v>100</v>
      </c>
      <c r="N98" s="92">
        <f t="shared" si="6"/>
        <v>100</v>
      </c>
      <c r="O98" s="91"/>
      <c r="P98" s="92"/>
      <c r="Q98" s="92">
        <v>41.3</v>
      </c>
      <c r="R98" s="93">
        <f t="shared" si="10"/>
        <v>41.3</v>
      </c>
      <c r="S98" s="185">
        <v>4</v>
      </c>
      <c r="T98" s="839"/>
      <c r="U98" s="852"/>
      <c r="V98" s="82" t="s">
        <v>472</v>
      </c>
      <c r="W98" s="185" t="s">
        <v>20</v>
      </c>
      <c r="X98" s="185" t="s">
        <v>12</v>
      </c>
      <c r="Y98" s="83">
        <v>41.3</v>
      </c>
      <c r="AD98" s="82"/>
      <c r="AG98" s="83"/>
      <c r="AL98" s="82"/>
      <c r="AO98" s="83"/>
      <c r="AP98" s="82"/>
      <c r="AS98" s="83"/>
      <c r="AW98" s="83"/>
      <c r="BA98" s="84"/>
    </row>
    <row r="99" spans="1:53" s="185" customFormat="1">
      <c r="A99" s="185">
        <v>2005</v>
      </c>
      <c r="B99" s="852"/>
      <c r="C99" s="917" t="s">
        <v>607</v>
      </c>
      <c r="D99" s="917"/>
      <c r="E99" s="185">
        <f>365-E98</f>
        <v>365</v>
      </c>
      <c r="G99" s="119"/>
      <c r="I99" s="185">
        <v>22</v>
      </c>
      <c r="J99" s="126">
        <v>22</v>
      </c>
      <c r="K99" s="92">
        <f t="shared" si="7"/>
        <v>0</v>
      </c>
      <c r="L99" s="92">
        <f t="shared" si="8"/>
        <v>0</v>
      </c>
      <c r="M99" s="92">
        <f t="shared" si="9"/>
        <v>100</v>
      </c>
      <c r="N99" s="92">
        <f t="shared" si="6"/>
        <v>100</v>
      </c>
      <c r="O99" s="91"/>
      <c r="P99" s="92"/>
      <c r="Q99" s="92">
        <v>41.3</v>
      </c>
      <c r="R99" s="93">
        <f t="shared" si="10"/>
        <v>41.3</v>
      </c>
      <c r="S99" s="185">
        <v>4</v>
      </c>
      <c r="T99" s="839"/>
      <c r="U99" s="852"/>
      <c r="V99" s="82" t="s">
        <v>472</v>
      </c>
      <c r="W99" s="185" t="s">
        <v>20</v>
      </c>
      <c r="X99" s="185" t="s">
        <v>12</v>
      </c>
      <c r="Y99" s="83">
        <v>41.3</v>
      </c>
      <c r="AD99" s="82"/>
      <c r="AG99" s="83"/>
      <c r="AL99" s="82"/>
      <c r="AO99" s="83"/>
      <c r="AP99" s="82"/>
      <c r="AS99" s="83"/>
      <c r="AW99" s="83"/>
      <c r="BA99" s="84"/>
    </row>
    <row r="100" spans="1:53" s="185" customFormat="1">
      <c r="A100" s="185">
        <v>2006</v>
      </c>
      <c r="B100" s="852"/>
      <c r="C100" s="917" t="s">
        <v>607</v>
      </c>
      <c r="D100" s="917"/>
      <c r="E100" s="185">
        <v>277</v>
      </c>
      <c r="G100" s="119"/>
      <c r="I100" s="185">
        <v>22</v>
      </c>
      <c r="J100" s="126">
        <v>22</v>
      </c>
      <c r="K100" s="92">
        <f t="shared" si="7"/>
        <v>0</v>
      </c>
      <c r="L100" s="92">
        <f t="shared" si="8"/>
        <v>0</v>
      </c>
      <c r="M100" s="92">
        <f t="shared" si="9"/>
        <v>100</v>
      </c>
      <c r="N100" s="92">
        <f t="shared" si="6"/>
        <v>100</v>
      </c>
      <c r="O100" s="91"/>
      <c r="P100" s="92"/>
      <c r="Q100" s="92">
        <v>41.3</v>
      </c>
      <c r="R100" s="93">
        <f t="shared" si="10"/>
        <v>41.3</v>
      </c>
      <c r="S100" s="185">
        <v>4</v>
      </c>
      <c r="T100" s="839"/>
      <c r="U100" s="852"/>
      <c r="V100" s="82" t="s">
        <v>472</v>
      </c>
      <c r="W100" s="185" t="s">
        <v>20</v>
      </c>
      <c r="X100" s="185" t="s">
        <v>12</v>
      </c>
      <c r="Y100" s="83">
        <v>41.3</v>
      </c>
      <c r="AD100" s="82"/>
      <c r="AG100" s="83"/>
      <c r="AL100" s="82"/>
      <c r="AO100" s="83"/>
      <c r="AP100" s="82"/>
      <c r="AS100" s="83"/>
      <c r="AW100" s="83"/>
      <c r="BA100" s="84"/>
    </row>
    <row r="101" spans="1:53" s="292" customFormat="1">
      <c r="A101" s="292">
        <v>2006</v>
      </c>
      <c r="B101" s="836">
        <v>38995</v>
      </c>
      <c r="C101" s="916" t="s">
        <v>608</v>
      </c>
      <c r="D101" s="916"/>
      <c r="E101" s="292">
        <f>365-E100</f>
        <v>88</v>
      </c>
      <c r="F101" s="292">
        <v>1</v>
      </c>
      <c r="G101" s="366">
        <v>15</v>
      </c>
      <c r="H101" s="292">
        <v>7</v>
      </c>
      <c r="J101" s="377">
        <v>22</v>
      </c>
      <c r="K101" s="336">
        <f t="shared" si="7"/>
        <v>68.181818181818173</v>
      </c>
      <c r="L101" s="336">
        <f t="shared" si="8"/>
        <v>31.818181818181817</v>
      </c>
      <c r="M101" s="336">
        <f t="shared" si="9"/>
        <v>0</v>
      </c>
      <c r="N101" s="336">
        <f t="shared" si="6"/>
        <v>99.999999999999986</v>
      </c>
      <c r="O101" s="335">
        <v>35.799999999999997</v>
      </c>
      <c r="P101" s="336">
        <v>15.2</v>
      </c>
      <c r="Q101" s="336"/>
      <c r="R101" s="337">
        <f t="shared" si="10"/>
        <v>51</v>
      </c>
      <c r="S101" s="292">
        <v>2</v>
      </c>
      <c r="T101" s="838">
        <v>38977</v>
      </c>
      <c r="U101" s="836">
        <v>38995</v>
      </c>
      <c r="V101" s="299" t="s">
        <v>475</v>
      </c>
      <c r="W101" s="292" t="s">
        <v>74</v>
      </c>
      <c r="X101" s="292" t="s">
        <v>11</v>
      </c>
      <c r="Y101" s="300">
        <v>27.8</v>
      </c>
      <c r="Z101" s="299" t="s">
        <v>473</v>
      </c>
      <c r="AA101" s="292" t="s">
        <v>75</v>
      </c>
      <c r="AB101" s="292" t="s">
        <v>18</v>
      </c>
      <c r="AC101" s="292">
        <v>8.3000000000000007</v>
      </c>
      <c r="AD101" s="299" t="s">
        <v>474</v>
      </c>
      <c r="AE101" s="292" t="s">
        <v>22</v>
      </c>
      <c r="AF101" s="292" t="s">
        <v>11</v>
      </c>
      <c r="AG101" s="300">
        <v>8</v>
      </c>
      <c r="AH101" s="299" t="s">
        <v>476</v>
      </c>
      <c r="AI101" s="292" t="s">
        <v>17</v>
      </c>
      <c r="AJ101" s="292" t="s">
        <v>18</v>
      </c>
      <c r="AK101" s="292">
        <v>6.9</v>
      </c>
      <c r="AL101" s="299"/>
      <c r="AO101" s="300"/>
      <c r="AP101" s="299"/>
      <c r="AS101" s="300"/>
      <c r="AW101" s="300"/>
      <c r="BA101" s="301"/>
    </row>
    <row r="102" spans="1:53" s="292" customFormat="1">
      <c r="A102" s="292">
        <v>2007</v>
      </c>
      <c r="B102" s="836"/>
      <c r="C102" s="916" t="s">
        <v>608</v>
      </c>
      <c r="D102" s="916"/>
      <c r="E102" s="292">
        <v>0</v>
      </c>
      <c r="G102" s="366">
        <v>15</v>
      </c>
      <c r="H102" s="292">
        <v>7</v>
      </c>
      <c r="J102" s="377">
        <v>22</v>
      </c>
      <c r="K102" s="336">
        <f t="shared" si="7"/>
        <v>68.181818181818173</v>
      </c>
      <c r="L102" s="336">
        <f t="shared" si="8"/>
        <v>31.818181818181817</v>
      </c>
      <c r="M102" s="336">
        <f t="shared" si="9"/>
        <v>0</v>
      </c>
      <c r="N102" s="336">
        <f t="shared" si="6"/>
        <v>99.999999999999986</v>
      </c>
      <c r="O102" s="335">
        <v>35.799999999999997</v>
      </c>
      <c r="P102" s="336">
        <v>15.2</v>
      </c>
      <c r="Q102" s="336"/>
      <c r="R102" s="337">
        <f t="shared" si="10"/>
        <v>51</v>
      </c>
      <c r="S102" s="292">
        <v>2</v>
      </c>
      <c r="T102" s="838"/>
      <c r="U102" s="836"/>
      <c r="V102" s="299" t="s">
        <v>475</v>
      </c>
      <c r="W102" s="292" t="s">
        <v>74</v>
      </c>
      <c r="X102" s="292" t="s">
        <v>11</v>
      </c>
      <c r="Y102" s="300">
        <v>27.8</v>
      </c>
      <c r="Z102" s="299" t="s">
        <v>473</v>
      </c>
      <c r="AA102" s="292" t="s">
        <v>75</v>
      </c>
      <c r="AB102" s="292" t="s">
        <v>18</v>
      </c>
      <c r="AC102" s="292">
        <v>8.3000000000000007</v>
      </c>
      <c r="AD102" s="299" t="s">
        <v>474</v>
      </c>
      <c r="AE102" s="292" t="s">
        <v>22</v>
      </c>
      <c r="AF102" s="292" t="s">
        <v>11</v>
      </c>
      <c r="AG102" s="300">
        <v>8</v>
      </c>
      <c r="AH102" s="299" t="s">
        <v>476</v>
      </c>
      <c r="AI102" s="292" t="s">
        <v>17</v>
      </c>
      <c r="AJ102" s="292" t="s">
        <v>18</v>
      </c>
      <c r="AK102" s="292">
        <v>6.9</v>
      </c>
      <c r="AL102" s="299"/>
      <c r="AO102" s="300"/>
      <c r="AP102" s="299"/>
      <c r="AS102" s="300"/>
      <c r="AW102" s="300"/>
      <c r="BA102" s="301"/>
    </row>
    <row r="103" spans="1:53" s="292" customFormat="1">
      <c r="A103" s="292">
        <v>2007</v>
      </c>
      <c r="B103" s="836"/>
      <c r="C103" s="916" t="s">
        <v>608</v>
      </c>
      <c r="D103" s="916"/>
      <c r="E103" s="292">
        <v>365</v>
      </c>
      <c r="G103" s="366">
        <v>15</v>
      </c>
      <c r="H103" s="292">
        <v>7</v>
      </c>
      <c r="J103" s="377">
        <v>22</v>
      </c>
      <c r="K103" s="336">
        <f t="shared" si="7"/>
        <v>68.181818181818173</v>
      </c>
      <c r="L103" s="336">
        <f t="shared" si="8"/>
        <v>31.818181818181817</v>
      </c>
      <c r="M103" s="336">
        <f t="shared" si="9"/>
        <v>0</v>
      </c>
      <c r="N103" s="336">
        <f t="shared" si="6"/>
        <v>99.999999999999986</v>
      </c>
      <c r="O103" s="335">
        <v>35.799999999999997</v>
      </c>
      <c r="P103" s="336">
        <v>15.2</v>
      </c>
      <c r="Q103" s="336"/>
      <c r="R103" s="337">
        <f t="shared" si="10"/>
        <v>51</v>
      </c>
      <c r="S103" s="292">
        <v>2</v>
      </c>
      <c r="T103" s="838"/>
      <c r="U103" s="836"/>
      <c r="V103" s="299" t="s">
        <v>475</v>
      </c>
      <c r="W103" s="292" t="s">
        <v>74</v>
      </c>
      <c r="X103" s="292" t="s">
        <v>11</v>
      </c>
      <c r="Y103" s="300">
        <v>27.8</v>
      </c>
      <c r="Z103" s="299" t="s">
        <v>473</v>
      </c>
      <c r="AA103" s="292" t="s">
        <v>75</v>
      </c>
      <c r="AB103" s="292" t="s">
        <v>18</v>
      </c>
      <c r="AC103" s="292">
        <v>8.3000000000000007</v>
      </c>
      <c r="AD103" s="299" t="s">
        <v>474</v>
      </c>
      <c r="AE103" s="292" t="s">
        <v>22</v>
      </c>
      <c r="AF103" s="292" t="s">
        <v>11</v>
      </c>
      <c r="AG103" s="300">
        <v>8</v>
      </c>
      <c r="AH103" s="299" t="s">
        <v>476</v>
      </c>
      <c r="AI103" s="292" t="s">
        <v>17</v>
      </c>
      <c r="AJ103" s="292" t="s">
        <v>18</v>
      </c>
      <c r="AK103" s="292">
        <v>6.9</v>
      </c>
      <c r="AL103" s="299"/>
      <c r="AO103" s="300"/>
      <c r="AP103" s="299"/>
      <c r="AS103" s="300"/>
      <c r="AW103" s="300"/>
      <c r="BA103" s="301"/>
    </row>
    <row r="104" spans="1:53" s="292" customFormat="1">
      <c r="A104" s="292">
        <v>2008</v>
      </c>
      <c r="B104" s="836"/>
      <c r="C104" s="916" t="s">
        <v>608</v>
      </c>
      <c r="D104" s="916"/>
      <c r="E104" s="292">
        <v>0</v>
      </c>
      <c r="G104" s="366">
        <v>15</v>
      </c>
      <c r="H104" s="292">
        <v>7</v>
      </c>
      <c r="J104" s="377">
        <v>22</v>
      </c>
      <c r="K104" s="336">
        <f t="shared" si="7"/>
        <v>68.181818181818173</v>
      </c>
      <c r="L104" s="336">
        <f t="shared" si="8"/>
        <v>31.818181818181817</v>
      </c>
      <c r="M104" s="336">
        <f t="shared" si="9"/>
        <v>0</v>
      </c>
      <c r="N104" s="336">
        <f t="shared" si="6"/>
        <v>99.999999999999986</v>
      </c>
      <c r="O104" s="335">
        <v>35.799999999999997</v>
      </c>
      <c r="P104" s="336">
        <v>15.2</v>
      </c>
      <c r="Q104" s="336"/>
      <c r="R104" s="337">
        <f t="shared" si="10"/>
        <v>51</v>
      </c>
      <c r="S104" s="292">
        <v>2</v>
      </c>
      <c r="T104" s="838"/>
      <c r="U104" s="836"/>
      <c r="V104" s="299" t="s">
        <v>475</v>
      </c>
      <c r="W104" s="292" t="s">
        <v>74</v>
      </c>
      <c r="X104" s="292" t="s">
        <v>11</v>
      </c>
      <c r="Y104" s="300">
        <v>27.8</v>
      </c>
      <c r="Z104" s="299" t="s">
        <v>473</v>
      </c>
      <c r="AA104" s="292" t="s">
        <v>75</v>
      </c>
      <c r="AB104" s="292" t="s">
        <v>18</v>
      </c>
      <c r="AC104" s="292">
        <v>8.3000000000000007</v>
      </c>
      <c r="AD104" s="299" t="s">
        <v>474</v>
      </c>
      <c r="AE104" s="292" t="s">
        <v>22</v>
      </c>
      <c r="AF104" s="292" t="s">
        <v>11</v>
      </c>
      <c r="AG104" s="300">
        <v>8</v>
      </c>
      <c r="AH104" s="299" t="s">
        <v>476</v>
      </c>
      <c r="AI104" s="292" t="s">
        <v>17</v>
      </c>
      <c r="AJ104" s="292" t="s">
        <v>18</v>
      </c>
      <c r="AK104" s="292">
        <v>6.9</v>
      </c>
      <c r="AL104" s="299"/>
      <c r="AO104" s="300"/>
      <c r="AP104" s="299"/>
      <c r="AS104" s="300"/>
      <c r="AW104" s="300"/>
      <c r="BA104" s="301"/>
    </row>
    <row r="105" spans="1:53" s="292" customFormat="1">
      <c r="A105" s="292">
        <v>2008</v>
      </c>
      <c r="B105" s="836"/>
      <c r="C105" s="916" t="s">
        <v>608</v>
      </c>
      <c r="D105" s="916"/>
      <c r="E105" s="292">
        <v>366</v>
      </c>
      <c r="G105" s="366">
        <v>15</v>
      </c>
      <c r="H105" s="292">
        <v>7</v>
      </c>
      <c r="J105" s="377">
        <v>22</v>
      </c>
      <c r="K105" s="336">
        <f t="shared" si="7"/>
        <v>68.181818181818173</v>
      </c>
      <c r="L105" s="336">
        <f t="shared" si="8"/>
        <v>31.818181818181817</v>
      </c>
      <c r="M105" s="336">
        <f t="shared" si="9"/>
        <v>0</v>
      </c>
      <c r="N105" s="336">
        <f t="shared" si="6"/>
        <v>99.999999999999986</v>
      </c>
      <c r="O105" s="335">
        <v>35.799999999999997</v>
      </c>
      <c r="P105" s="336">
        <v>15.2</v>
      </c>
      <c r="Q105" s="336"/>
      <c r="R105" s="337">
        <f t="shared" si="10"/>
        <v>51</v>
      </c>
      <c r="S105" s="292">
        <v>2</v>
      </c>
      <c r="T105" s="838"/>
      <c r="U105" s="836"/>
      <c r="V105" s="299" t="s">
        <v>475</v>
      </c>
      <c r="W105" s="292" t="s">
        <v>74</v>
      </c>
      <c r="X105" s="292" t="s">
        <v>11</v>
      </c>
      <c r="Y105" s="300">
        <v>27.8</v>
      </c>
      <c r="Z105" s="299" t="s">
        <v>473</v>
      </c>
      <c r="AA105" s="292" t="s">
        <v>75</v>
      </c>
      <c r="AB105" s="292" t="s">
        <v>18</v>
      </c>
      <c r="AC105" s="292">
        <v>8.3000000000000007</v>
      </c>
      <c r="AD105" s="299" t="s">
        <v>474</v>
      </c>
      <c r="AE105" s="292" t="s">
        <v>22</v>
      </c>
      <c r="AF105" s="292" t="s">
        <v>11</v>
      </c>
      <c r="AG105" s="300">
        <v>8</v>
      </c>
      <c r="AH105" s="299" t="s">
        <v>476</v>
      </c>
      <c r="AI105" s="292" t="s">
        <v>17</v>
      </c>
      <c r="AJ105" s="292" t="s">
        <v>18</v>
      </c>
      <c r="AK105" s="292">
        <v>6.9</v>
      </c>
      <c r="AL105" s="299"/>
      <c r="AO105" s="300"/>
      <c r="AP105" s="299"/>
      <c r="AS105" s="300"/>
      <c r="AW105" s="300"/>
      <c r="BA105" s="301"/>
    </row>
    <row r="106" spans="1:53" s="292" customFormat="1">
      <c r="A106" s="292">
        <v>2009</v>
      </c>
      <c r="B106" s="836"/>
      <c r="C106" s="916" t="s">
        <v>608</v>
      </c>
      <c r="D106" s="916"/>
      <c r="E106" s="292">
        <v>0</v>
      </c>
      <c r="G106" s="366">
        <v>15</v>
      </c>
      <c r="H106" s="292">
        <v>7</v>
      </c>
      <c r="J106" s="377">
        <v>22</v>
      </c>
      <c r="K106" s="336">
        <f t="shared" si="7"/>
        <v>68.181818181818173</v>
      </c>
      <c r="L106" s="336">
        <f t="shared" si="8"/>
        <v>31.818181818181817</v>
      </c>
      <c r="M106" s="336">
        <f t="shared" si="9"/>
        <v>0</v>
      </c>
      <c r="N106" s="336">
        <f t="shared" si="6"/>
        <v>99.999999999999986</v>
      </c>
      <c r="O106" s="335">
        <v>35.799999999999997</v>
      </c>
      <c r="P106" s="336">
        <v>15.2</v>
      </c>
      <c r="Q106" s="336"/>
      <c r="R106" s="337">
        <f t="shared" si="10"/>
        <v>51</v>
      </c>
      <c r="S106" s="292">
        <v>2</v>
      </c>
      <c r="T106" s="838"/>
      <c r="U106" s="836"/>
      <c r="V106" s="299" t="s">
        <v>475</v>
      </c>
      <c r="W106" s="292" t="s">
        <v>74</v>
      </c>
      <c r="X106" s="292" t="s">
        <v>11</v>
      </c>
      <c r="Y106" s="300">
        <v>27.8</v>
      </c>
      <c r="Z106" s="299" t="s">
        <v>473</v>
      </c>
      <c r="AA106" s="292" t="s">
        <v>75</v>
      </c>
      <c r="AB106" s="292" t="s">
        <v>18</v>
      </c>
      <c r="AC106" s="292">
        <v>8.3000000000000007</v>
      </c>
      <c r="AD106" s="299" t="s">
        <v>474</v>
      </c>
      <c r="AE106" s="292" t="s">
        <v>22</v>
      </c>
      <c r="AF106" s="292" t="s">
        <v>11</v>
      </c>
      <c r="AG106" s="300">
        <v>8</v>
      </c>
      <c r="AH106" s="299" t="s">
        <v>476</v>
      </c>
      <c r="AI106" s="292" t="s">
        <v>17</v>
      </c>
      <c r="AJ106" s="292" t="s">
        <v>18</v>
      </c>
      <c r="AK106" s="292">
        <v>6.9</v>
      </c>
      <c r="AL106" s="299"/>
      <c r="AO106" s="300"/>
      <c r="AP106" s="299"/>
      <c r="AS106" s="300"/>
      <c r="AW106" s="300"/>
      <c r="BA106" s="301"/>
    </row>
    <row r="107" spans="1:53" s="292" customFormat="1">
      <c r="A107" s="292">
        <v>2009</v>
      </c>
      <c r="B107" s="836"/>
      <c r="C107" s="916" t="s">
        <v>608</v>
      </c>
      <c r="D107" s="916"/>
      <c r="E107" s="292">
        <v>365</v>
      </c>
      <c r="G107" s="366">
        <v>15</v>
      </c>
      <c r="H107" s="292">
        <v>7</v>
      </c>
      <c r="J107" s="377">
        <v>22</v>
      </c>
      <c r="K107" s="336">
        <f t="shared" si="7"/>
        <v>68.181818181818173</v>
      </c>
      <c r="L107" s="336">
        <f t="shared" si="8"/>
        <v>31.818181818181817</v>
      </c>
      <c r="M107" s="336">
        <f t="shared" si="9"/>
        <v>0</v>
      </c>
      <c r="N107" s="336">
        <f t="shared" si="6"/>
        <v>99.999999999999986</v>
      </c>
      <c r="O107" s="335">
        <v>35.799999999999997</v>
      </c>
      <c r="P107" s="336">
        <v>15.2</v>
      </c>
      <c r="Q107" s="336"/>
      <c r="R107" s="337">
        <f t="shared" si="10"/>
        <v>51</v>
      </c>
      <c r="S107" s="292">
        <v>2</v>
      </c>
      <c r="T107" s="838"/>
      <c r="U107" s="836"/>
      <c r="V107" s="299" t="s">
        <v>475</v>
      </c>
      <c r="W107" s="292" t="s">
        <v>74</v>
      </c>
      <c r="X107" s="292" t="s">
        <v>11</v>
      </c>
      <c r="Y107" s="300">
        <v>27.8</v>
      </c>
      <c r="Z107" s="299" t="s">
        <v>473</v>
      </c>
      <c r="AA107" s="292" t="s">
        <v>75</v>
      </c>
      <c r="AB107" s="292" t="s">
        <v>18</v>
      </c>
      <c r="AC107" s="292">
        <v>8.3000000000000007</v>
      </c>
      <c r="AD107" s="299" t="s">
        <v>474</v>
      </c>
      <c r="AE107" s="292" t="s">
        <v>22</v>
      </c>
      <c r="AF107" s="292" t="s">
        <v>11</v>
      </c>
      <c r="AG107" s="300">
        <v>8</v>
      </c>
      <c r="AH107" s="299" t="s">
        <v>476</v>
      </c>
      <c r="AI107" s="292" t="s">
        <v>17</v>
      </c>
      <c r="AJ107" s="292" t="s">
        <v>18</v>
      </c>
      <c r="AK107" s="292">
        <v>6.9</v>
      </c>
      <c r="AL107" s="299"/>
      <c r="AO107" s="300"/>
      <c r="AP107" s="299"/>
      <c r="AS107" s="300"/>
      <c r="AW107" s="300"/>
      <c r="BA107" s="301"/>
    </row>
    <row r="108" spans="1:53" s="292" customFormat="1">
      <c r="A108" s="292">
        <v>2010</v>
      </c>
      <c r="B108" s="836"/>
      <c r="C108" s="916" t="s">
        <v>608</v>
      </c>
      <c r="D108" s="916"/>
      <c r="E108" s="292">
        <v>262</v>
      </c>
      <c r="G108" s="366">
        <v>15</v>
      </c>
      <c r="H108" s="292">
        <v>7</v>
      </c>
      <c r="J108" s="377">
        <v>22</v>
      </c>
      <c r="K108" s="336">
        <f t="shared" si="7"/>
        <v>68.181818181818173</v>
      </c>
      <c r="L108" s="336">
        <f t="shared" si="8"/>
        <v>31.818181818181817</v>
      </c>
      <c r="M108" s="336">
        <f t="shared" si="9"/>
        <v>0</v>
      </c>
      <c r="N108" s="336">
        <f t="shared" si="6"/>
        <v>99.999999999999986</v>
      </c>
      <c r="O108" s="335">
        <v>35.799999999999997</v>
      </c>
      <c r="P108" s="336">
        <v>15.2</v>
      </c>
      <c r="Q108" s="336"/>
      <c r="R108" s="337">
        <f t="shared" si="10"/>
        <v>51</v>
      </c>
      <c r="S108" s="292">
        <v>2</v>
      </c>
      <c r="T108" s="838"/>
      <c r="U108" s="836"/>
      <c r="V108" s="299" t="s">
        <v>475</v>
      </c>
      <c r="W108" s="292" t="s">
        <v>74</v>
      </c>
      <c r="X108" s="292" t="s">
        <v>11</v>
      </c>
      <c r="Y108" s="300">
        <v>27.8</v>
      </c>
      <c r="Z108" s="299" t="s">
        <v>473</v>
      </c>
      <c r="AA108" s="292" t="s">
        <v>75</v>
      </c>
      <c r="AB108" s="292" t="s">
        <v>18</v>
      </c>
      <c r="AC108" s="292">
        <v>8.3000000000000007</v>
      </c>
      <c r="AD108" s="299" t="s">
        <v>474</v>
      </c>
      <c r="AE108" s="292" t="s">
        <v>22</v>
      </c>
      <c r="AF108" s="292" t="s">
        <v>11</v>
      </c>
      <c r="AG108" s="300">
        <v>8</v>
      </c>
      <c r="AH108" s="299" t="s">
        <v>476</v>
      </c>
      <c r="AI108" s="292" t="s">
        <v>17</v>
      </c>
      <c r="AJ108" s="292" t="s">
        <v>18</v>
      </c>
      <c r="AK108" s="292">
        <v>6.9</v>
      </c>
      <c r="AL108" s="299"/>
      <c r="AO108" s="300"/>
      <c r="AP108" s="299"/>
      <c r="AS108" s="300"/>
      <c r="AW108" s="300"/>
      <c r="BA108" s="301"/>
    </row>
    <row r="109" spans="1:53" s="185" customFormat="1">
      <c r="A109" s="185">
        <v>2010</v>
      </c>
      <c r="B109" s="852">
        <v>40441</v>
      </c>
      <c r="C109" s="917" t="s">
        <v>609</v>
      </c>
      <c r="D109" s="917"/>
      <c r="E109" s="185">
        <f>365-E108</f>
        <v>103</v>
      </c>
      <c r="F109" s="185">
        <v>1</v>
      </c>
      <c r="G109" s="119">
        <v>17</v>
      </c>
      <c r="H109" s="185">
        <v>7</v>
      </c>
      <c r="J109" s="126">
        <v>24</v>
      </c>
      <c r="K109" s="92">
        <f t="shared" si="7"/>
        <v>70.833333333333343</v>
      </c>
      <c r="L109" s="92">
        <f t="shared" si="8"/>
        <v>29.166666666666668</v>
      </c>
      <c r="M109" s="92">
        <f t="shared" si="9"/>
        <v>0</v>
      </c>
      <c r="N109" s="92">
        <f t="shared" si="6"/>
        <v>100.00000000000001</v>
      </c>
      <c r="O109" s="91">
        <v>37.6</v>
      </c>
      <c r="P109" s="92">
        <v>12</v>
      </c>
      <c r="Q109" s="92"/>
      <c r="R109" s="93">
        <f t="shared" si="10"/>
        <v>49.6</v>
      </c>
      <c r="S109" s="185">
        <v>5</v>
      </c>
      <c r="T109" s="839">
        <v>40440</v>
      </c>
      <c r="U109" s="852">
        <v>40441</v>
      </c>
      <c r="V109" s="82" t="s">
        <v>475</v>
      </c>
      <c r="W109" s="185" t="s">
        <v>74</v>
      </c>
      <c r="X109" s="185" t="s">
        <v>11</v>
      </c>
      <c r="Y109" s="83">
        <v>30.7</v>
      </c>
      <c r="Z109" s="82" t="s">
        <v>473</v>
      </c>
      <c r="AA109" s="185" t="s">
        <v>75</v>
      </c>
      <c r="AB109" s="185" t="s">
        <v>18</v>
      </c>
      <c r="AC109" s="185">
        <v>6.6</v>
      </c>
      <c r="AD109" s="82" t="s">
        <v>474</v>
      </c>
      <c r="AE109" s="185" t="s">
        <v>22</v>
      </c>
      <c r="AF109" s="185" t="s">
        <v>11</v>
      </c>
      <c r="AG109" s="83">
        <v>6.9</v>
      </c>
      <c r="AH109" s="82" t="s">
        <v>476</v>
      </c>
      <c r="AI109" s="185" t="s">
        <v>17</v>
      </c>
      <c r="AJ109" s="185" t="s">
        <v>18</v>
      </c>
      <c r="AK109" s="185">
        <v>5.4</v>
      </c>
      <c r="AL109" s="82"/>
      <c r="AO109" s="83"/>
      <c r="AP109" s="82"/>
      <c r="AS109" s="83"/>
      <c r="AW109" s="83"/>
      <c r="BA109" s="84"/>
    </row>
    <row r="110" spans="1:53" s="185" customFormat="1">
      <c r="A110" s="185">
        <v>2011</v>
      </c>
      <c r="B110" s="852"/>
      <c r="C110" s="917" t="s">
        <v>609</v>
      </c>
      <c r="D110" s="917"/>
      <c r="E110" s="185">
        <v>0</v>
      </c>
      <c r="G110" s="119">
        <v>17</v>
      </c>
      <c r="H110" s="185">
        <v>7</v>
      </c>
      <c r="J110" s="126">
        <v>24</v>
      </c>
      <c r="K110" s="92">
        <f t="shared" ref="K110:K115" si="11">G110/J110*100</f>
        <v>70.833333333333343</v>
      </c>
      <c r="L110" s="92">
        <f t="shared" ref="L110:L115" si="12">H110/J110*100</f>
        <v>29.166666666666668</v>
      </c>
      <c r="M110" s="92">
        <f t="shared" ref="M110:M115" si="13">I110/J110*100</f>
        <v>0</v>
      </c>
      <c r="N110" s="92">
        <f t="shared" si="6"/>
        <v>100.00000000000001</v>
      </c>
      <c r="O110" s="91">
        <v>37.6</v>
      </c>
      <c r="P110" s="92">
        <v>12</v>
      </c>
      <c r="Q110" s="92"/>
      <c r="R110" s="93">
        <f t="shared" si="10"/>
        <v>49.6</v>
      </c>
      <c r="S110" s="185">
        <v>5</v>
      </c>
      <c r="T110" s="839"/>
      <c r="U110" s="852"/>
      <c r="V110" s="82" t="s">
        <v>475</v>
      </c>
      <c r="W110" s="185" t="s">
        <v>74</v>
      </c>
      <c r="X110" s="185" t="s">
        <v>11</v>
      </c>
      <c r="Y110" s="83">
        <v>30.7</v>
      </c>
      <c r="Z110" s="82" t="s">
        <v>473</v>
      </c>
      <c r="AA110" s="185" t="s">
        <v>75</v>
      </c>
      <c r="AB110" s="185" t="s">
        <v>18</v>
      </c>
      <c r="AC110" s="185">
        <v>6.6</v>
      </c>
      <c r="AD110" s="82" t="s">
        <v>474</v>
      </c>
      <c r="AE110" s="185" t="s">
        <v>22</v>
      </c>
      <c r="AF110" s="185" t="s">
        <v>11</v>
      </c>
      <c r="AG110" s="83">
        <v>6.9</v>
      </c>
      <c r="AH110" s="82" t="s">
        <v>476</v>
      </c>
      <c r="AI110" s="185" t="s">
        <v>17</v>
      </c>
      <c r="AJ110" s="185" t="s">
        <v>18</v>
      </c>
      <c r="AK110" s="185">
        <v>5.4</v>
      </c>
      <c r="AL110" s="82"/>
      <c r="AO110" s="83"/>
      <c r="AP110" s="82"/>
      <c r="AS110" s="83"/>
      <c r="AW110" s="83"/>
      <c r="BA110" s="84"/>
    </row>
    <row r="111" spans="1:53" s="185" customFormat="1">
      <c r="A111" s="185">
        <v>2011</v>
      </c>
      <c r="B111" s="852"/>
      <c r="C111" s="917" t="s">
        <v>609</v>
      </c>
      <c r="D111" s="917"/>
      <c r="E111" s="185">
        <v>365</v>
      </c>
      <c r="G111" s="119">
        <v>17</v>
      </c>
      <c r="H111" s="185">
        <v>7</v>
      </c>
      <c r="J111" s="126">
        <v>24</v>
      </c>
      <c r="K111" s="92">
        <f t="shared" si="11"/>
        <v>70.833333333333343</v>
      </c>
      <c r="L111" s="92">
        <f t="shared" si="12"/>
        <v>29.166666666666668</v>
      </c>
      <c r="M111" s="92">
        <f t="shared" si="13"/>
        <v>0</v>
      </c>
      <c r="N111" s="92">
        <f t="shared" si="6"/>
        <v>100.00000000000001</v>
      </c>
      <c r="O111" s="91">
        <v>37.6</v>
      </c>
      <c r="P111" s="92">
        <v>12</v>
      </c>
      <c r="Q111" s="92"/>
      <c r="R111" s="93">
        <f t="shared" si="10"/>
        <v>49.6</v>
      </c>
      <c r="S111" s="185">
        <v>5</v>
      </c>
      <c r="T111" s="839"/>
      <c r="U111" s="852"/>
      <c r="V111" s="82" t="s">
        <v>475</v>
      </c>
      <c r="W111" s="185" t="s">
        <v>74</v>
      </c>
      <c r="X111" s="185" t="s">
        <v>11</v>
      </c>
      <c r="Y111" s="83">
        <v>30.7</v>
      </c>
      <c r="Z111" s="82" t="s">
        <v>473</v>
      </c>
      <c r="AA111" s="185" t="s">
        <v>75</v>
      </c>
      <c r="AB111" s="185" t="s">
        <v>18</v>
      </c>
      <c r="AC111" s="185">
        <v>6.6</v>
      </c>
      <c r="AD111" s="82" t="s">
        <v>474</v>
      </c>
      <c r="AE111" s="185" t="s">
        <v>22</v>
      </c>
      <c r="AF111" s="185" t="s">
        <v>11</v>
      </c>
      <c r="AG111" s="83">
        <v>6.9</v>
      </c>
      <c r="AH111" s="82" t="s">
        <v>476</v>
      </c>
      <c r="AI111" s="185" t="s">
        <v>17</v>
      </c>
      <c r="AJ111" s="185" t="s">
        <v>18</v>
      </c>
      <c r="AK111" s="185">
        <v>5.4</v>
      </c>
      <c r="AL111" s="82"/>
      <c r="AO111" s="83"/>
      <c r="AP111" s="82"/>
      <c r="AS111" s="83"/>
      <c r="AW111" s="83"/>
      <c r="BA111" s="84"/>
    </row>
    <row r="112" spans="1:53" s="185" customFormat="1">
      <c r="A112" s="185">
        <v>2012</v>
      </c>
      <c r="B112" s="852"/>
      <c r="C112" s="917" t="s">
        <v>609</v>
      </c>
      <c r="D112" s="917"/>
      <c r="E112" s="185">
        <v>0</v>
      </c>
      <c r="G112" s="119">
        <v>17</v>
      </c>
      <c r="H112" s="185">
        <v>7</v>
      </c>
      <c r="J112" s="126">
        <v>24</v>
      </c>
      <c r="K112" s="92">
        <f t="shared" si="11"/>
        <v>70.833333333333343</v>
      </c>
      <c r="L112" s="92">
        <f t="shared" si="12"/>
        <v>29.166666666666668</v>
      </c>
      <c r="M112" s="92">
        <f t="shared" si="13"/>
        <v>0</v>
      </c>
      <c r="N112" s="92">
        <f t="shared" si="6"/>
        <v>100.00000000000001</v>
      </c>
      <c r="O112" s="91">
        <v>37.6</v>
      </c>
      <c r="P112" s="92">
        <v>12</v>
      </c>
      <c r="Q112" s="92"/>
      <c r="R112" s="93">
        <f t="shared" si="10"/>
        <v>49.6</v>
      </c>
      <c r="S112" s="185">
        <v>5</v>
      </c>
      <c r="T112" s="839"/>
      <c r="U112" s="852"/>
      <c r="V112" s="82" t="s">
        <v>475</v>
      </c>
      <c r="W112" s="185" t="s">
        <v>74</v>
      </c>
      <c r="X112" s="185" t="s">
        <v>11</v>
      </c>
      <c r="Y112" s="83">
        <v>30.7</v>
      </c>
      <c r="Z112" s="82" t="s">
        <v>473</v>
      </c>
      <c r="AA112" s="185" t="s">
        <v>75</v>
      </c>
      <c r="AB112" s="185" t="s">
        <v>18</v>
      </c>
      <c r="AC112" s="185">
        <v>6.6</v>
      </c>
      <c r="AD112" s="82" t="s">
        <v>474</v>
      </c>
      <c r="AE112" s="185" t="s">
        <v>22</v>
      </c>
      <c r="AF112" s="185" t="s">
        <v>11</v>
      </c>
      <c r="AG112" s="83">
        <v>6.9</v>
      </c>
      <c r="AH112" s="82" t="s">
        <v>476</v>
      </c>
      <c r="AI112" s="185" t="s">
        <v>17</v>
      </c>
      <c r="AJ112" s="185" t="s">
        <v>18</v>
      </c>
      <c r="AK112" s="185">
        <v>5.4</v>
      </c>
      <c r="AL112" s="82"/>
      <c r="AO112" s="83"/>
      <c r="AP112" s="82"/>
      <c r="AS112" s="83"/>
      <c r="AW112" s="83"/>
      <c r="BA112" s="84"/>
    </row>
    <row r="113" spans="1:53" s="185" customFormat="1">
      <c r="A113" s="185">
        <v>2012</v>
      </c>
      <c r="B113" s="852"/>
      <c r="C113" s="917" t="s">
        <v>609</v>
      </c>
      <c r="D113" s="917"/>
      <c r="E113" s="185">
        <v>366</v>
      </c>
      <c r="G113" s="119">
        <v>17</v>
      </c>
      <c r="H113" s="185">
        <v>7</v>
      </c>
      <c r="J113" s="126">
        <v>24</v>
      </c>
      <c r="K113" s="92">
        <f t="shared" si="11"/>
        <v>70.833333333333343</v>
      </c>
      <c r="L113" s="92">
        <f t="shared" si="12"/>
        <v>29.166666666666668</v>
      </c>
      <c r="M113" s="92">
        <f t="shared" si="13"/>
        <v>0</v>
      </c>
      <c r="N113" s="92">
        <f t="shared" si="6"/>
        <v>100.00000000000001</v>
      </c>
      <c r="O113" s="91">
        <v>37.6</v>
      </c>
      <c r="P113" s="92">
        <v>12</v>
      </c>
      <c r="Q113" s="92"/>
      <c r="R113" s="93">
        <f t="shared" si="10"/>
        <v>49.6</v>
      </c>
      <c r="S113" s="185">
        <v>5</v>
      </c>
      <c r="T113" s="839"/>
      <c r="U113" s="852"/>
      <c r="V113" s="82" t="s">
        <v>475</v>
      </c>
      <c r="W113" s="185" t="s">
        <v>74</v>
      </c>
      <c r="X113" s="185" t="s">
        <v>11</v>
      </c>
      <c r="Y113" s="83">
        <v>30.7</v>
      </c>
      <c r="Z113" s="82" t="s">
        <v>473</v>
      </c>
      <c r="AA113" s="185" t="s">
        <v>75</v>
      </c>
      <c r="AB113" s="185" t="s">
        <v>18</v>
      </c>
      <c r="AC113" s="185">
        <v>6.6</v>
      </c>
      <c r="AD113" s="82" t="s">
        <v>474</v>
      </c>
      <c r="AE113" s="185" t="s">
        <v>22</v>
      </c>
      <c r="AF113" s="185" t="s">
        <v>11</v>
      </c>
      <c r="AG113" s="83">
        <v>6.9</v>
      </c>
      <c r="AH113" s="82" t="s">
        <v>476</v>
      </c>
      <c r="AI113" s="185" t="s">
        <v>17</v>
      </c>
      <c r="AJ113" s="185" t="s">
        <v>18</v>
      </c>
      <c r="AK113" s="185">
        <v>5.4</v>
      </c>
      <c r="AL113" s="82"/>
      <c r="AO113" s="83"/>
      <c r="AP113" s="82"/>
      <c r="AS113" s="83"/>
      <c r="AW113" s="83"/>
      <c r="BA113" s="84"/>
    </row>
    <row r="114" spans="1:53" s="274" customFormat="1">
      <c r="A114" s="274">
        <v>2013</v>
      </c>
      <c r="B114" s="852"/>
      <c r="C114" s="917" t="s">
        <v>609</v>
      </c>
      <c r="D114" s="917"/>
      <c r="E114" s="274">
        <v>0</v>
      </c>
      <c r="G114" s="119">
        <v>17</v>
      </c>
      <c r="H114" s="274">
        <v>7</v>
      </c>
      <c r="J114" s="126">
        <v>24</v>
      </c>
      <c r="K114" s="92">
        <f t="shared" si="11"/>
        <v>70.833333333333343</v>
      </c>
      <c r="L114" s="92">
        <f t="shared" si="12"/>
        <v>29.166666666666668</v>
      </c>
      <c r="M114" s="92">
        <f t="shared" si="13"/>
        <v>0</v>
      </c>
      <c r="N114" s="92">
        <f t="shared" si="6"/>
        <v>100.00000000000001</v>
      </c>
      <c r="O114" s="91">
        <v>37.6</v>
      </c>
      <c r="P114" s="92">
        <v>12</v>
      </c>
      <c r="Q114" s="92"/>
      <c r="R114" s="93">
        <f t="shared" si="10"/>
        <v>49.6</v>
      </c>
      <c r="S114" s="274">
        <v>5</v>
      </c>
      <c r="T114" s="839"/>
      <c r="U114" s="852"/>
      <c r="V114" s="82" t="s">
        <v>475</v>
      </c>
      <c r="W114" s="274" t="s">
        <v>74</v>
      </c>
      <c r="X114" s="274" t="s">
        <v>11</v>
      </c>
      <c r="Y114" s="83">
        <v>30.7</v>
      </c>
      <c r="Z114" s="82" t="s">
        <v>473</v>
      </c>
      <c r="AA114" s="274" t="s">
        <v>75</v>
      </c>
      <c r="AB114" s="274" t="s">
        <v>18</v>
      </c>
      <c r="AC114" s="274">
        <v>6.6</v>
      </c>
      <c r="AD114" s="82" t="s">
        <v>474</v>
      </c>
      <c r="AE114" s="274" t="s">
        <v>22</v>
      </c>
      <c r="AF114" s="274" t="s">
        <v>11</v>
      </c>
      <c r="AG114" s="83">
        <v>6.9</v>
      </c>
      <c r="AH114" s="82" t="s">
        <v>476</v>
      </c>
      <c r="AI114" s="274" t="s">
        <v>17</v>
      </c>
      <c r="AJ114" s="274" t="s">
        <v>18</v>
      </c>
      <c r="AK114" s="274">
        <v>5.4</v>
      </c>
      <c r="AL114" s="82"/>
      <c r="AO114" s="83"/>
      <c r="AP114" s="82"/>
      <c r="AS114" s="83"/>
      <c r="AW114" s="83"/>
      <c r="BA114" s="84"/>
    </row>
    <row r="115" spans="1:53" s="274" customFormat="1">
      <c r="A115" s="274">
        <v>2013</v>
      </c>
      <c r="B115" s="852"/>
      <c r="C115" s="917" t="s">
        <v>609</v>
      </c>
      <c r="D115" s="917"/>
      <c r="E115" s="274">
        <v>365</v>
      </c>
      <c r="G115" s="119">
        <v>17</v>
      </c>
      <c r="H115" s="274">
        <v>7</v>
      </c>
      <c r="J115" s="126">
        <v>24</v>
      </c>
      <c r="K115" s="92">
        <f t="shared" si="11"/>
        <v>70.833333333333343</v>
      </c>
      <c r="L115" s="92">
        <f t="shared" si="12"/>
        <v>29.166666666666668</v>
      </c>
      <c r="M115" s="92">
        <f t="shared" si="13"/>
        <v>0</v>
      </c>
      <c r="N115" s="92">
        <f t="shared" si="6"/>
        <v>100.00000000000001</v>
      </c>
      <c r="O115" s="91">
        <v>37.6</v>
      </c>
      <c r="P115" s="92">
        <v>12</v>
      </c>
      <c r="Q115" s="92"/>
      <c r="R115" s="93">
        <f t="shared" si="10"/>
        <v>49.6</v>
      </c>
      <c r="S115" s="274">
        <v>5</v>
      </c>
      <c r="T115" s="839"/>
      <c r="U115" s="852"/>
      <c r="V115" s="82" t="s">
        <v>475</v>
      </c>
      <c r="W115" s="274" t="s">
        <v>74</v>
      </c>
      <c r="X115" s="274" t="s">
        <v>11</v>
      </c>
      <c r="Y115" s="83">
        <v>30.7</v>
      </c>
      <c r="Z115" s="82" t="s">
        <v>473</v>
      </c>
      <c r="AA115" s="274" t="s">
        <v>75</v>
      </c>
      <c r="AB115" s="274" t="s">
        <v>18</v>
      </c>
      <c r="AC115" s="274">
        <v>6.6</v>
      </c>
      <c r="AD115" s="82" t="s">
        <v>474</v>
      </c>
      <c r="AE115" s="274" t="s">
        <v>22</v>
      </c>
      <c r="AF115" s="274" t="s">
        <v>11</v>
      </c>
      <c r="AG115" s="83">
        <v>6.9</v>
      </c>
      <c r="AH115" s="82" t="s">
        <v>476</v>
      </c>
      <c r="AI115" s="274" t="s">
        <v>17</v>
      </c>
      <c r="AJ115" s="274" t="s">
        <v>18</v>
      </c>
      <c r="AK115" s="274">
        <v>5.4</v>
      </c>
      <c r="AL115" s="82"/>
      <c r="AO115" s="83"/>
      <c r="AP115" s="82"/>
      <c r="AS115" s="83"/>
      <c r="AW115" s="83"/>
      <c r="BA115" s="84"/>
    </row>
    <row r="116" spans="1:53" s="548" customFormat="1">
      <c r="A116" s="548">
        <v>2014</v>
      </c>
      <c r="B116" s="852"/>
      <c r="C116" s="917" t="s">
        <v>609</v>
      </c>
      <c r="D116" s="917"/>
      <c r="E116" s="548">
        <v>277</v>
      </c>
      <c r="G116" s="498">
        <v>17</v>
      </c>
      <c r="H116" s="548">
        <v>7</v>
      </c>
      <c r="J116" s="500">
        <v>24</v>
      </c>
      <c r="K116" s="496">
        <f>G116/J116*100</f>
        <v>70.833333333333343</v>
      </c>
      <c r="L116" s="496">
        <f>H116/J116*100</f>
        <v>29.166666666666668</v>
      </c>
      <c r="M116" s="496">
        <f>I116/J116*100</f>
        <v>0</v>
      </c>
      <c r="N116" s="496">
        <f>K116+L116+M116</f>
        <v>100.00000000000001</v>
      </c>
      <c r="O116" s="495">
        <v>37.6</v>
      </c>
      <c r="P116" s="496">
        <v>12</v>
      </c>
      <c r="Q116" s="496"/>
      <c r="R116" s="497">
        <f>O116+P116+Q116</f>
        <v>49.6</v>
      </c>
      <c r="S116" s="548">
        <v>5</v>
      </c>
      <c r="T116" s="839"/>
      <c r="U116" s="852"/>
      <c r="V116" s="492" t="s">
        <v>475</v>
      </c>
      <c r="W116" s="548" t="s">
        <v>74</v>
      </c>
      <c r="X116" s="548" t="s">
        <v>11</v>
      </c>
      <c r="Y116" s="493">
        <v>30.7</v>
      </c>
      <c r="Z116" s="492" t="s">
        <v>473</v>
      </c>
      <c r="AA116" s="548" t="s">
        <v>75</v>
      </c>
      <c r="AB116" s="548" t="s">
        <v>18</v>
      </c>
      <c r="AC116" s="548">
        <v>6.6</v>
      </c>
      <c r="AD116" s="492" t="s">
        <v>474</v>
      </c>
      <c r="AE116" s="548" t="s">
        <v>22</v>
      </c>
      <c r="AF116" s="548" t="s">
        <v>11</v>
      </c>
      <c r="AG116" s="493">
        <v>6.9</v>
      </c>
      <c r="AH116" s="492" t="s">
        <v>476</v>
      </c>
      <c r="AI116" s="548" t="s">
        <v>17</v>
      </c>
      <c r="AJ116" s="548" t="s">
        <v>18</v>
      </c>
      <c r="AK116" s="548">
        <v>5.4</v>
      </c>
      <c r="AL116" s="492"/>
      <c r="AO116" s="493"/>
      <c r="AP116" s="492"/>
      <c r="AS116" s="493"/>
      <c r="AW116" s="493"/>
      <c r="BA116" s="494"/>
    </row>
    <row r="117" spans="1:53" s="549" customFormat="1">
      <c r="A117" s="549">
        <v>2014</v>
      </c>
      <c r="B117" s="836">
        <v>41917</v>
      </c>
      <c r="C117" s="916" t="s">
        <v>1309</v>
      </c>
      <c r="D117" s="916"/>
      <c r="E117" s="549">
        <v>88</v>
      </c>
      <c r="F117" s="549">
        <v>1</v>
      </c>
      <c r="G117" s="539"/>
      <c r="I117" s="549">
        <v>24</v>
      </c>
      <c r="J117" s="541">
        <v>24</v>
      </c>
      <c r="K117" s="537">
        <f>G117/J117*100</f>
        <v>0</v>
      </c>
      <c r="L117" s="537">
        <f>H117/J117*100</f>
        <v>0</v>
      </c>
      <c r="M117" s="537">
        <f>I117/J117*100</f>
        <v>100</v>
      </c>
      <c r="N117" s="537">
        <f>K117+L117+M117</f>
        <v>100</v>
      </c>
      <c r="O117" s="536"/>
      <c r="P117" s="537"/>
      <c r="Q117" s="537">
        <v>39.6</v>
      </c>
      <c r="R117" s="538">
        <f>O117+P117+Q117</f>
        <v>39.6</v>
      </c>
      <c r="S117" s="549">
        <v>5</v>
      </c>
      <c r="T117" s="838">
        <v>41896</v>
      </c>
      <c r="U117" s="836">
        <v>41917</v>
      </c>
      <c r="V117" s="532" t="s">
        <v>472</v>
      </c>
      <c r="W117" s="549" t="s">
        <v>20</v>
      </c>
      <c r="X117" s="549" t="s">
        <v>12</v>
      </c>
      <c r="Y117" s="533">
        <v>32.4</v>
      </c>
      <c r="Z117" s="532" t="s">
        <v>1310</v>
      </c>
      <c r="AA117" s="549" t="s">
        <v>218</v>
      </c>
      <c r="AB117" s="549" t="s">
        <v>12</v>
      </c>
      <c r="AC117" s="549">
        <v>7.2</v>
      </c>
      <c r="AD117" s="532"/>
      <c r="AG117" s="533"/>
      <c r="AH117" s="532"/>
      <c r="AL117" s="532"/>
      <c r="AO117" s="533"/>
      <c r="AP117" s="532"/>
      <c r="AS117" s="533"/>
      <c r="AW117" s="533"/>
      <c r="BA117" s="534"/>
    </row>
    <row r="118" spans="1:53" s="630" customFormat="1">
      <c r="A118" s="630">
        <v>2015</v>
      </c>
      <c r="B118" s="836"/>
      <c r="C118" s="916" t="s">
        <v>1309</v>
      </c>
      <c r="D118" s="916"/>
      <c r="E118" s="630">
        <v>0</v>
      </c>
      <c r="G118" s="539"/>
      <c r="I118" s="630">
        <v>24</v>
      </c>
      <c r="J118" s="541">
        <v>24</v>
      </c>
      <c r="K118" s="537">
        <f t="shared" ref="K118:K119" si="14">G118/J118*100</f>
        <v>0</v>
      </c>
      <c r="L118" s="537">
        <f t="shared" ref="L118:L119" si="15">H118/J118*100</f>
        <v>0</v>
      </c>
      <c r="M118" s="537">
        <f t="shared" ref="M118:M119" si="16">I118/J118*100</f>
        <v>100</v>
      </c>
      <c r="N118" s="537">
        <f t="shared" ref="N118:N119" si="17">K118+L118+M118</f>
        <v>100</v>
      </c>
      <c r="O118" s="536"/>
      <c r="P118" s="537"/>
      <c r="Q118" s="537">
        <v>39.6</v>
      </c>
      <c r="R118" s="538">
        <f t="shared" ref="R118:R119" si="18">O118+P118+Q118</f>
        <v>39.6</v>
      </c>
      <c r="S118" s="630">
        <v>5</v>
      </c>
      <c r="T118" s="838"/>
      <c r="U118" s="836"/>
      <c r="V118" s="532" t="s">
        <v>472</v>
      </c>
      <c r="W118" s="630" t="s">
        <v>20</v>
      </c>
      <c r="X118" s="630" t="s">
        <v>12</v>
      </c>
      <c r="Y118" s="533">
        <v>32.4</v>
      </c>
      <c r="Z118" s="532" t="s">
        <v>1310</v>
      </c>
      <c r="AA118" s="630" t="s">
        <v>218</v>
      </c>
      <c r="AB118" s="630" t="s">
        <v>12</v>
      </c>
      <c r="AC118" s="630">
        <v>7.2</v>
      </c>
      <c r="AD118" s="532"/>
      <c r="AG118" s="533"/>
      <c r="AH118" s="532"/>
      <c r="AL118" s="532"/>
      <c r="AO118" s="533"/>
      <c r="AP118" s="532"/>
      <c r="AS118" s="533"/>
      <c r="AW118" s="533"/>
      <c r="BA118" s="534"/>
    </row>
    <row r="119" spans="1:53" s="630" customFormat="1">
      <c r="A119" s="630">
        <v>2015</v>
      </c>
      <c r="B119" s="836"/>
      <c r="C119" s="916" t="s">
        <v>1309</v>
      </c>
      <c r="D119" s="916"/>
      <c r="E119" s="630">
        <v>365</v>
      </c>
      <c r="G119" s="539"/>
      <c r="I119" s="630">
        <v>24</v>
      </c>
      <c r="J119" s="541">
        <v>24</v>
      </c>
      <c r="K119" s="537">
        <f t="shared" si="14"/>
        <v>0</v>
      </c>
      <c r="L119" s="537">
        <f t="shared" si="15"/>
        <v>0</v>
      </c>
      <c r="M119" s="537">
        <f t="shared" si="16"/>
        <v>100</v>
      </c>
      <c r="N119" s="537">
        <f t="shared" si="17"/>
        <v>100</v>
      </c>
      <c r="O119" s="536"/>
      <c r="P119" s="537"/>
      <c r="Q119" s="537">
        <v>39.6</v>
      </c>
      <c r="R119" s="538">
        <f t="shared" si="18"/>
        <v>39.6</v>
      </c>
      <c r="S119" s="630">
        <v>5</v>
      </c>
      <c r="T119" s="838"/>
      <c r="U119" s="836"/>
      <c r="V119" s="532" t="s">
        <v>472</v>
      </c>
      <c r="W119" s="630" t="s">
        <v>20</v>
      </c>
      <c r="X119" s="630" t="s">
        <v>12</v>
      </c>
      <c r="Y119" s="533">
        <v>32.4</v>
      </c>
      <c r="Z119" s="532" t="s">
        <v>1310</v>
      </c>
      <c r="AA119" s="630" t="s">
        <v>218</v>
      </c>
      <c r="AB119" s="630" t="s">
        <v>12</v>
      </c>
      <c r="AC119" s="630">
        <v>7.2</v>
      </c>
      <c r="AD119" s="532"/>
      <c r="AG119" s="533"/>
      <c r="AH119" s="532"/>
      <c r="AL119" s="532"/>
      <c r="AO119" s="533"/>
      <c r="AP119" s="532"/>
      <c r="AS119" s="533"/>
      <c r="AW119" s="533"/>
      <c r="BA119" s="534"/>
    </row>
    <row r="120" spans="1:53" s="692" customFormat="1">
      <c r="A120" s="692">
        <v>2016</v>
      </c>
      <c r="B120" s="836"/>
      <c r="C120" s="916" t="s">
        <v>1309</v>
      </c>
      <c r="D120" s="916"/>
      <c r="E120" s="692">
        <v>0</v>
      </c>
      <c r="G120" s="539"/>
      <c r="I120" s="692">
        <v>24</v>
      </c>
      <c r="J120" s="541">
        <v>24</v>
      </c>
      <c r="K120" s="537">
        <f t="shared" ref="K120:K121" si="19">G120/J120*100</f>
        <v>0</v>
      </c>
      <c r="L120" s="537">
        <f t="shared" ref="L120:L121" si="20">H120/J120*100</f>
        <v>0</v>
      </c>
      <c r="M120" s="537">
        <f t="shared" ref="M120:M121" si="21">I120/J120*100</f>
        <v>100</v>
      </c>
      <c r="N120" s="537">
        <f t="shared" ref="N120:N121" si="22">K120+L120+M120</f>
        <v>100</v>
      </c>
      <c r="O120" s="536"/>
      <c r="P120" s="537"/>
      <c r="Q120" s="537">
        <v>39.6</v>
      </c>
      <c r="R120" s="538">
        <f t="shared" ref="R120:R121" si="23">O120+P120+Q120</f>
        <v>39.6</v>
      </c>
      <c r="S120" s="692">
        <v>5</v>
      </c>
      <c r="T120" s="838"/>
      <c r="U120" s="836"/>
      <c r="V120" s="532" t="s">
        <v>472</v>
      </c>
      <c r="W120" s="692" t="s">
        <v>20</v>
      </c>
      <c r="X120" s="692" t="s">
        <v>12</v>
      </c>
      <c r="Y120" s="533">
        <v>32.4</v>
      </c>
      <c r="Z120" s="532" t="s">
        <v>1310</v>
      </c>
      <c r="AA120" s="692" t="s">
        <v>218</v>
      </c>
      <c r="AB120" s="692" t="s">
        <v>12</v>
      </c>
      <c r="AC120" s="692">
        <v>7.2</v>
      </c>
      <c r="AD120" s="532"/>
      <c r="AG120" s="533"/>
      <c r="AH120" s="532"/>
      <c r="AL120" s="532"/>
      <c r="AO120" s="533"/>
      <c r="AP120" s="532"/>
      <c r="AS120" s="533"/>
      <c r="AW120" s="533"/>
      <c r="BA120" s="534"/>
    </row>
    <row r="121" spans="1:53" s="692" customFormat="1">
      <c r="A121" s="692">
        <v>2016</v>
      </c>
      <c r="B121" s="836"/>
      <c r="C121" s="916" t="s">
        <v>1309</v>
      </c>
      <c r="D121" s="916"/>
      <c r="E121" s="692">
        <v>366</v>
      </c>
      <c r="G121" s="539"/>
      <c r="I121" s="692">
        <v>24</v>
      </c>
      <c r="J121" s="541">
        <v>24</v>
      </c>
      <c r="K121" s="537">
        <f t="shared" si="19"/>
        <v>0</v>
      </c>
      <c r="L121" s="537">
        <f t="shared" si="20"/>
        <v>0</v>
      </c>
      <c r="M121" s="537">
        <f t="shared" si="21"/>
        <v>100</v>
      </c>
      <c r="N121" s="537">
        <f t="shared" si="22"/>
        <v>100</v>
      </c>
      <c r="O121" s="536"/>
      <c r="P121" s="537"/>
      <c r="Q121" s="537">
        <v>39.6</v>
      </c>
      <c r="R121" s="538">
        <f t="shared" si="23"/>
        <v>39.6</v>
      </c>
      <c r="S121" s="692">
        <v>5</v>
      </c>
      <c r="T121" s="838"/>
      <c r="U121" s="836"/>
      <c r="V121" s="532" t="s">
        <v>472</v>
      </c>
      <c r="W121" s="692" t="s">
        <v>20</v>
      </c>
      <c r="X121" s="692" t="s">
        <v>12</v>
      </c>
      <c r="Y121" s="533">
        <v>32.4</v>
      </c>
      <c r="Z121" s="532" t="s">
        <v>1310</v>
      </c>
      <c r="AA121" s="692" t="s">
        <v>218</v>
      </c>
      <c r="AB121" s="692" t="s">
        <v>12</v>
      </c>
      <c r="AC121" s="692">
        <v>7.2</v>
      </c>
      <c r="AD121" s="532"/>
      <c r="AG121" s="533"/>
      <c r="AH121" s="532"/>
      <c r="AL121" s="532"/>
      <c r="AO121" s="533"/>
      <c r="AP121" s="532"/>
      <c r="AS121" s="533"/>
      <c r="AW121" s="533"/>
      <c r="BA121" s="534"/>
    </row>
    <row r="122" spans="1:53" s="731" customFormat="1">
      <c r="A122" s="731">
        <v>2017</v>
      </c>
      <c r="B122" s="836"/>
      <c r="C122" s="916" t="s">
        <v>1309</v>
      </c>
      <c r="D122" s="916"/>
      <c r="E122" s="731">
        <v>207</v>
      </c>
      <c r="G122" s="539"/>
      <c r="I122" s="731">
        <v>24</v>
      </c>
      <c r="J122" s="541">
        <v>24</v>
      </c>
      <c r="K122" s="537">
        <f t="shared" ref="K122:K125" si="24">G122/J122*100</f>
        <v>0</v>
      </c>
      <c r="L122" s="537">
        <f t="shared" ref="L122:L125" si="25">H122/J122*100</f>
        <v>0</v>
      </c>
      <c r="M122" s="537">
        <f t="shared" ref="M122:M125" si="26">I122/J122*100</f>
        <v>100</v>
      </c>
      <c r="N122" s="537">
        <f t="shared" ref="N122:N125" si="27">K122+L122+M122</f>
        <v>100</v>
      </c>
      <c r="O122" s="536"/>
      <c r="P122" s="537"/>
      <c r="Q122" s="537">
        <v>39.6</v>
      </c>
      <c r="R122" s="538">
        <f t="shared" ref="R122" si="28">O122+P122+Q122</f>
        <v>39.6</v>
      </c>
      <c r="S122" s="731">
        <v>5</v>
      </c>
      <c r="T122" s="838"/>
      <c r="U122" s="836"/>
      <c r="V122" s="532" t="s">
        <v>472</v>
      </c>
      <c r="W122" s="731" t="s">
        <v>20</v>
      </c>
      <c r="X122" s="731" t="s">
        <v>12</v>
      </c>
      <c r="Y122" s="533">
        <v>32.4</v>
      </c>
      <c r="Z122" s="532" t="s">
        <v>1310</v>
      </c>
      <c r="AA122" s="731" t="s">
        <v>218</v>
      </c>
      <c r="AB122" s="731" t="s">
        <v>12</v>
      </c>
      <c r="AC122" s="731">
        <v>7.2</v>
      </c>
      <c r="AD122" s="532"/>
      <c r="AG122" s="533"/>
      <c r="AH122" s="532"/>
      <c r="AL122" s="532"/>
      <c r="AO122" s="533"/>
      <c r="AP122" s="532"/>
      <c r="AS122" s="533"/>
      <c r="AW122" s="533"/>
      <c r="BA122" s="534"/>
    </row>
    <row r="123" spans="1:53" s="731" customFormat="1">
      <c r="A123" s="731">
        <v>2017</v>
      </c>
      <c r="B123" s="865">
        <v>42943</v>
      </c>
      <c r="C123" s="916" t="s">
        <v>1309</v>
      </c>
      <c r="D123" s="916"/>
      <c r="E123" s="731">
        <v>158</v>
      </c>
      <c r="F123" s="428">
        <v>0</v>
      </c>
      <c r="G123" s="539"/>
      <c r="I123" s="731">
        <v>23</v>
      </c>
      <c r="J123" s="541">
        <v>23</v>
      </c>
      <c r="K123" s="537">
        <f t="shared" si="24"/>
        <v>0</v>
      </c>
      <c r="L123" s="537">
        <f t="shared" si="25"/>
        <v>0</v>
      </c>
      <c r="M123" s="537">
        <f t="shared" si="26"/>
        <v>100</v>
      </c>
      <c r="N123" s="537">
        <f t="shared" si="27"/>
        <v>100</v>
      </c>
      <c r="O123" s="536"/>
      <c r="P123" s="537"/>
      <c r="Q123" s="537">
        <v>39.6</v>
      </c>
      <c r="R123" s="538">
        <f t="shared" ref="R123" si="29">O123+P123+Q123</f>
        <v>39.6</v>
      </c>
      <c r="S123" s="731">
        <v>5</v>
      </c>
      <c r="T123" s="838"/>
      <c r="U123" s="836"/>
      <c r="V123" s="532" t="s">
        <v>472</v>
      </c>
      <c r="W123" s="731" t="s">
        <v>20</v>
      </c>
      <c r="X123" s="731" t="s">
        <v>12</v>
      </c>
      <c r="Y123" s="533">
        <v>32.4</v>
      </c>
      <c r="Z123" s="532" t="s">
        <v>1310</v>
      </c>
      <c r="AA123" s="731" t="s">
        <v>218</v>
      </c>
      <c r="AB123" s="731" t="s">
        <v>12</v>
      </c>
      <c r="AC123" s="731">
        <v>7.2</v>
      </c>
      <c r="AD123" s="532"/>
      <c r="AG123" s="533"/>
      <c r="AH123" s="532"/>
      <c r="AL123" s="532"/>
      <c r="AO123" s="533"/>
      <c r="AP123" s="532"/>
      <c r="AS123" s="533"/>
      <c r="AW123" s="533"/>
      <c r="BA123" s="534"/>
    </row>
    <row r="124" spans="1:53" s="770" customFormat="1">
      <c r="A124" s="770">
        <v>2018</v>
      </c>
      <c r="B124" s="836"/>
      <c r="C124" s="916" t="s">
        <v>1309</v>
      </c>
      <c r="D124" s="916"/>
      <c r="E124" s="770">
        <v>0</v>
      </c>
      <c r="G124" s="539"/>
      <c r="I124" s="770">
        <v>23</v>
      </c>
      <c r="J124" s="541">
        <v>23</v>
      </c>
      <c r="K124" s="537">
        <f t="shared" si="24"/>
        <v>0</v>
      </c>
      <c r="L124" s="537">
        <f t="shared" si="25"/>
        <v>0</v>
      </c>
      <c r="M124" s="537">
        <f t="shared" si="26"/>
        <v>100</v>
      </c>
      <c r="N124" s="537">
        <f t="shared" si="27"/>
        <v>100</v>
      </c>
      <c r="O124" s="536"/>
      <c r="P124" s="537"/>
      <c r="Q124" s="537">
        <v>39.6</v>
      </c>
      <c r="R124" s="538">
        <f t="shared" ref="R124:R125" si="30">O124+P124+Q124</f>
        <v>39.6</v>
      </c>
      <c r="S124" s="770">
        <v>5</v>
      </c>
      <c r="T124" s="838"/>
      <c r="U124" s="836"/>
      <c r="V124" s="532" t="s">
        <v>472</v>
      </c>
      <c r="W124" s="770" t="s">
        <v>20</v>
      </c>
      <c r="X124" s="770" t="s">
        <v>12</v>
      </c>
      <c r="Y124" s="533">
        <v>32.4</v>
      </c>
      <c r="Z124" s="532" t="s">
        <v>1310</v>
      </c>
      <c r="AA124" s="770" t="s">
        <v>218</v>
      </c>
      <c r="AB124" s="770" t="s">
        <v>12</v>
      </c>
      <c r="AC124" s="770">
        <v>7.2</v>
      </c>
      <c r="AD124" s="532"/>
      <c r="AG124" s="533"/>
      <c r="AH124" s="532"/>
      <c r="AL124" s="532"/>
      <c r="AO124" s="533"/>
      <c r="AP124" s="532"/>
      <c r="AS124" s="533"/>
      <c r="AW124" s="533"/>
      <c r="BA124" s="534"/>
    </row>
    <row r="125" spans="1:53" s="770" customFormat="1">
      <c r="A125" s="770">
        <v>2018</v>
      </c>
      <c r="B125" s="836"/>
      <c r="C125" s="916" t="s">
        <v>1309</v>
      </c>
      <c r="D125" s="916"/>
      <c r="E125" s="770">
        <v>365</v>
      </c>
      <c r="G125" s="539"/>
      <c r="I125" s="770">
        <v>23</v>
      </c>
      <c r="J125" s="541">
        <v>23</v>
      </c>
      <c r="K125" s="537">
        <f t="shared" si="24"/>
        <v>0</v>
      </c>
      <c r="L125" s="537">
        <f t="shared" si="25"/>
        <v>0</v>
      </c>
      <c r="M125" s="537">
        <f t="shared" si="26"/>
        <v>100</v>
      </c>
      <c r="N125" s="537">
        <f t="shared" si="27"/>
        <v>100</v>
      </c>
      <c r="O125" s="536"/>
      <c r="P125" s="537"/>
      <c r="Q125" s="537">
        <v>39.6</v>
      </c>
      <c r="R125" s="538">
        <f t="shared" si="30"/>
        <v>39.6</v>
      </c>
      <c r="S125" s="770">
        <v>5</v>
      </c>
      <c r="T125" s="838">
        <v>43352</v>
      </c>
      <c r="U125" s="836"/>
      <c r="V125" s="532" t="s">
        <v>472</v>
      </c>
      <c r="W125" s="770" t="s">
        <v>20</v>
      </c>
      <c r="X125" s="770" t="s">
        <v>12</v>
      </c>
      <c r="Y125" s="533">
        <v>32.4</v>
      </c>
      <c r="Z125" s="532" t="s">
        <v>1310</v>
      </c>
      <c r="AA125" s="770" t="s">
        <v>218</v>
      </c>
      <c r="AB125" s="770" t="s">
        <v>12</v>
      </c>
      <c r="AC125" s="770">
        <v>7.2</v>
      </c>
      <c r="AD125" s="532"/>
      <c r="AG125" s="533"/>
      <c r="AH125" s="532"/>
      <c r="AL125" s="532"/>
      <c r="AO125" s="533"/>
      <c r="AP125" s="532"/>
      <c r="AS125" s="533"/>
      <c r="AW125" s="533"/>
      <c r="BA125" s="534"/>
    </row>
    <row r="126" spans="1:53" s="814" customFormat="1">
      <c r="A126" s="814">
        <v>2019</v>
      </c>
      <c r="B126" s="836"/>
      <c r="C126" s="916" t="s">
        <v>1309</v>
      </c>
      <c r="D126" s="916"/>
      <c r="E126" s="814">
        <v>22</v>
      </c>
      <c r="G126" s="539"/>
      <c r="I126" s="814">
        <v>23</v>
      </c>
      <c r="J126" s="541">
        <v>23</v>
      </c>
      <c r="K126" s="537">
        <f t="shared" ref="K126:K127" si="31">G126/J126*100</f>
        <v>0</v>
      </c>
      <c r="L126" s="537">
        <f t="shared" ref="L126:L127" si="32">H126/J126*100</f>
        <v>0</v>
      </c>
      <c r="M126" s="537">
        <f t="shared" ref="M126:M127" si="33">I126/J126*100</f>
        <v>100</v>
      </c>
      <c r="N126" s="537">
        <f t="shared" ref="N126:N127" si="34">K126+L126+M126</f>
        <v>100</v>
      </c>
      <c r="O126" s="536"/>
      <c r="P126" s="537"/>
      <c r="Q126" s="537">
        <v>39.6</v>
      </c>
      <c r="R126" s="538">
        <f t="shared" ref="R126:R127" si="35">O126+P126+Q126</f>
        <v>39.6</v>
      </c>
      <c r="S126" s="814">
        <v>5</v>
      </c>
      <c r="T126" s="838"/>
      <c r="U126" s="836"/>
      <c r="V126" s="532" t="s">
        <v>472</v>
      </c>
      <c r="W126" s="814" t="s">
        <v>20</v>
      </c>
      <c r="X126" s="814" t="s">
        <v>12</v>
      </c>
      <c r="Y126" s="533">
        <v>32.4</v>
      </c>
      <c r="Z126" s="532" t="s">
        <v>1310</v>
      </c>
      <c r="AA126" s="814" t="s">
        <v>218</v>
      </c>
      <c r="AB126" s="814" t="s">
        <v>12</v>
      </c>
      <c r="AC126" s="814">
        <v>7.2</v>
      </c>
      <c r="AD126" s="532"/>
      <c r="AG126" s="533"/>
      <c r="AH126" s="532"/>
      <c r="AL126" s="532"/>
      <c r="AO126" s="533"/>
      <c r="AP126" s="532"/>
      <c r="AS126" s="533"/>
      <c r="AW126" s="533"/>
      <c r="BA126" s="534"/>
    </row>
    <row r="127" spans="1:53" s="813" customFormat="1">
      <c r="A127" s="813">
        <v>2019</v>
      </c>
      <c r="B127" s="852">
        <v>43486</v>
      </c>
      <c r="C127" s="917" t="s">
        <v>1435</v>
      </c>
      <c r="D127" s="917"/>
      <c r="E127" s="813">
        <v>343</v>
      </c>
      <c r="F127" s="813">
        <v>1</v>
      </c>
      <c r="G127" s="498"/>
      <c r="I127" s="813">
        <v>23</v>
      </c>
      <c r="J127" s="500">
        <v>23</v>
      </c>
      <c r="K127" s="496">
        <f t="shared" si="31"/>
        <v>0</v>
      </c>
      <c r="L127" s="496">
        <f t="shared" si="32"/>
        <v>0</v>
      </c>
      <c r="M127" s="496">
        <f t="shared" si="33"/>
        <v>100</v>
      </c>
      <c r="N127" s="496">
        <f t="shared" si="34"/>
        <v>100</v>
      </c>
      <c r="O127" s="495"/>
      <c r="P127" s="496"/>
      <c r="Q127" s="496">
        <v>33.200000000000003</v>
      </c>
      <c r="R127" s="497">
        <f t="shared" si="35"/>
        <v>33.200000000000003</v>
      </c>
      <c r="S127" s="813">
        <v>5</v>
      </c>
      <c r="T127" s="839"/>
      <c r="U127" s="852">
        <v>43486</v>
      </c>
      <c r="V127" s="492" t="s">
        <v>472</v>
      </c>
      <c r="W127" s="813" t="s">
        <v>20</v>
      </c>
      <c r="X127" s="813" t="s">
        <v>12</v>
      </c>
      <c r="Y127" s="493">
        <v>28.6</v>
      </c>
      <c r="Z127" s="492" t="s">
        <v>1310</v>
      </c>
      <c r="AA127" s="813" t="s">
        <v>218</v>
      </c>
      <c r="AB127" s="813" t="s">
        <v>12</v>
      </c>
      <c r="AC127" s="813">
        <v>4.5999999999999996</v>
      </c>
      <c r="AD127" s="492"/>
      <c r="AG127" s="493"/>
      <c r="AH127" s="492"/>
      <c r="AL127" s="492"/>
      <c r="AO127" s="493"/>
      <c r="AP127" s="492"/>
      <c r="AS127" s="493"/>
      <c r="AW127" s="493"/>
      <c r="BA127" s="494"/>
    </row>
    <row r="128" spans="1:53">
      <c r="M128" s="2"/>
      <c r="N128" s="2"/>
    </row>
    <row r="130" spans="1:30" s="2" customFormat="1" ht="18" customHeight="1">
      <c r="B130" s="22" t="s">
        <v>1269</v>
      </c>
      <c r="H130" s="6"/>
    </row>
    <row r="131" spans="1:30" s="2" customFormat="1" ht="9" customHeight="1">
      <c r="H131" s="6"/>
    </row>
    <row r="132" spans="1:30" s="317" customFormat="1" ht="9" customHeight="1">
      <c r="A132" s="315"/>
      <c r="B132" s="316" t="s">
        <v>1220</v>
      </c>
      <c r="C132" s="316"/>
      <c r="D132" s="316"/>
      <c r="E132" s="316"/>
      <c r="F132" s="316"/>
      <c r="G132" s="316" t="s">
        <v>1221</v>
      </c>
      <c r="H132" s="316"/>
      <c r="I132" s="316"/>
      <c r="J132" s="316"/>
      <c r="K132" s="316"/>
      <c r="L132" s="316"/>
      <c r="M132" s="316"/>
      <c r="N132" s="316"/>
      <c r="R132" s="895" t="s">
        <v>1222</v>
      </c>
      <c r="S132" s="895"/>
      <c r="T132" s="895"/>
      <c r="U132" s="895"/>
      <c r="V132" s="895"/>
      <c r="W132" s="895"/>
      <c r="X132" s="318"/>
      <c r="Y132" s="318"/>
      <c r="AA132" s="318"/>
      <c r="AB132" s="318"/>
      <c r="AC132" s="318"/>
      <c r="AD132" s="318"/>
    </row>
    <row r="133" spans="1:30" s="322" customFormat="1" ht="9" customHeight="1">
      <c r="A133" s="319"/>
      <c r="B133" s="320" t="s">
        <v>1224</v>
      </c>
      <c r="C133" s="321"/>
      <c r="D133" s="321"/>
      <c r="E133" s="321"/>
      <c r="F133" s="321"/>
      <c r="G133" s="320" t="s">
        <v>1223</v>
      </c>
      <c r="H133" s="321"/>
      <c r="I133" s="321"/>
      <c r="J133" s="321"/>
      <c r="K133" s="321"/>
      <c r="L133" s="321"/>
      <c r="M133" s="321"/>
      <c r="N133" s="321"/>
      <c r="R133" s="323" t="s">
        <v>1225</v>
      </c>
      <c r="S133" s="324"/>
      <c r="T133" s="325"/>
      <c r="U133" s="325"/>
      <c r="V133" s="325"/>
      <c r="W133" s="323" t="s">
        <v>1226</v>
      </c>
      <c r="X133" s="325"/>
      <c r="Y133" s="325"/>
      <c r="AA133" s="325"/>
      <c r="AB133" s="325"/>
      <c r="AC133" s="325"/>
      <c r="AD133" s="325"/>
    </row>
    <row r="134" spans="1:30" s="307" customFormat="1" ht="12" customHeight="1">
      <c r="A134" s="326" t="s">
        <v>3</v>
      </c>
      <c r="B134" s="327" t="s">
        <v>8</v>
      </c>
      <c r="C134" s="327" t="s">
        <v>9</v>
      </c>
      <c r="D134" s="327" t="s">
        <v>10</v>
      </c>
      <c r="E134" s="328" t="s">
        <v>1200</v>
      </c>
      <c r="F134" s="327"/>
      <c r="G134" s="307" t="s">
        <v>3</v>
      </c>
      <c r="H134" s="896" t="s">
        <v>0</v>
      </c>
      <c r="I134" s="896"/>
      <c r="J134" s="896" t="s">
        <v>1</v>
      </c>
      <c r="K134" s="896"/>
      <c r="L134" s="896" t="s">
        <v>2</v>
      </c>
      <c r="M134" s="896"/>
      <c r="N134" s="897" t="s">
        <v>1200</v>
      </c>
      <c r="O134" s="897"/>
      <c r="P134" s="329"/>
      <c r="Q134" s="329"/>
      <c r="R134" s="330" t="s">
        <v>3</v>
      </c>
      <c r="S134" s="331" t="s">
        <v>136</v>
      </c>
      <c r="T134" s="329" t="s">
        <v>134</v>
      </c>
      <c r="U134" s="327" t="s">
        <v>135</v>
      </c>
      <c r="V134" s="329"/>
      <c r="W134" s="332" t="s">
        <v>26</v>
      </c>
    </row>
    <row r="135" spans="1:30" s="243" customFormat="1">
      <c r="A135" s="243">
        <v>1959</v>
      </c>
      <c r="B135" s="230">
        <f>(K6*($E6/365)) + (K7*($E7/365))</f>
        <v>0</v>
      </c>
      <c r="C135" s="230">
        <f>(L6*($E6/365)) + (L7*($E7/365))</f>
        <v>0</v>
      </c>
      <c r="D135" s="230">
        <f>(M6*($E6/365)) + (M7*($E7/365))</f>
        <v>93.333333333333329</v>
      </c>
      <c r="E135" s="231">
        <f>B135+C135+D135</f>
        <v>93.333333333333329</v>
      </c>
      <c r="G135" s="243">
        <v>1959</v>
      </c>
      <c r="H135" s="927">
        <f>(O6/$R6*100*($E6/365))+(O7/$R7*100*($E7/365))</f>
        <v>0</v>
      </c>
      <c r="I135" s="927"/>
      <c r="J135" s="927">
        <f>(P6/$R6*100*($E6/365))+(P7/$R7*100*($E7/365))</f>
        <v>0</v>
      </c>
      <c r="K135" s="927"/>
      <c r="L135" s="927">
        <f>(Q6/$R6*100*($E6/365))+(Q7/$R7*100*($E7/365))</f>
        <v>100</v>
      </c>
      <c r="M135" s="927"/>
      <c r="N135" s="926">
        <f>H135+J135+L135</f>
        <v>100</v>
      </c>
      <c r="O135" s="926"/>
      <c r="R135" s="243">
        <v>1959</v>
      </c>
      <c r="S135" s="230">
        <f>(O6*($E6/365)) + (O7*($E7/365))</f>
        <v>0</v>
      </c>
      <c r="T135" s="230">
        <f>(P6*($E6/365)) + (P7*($E7/365))</f>
        <v>0</v>
      </c>
      <c r="U135" s="230">
        <f>(Q6*($E6/365)) + (Q7*($E7/365))</f>
        <v>48.1</v>
      </c>
      <c r="V135" s="244"/>
      <c r="W135" s="244">
        <f>S135+T135+U135</f>
        <v>48.1</v>
      </c>
    </row>
    <row r="136" spans="1:30">
      <c r="A136" s="1">
        <v>1960</v>
      </c>
      <c r="B136" s="8">
        <f>(K8*($E8/366))+(K9*($E9/366))</f>
        <v>0</v>
      </c>
      <c r="C136" s="8">
        <f>(L8*($E8/366))+(L9*($E9/366))</f>
        <v>0</v>
      </c>
      <c r="D136" s="8">
        <f>(M8*($E8/366))+(M9*($E9/366))</f>
        <v>93.2136351808483</v>
      </c>
      <c r="E136" s="61">
        <f>B136+C136+D136</f>
        <v>93.2136351808483</v>
      </c>
      <c r="G136" s="1">
        <v>1960</v>
      </c>
      <c r="H136" s="918">
        <f>(O8/$R8*100*($E8/366))+(O9/$R9*100*($E9/366))</f>
        <v>0</v>
      </c>
      <c r="I136" s="918"/>
      <c r="J136" s="918">
        <f>(P8/$R8*100*($E8/366))+(P9/$R9*100*($E9/366))</f>
        <v>0</v>
      </c>
      <c r="K136" s="918"/>
      <c r="L136" s="918">
        <f>(Q8/$R8*100*($E8/366))+(Q9/$R9*100*($E9/366))</f>
        <v>100.00000000000001</v>
      </c>
      <c r="M136" s="918"/>
      <c r="N136" s="919">
        <f t="shared" ref="N136:N167" si="36">H136+J136+L136</f>
        <v>100.00000000000001</v>
      </c>
      <c r="O136" s="919"/>
      <c r="R136" s="1">
        <v>1960</v>
      </c>
      <c r="S136" s="8">
        <f>(O8*($E8/366))+(O9*($E9/366))</f>
        <v>0</v>
      </c>
      <c r="T136" s="8">
        <f>(P8*($E8/366))+(P9*($E9/366))</f>
        <v>0</v>
      </c>
      <c r="U136" s="8">
        <f>(Q8*($E8/366))+(Q9*($E9/366))</f>
        <v>48.351366120218586</v>
      </c>
      <c r="V136" s="7"/>
      <c r="W136" s="7">
        <f>S136+T136+U136</f>
        <v>48.351366120218586</v>
      </c>
    </row>
    <row r="137" spans="1:30">
      <c r="A137" s="1">
        <v>1961</v>
      </c>
      <c r="B137" s="8">
        <f>(K10*($E10/365))+(K11*($E11/365))</f>
        <v>0</v>
      </c>
      <c r="C137" s="8">
        <f>(L10*($E10/365))+(L11*($E11/365))</f>
        <v>0</v>
      </c>
      <c r="D137" s="8">
        <f>(M10*($E10/365))+(M11*($E11/365))</f>
        <v>92.857142857142861</v>
      </c>
      <c r="E137" s="61">
        <f t="shared" ref="E137:E189" si="37">B137+C137+D137</f>
        <v>92.857142857142861</v>
      </c>
      <c r="G137" s="1">
        <v>1961</v>
      </c>
      <c r="H137" s="918">
        <f>(O10/$R10*100*($E10/365))+(O11/$R11*100*($E11/365))</f>
        <v>0</v>
      </c>
      <c r="I137" s="918"/>
      <c r="J137" s="918">
        <f>(P10/$R10*100*($E10/365))+(P11/$R11*100*($E11/365))</f>
        <v>0</v>
      </c>
      <c r="K137" s="918"/>
      <c r="L137" s="918">
        <f>(Q10/$R10*100*($E10/365))+(Q11/$R11*100*($E11/365))</f>
        <v>100</v>
      </c>
      <c r="M137" s="918"/>
      <c r="N137" s="887">
        <f t="shared" si="36"/>
        <v>100</v>
      </c>
      <c r="O137" s="887"/>
      <c r="R137" s="1">
        <v>1961</v>
      </c>
      <c r="S137" s="8">
        <f>(O10*($E10/365))+(O11*($E11/365))</f>
        <v>0</v>
      </c>
      <c r="T137" s="8">
        <f>(P10*($E10/365))+(P11*($E11/365))</f>
        <v>0</v>
      </c>
      <c r="U137" s="8">
        <f>(Q10*($E10/365))+(Q11*($E11/365))</f>
        <v>49.1</v>
      </c>
      <c r="V137" s="7"/>
      <c r="W137" s="7">
        <f t="shared" ref="W137:W189" si="38">S137+T137+U137</f>
        <v>49.1</v>
      </c>
    </row>
    <row r="138" spans="1:30">
      <c r="A138" s="1">
        <v>1962</v>
      </c>
      <c r="B138" s="8">
        <f>(K12*($E12/365))+(K13*($E13/365))</f>
        <v>0</v>
      </c>
      <c r="C138" s="8">
        <f>(L12*($E12/365))+(L13*($E13/365))</f>
        <v>0</v>
      </c>
      <c r="D138" s="8">
        <f>(M12*($E12/365))+(M13*($E13/365))</f>
        <v>92.857142857142861</v>
      </c>
      <c r="E138" s="61">
        <f t="shared" si="37"/>
        <v>92.857142857142861</v>
      </c>
      <c r="G138" s="1">
        <v>1962</v>
      </c>
      <c r="H138" s="918">
        <f>(O12/$R12*100*($E12/365))+(O13/$R13*100*($E13/365))</f>
        <v>0</v>
      </c>
      <c r="I138" s="918"/>
      <c r="J138" s="918">
        <f>(P12/$R12*100*($E12/365))+(P13/$R13*100*($E13/365))</f>
        <v>0</v>
      </c>
      <c r="K138" s="918"/>
      <c r="L138" s="918">
        <f>(Q12/$R12*100*($E12/365))+(Q13/$R13*100*($E13/365))</f>
        <v>100</v>
      </c>
      <c r="M138" s="918"/>
      <c r="N138" s="887">
        <f t="shared" si="36"/>
        <v>100</v>
      </c>
      <c r="O138" s="887"/>
      <c r="R138" s="1">
        <v>1962</v>
      </c>
      <c r="S138" s="8">
        <f>(O12*($E12/365))+(O13*($E13/365))</f>
        <v>0</v>
      </c>
      <c r="T138" s="8">
        <f>(P12*($E12/365))+(P13*($E13/365))</f>
        <v>0</v>
      </c>
      <c r="U138" s="8">
        <f>(Q12*($E12/365))+(Q13*($E13/365))</f>
        <v>49.1</v>
      </c>
      <c r="V138" s="7"/>
      <c r="W138" s="7">
        <f t="shared" si="38"/>
        <v>49.1</v>
      </c>
    </row>
    <row r="139" spans="1:30">
      <c r="A139" s="1">
        <v>1963</v>
      </c>
      <c r="B139" s="8">
        <f>(K14*($E14/365))+(K15*($E15/365))</f>
        <v>0</v>
      </c>
      <c r="C139" s="8">
        <f>(L14*($E14/365))+(L15*($E15/365))</f>
        <v>0</v>
      </c>
      <c r="D139" s="8">
        <f>(M14*($E14/365))+(M15*($E15/365))</f>
        <v>92.857142857142861</v>
      </c>
      <c r="E139" s="61">
        <f t="shared" si="37"/>
        <v>92.857142857142861</v>
      </c>
      <c r="G139" s="1">
        <v>1963</v>
      </c>
      <c r="H139" s="918">
        <f>(O14/$R14*100*($E14/365))+(O15/$R15*100*($E15/365))</f>
        <v>0</v>
      </c>
      <c r="I139" s="918"/>
      <c r="J139" s="918">
        <f>(P14/$R14*100*($E14/365))+(P15/$R15*100*($E15/365))</f>
        <v>0</v>
      </c>
      <c r="K139" s="918"/>
      <c r="L139" s="918">
        <f>(Q14/$R14*100*($E14/365))+(Q15/$R15*100*($E15/365))</f>
        <v>100</v>
      </c>
      <c r="M139" s="918"/>
      <c r="N139" s="887">
        <f t="shared" si="36"/>
        <v>100</v>
      </c>
      <c r="O139" s="887"/>
      <c r="R139" s="1">
        <v>1963</v>
      </c>
      <c r="S139" s="8">
        <f>(O14*($E14/365))+(O15*($E15/365))</f>
        <v>0</v>
      </c>
      <c r="T139" s="8">
        <f>(P14*($E14/365))+(P15*($E15/365))</f>
        <v>0</v>
      </c>
      <c r="U139" s="8">
        <f>(Q14*($E14/365))+(Q15*($E15/365))</f>
        <v>49.1</v>
      </c>
      <c r="V139" s="7"/>
      <c r="W139" s="7">
        <f t="shared" si="38"/>
        <v>49.1</v>
      </c>
    </row>
    <row r="140" spans="1:30">
      <c r="A140" s="1">
        <v>1964</v>
      </c>
      <c r="B140" s="8">
        <f>(K16*($E16/366))+(K17*($E17/366))</f>
        <v>0</v>
      </c>
      <c r="C140" s="8">
        <f>(L16*($E16/366))+(L17*($E17/366))</f>
        <v>0</v>
      </c>
      <c r="D140" s="8">
        <f>(M16*($E16/366))+(M17*($E17/366))</f>
        <v>94.59406713505075</v>
      </c>
      <c r="E140" s="61">
        <f t="shared" si="37"/>
        <v>94.59406713505075</v>
      </c>
      <c r="G140" s="1">
        <v>1964</v>
      </c>
      <c r="H140" s="918">
        <f>(O16/$R16*100*($E16/366))+(O17/$R17*100*($E17/366))</f>
        <v>0</v>
      </c>
      <c r="I140" s="918"/>
      <c r="J140" s="918">
        <f>(P16/$R16*100*($E16/366))+(P17/$R17*100*($E17/366))</f>
        <v>0</v>
      </c>
      <c r="K140" s="918"/>
      <c r="L140" s="918">
        <f>(Q16/$R16*100*($E16/366))+(Q17/$R17*100*($E17/366))</f>
        <v>100</v>
      </c>
      <c r="M140" s="918"/>
      <c r="N140" s="887">
        <f t="shared" si="36"/>
        <v>100</v>
      </c>
      <c r="O140" s="887"/>
      <c r="R140" s="1">
        <v>1964</v>
      </c>
      <c r="S140" s="8">
        <f>(O16*($E16/366))+(O17*($E17/366))</f>
        <v>0</v>
      </c>
      <c r="T140" s="8">
        <f>(P16*($E16/366))+(P17*($E17/366))</f>
        <v>0</v>
      </c>
      <c r="U140" s="8">
        <f>(Q16*($E16/366))+(Q17*($E17/366))</f>
        <v>48.954098360655735</v>
      </c>
      <c r="V140" s="7"/>
      <c r="W140" s="7">
        <f t="shared" si="38"/>
        <v>48.954098360655735</v>
      </c>
    </row>
    <row r="141" spans="1:30">
      <c r="A141" s="1">
        <v>1965</v>
      </c>
      <c r="B141" s="8">
        <f>(K18*($E18/365))+(K19*($E19/365))</f>
        <v>0</v>
      </c>
      <c r="C141" s="8">
        <f>(L18*($E18/365))+(L19*($E19/365))</f>
        <v>0</v>
      </c>
      <c r="D141" s="8">
        <f>(M18*($E18/365))+(M19*($E19/365))</f>
        <v>100</v>
      </c>
      <c r="E141" s="61">
        <f t="shared" si="37"/>
        <v>100</v>
      </c>
      <c r="G141" s="1">
        <v>1965</v>
      </c>
      <c r="H141" s="918">
        <f>(O18/$R18*100*($E18/365))+(O19/$R19*100*($E19/365))</f>
        <v>0</v>
      </c>
      <c r="I141" s="918"/>
      <c r="J141" s="918">
        <f>(P18/$R18*100*($E18/365))+(P19/$R19*100*($E19/365))</f>
        <v>0</v>
      </c>
      <c r="K141" s="918"/>
      <c r="L141" s="918">
        <f>(Q18/$R18*100*($E18/365))+(Q19/$R19*100*($E19/365))</f>
        <v>100</v>
      </c>
      <c r="M141" s="918"/>
      <c r="N141" s="887">
        <f t="shared" si="36"/>
        <v>100</v>
      </c>
      <c r="O141" s="887"/>
      <c r="R141" s="1">
        <v>1965</v>
      </c>
      <c r="S141" s="8">
        <f>(O18*($E18/365))+(O19*($E19/365))</f>
        <v>0</v>
      </c>
      <c r="T141" s="8">
        <f>(P18*($E18/365))+(P19*($E19/365))</f>
        <v>0</v>
      </c>
      <c r="U141" s="8">
        <f>(Q18*($E18/365))+(Q19*($E19/365))</f>
        <v>48.5</v>
      </c>
      <c r="V141" s="7"/>
      <c r="W141" s="7">
        <f t="shared" si="38"/>
        <v>48.5</v>
      </c>
    </row>
    <row r="142" spans="1:30">
      <c r="A142" s="1">
        <v>1966</v>
      </c>
      <c r="B142" s="8">
        <f>(K20*($E20/365))+(K21*($E21/365))</f>
        <v>0</v>
      </c>
      <c r="C142" s="8">
        <f>(L20*($E20/365))+(L21*($E21/365))</f>
        <v>0</v>
      </c>
      <c r="D142" s="8">
        <f>(M20*($E20/365))+(M21*($E21/365))</f>
        <v>100</v>
      </c>
      <c r="E142" s="61">
        <f t="shared" si="37"/>
        <v>100</v>
      </c>
      <c r="G142" s="1">
        <v>1966</v>
      </c>
      <c r="H142" s="918">
        <f>(O20/$R20*100*($E20/365))+(O21/$R21*100*($E21/365))</f>
        <v>0</v>
      </c>
      <c r="I142" s="918"/>
      <c r="J142" s="918">
        <f>(P20/$R20*100*($E20/365))+(P21/$R21*100*($E21/365))</f>
        <v>0</v>
      </c>
      <c r="K142" s="918"/>
      <c r="L142" s="918">
        <f>(Q20/$R20*100*($E20/365))+(Q21/$R21*100*($E21/365))</f>
        <v>100</v>
      </c>
      <c r="M142" s="918"/>
      <c r="N142" s="887">
        <f t="shared" si="36"/>
        <v>100</v>
      </c>
      <c r="O142" s="887"/>
      <c r="R142" s="1">
        <v>1966</v>
      </c>
      <c r="S142" s="8">
        <f>(O20*($E20/365))+(O21*($E21/365))</f>
        <v>0</v>
      </c>
      <c r="T142" s="8">
        <f>(P20*($E20/365))+(P21*($E21/365))</f>
        <v>0</v>
      </c>
      <c r="U142" s="8">
        <f>(Q20*($E20/365))+(Q21*($E21/365))</f>
        <v>48.5</v>
      </c>
      <c r="V142" s="7"/>
      <c r="W142" s="7">
        <f t="shared" si="38"/>
        <v>48.5</v>
      </c>
    </row>
    <row r="143" spans="1:30">
      <c r="A143" s="1">
        <v>1967</v>
      </c>
      <c r="B143" s="8">
        <f>(K22*($E22/365))+(K23*($E23/365))</f>
        <v>0</v>
      </c>
      <c r="C143" s="8">
        <f>(L22*($E22/365))+(L23*($E23/365))</f>
        <v>0</v>
      </c>
      <c r="D143" s="8">
        <f>(M22*($E22/365))+(M23*($E23/365))</f>
        <v>100</v>
      </c>
      <c r="E143" s="61">
        <f t="shared" si="37"/>
        <v>100</v>
      </c>
      <c r="G143" s="1">
        <v>1967</v>
      </c>
      <c r="H143" s="918">
        <f>(O22/$R22*100*($E22/365))+(O23/$R23*100*($E23/365))</f>
        <v>0</v>
      </c>
      <c r="I143" s="918"/>
      <c r="J143" s="918">
        <f>(P22/$R22*100*($E22/365))+(P23/$R23*100*($E23/365))</f>
        <v>0</v>
      </c>
      <c r="K143" s="918"/>
      <c r="L143" s="918">
        <f>(Q22/$R22*100*($E22/365))+(Q23/$R23*100*($E23/365))</f>
        <v>100</v>
      </c>
      <c r="M143" s="918"/>
      <c r="N143" s="887">
        <f t="shared" si="36"/>
        <v>100</v>
      </c>
      <c r="O143" s="887"/>
      <c r="R143" s="1">
        <v>1967</v>
      </c>
      <c r="S143" s="8">
        <f>(O22*($E22/365))+(O23*($E23/365))</f>
        <v>0</v>
      </c>
      <c r="T143" s="8">
        <f>(P22*($E22/365))+(P23*($E23/365))</f>
        <v>0</v>
      </c>
      <c r="U143" s="8">
        <f>(Q22*($E22/365))+(Q23*($E23/365))</f>
        <v>48.5</v>
      </c>
      <c r="V143" s="7"/>
      <c r="W143" s="7">
        <f t="shared" si="38"/>
        <v>48.5</v>
      </c>
    </row>
    <row r="144" spans="1:30">
      <c r="A144" s="1">
        <v>1968</v>
      </c>
      <c r="B144" s="8">
        <f>(K24*($E24/366))+(K25*($E25/366))</f>
        <v>0</v>
      </c>
      <c r="C144" s="8">
        <f>(L24*($E24/366))+(L25*($E25/366))</f>
        <v>0</v>
      </c>
      <c r="D144" s="8">
        <f>(M24*($E24/366))+(M25*($E25/366))</f>
        <v>100</v>
      </c>
      <c r="E144" s="61">
        <f t="shared" si="37"/>
        <v>100</v>
      </c>
      <c r="G144" s="1">
        <v>1968</v>
      </c>
      <c r="H144" s="918">
        <f>(O24/$R24*100*($E24/366))+(O25/$R25*100*($E25/366))</f>
        <v>0</v>
      </c>
      <c r="I144" s="918"/>
      <c r="J144" s="918">
        <f>(P24/$R24*100*($E24/366))+(P25/$R25*100*($E25/366))</f>
        <v>0</v>
      </c>
      <c r="K144" s="918"/>
      <c r="L144" s="918">
        <f>(Q24/$R24*100*($E24/366))+(Q25/$R25*100*($E25/366))</f>
        <v>100</v>
      </c>
      <c r="M144" s="918"/>
      <c r="N144" s="887">
        <f t="shared" si="36"/>
        <v>100</v>
      </c>
      <c r="O144" s="887"/>
      <c r="R144" s="1">
        <v>1968</v>
      </c>
      <c r="S144" s="8">
        <f>(O24*($E24/366))+(O25*($E25/366))</f>
        <v>0</v>
      </c>
      <c r="T144" s="8">
        <f>(P24*($E24/366))+(P25*($E25/366))</f>
        <v>0</v>
      </c>
      <c r="U144" s="8">
        <f>(Q24*($E24/366))+(Q25*($E25/366))</f>
        <v>49.809836065573776</v>
      </c>
      <c r="V144" s="7"/>
      <c r="W144" s="7">
        <f t="shared" si="38"/>
        <v>49.809836065573776</v>
      </c>
    </row>
    <row r="145" spans="1:23">
      <c r="A145" s="1">
        <v>1969</v>
      </c>
      <c r="B145" s="8">
        <f>(K26*($E26/365))+(K27*($E27/365))</f>
        <v>0</v>
      </c>
      <c r="C145" s="8">
        <f>(L26*($E26/365))+(L27*($E27/365))</f>
        <v>0</v>
      </c>
      <c r="D145" s="8">
        <f>(M26*($E26/365))+(M27*($E27/365))</f>
        <v>100</v>
      </c>
      <c r="E145" s="61">
        <f t="shared" si="37"/>
        <v>100</v>
      </c>
      <c r="G145" s="1">
        <v>1969</v>
      </c>
      <c r="H145" s="918">
        <f>(O26/$R26*100*($E26/365))+(O27/$R27*100*($E27/365))</f>
        <v>0</v>
      </c>
      <c r="I145" s="918"/>
      <c r="J145" s="918">
        <f>(P26/$R26*100*($E26/365))+(P27/$R27*100*($E27/365))</f>
        <v>0</v>
      </c>
      <c r="K145" s="918"/>
      <c r="L145" s="918">
        <f>(Q26/$R26*100*($E26/365))+(Q27/$R27*100*($E27/365))</f>
        <v>100</v>
      </c>
      <c r="M145" s="918"/>
      <c r="N145" s="887">
        <f t="shared" si="36"/>
        <v>100</v>
      </c>
      <c r="O145" s="887"/>
      <c r="R145" s="1">
        <v>1969</v>
      </c>
      <c r="S145" s="8">
        <f>(O26*($E26/365))+(O27*($E27/365))</f>
        <v>0</v>
      </c>
      <c r="T145" s="8">
        <f>(P26*($E26/365))+(P27*($E27/365))</f>
        <v>0</v>
      </c>
      <c r="U145" s="8">
        <f>(Q26*($E26/365))+(Q27*($E27/365))</f>
        <v>53.6</v>
      </c>
      <c r="V145" s="7"/>
      <c r="W145" s="7">
        <f t="shared" si="38"/>
        <v>53.6</v>
      </c>
    </row>
    <row r="146" spans="1:23">
      <c r="A146" s="1">
        <v>1970</v>
      </c>
      <c r="B146" s="8">
        <f>(K28*($E28/365))+(K29*($E29/365))</f>
        <v>0</v>
      </c>
      <c r="C146" s="8">
        <f>(L28*($E28/365))+(L29*($E29/365))</f>
        <v>0</v>
      </c>
      <c r="D146" s="8">
        <f>(M28*($E28/365))+(M29*($E29/365))</f>
        <v>100</v>
      </c>
      <c r="E146" s="61">
        <f t="shared" si="37"/>
        <v>100</v>
      </c>
      <c r="G146" s="1">
        <v>1970</v>
      </c>
      <c r="H146" s="918">
        <f>(O28/$R28*100*($E28/365))+(O29/$R29*100*($E29/365))</f>
        <v>0</v>
      </c>
      <c r="I146" s="918"/>
      <c r="J146" s="918">
        <f>(P28/$R28*100*($E28/365))+(P29/$R29*100*($E29/365))</f>
        <v>0</v>
      </c>
      <c r="K146" s="918"/>
      <c r="L146" s="918">
        <f>(Q28/$R28*100*($E28/365))+(Q29/$R29*100*($E29/365))</f>
        <v>100</v>
      </c>
      <c r="M146" s="918"/>
      <c r="N146" s="887">
        <f t="shared" si="36"/>
        <v>100</v>
      </c>
      <c r="O146" s="887"/>
      <c r="R146" s="1">
        <v>1970</v>
      </c>
      <c r="S146" s="8">
        <f>(O28*($E28/365))+(O29*($E29/365))</f>
        <v>0</v>
      </c>
      <c r="T146" s="8">
        <f>(P28*($E28/365))+(P29*($E29/365))</f>
        <v>0</v>
      </c>
      <c r="U146" s="8">
        <f>(Q28*($E28/365))+(Q29*($E29/365))</f>
        <v>51.797260273972597</v>
      </c>
      <c r="V146" s="7"/>
      <c r="W146" s="7">
        <f t="shared" si="38"/>
        <v>51.797260273972597</v>
      </c>
    </row>
    <row r="147" spans="1:23">
      <c r="A147" s="1">
        <v>1971</v>
      </c>
      <c r="B147" s="8">
        <f>(K30*($E30/365))+(K31*($E31/365))</f>
        <v>0</v>
      </c>
      <c r="C147" s="8">
        <f>(L30*($E30/365))+(L31*($E31/365))</f>
        <v>0</v>
      </c>
      <c r="D147" s="8">
        <f>(M30*($E30/365))+(M31*($E31/365))</f>
        <v>100</v>
      </c>
      <c r="E147" s="61">
        <f t="shared" si="37"/>
        <v>100</v>
      </c>
      <c r="G147" s="1">
        <v>1971</v>
      </c>
      <c r="H147" s="918">
        <f>(O30/$R30*100*($E30/365))+(O31/$R31*100*($E31/365))</f>
        <v>0</v>
      </c>
      <c r="I147" s="918"/>
      <c r="J147" s="918">
        <f>(P30/$R30*100*($E30/365))+(P31/$R31*100*($E31/365))</f>
        <v>0</v>
      </c>
      <c r="K147" s="918"/>
      <c r="L147" s="918">
        <f>(Q30/$R30*100*($E30/365))+(Q31/$R31*100*($E31/365))</f>
        <v>100</v>
      </c>
      <c r="M147" s="918"/>
      <c r="N147" s="887">
        <f t="shared" si="36"/>
        <v>100</v>
      </c>
      <c r="O147" s="887"/>
      <c r="R147" s="1">
        <v>1971</v>
      </c>
      <c r="S147" s="8">
        <f>(O30*($E30/365))+(O31*($E31/365))</f>
        <v>0</v>
      </c>
      <c r="T147" s="8">
        <f>(P30*($E30/365))+(P31*($E31/365))</f>
        <v>0</v>
      </c>
      <c r="U147" s="8">
        <f>(Q30*($E30/365))+(Q31*($E31/365))</f>
        <v>46.6</v>
      </c>
      <c r="V147" s="7"/>
      <c r="W147" s="7">
        <f t="shared" si="38"/>
        <v>46.6</v>
      </c>
    </row>
    <row r="148" spans="1:23">
      <c r="A148" s="1">
        <v>1972</v>
      </c>
      <c r="B148" s="8">
        <f>(K32*($E32/366))+(K33*($E33/366))</f>
        <v>0</v>
      </c>
      <c r="C148" s="8">
        <f>(L32*($E32/366))+(L33*($E33/366))</f>
        <v>0</v>
      </c>
      <c r="D148" s="8">
        <f>(M32*($E32/366))+(M33*($E33/366))</f>
        <v>100</v>
      </c>
      <c r="E148" s="61">
        <f t="shared" si="37"/>
        <v>100</v>
      </c>
      <c r="G148" s="1">
        <v>1972</v>
      </c>
      <c r="H148" s="918">
        <f>(O32/$R32*100*($E32/366))+(O33/$R33*100*($E33/366))</f>
        <v>0</v>
      </c>
      <c r="I148" s="918"/>
      <c r="J148" s="918">
        <f>(P32/$R32*100*($E32/366))+(P33/$R33*100*($E33/366))</f>
        <v>0</v>
      </c>
      <c r="K148" s="918"/>
      <c r="L148" s="918">
        <f>(Q32/$R32*100*($E32/366))+(Q33/$R33*100*($E33/366))</f>
        <v>100</v>
      </c>
      <c r="M148" s="918"/>
      <c r="N148" s="887">
        <f t="shared" si="36"/>
        <v>100</v>
      </c>
      <c r="O148" s="887"/>
      <c r="R148" s="1">
        <v>1972</v>
      </c>
      <c r="S148" s="8">
        <f>(O32*($E32/366))+(O33*($E33/366))</f>
        <v>0</v>
      </c>
      <c r="T148" s="8">
        <f>(P32*($E32/366))+(P33*($E33/366))</f>
        <v>0</v>
      </c>
      <c r="U148" s="8">
        <f>(Q32*($E32/366))+(Q33*($E33/366))</f>
        <v>46.6</v>
      </c>
      <c r="V148" s="7"/>
      <c r="W148" s="7">
        <f t="shared" si="38"/>
        <v>46.6</v>
      </c>
    </row>
    <row r="149" spans="1:23">
      <c r="A149" s="1">
        <v>1973</v>
      </c>
      <c r="B149" s="8">
        <f>(K34*($E34/365))+(K35*($E35/365))</f>
        <v>0</v>
      </c>
      <c r="C149" s="8">
        <f>(L34*($E34/365))+(L35*($E35/365))</f>
        <v>0</v>
      </c>
      <c r="D149" s="8">
        <f>(M34*($E34/365))+(M35*($E35/365))</f>
        <v>100</v>
      </c>
      <c r="E149" s="61">
        <f t="shared" si="37"/>
        <v>100</v>
      </c>
      <c r="G149" s="1">
        <v>1973</v>
      </c>
      <c r="H149" s="918">
        <f>(O34/$R34*100*($E34/365))+(O35/$R35*100*($E35/365))</f>
        <v>0</v>
      </c>
      <c r="I149" s="918"/>
      <c r="J149" s="918">
        <f>(P34/$R34*100*($E34/365))+(P35/$R35*100*($E35/365))</f>
        <v>0</v>
      </c>
      <c r="K149" s="918"/>
      <c r="L149" s="918">
        <f>(Q34/$R34*100*($E34/365))+(Q35/$R35*100*($E35/365))</f>
        <v>100</v>
      </c>
      <c r="M149" s="918"/>
      <c r="N149" s="887">
        <f t="shared" si="36"/>
        <v>100</v>
      </c>
      <c r="O149" s="887"/>
      <c r="R149" s="1">
        <v>1973</v>
      </c>
      <c r="S149" s="8">
        <f>(O34*($E34/365))+(O35*($E35/365))</f>
        <v>0</v>
      </c>
      <c r="T149" s="8">
        <f>(P34*($E34/365))+(P35*($E35/365))</f>
        <v>0</v>
      </c>
      <c r="U149" s="8">
        <f>(Q34*($E34/365))+(Q35*($E35/365))</f>
        <v>46.260273972602747</v>
      </c>
      <c r="V149" s="7"/>
      <c r="W149" s="7">
        <f t="shared" si="38"/>
        <v>46.260273972602747</v>
      </c>
    </row>
    <row r="150" spans="1:23">
      <c r="A150" s="1">
        <v>1974</v>
      </c>
      <c r="B150" s="8">
        <f>(K36*($E36/365))+(K37*($E37/365))</f>
        <v>0</v>
      </c>
      <c r="C150" s="8">
        <f>(L36*($E36/365))+(L37*($E37/365))</f>
        <v>0</v>
      </c>
      <c r="D150" s="8">
        <f>(M36*($E36/365))+(M37*($E37/365))</f>
        <v>100</v>
      </c>
      <c r="E150" s="61">
        <f t="shared" si="37"/>
        <v>100</v>
      </c>
      <c r="G150" s="1">
        <v>1974</v>
      </c>
      <c r="H150" s="918">
        <f>(O36/$R36*100*($E36/365))+(O37/$R37*100*($E37/365))</f>
        <v>0</v>
      </c>
      <c r="I150" s="918"/>
      <c r="J150" s="918">
        <f>(P36/$R36*100*($E36/365))+(P37/$R37*100*($E37/365))</f>
        <v>0</v>
      </c>
      <c r="K150" s="918"/>
      <c r="L150" s="918">
        <f>(Q36/$R36*100*($E36/365))+(Q37/$R37*100*($E37/365))</f>
        <v>100</v>
      </c>
      <c r="M150" s="918"/>
      <c r="N150" s="887">
        <f t="shared" si="36"/>
        <v>100</v>
      </c>
      <c r="O150" s="887"/>
      <c r="R150" s="1">
        <v>1974</v>
      </c>
      <c r="S150" s="8">
        <f>(O36*($E36/365))+(O37*($E37/365))</f>
        <v>0</v>
      </c>
      <c r="T150" s="8">
        <f>(P36*($E36/365))+(P37*($E37/365))</f>
        <v>0</v>
      </c>
      <c r="U150" s="8">
        <f>(Q36*($E36/365))+(Q37*($E37/365))</f>
        <v>44.6</v>
      </c>
      <c r="V150" s="7"/>
      <c r="W150" s="7">
        <f t="shared" si="38"/>
        <v>44.6</v>
      </c>
    </row>
    <row r="151" spans="1:23">
      <c r="A151" s="1">
        <v>1975</v>
      </c>
      <c r="B151" s="8">
        <f>(K38*($E38/365))+(K39*($E39/365))</f>
        <v>0</v>
      </c>
      <c r="C151" s="8">
        <f>(L38*($E38/365))+(L39*($E39/365))</f>
        <v>0</v>
      </c>
      <c r="D151" s="8">
        <f>(M38*($E38/365))+(M39*($E39/365))</f>
        <v>100</v>
      </c>
      <c r="E151" s="61">
        <f t="shared" si="37"/>
        <v>100</v>
      </c>
      <c r="G151" s="1">
        <v>1975</v>
      </c>
      <c r="H151" s="918">
        <f>(O38/$R38*100*($E38/365))+(O39/$R39*100*($E39/365))</f>
        <v>0</v>
      </c>
      <c r="I151" s="918"/>
      <c r="J151" s="918">
        <f>(P38/$R38*100*($E38/365))+(P39/$R39*100*($E39/365))</f>
        <v>0</v>
      </c>
      <c r="K151" s="918"/>
      <c r="L151" s="918">
        <f>(Q38/$R38*100*($E38/365))+(Q39/$R39*100*($E39/365))</f>
        <v>100</v>
      </c>
      <c r="M151" s="918"/>
      <c r="N151" s="887">
        <f t="shared" si="36"/>
        <v>100</v>
      </c>
      <c r="O151" s="887"/>
      <c r="R151" s="1">
        <v>1975</v>
      </c>
      <c r="S151" s="8">
        <f>(O38*($E38/365))+(O39*($E39/365))</f>
        <v>0</v>
      </c>
      <c r="T151" s="8">
        <f>(P38*($E38/365))+(P39*($E39/365))</f>
        <v>0</v>
      </c>
      <c r="U151" s="8">
        <f>(Q38*($E38/365))+(Q39*($E39/365))</f>
        <v>44.6</v>
      </c>
      <c r="V151" s="7"/>
      <c r="W151" s="7">
        <f t="shared" si="38"/>
        <v>44.6</v>
      </c>
    </row>
    <row r="152" spans="1:23">
      <c r="A152" s="1">
        <v>1976</v>
      </c>
      <c r="B152" s="8">
        <f>(K40*($E40/366))+(K41*($E41/366))</f>
        <v>12.158469945355192</v>
      </c>
      <c r="C152" s="8">
        <f>(L40*($E40/366))+(L41*($E41/366))</f>
        <v>10.942622950819672</v>
      </c>
      <c r="D152" s="8">
        <f>(M40*($E40/366))+(M41*($E41/366))</f>
        <v>75.683060109289613</v>
      </c>
      <c r="E152" s="61">
        <f t="shared" si="37"/>
        <v>98.784153005464475</v>
      </c>
      <c r="G152" s="1">
        <v>1976</v>
      </c>
      <c r="H152" s="918">
        <f>(O40/$R40*100*($E40/366))+(O41/$R41*100*($E41/366))</f>
        <v>12.723980175371709</v>
      </c>
      <c r="I152" s="918"/>
      <c r="J152" s="918">
        <f>(P40/$R40*100*($E40/366))+(P41/$R41*100*($E41/366))</f>
        <v>11.592959715338671</v>
      </c>
      <c r="K152" s="918"/>
      <c r="L152" s="918">
        <f>(Q40/$R40*100*($E40/366))+(Q41/$R41*100*($E41/366))</f>
        <v>75.683060109289613</v>
      </c>
      <c r="M152" s="918"/>
      <c r="N152" s="887">
        <f t="shared" si="36"/>
        <v>100</v>
      </c>
      <c r="O152" s="887"/>
      <c r="R152" s="1">
        <v>1976</v>
      </c>
      <c r="S152" s="8">
        <f>(O40*($E40/366))+(O41*($E41/366))</f>
        <v>6.5655737704918034</v>
      </c>
      <c r="T152" s="8">
        <f>(P40*($E40/366))+(P41*($E41/366))</f>
        <v>5.9819672131147543</v>
      </c>
      <c r="U152" s="8">
        <f>(Q40*($E40/366))+(Q41*($E41/366))</f>
        <v>33.754644808743166</v>
      </c>
      <c r="V152" s="7"/>
      <c r="W152" s="7">
        <f t="shared" si="38"/>
        <v>46.302185792349725</v>
      </c>
    </row>
    <row r="153" spans="1:23">
      <c r="A153" s="1">
        <v>1977</v>
      </c>
      <c r="B153" s="8">
        <f>(K42*($E42/365))+(K43*($E43/365))</f>
        <v>50</v>
      </c>
      <c r="C153" s="8">
        <f>(L42*($E42/365))+(L43*($E43/365))</f>
        <v>45</v>
      </c>
      <c r="D153" s="8">
        <f>(M42*($E42/365))+(M43*($E43/365))</f>
        <v>0</v>
      </c>
      <c r="E153" s="61">
        <f t="shared" si="37"/>
        <v>95</v>
      </c>
      <c r="G153" s="1">
        <v>1977</v>
      </c>
      <c r="H153" s="918">
        <f>(O42/$R42*100*($E42/365))+(O43/$R43*100*($E43/365))</f>
        <v>52.325581395348827</v>
      </c>
      <c r="I153" s="918"/>
      <c r="J153" s="918">
        <f>(P42/$R42*100*($E42/365))+(P43/$R43*100*($E43/365))</f>
        <v>47.674418604651166</v>
      </c>
      <c r="K153" s="918"/>
      <c r="L153" s="918">
        <f>(Q42/$R42*100*($E42/365))+(Q43/$R43*100*($E43/365))</f>
        <v>0</v>
      </c>
      <c r="M153" s="918"/>
      <c r="N153" s="887">
        <f t="shared" si="36"/>
        <v>100</v>
      </c>
      <c r="O153" s="887"/>
      <c r="R153" s="1">
        <v>1977</v>
      </c>
      <c r="S153" s="8">
        <f>(O42*($E42/365))+(O43*($E43/365))</f>
        <v>27</v>
      </c>
      <c r="T153" s="8">
        <f>(P42*($E42/365))+(P43*($E43/365))</f>
        <v>24.6</v>
      </c>
      <c r="U153" s="8">
        <f>(Q42*($E42/365))+(Q43*($E43/365))</f>
        <v>0</v>
      </c>
      <c r="V153" s="7"/>
      <c r="W153" s="7">
        <f t="shared" si="38"/>
        <v>51.6</v>
      </c>
    </row>
    <row r="154" spans="1:23">
      <c r="A154" s="1">
        <v>1978</v>
      </c>
      <c r="B154" s="8">
        <f>(K44*($E44/365))+(K45*($E45/365))</f>
        <v>59.805335255948087</v>
      </c>
      <c r="C154" s="8">
        <f>(L44*($E44/365))+(L45*($E45/365))</f>
        <v>35.136986301369866</v>
      </c>
      <c r="D154" s="8">
        <f>(M44*($E44/365))+(M45*($E45/365))</f>
        <v>0</v>
      </c>
      <c r="E154" s="61">
        <f t="shared" si="37"/>
        <v>94.942321557317953</v>
      </c>
      <c r="G154" s="1">
        <v>1978</v>
      </c>
      <c r="H154" s="918">
        <f>(O44/$R44*100*($E44/365))+(O45/$R45*100*($E45/365))</f>
        <v>62.774769034724429</v>
      </c>
      <c r="I154" s="918"/>
      <c r="J154" s="918">
        <f>(P44/$R44*100*($E44/365))+(P45/$R45*100*($E45/365))</f>
        <v>37.225230965275571</v>
      </c>
      <c r="K154" s="918"/>
      <c r="L154" s="918">
        <f>(Q44/$R44*100*($E44/365))+(Q45/$R45*100*($E45/365))</f>
        <v>0</v>
      </c>
      <c r="M154" s="918"/>
      <c r="N154" s="887">
        <f t="shared" si="36"/>
        <v>100</v>
      </c>
      <c r="O154" s="887"/>
      <c r="R154" s="1">
        <v>1978</v>
      </c>
      <c r="S154" s="8">
        <f>(O44*($E44/365))+(O45*($E45/365))</f>
        <v>23.536986301369865</v>
      </c>
      <c r="T154" s="8">
        <f>(P44*($E44/365))+(P45*($E45/365))</f>
        <v>19.208219178082192</v>
      </c>
      <c r="U154" s="8">
        <f>(Q44*($E44/365))+(Q45*($E45/365))</f>
        <v>0</v>
      </c>
      <c r="V154" s="7"/>
      <c r="W154" s="7">
        <f t="shared" si="38"/>
        <v>42.745205479452054</v>
      </c>
    </row>
    <row r="155" spans="1:23">
      <c r="A155" s="1">
        <v>1979</v>
      </c>
      <c r="B155" s="7">
        <f>(K46*($E46/365))+(K47*($E47/365))</f>
        <v>87.450818827891652</v>
      </c>
      <c r="C155" s="7">
        <f>(L46*($E46/365))+(L47*($E47/365))</f>
        <v>7.3972602739726021</v>
      </c>
      <c r="D155" s="7">
        <f>(M46*($E46/365))+(M47*($E47/365))</f>
        <v>0</v>
      </c>
      <c r="E155" s="61">
        <f t="shared" si="37"/>
        <v>94.848079101864258</v>
      </c>
      <c r="G155" s="1">
        <v>1979</v>
      </c>
      <c r="H155" s="918">
        <f>(O46/$R46*100*($E46/365))+(O47/$R47*100*($E47/365))</f>
        <v>91.89402017882044</v>
      </c>
      <c r="I155" s="918"/>
      <c r="J155" s="918">
        <f>(P46/$R46*100*($E46/365))+(P47/$R47*100*($E47/365))</f>
        <v>8.1059798211795595</v>
      </c>
      <c r="K155" s="918"/>
      <c r="L155" s="918">
        <f>(Q46/$R46*100*($E46/365))+(Q47/$R47*100*($E47/365))</f>
        <v>0</v>
      </c>
      <c r="M155" s="918"/>
      <c r="N155" s="887">
        <f t="shared" si="36"/>
        <v>100</v>
      </c>
      <c r="O155" s="887"/>
      <c r="R155" s="1">
        <v>1979</v>
      </c>
      <c r="S155" s="7">
        <f>(O46*($E46/365))+(O47*($E47/365))</f>
        <v>15.771506849315069</v>
      </c>
      <c r="T155" s="7">
        <f>(P46*($E46/365))+(P47*($E47/365))</f>
        <v>4.0610958904109591</v>
      </c>
      <c r="U155" s="7">
        <f>(Q46*($E46/365))+(Q47*($E47/365))</f>
        <v>0</v>
      </c>
      <c r="V155" s="7"/>
      <c r="W155" s="7">
        <f t="shared" si="38"/>
        <v>19.832602739726028</v>
      </c>
    </row>
    <row r="156" spans="1:23">
      <c r="A156" s="1">
        <v>1980</v>
      </c>
      <c r="B156" s="7">
        <f>(K48*($E48/366))+(K49*($E49/366))</f>
        <v>61.904761904761905</v>
      </c>
      <c r="C156" s="7">
        <f>(L48*($E48/366))+(L49*($E49/366))</f>
        <v>33.333333333333329</v>
      </c>
      <c r="D156" s="7">
        <f>(M48*($E48/366))+(M49*($E49/366))</f>
        <v>0</v>
      </c>
      <c r="E156" s="61">
        <f t="shared" si="37"/>
        <v>95.238095238095241</v>
      </c>
      <c r="G156" s="1">
        <v>1980</v>
      </c>
      <c r="H156" s="918">
        <f>(O48/$R48*100*($E48/366))+(O49/$R49*100*($E49/366))</f>
        <v>63.473053892215567</v>
      </c>
      <c r="I156" s="918"/>
      <c r="J156" s="918">
        <f>(P48/$R48*100*($E48/366))+(P49/$R49*100*($E49/366))</f>
        <v>36.526946107784433</v>
      </c>
      <c r="K156" s="918"/>
      <c r="L156" s="918">
        <f>(Q48/$R48*100*($E48/366))+(Q49/$R49*100*($E49/366))</f>
        <v>0</v>
      </c>
      <c r="M156" s="918"/>
      <c r="N156" s="887">
        <f t="shared" si="36"/>
        <v>100</v>
      </c>
      <c r="O156" s="887"/>
      <c r="R156" s="1">
        <v>1980</v>
      </c>
      <c r="S156" s="7">
        <f>(O48*($E48/366))+(O49*($E49/366))</f>
        <v>31.799999999999997</v>
      </c>
      <c r="T156" s="7">
        <f>(P48*($E48/366))+(P49*($E49/366))</f>
        <v>18.3</v>
      </c>
      <c r="U156" s="7">
        <f>(Q48*($E48/366))+(Q49*($E49/366))</f>
        <v>0</v>
      </c>
      <c r="V156" s="7"/>
      <c r="W156" s="7">
        <f t="shared" si="38"/>
        <v>50.099999999999994</v>
      </c>
    </row>
    <row r="157" spans="1:23">
      <c r="A157" s="1">
        <v>1981</v>
      </c>
      <c r="B157" s="7">
        <f>(K50*($E50/365))+(K51*($E51/365))</f>
        <v>47.779952163513812</v>
      </c>
      <c r="C157" s="7">
        <f>(L50*($E50/365))+(L51*($E51/365))</f>
        <v>46.971080669710808</v>
      </c>
      <c r="D157" s="7">
        <f>(M50*($E50/365))+(M51*($E51/365))</f>
        <v>0</v>
      </c>
      <c r="E157" s="61">
        <f t="shared" si="37"/>
        <v>94.751032833224627</v>
      </c>
      <c r="G157" s="1">
        <v>1981</v>
      </c>
      <c r="H157" s="918">
        <f>(O50/$R50*100*($E50/365))+(O51/$R51*100*($E51/365))</f>
        <v>47.428340916215987</v>
      </c>
      <c r="I157" s="918"/>
      <c r="J157" s="918">
        <f>(P50/$R50*100*($E50/365))+(P51/$R51*100*($E51/365))</f>
        <v>52.57165908378402</v>
      </c>
      <c r="K157" s="918"/>
      <c r="L157" s="918">
        <f>(Q50/$R50*100*($E50/365))+(Q51/$R51*100*($E51/365))</f>
        <v>0</v>
      </c>
      <c r="M157" s="918"/>
      <c r="N157" s="887">
        <f t="shared" si="36"/>
        <v>100</v>
      </c>
      <c r="O157" s="887"/>
      <c r="R157" s="1">
        <v>1981</v>
      </c>
      <c r="S157" s="7">
        <f>(O50*($E50/365))+(O51*($E51/365))</f>
        <v>18.973698630136987</v>
      </c>
      <c r="T157" s="7">
        <f>(P50*($E50/365))+(P51*($E51/365))</f>
        <v>18.3</v>
      </c>
      <c r="U157" s="7">
        <f>(Q50*($E50/365))+(Q51*($E51/365))</f>
        <v>0</v>
      </c>
      <c r="V157" s="7"/>
      <c r="W157" s="7">
        <f t="shared" si="38"/>
        <v>37.273698630136991</v>
      </c>
    </row>
    <row r="158" spans="1:23">
      <c r="A158" s="1">
        <v>1982</v>
      </c>
      <c r="B158" s="7">
        <f>(K52*($E52/365))+(K53*($E53/365))</f>
        <v>29.832572298325726</v>
      </c>
      <c r="C158" s="7">
        <f>(L52*($E52/365))+(L53*($E53/365))</f>
        <v>42.6179604261796</v>
      </c>
      <c r="D158" s="7">
        <f>(M52*($E52/365))+(M53*($E53/365))</f>
        <v>23.287671232876711</v>
      </c>
      <c r="E158" s="61">
        <f t="shared" si="37"/>
        <v>95.738203957382041</v>
      </c>
      <c r="G158" s="1">
        <v>1982</v>
      </c>
      <c r="H158" s="928">
        <f>(O52/$R52*100*($E52/365))+(O53/$R53*100*($E53/365))</f>
        <v>28.635766560330264</v>
      </c>
      <c r="I158" s="928"/>
      <c r="J158" s="928">
        <f>(P52/$R52*100*($E52/365))+(P53/$R53*100*($E53/365))</f>
        <v>48.076562206793014</v>
      </c>
      <c r="K158" s="928"/>
      <c r="L158" s="928">
        <f>(Q52/$R52*100*($E52/365))+(Q53/$R53*100*($E53/365))</f>
        <v>23.287671232876711</v>
      </c>
      <c r="M158" s="928"/>
      <c r="N158" s="887">
        <f t="shared" si="36"/>
        <v>100</v>
      </c>
      <c r="O158" s="887"/>
      <c r="R158" s="1">
        <v>1982</v>
      </c>
      <c r="S158" s="7">
        <f>(O52*($E52/365))+(O53*($E53/365))</f>
        <v>8.3616438356164373</v>
      </c>
      <c r="T158" s="7">
        <f>(P52*($E52/365))+(P53*($E53/365))</f>
        <v>14.038356164383561</v>
      </c>
      <c r="U158" s="7">
        <f>(Q52*($E52/365))+(Q53*($E53/365))</f>
        <v>11.084931506849315</v>
      </c>
      <c r="V158" s="7"/>
      <c r="W158" s="7">
        <f t="shared" si="38"/>
        <v>33.484931506849314</v>
      </c>
    </row>
    <row r="159" spans="1:23">
      <c r="A159" s="1">
        <v>1983</v>
      </c>
      <c r="B159" s="7">
        <f>(K54*($E54/365))+(K55*($E55/365))</f>
        <v>0</v>
      </c>
      <c r="C159" s="7">
        <f>(L54*($E54/365))+(L55*($E55/365))</f>
        <v>0</v>
      </c>
      <c r="D159" s="7">
        <f>(M54*($E54/365))+(M55*($E55/365))</f>
        <v>100</v>
      </c>
      <c r="E159" s="61">
        <f t="shared" si="37"/>
        <v>100</v>
      </c>
      <c r="G159" s="1">
        <v>1983</v>
      </c>
      <c r="H159" s="928">
        <f>(O54/$R54*100*($E54/365))+(O55/$R55*100*($E55/365))</f>
        <v>0</v>
      </c>
      <c r="I159" s="928"/>
      <c r="J159" s="928">
        <f>(P54/$R54*100*($E54/365))+(P55/$R55*100*($E55/365))</f>
        <v>0</v>
      </c>
      <c r="K159" s="928"/>
      <c r="L159" s="928">
        <f>(Q54/$R54*100*($E54/365))+(Q55/$R55*100*($E55/365))</f>
        <v>100</v>
      </c>
      <c r="M159" s="928"/>
      <c r="N159" s="887">
        <f t="shared" si="36"/>
        <v>100</v>
      </c>
      <c r="O159" s="887"/>
      <c r="R159" s="1">
        <v>1983</v>
      </c>
      <c r="S159" s="7">
        <f>(O54*($E54/365))+(O55*($E55/365))</f>
        <v>0</v>
      </c>
      <c r="T159" s="7">
        <f>(P54*($E54/365))+(P55*($E55/365))</f>
        <v>0</v>
      </c>
      <c r="U159" s="7">
        <f>(Q54*($E54/365))+(Q55*($E55/365))</f>
        <v>47.6</v>
      </c>
      <c r="V159" s="7"/>
      <c r="W159" s="7">
        <f t="shared" si="38"/>
        <v>47.6</v>
      </c>
    </row>
    <row r="160" spans="1:23">
      <c r="A160" s="1">
        <v>1984</v>
      </c>
      <c r="B160" s="7">
        <f>(K56*($E56/366))+(K57*($E57/366))</f>
        <v>0</v>
      </c>
      <c r="C160" s="7">
        <f>(L56*($E56/366))+(L57*($E57/366))</f>
        <v>0</v>
      </c>
      <c r="D160" s="7">
        <f>(M56*($E56/366))+(M57*($E57/366))</f>
        <v>100</v>
      </c>
      <c r="E160" s="61">
        <f t="shared" si="37"/>
        <v>100</v>
      </c>
      <c r="G160" s="1">
        <v>1984</v>
      </c>
      <c r="H160" s="928">
        <f>(O56/$R56*100*($E56/366))+(O57/$R57*100*($E57/366))</f>
        <v>0</v>
      </c>
      <c r="I160" s="928"/>
      <c r="J160" s="928">
        <f>(P56/$R56*100*($E56/366))+(P57/$R57*100*($E57/366))</f>
        <v>0</v>
      </c>
      <c r="K160" s="928"/>
      <c r="L160" s="928">
        <f>(Q56/$R56*100*($E56/366))+(Q57/$R57*100*($E57/366))</f>
        <v>100</v>
      </c>
      <c r="M160" s="928"/>
      <c r="N160" s="887">
        <f t="shared" si="36"/>
        <v>100</v>
      </c>
      <c r="O160" s="887"/>
      <c r="R160" s="1">
        <v>1984</v>
      </c>
      <c r="S160" s="7">
        <f>(O56*($E56/366))+(O57*($E57/366))</f>
        <v>0</v>
      </c>
      <c r="T160" s="7">
        <f>(P56*($E56/366))+(P57*($E57/366))</f>
        <v>0</v>
      </c>
      <c r="U160" s="7">
        <f>(Q56*($E56/366))+(Q57*($E57/366))</f>
        <v>47.6</v>
      </c>
      <c r="V160" s="7"/>
      <c r="W160" s="7">
        <f t="shared" si="38"/>
        <v>47.6</v>
      </c>
    </row>
    <row r="161" spans="1:23">
      <c r="A161" s="1">
        <v>1985</v>
      </c>
      <c r="B161" s="7">
        <f>(K58*($E58/365))+(K59*($E59/365))</f>
        <v>0</v>
      </c>
      <c r="C161" s="7">
        <f>(L58*($E58/365))+(L59*($E59/365))</f>
        <v>0</v>
      </c>
      <c r="D161" s="7">
        <f>(M58*($E58/365))+(M59*($E59/365))</f>
        <v>100</v>
      </c>
      <c r="E161" s="61">
        <f t="shared" si="37"/>
        <v>100</v>
      </c>
      <c r="G161" s="1">
        <v>1985</v>
      </c>
      <c r="H161" s="928">
        <f>(O58/$R58*100*($E58/365))+(O59/$R59*100*($E59/365))</f>
        <v>0</v>
      </c>
      <c r="I161" s="928"/>
      <c r="J161" s="928">
        <f>(P58/$R58*100*($E58/365))+(P59/$R59*100*($E59/365))</f>
        <v>0</v>
      </c>
      <c r="K161" s="928"/>
      <c r="L161" s="928">
        <f>(Q58/$R58*100*($E58/365))+(Q59/$R59*100*($E59/365))</f>
        <v>100</v>
      </c>
      <c r="M161" s="928"/>
      <c r="N161" s="887">
        <f t="shared" si="36"/>
        <v>100</v>
      </c>
      <c r="O161" s="887"/>
      <c r="R161" s="1">
        <v>1985</v>
      </c>
      <c r="S161" s="7">
        <f>(O58*($E58/365))+(O59*($E59/365))</f>
        <v>0</v>
      </c>
      <c r="T161" s="7">
        <f>(P58*($E58/365))+(P59*($E59/365))</f>
        <v>0</v>
      </c>
      <c r="U161" s="7">
        <f>(Q58*($E58/365))+(Q59*($E59/365))</f>
        <v>47.112328767123287</v>
      </c>
      <c r="V161" s="7"/>
      <c r="W161" s="7">
        <f t="shared" si="38"/>
        <v>47.112328767123287</v>
      </c>
    </row>
    <row r="162" spans="1:23">
      <c r="A162" s="1">
        <v>1986</v>
      </c>
      <c r="B162" s="7">
        <f>(K60*($E60/365))+(K61*($E61/365))</f>
        <v>0</v>
      </c>
      <c r="C162" s="7">
        <f>(L60*($E60/365))+(L61*($E61/365))</f>
        <v>0</v>
      </c>
      <c r="D162" s="7">
        <f>(M60*($E60/365))+(M61*($E61/365))</f>
        <v>100</v>
      </c>
      <c r="E162" s="61">
        <f t="shared" si="37"/>
        <v>100</v>
      </c>
      <c r="G162" s="1">
        <v>1986</v>
      </c>
      <c r="H162" s="928">
        <f>(O60/$R60*100*($E60/365))+(O61/$R61*100*($E61/365))</f>
        <v>0</v>
      </c>
      <c r="I162" s="928"/>
      <c r="J162" s="928">
        <f>(P60/$R60*100*($E60/365))+(P61/$R61*100*($E61/365))</f>
        <v>0</v>
      </c>
      <c r="K162" s="928"/>
      <c r="L162" s="928">
        <f>(Q60/$R60*100*($E60/365))+(Q61/$R61*100*($E61/365))</f>
        <v>100</v>
      </c>
      <c r="M162" s="928"/>
      <c r="N162" s="887">
        <f t="shared" si="36"/>
        <v>100</v>
      </c>
      <c r="O162" s="887"/>
      <c r="R162" s="1">
        <v>1986</v>
      </c>
      <c r="S162" s="7">
        <f>(O60*($E60/365))+(O61*($E61/365))</f>
        <v>0</v>
      </c>
      <c r="T162" s="7">
        <f>(P60*($E60/365))+(P61*($E61/365))</f>
        <v>0</v>
      </c>
      <c r="U162" s="7">
        <f>(Q60*($E60/365))+(Q61*($E61/365))</f>
        <v>45.6</v>
      </c>
      <c r="V162" s="7"/>
      <c r="W162" s="7">
        <f t="shared" si="38"/>
        <v>45.6</v>
      </c>
    </row>
    <row r="163" spans="1:23">
      <c r="A163" s="1">
        <v>1987</v>
      </c>
      <c r="B163" s="7">
        <f>(K62*($E62/365))+(K63*($E63/365))</f>
        <v>0</v>
      </c>
      <c r="C163" s="7">
        <f>(L62*($E62/365))+(L63*($E63/365))</f>
        <v>0</v>
      </c>
      <c r="D163" s="7">
        <f>(M62*($E62/365))+(M63*($E63/365))</f>
        <v>100</v>
      </c>
      <c r="E163" s="61">
        <f>B163+C163+D163</f>
        <v>100</v>
      </c>
      <c r="G163" s="1">
        <v>1987</v>
      </c>
      <c r="H163" s="928">
        <f>(O62/$R62*100*($E62/365))+(O63/$R63*100*($E63/365))</f>
        <v>0</v>
      </c>
      <c r="I163" s="928"/>
      <c r="J163" s="928">
        <f>(P62/$R62*100*($E62/365))+(P63/$R63*100*($E63/365))</f>
        <v>0</v>
      </c>
      <c r="K163" s="928"/>
      <c r="L163" s="928">
        <f>(Q62/$R62*100*($E62/365))+(Q63/$R63*100*($E63/365))</f>
        <v>100</v>
      </c>
      <c r="M163" s="928"/>
      <c r="N163" s="887">
        <f t="shared" si="36"/>
        <v>100</v>
      </c>
      <c r="O163" s="887"/>
      <c r="R163" s="1">
        <v>1987</v>
      </c>
      <c r="S163" s="7">
        <f>(O62*($E62/365))+(O63*($E63/365))</f>
        <v>0</v>
      </c>
      <c r="T163" s="7">
        <f>(P62*($E62/365))+(P63*($E63/365))</f>
        <v>0</v>
      </c>
      <c r="U163" s="7">
        <f>(Q62*($E62/365))+(Q63*($E63/365))</f>
        <v>45.6</v>
      </c>
      <c r="V163" s="7"/>
      <c r="W163" s="7">
        <f t="shared" si="38"/>
        <v>45.6</v>
      </c>
    </row>
    <row r="164" spans="1:23">
      <c r="A164" s="1">
        <v>1988</v>
      </c>
      <c r="B164" s="7">
        <f>(K64*($E64/366))+(K65*($E65/366))</f>
        <v>0</v>
      </c>
      <c r="C164" s="7">
        <f>(L64*($E64/366))+(L65*($E65/366))</f>
        <v>0</v>
      </c>
      <c r="D164" s="7">
        <f>(M64*($E64/366))+(M65*($E65/366))</f>
        <v>100</v>
      </c>
      <c r="E164" s="61">
        <f t="shared" si="37"/>
        <v>100</v>
      </c>
      <c r="G164" s="1">
        <v>1988</v>
      </c>
      <c r="H164" s="928">
        <f>(O64/$R64*100*($E64/366))+(O65/$R65*100*($E65/366))</f>
        <v>0</v>
      </c>
      <c r="I164" s="928"/>
      <c r="J164" s="928">
        <f>(P64/$R64*100*($E64/366))+(P65/$R65*100*($E65/366))</f>
        <v>0</v>
      </c>
      <c r="K164" s="928"/>
      <c r="L164" s="928">
        <f>(Q64/$R64*100*($E64/366))+(Q65/$R65*100*($E65/366))</f>
        <v>100</v>
      </c>
      <c r="M164" s="928"/>
      <c r="N164" s="887">
        <f t="shared" si="36"/>
        <v>100</v>
      </c>
      <c r="O164" s="887"/>
      <c r="R164" s="1">
        <v>1988</v>
      </c>
      <c r="S164" s="7">
        <f>(O64*($E64/366))+(O65*($E65/366))</f>
        <v>0</v>
      </c>
      <c r="T164" s="7">
        <f>(P64*($E64/366))+(P65*($E65/366))</f>
        <v>0</v>
      </c>
      <c r="U164" s="7">
        <f>(Q64*($E64/366))+(Q65*($E65/366))</f>
        <v>45.381147540983605</v>
      </c>
      <c r="V164" s="7"/>
      <c r="W164" s="7">
        <f t="shared" si="38"/>
        <v>45.381147540983605</v>
      </c>
    </row>
    <row r="165" spans="1:23">
      <c r="A165" s="1">
        <v>1989</v>
      </c>
      <c r="B165" s="7">
        <f>(K66*($E66/365))+(K67*($E67/365))</f>
        <v>0</v>
      </c>
      <c r="C165" s="7">
        <f>(L66*($E66/365))+(L67*($E67/365))</f>
        <v>0</v>
      </c>
      <c r="D165" s="7">
        <f>(M66*($E66/365))+(M67*($E67/365))</f>
        <v>100</v>
      </c>
      <c r="E165" s="61">
        <f t="shared" si="37"/>
        <v>100</v>
      </c>
      <c r="G165" s="1">
        <v>1989</v>
      </c>
      <c r="H165" s="928">
        <f>(O66/$R66*100*($E66/365))+(O67/$R67*100*($E67/365))</f>
        <v>0</v>
      </c>
      <c r="I165" s="928"/>
      <c r="J165" s="928">
        <f>(P66/$R66*100*($E66/365))+(P67/$R67*100*($E67/365))</f>
        <v>0</v>
      </c>
      <c r="K165" s="928"/>
      <c r="L165" s="928">
        <f>(Q66/$R66*100*($E66/365))+(Q67/$R67*100*($E67/365))</f>
        <v>100</v>
      </c>
      <c r="M165" s="928"/>
      <c r="N165" s="887">
        <f t="shared" si="36"/>
        <v>100</v>
      </c>
      <c r="O165" s="887"/>
      <c r="R165" s="1">
        <v>1989</v>
      </c>
      <c r="S165" s="7">
        <f>(O66*($E66/365))+(O67*($E67/365))</f>
        <v>0</v>
      </c>
      <c r="T165" s="7">
        <f>(P66*($E66/365))+(P67*($E67/365))</f>
        <v>0</v>
      </c>
      <c r="U165" s="7">
        <f>(Q66*($E66/365))+(Q67*($E67/365))</f>
        <v>44.7</v>
      </c>
      <c r="V165" s="7"/>
      <c r="W165" s="7">
        <f t="shared" si="38"/>
        <v>44.7</v>
      </c>
    </row>
    <row r="166" spans="1:23">
      <c r="A166" s="1">
        <v>1990</v>
      </c>
      <c r="B166" s="7">
        <f>(K68*($E68/365))+(K69*($E69/365))</f>
        <v>0</v>
      </c>
      <c r="C166" s="7">
        <f>(L68*($E68/365))+(L69*($E69/365))</f>
        <v>0</v>
      </c>
      <c r="D166" s="7">
        <f>(M68*($E68/365))+(M69*($E69/365))</f>
        <v>100</v>
      </c>
      <c r="E166" s="61">
        <f t="shared" si="37"/>
        <v>100</v>
      </c>
      <c r="G166" s="1">
        <v>1990</v>
      </c>
      <c r="H166" s="928">
        <f>(O68/$R68*100*($E68/365))+(O69/$R69*100*($E69/365))</f>
        <v>0</v>
      </c>
      <c r="I166" s="928"/>
      <c r="J166" s="928">
        <f>(P68/$R68*100*($E68/365))+(P69/$R69*100*($E69/365))</f>
        <v>0</v>
      </c>
      <c r="K166" s="928"/>
      <c r="L166" s="928">
        <f>(Q68/$R68*100*($E68/365))+(Q69/$R69*100*($E69/365))</f>
        <v>100</v>
      </c>
      <c r="M166" s="928"/>
      <c r="N166" s="887">
        <f t="shared" si="36"/>
        <v>100</v>
      </c>
      <c r="O166" s="887"/>
      <c r="R166" s="1">
        <v>1990</v>
      </c>
      <c r="S166" s="7">
        <f>(O68*($E68/365))+(O69*($E69/365))</f>
        <v>0</v>
      </c>
      <c r="T166" s="7">
        <f>(P68*($E68/365))+(P69*($E69/365))</f>
        <v>0</v>
      </c>
      <c r="U166" s="7">
        <f>(Q68*($E68/365))+(Q69*($E69/365))</f>
        <v>44.7</v>
      </c>
      <c r="V166" s="7"/>
      <c r="W166" s="7">
        <f t="shared" si="38"/>
        <v>44.7</v>
      </c>
    </row>
    <row r="167" spans="1:23">
      <c r="A167" s="1">
        <v>1991</v>
      </c>
      <c r="B167" s="7">
        <f>(K70*($E70/365))+(K71*($E71/365))</f>
        <v>15.264187866927593</v>
      </c>
      <c r="C167" s="7">
        <f>(L70*($E70/365))+(L71*($E71/365))</f>
        <v>8.2191780821917799</v>
      </c>
      <c r="D167" s="7">
        <f>(M70*($E70/365))+(M71*($E71/365))</f>
        <v>75.342465753424662</v>
      </c>
      <c r="E167" s="61">
        <f t="shared" si="37"/>
        <v>98.825831702544036</v>
      </c>
      <c r="G167" s="1">
        <v>1991</v>
      </c>
      <c r="H167" s="928">
        <f>(O70/$R70*100*($E70/365))+(O71/$R71*100*($E71/365))</f>
        <v>16.404601839610699</v>
      </c>
      <c r="I167" s="928"/>
      <c r="J167" s="928">
        <f>(P70/$R70*100*($E70/365))+(P71/$R71*100*($E71/365))</f>
        <v>8.252932406964641</v>
      </c>
      <c r="K167" s="928"/>
      <c r="L167" s="928">
        <f>(Q70/$R70*100*($E70/365))+(Q71/$R71*100*($E71/365))</f>
        <v>75.342465753424662</v>
      </c>
      <c r="M167" s="928"/>
      <c r="N167" s="887">
        <f t="shared" si="36"/>
        <v>100</v>
      </c>
      <c r="O167" s="887"/>
      <c r="R167" s="1">
        <v>1991</v>
      </c>
      <c r="S167" s="7">
        <f>(O70*($E70/365))+(O71*($E71/365))</f>
        <v>7.9890410958904106</v>
      </c>
      <c r="T167" s="7">
        <f>(P70*($E70/365))+(P71*($E71/365))</f>
        <v>4.0191780821917806</v>
      </c>
      <c r="U167" s="7">
        <f>(Q70*($E70/365))+(Q71*($E71/365))</f>
        <v>33.678082191780824</v>
      </c>
      <c r="V167" s="7"/>
      <c r="W167" s="7">
        <f t="shared" si="38"/>
        <v>45.686301369863017</v>
      </c>
    </row>
    <row r="168" spans="1:23">
      <c r="A168" s="1">
        <v>1992</v>
      </c>
      <c r="B168" s="7">
        <f>(K72*($E72/366))+(K73*($E73/366))</f>
        <v>65</v>
      </c>
      <c r="C168" s="7">
        <f>(L72*($E72/366))+(L73*($E73/366))</f>
        <v>30</v>
      </c>
      <c r="D168" s="7">
        <f>(M72*($E72/366))+(M73*($E73/366))</f>
        <v>0</v>
      </c>
      <c r="E168" s="61">
        <f t="shared" si="37"/>
        <v>95</v>
      </c>
      <c r="G168" s="1">
        <v>1992</v>
      </c>
      <c r="H168" s="928">
        <f>(O72/$R72*100*($E72/366))+(O73/$R73*100*($E73/366))</f>
        <v>66.529774127310063</v>
      </c>
      <c r="I168" s="928"/>
      <c r="J168" s="928">
        <f>(P72/$R72*100*($E72/366))+(P73/$R73*100*($E73/366))</f>
        <v>33.470225872689937</v>
      </c>
      <c r="K168" s="928"/>
      <c r="L168" s="928">
        <f>(Q72/$R72*100*($E72/366))+(Q73/$R73*100*($E73/366))</f>
        <v>0</v>
      </c>
      <c r="M168" s="928"/>
      <c r="N168" s="887">
        <f t="shared" ref="N168:N188" si="39">H168+J168+L168</f>
        <v>100</v>
      </c>
      <c r="O168" s="887"/>
      <c r="R168" s="1">
        <v>1992</v>
      </c>
      <c r="S168" s="7">
        <f>(O72*($E72/366))+(O73*($E73/366))</f>
        <v>32.4</v>
      </c>
      <c r="T168" s="7">
        <f>(P72*($E72/366))+(P73*($E73/366))</f>
        <v>16.3</v>
      </c>
      <c r="U168" s="7">
        <f>(Q72*($E72/366))+(Q73*($E73/366))</f>
        <v>0</v>
      </c>
      <c r="V168" s="7"/>
      <c r="W168" s="7">
        <f t="shared" si="38"/>
        <v>48.7</v>
      </c>
    </row>
    <row r="169" spans="1:23">
      <c r="A169" s="1">
        <v>1993</v>
      </c>
      <c r="B169" s="7">
        <f>(K74*($E74/365))+(K75*($E75/365))</f>
        <v>61.904761904761905</v>
      </c>
      <c r="C169" s="7">
        <f>(L74*($E74/365))+(L75*($E75/365))</f>
        <v>33.333333333333329</v>
      </c>
      <c r="D169" s="7">
        <f>(M74*($E74/365))+(M75*($E75/365))</f>
        <v>0</v>
      </c>
      <c r="E169" s="61">
        <f t="shared" si="37"/>
        <v>95.238095238095241</v>
      </c>
      <c r="G169" s="1">
        <v>1993</v>
      </c>
      <c r="H169" s="928">
        <f>(O74/$R74*100*($E74/365))+(O75/$R75*100*($E75/365))</f>
        <v>66.529774127310063</v>
      </c>
      <c r="I169" s="928"/>
      <c r="J169" s="928">
        <f>(P74/$R74*100*($E74/365))+(P75/$R75*100*($E75/365))</f>
        <v>33.470225872689937</v>
      </c>
      <c r="K169" s="928"/>
      <c r="L169" s="928">
        <f>(Q74/$R74*100*($E74/365))+(Q75/$R75*100*($E75/365))</f>
        <v>0</v>
      </c>
      <c r="M169" s="928"/>
      <c r="N169" s="887">
        <f t="shared" si="39"/>
        <v>100</v>
      </c>
      <c r="O169" s="887"/>
      <c r="R169" s="1">
        <v>1993</v>
      </c>
      <c r="S169" s="7">
        <f>(O74*($E74/365))+(O75*($E75/365))</f>
        <v>32.4</v>
      </c>
      <c r="T169" s="7">
        <f>(P74*($E74/365))+(P75*($E75/365))</f>
        <v>16.3</v>
      </c>
      <c r="U169" s="7">
        <f>(Q74*($E74/365))+(Q75*($E75/365))</f>
        <v>0</v>
      </c>
      <c r="V169" s="7"/>
      <c r="W169" s="7">
        <f t="shared" si="38"/>
        <v>48.7</v>
      </c>
    </row>
    <row r="170" spans="1:23">
      <c r="A170" s="1">
        <v>1994</v>
      </c>
      <c r="B170" s="7">
        <f>(K76*($E76/365))+(K77*($E77/365))</f>
        <v>47.149380300065232</v>
      </c>
      <c r="C170" s="7">
        <f>(L76*($E76/365))+(L77*($E77/365))</f>
        <v>25.388127853881276</v>
      </c>
      <c r="D170" s="7">
        <f>(M76*($E76/365))+(M77*($E77/365))</f>
        <v>23.835616438356162</v>
      </c>
      <c r="E170" s="61">
        <f t="shared" si="37"/>
        <v>96.373124592302673</v>
      </c>
      <c r="G170" s="1">
        <v>1994</v>
      </c>
      <c r="H170" s="928">
        <f>(O76/$R76*100*($E76/365))+(O77/$R77*100*($E77/365))</f>
        <v>50.671992349019717</v>
      </c>
      <c r="I170" s="928"/>
      <c r="J170" s="928">
        <f>(P76/$R76*100*($E76/365))+(P77/$R77*100*($E77/365))</f>
        <v>25.492391212624117</v>
      </c>
      <c r="K170" s="928"/>
      <c r="L170" s="928">
        <f>(Q76/$R76*100*($E76/365))+(Q77/$R77*100*($E77/365))</f>
        <v>23.835616438356162</v>
      </c>
      <c r="M170" s="928"/>
      <c r="N170" s="887">
        <f t="shared" si="39"/>
        <v>100</v>
      </c>
      <c r="O170" s="887"/>
      <c r="R170" s="1">
        <v>1994</v>
      </c>
      <c r="S170" s="7">
        <f>(O76*($E76/365))+(O77*($E77/365))</f>
        <v>24.6772602739726</v>
      </c>
      <c r="T170" s="7">
        <f>(P76*($E76/365))+(P77*($E77/365))</f>
        <v>12.414794520547945</v>
      </c>
      <c r="U170" s="7">
        <f>(Q76*($E76/365))+(Q77*($E77/365))</f>
        <v>10.988219178082192</v>
      </c>
      <c r="V170" s="7"/>
      <c r="W170" s="7">
        <f t="shared" si="38"/>
        <v>48.080273972602733</v>
      </c>
    </row>
    <row r="171" spans="1:23">
      <c r="A171" s="1">
        <v>1995</v>
      </c>
      <c r="B171" s="7">
        <f>(K78*($E78/365))+(K79*($E79/365))</f>
        <v>0</v>
      </c>
      <c r="C171" s="7">
        <f>(L78*($E78/365))+(L79*($E79/365))</f>
        <v>0</v>
      </c>
      <c r="D171" s="7">
        <f>(M78*($E78/365))+(M79*($E79/365))</f>
        <v>100</v>
      </c>
      <c r="E171" s="61">
        <f t="shared" si="37"/>
        <v>100</v>
      </c>
      <c r="G171" s="1">
        <v>1995</v>
      </c>
      <c r="H171" s="928">
        <f>(O78/$R78*100*($E78/365))+(O79/$R79*100*($E79/365))</f>
        <v>0</v>
      </c>
      <c r="I171" s="928"/>
      <c r="J171" s="928">
        <f>(P78/$R78*100*($E78/365))+(P79/$R79*100*($E79/365))</f>
        <v>0</v>
      </c>
      <c r="K171" s="928"/>
      <c r="L171" s="928">
        <f>(Q78/$R78*100*($E78/365))+(Q79/$R79*100*($E79/365))</f>
        <v>100</v>
      </c>
      <c r="M171" s="928"/>
      <c r="N171" s="887">
        <f t="shared" si="39"/>
        <v>100</v>
      </c>
      <c r="O171" s="887"/>
      <c r="R171" s="1">
        <v>1995</v>
      </c>
      <c r="S171" s="7">
        <f>(O78*($E78/365))+(O79*($E79/365))</f>
        <v>0</v>
      </c>
      <c r="T171" s="7">
        <f>(P78*($E78/365))+(P79*($E79/365))</f>
        <v>0</v>
      </c>
      <c r="U171" s="7">
        <f>(Q78*($E78/365))+(Q79*($E79/365))</f>
        <v>46.1</v>
      </c>
      <c r="V171" s="7"/>
      <c r="W171" s="7">
        <f t="shared" si="38"/>
        <v>46.1</v>
      </c>
    </row>
    <row r="172" spans="1:23">
      <c r="A172" s="1">
        <v>1996</v>
      </c>
      <c r="B172" s="7">
        <f>(K80*($E80/366))+(K81*($E81/366))</f>
        <v>0</v>
      </c>
      <c r="C172" s="7">
        <f>(L80*($E80/366))+(L81*($E81/366))</f>
        <v>0</v>
      </c>
      <c r="D172" s="7">
        <f>(M80*($E80/366))+(M81*($E81/366))</f>
        <v>100</v>
      </c>
      <c r="E172" s="61">
        <f t="shared" si="37"/>
        <v>100</v>
      </c>
      <c r="G172" s="1">
        <v>1996</v>
      </c>
      <c r="H172" s="928">
        <f>(O80/$R80*100*($E80/366))+(O81/$R81*100*($E81/366))</f>
        <v>0</v>
      </c>
      <c r="I172" s="928"/>
      <c r="J172" s="928">
        <f>(P80/$R80*100*($E80/366))+(P81/$R81*100*($E81/366))</f>
        <v>0</v>
      </c>
      <c r="K172" s="928"/>
      <c r="L172" s="928">
        <f>(Q80/$R80*100*($E80/366))+(Q81/$R81*100*($E81/366))</f>
        <v>100</v>
      </c>
      <c r="M172" s="928"/>
      <c r="N172" s="887">
        <f t="shared" si="39"/>
        <v>100</v>
      </c>
      <c r="O172" s="887"/>
      <c r="R172" s="1">
        <v>1996</v>
      </c>
      <c r="S172" s="7">
        <f>(O80*($E80/366))+(O81*($E81/366))</f>
        <v>0</v>
      </c>
      <c r="T172" s="7">
        <f>(P80*($E80/366))+(P81*($E81/366))</f>
        <v>0</v>
      </c>
      <c r="U172" s="7">
        <f>(Q80*($E80/366))+(Q81*($E81/366))</f>
        <v>46.1</v>
      </c>
      <c r="V172" s="7"/>
      <c r="W172" s="7">
        <f t="shared" si="38"/>
        <v>46.1</v>
      </c>
    </row>
    <row r="173" spans="1:23">
      <c r="A173" s="1">
        <v>1997</v>
      </c>
      <c r="B173" s="7">
        <f>(K82*($E82/365))+(K83*($E83/365))</f>
        <v>0</v>
      </c>
      <c r="C173" s="7">
        <f>(L82*($E82/365))+(L83*($E83/365))</f>
        <v>0</v>
      </c>
      <c r="D173" s="7">
        <f>(M82*($E82/365))+(M83*($E83/365))</f>
        <v>100</v>
      </c>
      <c r="E173" s="61">
        <f t="shared" si="37"/>
        <v>100</v>
      </c>
      <c r="G173" s="1">
        <v>1997</v>
      </c>
      <c r="H173" s="928">
        <f>(O82/$R82*100*($E82/365))+(O83/$R83*100*($E83/365))</f>
        <v>0</v>
      </c>
      <c r="I173" s="928"/>
      <c r="J173" s="928">
        <f>(P82/$R82*100*($E82/365))+(P83/$R83*100*($E83/365))</f>
        <v>0</v>
      </c>
      <c r="K173" s="928"/>
      <c r="L173" s="928">
        <f>(Q82/$R82*100*($E82/365))+(Q83/$R83*100*($E83/365))</f>
        <v>100</v>
      </c>
      <c r="M173" s="928"/>
      <c r="N173" s="887">
        <f t="shared" si="39"/>
        <v>100</v>
      </c>
      <c r="O173" s="887"/>
      <c r="R173" s="1">
        <v>1997</v>
      </c>
      <c r="S173" s="7">
        <f>(O82*($E82/365))+(O83*($E83/365))</f>
        <v>0</v>
      </c>
      <c r="T173" s="7">
        <f>(P82*($E82/365))+(P83*($E83/365))</f>
        <v>0</v>
      </c>
      <c r="U173" s="7">
        <f>(Q82*($E82/365))+(Q83*($E83/365))</f>
        <v>46.1</v>
      </c>
      <c r="V173" s="7"/>
      <c r="W173" s="7">
        <f t="shared" si="38"/>
        <v>46.1</v>
      </c>
    </row>
    <row r="174" spans="1:23">
      <c r="A174" s="1">
        <v>1998</v>
      </c>
      <c r="B174" s="7">
        <f>(K84*($E84/365))+(K85*($E85/365))</f>
        <v>0</v>
      </c>
      <c r="C174" s="7">
        <f>(L84*($E84/365))+(L85*($E85/365))</f>
        <v>0</v>
      </c>
      <c r="D174" s="7">
        <f>(M84*($E84/365))+(M85*($E85/365))</f>
        <v>100</v>
      </c>
      <c r="E174" s="61">
        <f t="shared" si="37"/>
        <v>100</v>
      </c>
      <c r="G174" s="1">
        <v>1998</v>
      </c>
      <c r="H174" s="928">
        <f>(O84/$R84*100*($E84/365))+(O85/$R85*100*($E85/365))</f>
        <v>0</v>
      </c>
      <c r="I174" s="928"/>
      <c r="J174" s="928">
        <f>(P84/$R84*100*($E84/365))+(P85/$R85*100*($E85/365))</f>
        <v>0</v>
      </c>
      <c r="K174" s="928"/>
      <c r="L174" s="928">
        <f>(Q84/$R84*100*($E84/365))+(Q85/$R85*100*($E85/365))</f>
        <v>100</v>
      </c>
      <c r="M174" s="928"/>
      <c r="N174" s="887">
        <f t="shared" si="39"/>
        <v>100</v>
      </c>
      <c r="O174" s="887"/>
      <c r="R174" s="1">
        <v>1998</v>
      </c>
      <c r="S174" s="7">
        <f>(O84*($E84/365))+(O85*($E85/365))</f>
        <v>0</v>
      </c>
      <c r="T174" s="7">
        <f>(P84*($E84/365))+(P85*($E85/365))</f>
        <v>0</v>
      </c>
      <c r="U174" s="7">
        <f>(Q84*($E84/365))+(Q85*($E85/365))</f>
        <v>44.050136986301375</v>
      </c>
      <c r="V174" s="7"/>
      <c r="W174" s="7">
        <f t="shared" si="38"/>
        <v>44.050136986301375</v>
      </c>
    </row>
    <row r="175" spans="1:23">
      <c r="A175" s="1">
        <v>1999</v>
      </c>
      <c r="B175" s="7">
        <f>(K86*($E86/365))+(K87*($E87/365))</f>
        <v>0</v>
      </c>
      <c r="C175" s="7">
        <f>(L86*($E86/365))+(L87*($E87/365))</f>
        <v>0</v>
      </c>
      <c r="D175" s="7">
        <f>(M86*($E86/365))+(M87*($E87/365))</f>
        <v>100</v>
      </c>
      <c r="E175" s="61">
        <f t="shared" si="37"/>
        <v>100</v>
      </c>
      <c r="G175" s="1">
        <v>1999</v>
      </c>
      <c r="H175" s="928">
        <f>(O86/$R86*100*($E86/365))+(O87/$R87*100*($E87/365))</f>
        <v>0</v>
      </c>
      <c r="I175" s="928"/>
      <c r="J175" s="928">
        <f>(P86/$R86*100*($E86/365))+(P87/$R87*100*($E87/365))</f>
        <v>0</v>
      </c>
      <c r="K175" s="928"/>
      <c r="L175" s="928">
        <f>(Q86/$R86*100*($E86/365))+(Q87/$R87*100*($E87/365))</f>
        <v>100</v>
      </c>
      <c r="M175" s="928"/>
      <c r="N175" s="887">
        <f t="shared" si="39"/>
        <v>100</v>
      </c>
      <c r="O175" s="887"/>
      <c r="R175" s="1">
        <v>1999</v>
      </c>
      <c r="S175" s="7">
        <f>(O86*($E86/365))+(O87*($E87/365))</f>
        <v>0</v>
      </c>
      <c r="T175" s="7">
        <f>(P86*($E86/365))+(P87*($E87/365))</f>
        <v>0</v>
      </c>
      <c r="U175" s="7">
        <f>(Q86*($E86/365))+(Q87*($E87/365))</f>
        <v>37.5</v>
      </c>
      <c r="V175" s="7"/>
      <c r="W175" s="7">
        <f t="shared" si="38"/>
        <v>37.5</v>
      </c>
    </row>
    <row r="176" spans="1:23">
      <c r="A176" s="1">
        <v>2000</v>
      </c>
      <c r="B176" s="7">
        <f>(K88*($E88/366))+(K89*($E89/366))</f>
        <v>0</v>
      </c>
      <c r="C176" s="7">
        <f>(L88*($E88/366))+(L89*($E89/366))</f>
        <v>0</v>
      </c>
      <c r="D176" s="7">
        <f>(M88*($E88/366))+(M89*($E89/366))</f>
        <v>100</v>
      </c>
      <c r="E176" s="61">
        <f t="shared" si="37"/>
        <v>100</v>
      </c>
      <c r="G176" s="1">
        <v>2000</v>
      </c>
      <c r="H176" s="928">
        <f>(O88/$R88*100*($E88/366))+(O89/$R89*100*($E89/366))</f>
        <v>0</v>
      </c>
      <c r="I176" s="928"/>
      <c r="J176" s="928">
        <f>(P88/$R88*100*($E88/366))+(P89/$R89*100*($E89/366))</f>
        <v>0</v>
      </c>
      <c r="K176" s="928"/>
      <c r="L176" s="928">
        <f>(Q88/$R88*100*($E88/366))+(Q89/$R89*100*($E89/366))</f>
        <v>100</v>
      </c>
      <c r="M176" s="928"/>
      <c r="N176" s="887">
        <f t="shared" si="39"/>
        <v>100</v>
      </c>
      <c r="O176" s="887"/>
      <c r="R176" s="1">
        <v>2000</v>
      </c>
      <c r="S176" s="7">
        <f>(O88*($E88/366))+(O89*($E89/366))</f>
        <v>0</v>
      </c>
      <c r="T176" s="7">
        <f>(P88*($E88/366))+(P89*($E89/366))</f>
        <v>0</v>
      </c>
      <c r="U176" s="7">
        <f>(Q88*($E88/366))+(Q89*($E89/366))</f>
        <v>37.5</v>
      </c>
      <c r="V176" s="7"/>
      <c r="W176" s="7">
        <f t="shared" si="38"/>
        <v>37.5</v>
      </c>
    </row>
    <row r="177" spans="1:23">
      <c r="A177" s="1">
        <v>2001</v>
      </c>
      <c r="B177" s="7">
        <f>(K90*($E90/365))+(K91*($E91/365))</f>
        <v>0</v>
      </c>
      <c r="C177" s="7">
        <f>(L90*($E90/365))+(L91*($E91/365))</f>
        <v>0</v>
      </c>
      <c r="D177" s="7">
        <f>(M90*($E90/365))+(M91*($E91/365))</f>
        <v>100</v>
      </c>
      <c r="E177" s="61">
        <f t="shared" si="37"/>
        <v>100</v>
      </c>
      <c r="G177" s="1">
        <v>2001</v>
      </c>
      <c r="H177" s="928">
        <f>(O90/$R90*100*($E90/365))+(O91/$R91*100*($E91/365))</f>
        <v>0</v>
      </c>
      <c r="I177" s="928"/>
      <c r="J177" s="928">
        <f>(P90/$R90*100*($E90/365))+(P91/$R91*100*($E91/365))</f>
        <v>0</v>
      </c>
      <c r="K177" s="928"/>
      <c r="L177" s="928">
        <f>(Q90/$R90*100*($E90/365))+(Q91/$R91*100*($E91/365))</f>
        <v>100</v>
      </c>
      <c r="M177" s="928"/>
      <c r="N177" s="887">
        <f t="shared" si="39"/>
        <v>100</v>
      </c>
      <c r="O177" s="887"/>
      <c r="R177" s="1">
        <v>2001</v>
      </c>
      <c r="S177" s="7">
        <f>(O90*($E90/365))+(O91*($E91/365))</f>
        <v>0</v>
      </c>
      <c r="T177" s="7">
        <f>(P90*($E90/365))+(P91*($E91/365))</f>
        <v>0</v>
      </c>
      <c r="U177" s="7">
        <f>(Q90*($E90/365))+(Q91*($E91/365))</f>
        <v>37.5</v>
      </c>
      <c r="V177" s="7"/>
      <c r="W177" s="7">
        <f t="shared" si="38"/>
        <v>37.5</v>
      </c>
    </row>
    <row r="178" spans="1:23">
      <c r="A178" s="1">
        <v>2002</v>
      </c>
      <c r="B178" s="7">
        <f>(K92*($E92/365))+(K93*($E93/365))</f>
        <v>0</v>
      </c>
      <c r="C178" s="7">
        <f>(L92*($E92/365))+(L93*($E93/365))</f>
        <v>0</v>
      </c>
      <c r="D178" s="7">
        <f>(M92*($E92/365))+(M93*($E93/365))</f>
        <v>100</v>
      </c>
      <c r="E178" s="61">
        <f t="shared" si="37"/>
        <v>100</v>
      </c>
      <c r="G178" s="1">
        <v>2002</v>
      </c>
      <c r="H178" s="928">
        <f>(O92/$R92*100*($E92/365))+(O93/$R93*100*($E93/365))</f>
        <v>0</v>
      </c>
      <c r="I178" s="928"/>
      <c r="J178" s="928">
        <f>(P92/$R92*100*($E92/365))+(P93/$R93*100*($E93/365))</f>
        <v>0</v>
      </c>
      <c r="K178" s="928"/>
      <c r="L178" s="928">
        <f>(Q92/$R92*100*($E92/365))+(Q93/$R93*100*($E93/365))</f>
        <v>100</v>
      </c>
      <c r="M178" s="928"/>
      <c r="N178" s="887">
        <f t="shared" si="39"/>
        <v>100</v>
      </c>
      <c r="O178" s="887"/>
      <c r="R178" s="1">
        <v>2002</v>
      </c>
      <c r="S178" s="7">
        <f>(O92*($E92/365))+(O93*($E93/365))</f>
        <v>0</v>
      </c>
      <c r="T178" s="7">
        <f>(P92*($E92/365))+(P93*($E93/365))</f>
        <v>0</v>
      </c>
      <c r="U178" s="7">
        <f>(Q92*($E92/365))+(Q93*($E93/365))</f>
        <v>38.447397260273974</v>
      </c>
      <c r="V178" s="7"/>
      <c r="W178" s="7">
        <f t="shared" si="38"/>
        <v>38.447397260273974</v>
      </c>
    </row>
    <row r="179" spans="1:23">
      <c r="A179" s="1">
        <v>2003</v>
      </c>
      <c r="B179" s="7">
        <f>(K94*($E94/365))+(K95*($E95/365))</f>
        <v>0</v>
      </c>
      <c r="C179" s="7">
        <f>(L94*($E94/365))+(L95*($E95/365))</f>
        <v>0</v>
      </c>
      <c r="D179" s="7">
        <f>(M94*($E94/365))+(M95*($E95/365))</f>
        <v>100</v>
      </c>
      <c r="E179" s="61">
        <f t="shared" si="37"/>
        <v>100</v>
      </c>
      <c r="G179" s="1">
        <v>2003</v>
      </c>
      <c r="H179" s="928">
        <f>(O94/$R94*100*($E94/365))+(O95/$R95*100*($E95/365))</f>
        <v>0</v>
      </c>
      <c r="I179" s="928"/>
      <c r="J179" s="928">
        <f>(P94/$R94*100*($E94/365))+(P95/$R95*100*($E95/365))</f>
        <v>0</v>
      </c>
      <c r="K179" s="928"/>
      <c r="L179" s="928">
        <f>(Q94/$R94*100*($E94/365))+(Q95/$R95*100*($E95/365))</f>
        <v>100</v>
      </c>
      <c r="M179" s="928"/>
      <c r="N179" s="887">
        <f t="shared" si="39"/>
        <v>100</v>
      </c>
      <c r="O179" s="887"/>
      <c r="R179" s="1">
        <v>2003</v>
      </c>
      <c r="S179" s="7">
        <f>(O94*($E94/365))+(O95*($E95/365))</f>
        <v>0</v>
      </c>
      <c r="T179" s="7">
        <f>(P94*($E94/365))+(P95*($E95/365))</f>
        <v>0</v>
      </c>
      <c r="U179" s="7">
        <f>(Q94*($E94/365))+(Q95*($E95/365))</f>
        <v>41.3</v>
      </c>
      <c r="V179" s="7"/>
      <c r="W179" s="7">
        <f t="shared" si="38"/>
        <v>41.3</v>
      </c>
    </row>
    <row r="180" spans="1:23">
      <c r="A180" s="1">
        <v>2004</v>
      </c>
      <c r="B180" s="7">
        <f>(K96*($E96/366))+(K97*($E97/366))</f>
        <v>0</v>
      </c>
      <c r="C180" s="7">
        <f>(L96*($E96/366))+(L97*($E97/366))</f>
        <v>0</v>
      </c>
      <c r="D180" s="7">
        <f>(M96*($E96/366))+(M97*($E97/366))</f>
        <v>100</v>
      </c>
      <c r="E180" s="61">
        <f t="shared" si="37"/>
        <v>100</v>
      </c>
      <c r="G180" s="1">
        <v>2004</v>
      </c>
      <c r="H180" s="928">
        <f>(O96/$R96*100*($E96/366))+(O97/$R97*100*($E97/366))</f>
        <v>0</v>
      </c>
      <c r="I180" s="928"/>
      <c r="J180" s="928">
        <f>(P96/$R96*100*($E96/366))+(P97/$R97*100*($E97/366))</f>
        <v>0</v>
      </c>
      <c r="K180" s="928"/>
      <c r="L180" s="928">
        <f>(Q96/$R96*100*($E96/366))+(Q97/$R97*100*($E97/366))</f>
        <v>100</v>
      </c>
      <c r="M180" s="928"/>
      <c r="N180" s="887">
        <f t="shared" si="39"/>
        <v>100</v>
      </c>
      <c r="O180" s="887"/>
      <c r="R180" s="1">
        <v>2004</v>
      </c>
      <c r="S180" s="7">
        <f>(O96*($E96/366))+(O97*($E97/366))</f>
        <v>0</v>
      </c>
      <c r="T180" s="7">
        <f>(P96*($E96/366))+(P97*($E97/366))</f>
        <v>0</v>
      </c>
      <c r="U180" s="7">
        <f>(Q96*($E96/366))+(Q97*($E97/366))</f>
        <v>41.3</v>
      </c>
      <c r="V180" s="7"/>
      <c r="W180" s="7">
        <f t="shared" si="38"/>
        <v>41.3</v>
      </c>
    </row>
    <row r="181" spans="1:23">
      <c r="A181" s="1">
        <v>2005</v>
      </c>
      <c r="B181" s="7">
        <f>(K98*($E98/365))+(K99*($E99/365))</f>
        <v>0</v>
      </c>
      <c r="C181" s="7">
        <f>(L98*($E98/365))+(L99*($E99/365))</f>
        <v>0</v>
      </c>
      <c r="D181" s="7">
        <f>(M98*($E98/365))+(M99*($E99/365))</f>
        <v>100</v>
      </c>
      <c r="E181" s="61">
        <f t="shared" si="37"/>
        <v>100</v>
      </c>
      <c r="G181" s="1">
        <v>2005</v>
      </c>
      <c r="H181" s="928">
        <f>(O98/$R98*100*($E98/365))+(O99/$R99*100*($E99/365))</f>
        <v>0</v>
      </c>
      <c r="I181" s="928"/>
      <c r="J181" s="928">
        <f>(P98/$R98*100*($E98/365))+(P99/$R99*100*($E99/365))</f>
        <v>0</v>
      </c>
      <c r="K181" s="928"/>
      <c r="L181" s="928">
        <f>(Q98/$R98*100*($E98/365))+(Q99/$R99*100*($E99/365))</f>
        <v>100</v>
      </c>
      <c r="M181" s="928"/>
      <c r="N181" s="887">
        <f t="shared" si="39"/>
        <v>100</v>
      </c>
      <c r="O181" s="887"/>
      <c r="R181" s="1">
        <v>2005</v>
      </c>
      <c r="S181" s="7">
        <f>(O98*($E98/365))+(O99*($E99/365))</f>
        <v>0</v>
      </c>
      <c r="T181" s="7">
        <f>(P98*($E98/365))+(P99*($E99/365))</f>
        <v>0</v>
      </c>
      <c r="U181" s="7">
        <f>(Q98*($E98/365))+(Q99*($E99/365))</f>
        <v>41.3</v>
      </c>
      <c r="V181" s="7"/>
      <c r="W181" s="7">
        <f t="shared" si="38"/>
        <v>41.3</v>
      </c>
    </row>
    <row r="182" spans="1:23">
      <c r="A182" s="1">
        <v>2006</v>
      </c>
      <c r="B182" s="7">
        <f>(K100*($E100/365))+(K101*($E101/365))</f>
        <v>16.43835616438356</v>
      </c>
      <c r="C182" s="7">
        <f>(L100*($E100/365))+(L101*($E101/365))</f>
        <v>7.6712328767123283</v>
      </c>
      <c r="D182" s="7">
        <f>(M100*($E100/365))+(M101*($E101/365))</f>
        <v>75.890410958904113</v>
      </c>
      <c r="E182" s="61">
        <f t="shared" si="37"/>
        <v>100</v>
      </c>
      <c r="G182" s="1">
        <v>2006</v>
      </c>
      <c r="H182" s="928">
        <f>(O100/$R100*100*($E100/365))+(O101/$R101*100*($E101/365))</f>
        <v>16.923986032769271</v>
      </c>
      <c r="I182" s="928"/>
      <c r="J182" s="928">
        <f>(P100/$R100*100*($E100/365))+(P101/$R101*100*($E101/365))</f>
        <v>7.1856030083266189</v>
      </c>
      <c r="K182" s="928"/>
      <c r="L182" s="928">
        <f>(Q100/$R100*100*($E100/365))+(Q101/$R101*100*($E101/365))</f>
        <v>75.890410958904113</v>
      </c>
      <c r="M182" s="928"/>
      <c r="N182" s="887">
        <f t="shared" si="39"/>
        <v>100</v>
      </c>
      <c r="O182" s="887"/>
      <c r="R182" s="1">
        <v>2006</v>
      </c>
      <c r="S182" s="7">
        <f>(O100*($E100/365))+(O101*($E101/365))</f>
        <v>8.6312328767123283</v>
      </c>
      <c r="T182" s="7">
        <f>(P100*($E100/365))+(P101*($E101/365))</f>
        <v>3.6646575342465755</v>
      </c>
      <c r="U182" s="7">
        <f>(Q100*($E100/365))+(Q101*($E101/365))</f>
        <v>31.342739726027396</v>
      </c>
      <c r="V182" s="7"/>
      <c r="W182" s="7">
        <f t="shared" si="38"/>
        <v>43.638630136986301</v>
      </c>
    </row>
    <row r="183" spans="1:23">
      <c r="A183" s="1">
        <v>2007</v>
      </c>
      <c r="B183" s="7">
        <f>(K102*($E102/365))+(K103*($E103/365))</f>
        <v>68.181818181818173</v>
      </c>
      <c r="C183" s="7">
        <f>(L102*($E102/365))+(L103*($E103/365))</f>
        <v>31.818181818181817</v>
      </c>
      <c r="D183" s="7">
        <f>(M102*($E102/365))+(M103*($E103/365))</f>
        <v>0</v>
      </c>
      <c r="E183" s="61">
        <f t="shared" si="37"/>
        <v>99.999999999999986</v>
      </c>
      <c r="G183" s="1">
        <v>2007</v>
      </c>
      <c r="H183" s="928">
        <f>(O102/$R102*100*($E102/365))+(O103/$R103*100*($E103/365))</f>
        <v>70.196078431372541</v>
      </c>
      <c r="I183" s="928"/>
      <c r="J183" s="928">
        <f>(P102/$R102*100*($E102/365))+(P103/$R103*100*($E103/365))</f>
        <v>29.803921568627452</v>
      </c>
      <c r="K183" s="928"/>
      <c r="L183" s="928">
        <f>(Q102/$R102*100*($E102/365))+(Q103/$R103*100*($E103/365))</f>
        <v>0</v>
      </c>
      <c r="M183" s="928"/>
      <c r="N183" s="887">
        <f t="shared" si="39"/>
        <v>100</v>
      </c>
      <c r="O183" s="887"/>
      <c r="R183" s="1">
        <v>2007</v>
      </c>
      <c r="S183" s="7">
        <f>(O102*($E102/365))+(O103*($E103/365))</f>
        <v>35.799999999999997</v>
      </c>
      <c r="T183" s="7">
        <f>(P102*($E102/365))+(P103*($E103/365))</f>
        <v>15.2</v>
      </c>
      <c r="U183" s="7">
        <f>(Q102*($E102/365))+(Q103*($E103/365))</f>
        <v>0</v>
      </c>
      <c r="V183" s="7"/>
      <c r="W183" s="7">
        <f t="shared" si="38"/>
        <v>51</v>
      </c>
    </row>
    <row r="184" spans="1:23">
      <c r="A184" s="1">
        <v>2008</v>
      </c>
      <c r="B184" s="7">
        <f>(K104*($E104/366))+(K105*($E105/366))</f>
        <v>68.181818181818173</v>
      </c>
      <c r="C184" s="7">
        <f>(L104*($E104/366))+(L105*($E105/366))</f>
        <v>31.818181818181817</v>
      </c>
      <c r="D184" s="7">
        <f>(M104*($E104/366))+(M105*($E105/366))</f>
        <v>0</v>
      </c>
      <c r="E184" s="61">
        <f t="shared" si="37"/>
        <v>99.999999999999986</v>
      </c>
      <c r="G184" s="1">
        <v>2008</v>
      </c>
      <c r="H184" s="928">
        <f>(O104/$R104*100*($E104/366))+(O105/$R105*100*($E105/366))</f>
        <v>70.196078431372541</v>
      </c>
      <c r="I184" s="928"/>
      <c r="J184" s="928">
        <f>(P104/$R104*100*($E104/366))+(P105/$R105*100*($E105/366))</f>
        <v>29.803921568627452</v>
      </c>
      <c r="K184" s="928"/>
      <c r="L184" s="928">
        <f>(Q104/$R104*100*($E104/366))+(Q105/$R105*100*($E105/366))</f>
        <v>0</v>
      </c>
      <c r="M184" s="928"/>
      <c r="N184" s="887">
        <f t="shared" si="39"/>
        <v>100</v>
      </c>
      <c r="O184" s="887"/>
      <c r="R184" s="1">
        <v>2008</v>
      </c>
      <c r="S184" s="7">
        <f>(O104*($E104/366))+(O105*($E105/366))</f>
        <v>35.799999999999997</v>
      </c>
      <c r="T184" s="7">
        <f>(P104*($E104/366))+(P105*($E105/366))</f>
        <v>15.2</v>
      </c>
      <c r="U184" s="7">
        <f>(Q104*($E104/366))+(Q105*($E105/366))</f>
        <v>0</v>
      </c>
      <c r="V184" s="7"/>
      <c r="W184" s="7">
        <f t="shared" si="38"/>
        <v>51</v>
      </c>
    </row>
    <row r="185" spans="1:23">
      <c r="A185" s="1">
        <v>2009</v>
      </c>
      <c r="B185" s="7">
        <f>(K106*($E106/365))+(K107*($E107/365))</f>
        <v>68.181818181818173</v>
      </c>
      <c r="C185" s="7">
        <f>(L106*($E106/365))+(L107*($E107/365))</f>
        <v>31.818181818181817</v>
      </c>
      <c r="D185" s="7">
        <f>(M106*($E106/365))+(M107*($E107/365))</f>
        <v>0</v>
      </c>
      <c r="E185" s="61">
        <f t="shared" si="37"/>
        <v>99.999999999999986</v>
      </c>
      <c r="G185" s="1">
        <v>2009</v>
      </c>
      <c r="H185" s="928">
        <f>(O106/$R106*100*($E106/365))+(O107/$R107*100*($E107/365))</f>
        <v>70.196078431372541</v>
      </c>
      <c r="I185" s="928"/>
      <c r="J185" s="928">
        <f>(P106/$R106*100*($E106/365))+(P107/$R107*100*($E107/365))</f>
        <v>29.803921568627452</v>
      </c>
      <c r="K185" s="928"/>
      <c r="L185" s="928">
        <f>(Q106/$R106*100*($E106/365))+(Q107/$R107*100*($E107/365))</f>
        <v>0</v>
      </c>
      <c r="M185" s="928"/>
      <c r="N185" s="887">
        <f t="shared" si="39"/>
        <v>100</v>
      </c>
      <c r="O185" s="887"/>
      <c r="R185" s="1">
        <v>2009</v>
      </c>
      <c r="S185" s="7">
        <f>(O106*($E106/365))+(O107*($E107/365))</f>
        <v>35.799999999999997</v>
      </c>
      <c r="T185" s="7">
        <f>(P106*($E106/365))+(P107*($E107/365))</f>
        <v>15.2</v>
      </c>
      <c r="U185" s="7">
        <f>(Q106*($E106/365))+(Q107*($E107/365))</f>
        <v>0</v>
      </c>
      <c r="V185" s="7"/>
      <c r="W185" s="7">
        <f t="shared" si="38"/>
        <v>51</v>
      </c>
    </row>
    <row r="186" spans="1:23">
      <c r="A186" s="1">
        <v>2010</v>
      </c>
      <c r="B186" s="7">
        <f>(K108*($E108/365))+(K109*($E109/365))</f>
        <v>68.930053964300541</v>
      </c>
      <c r="C186" s="7">
        <f>(L108*($E108/365))+(L109*($E109/365))</f>
        <v>31.069946035699459</v>
      </c>
      <c r="D186" s="7">
        <f>(M108*($E108/365))+(M109*($E109/365))</f>
        <v>0</v>
      </c>
      <c r="E186" s="61">
        <f t="shared" si="37"/>
        <v>100</v>
      </c>
      <c r="G186" s="1">
        <v>2010</v>
      </c>
      <c r="H186" s="928">
        <f>(O108/$R108*100*($E108/365))+(O109/$R109*100*($E109/365))</f>
        <v>71.779279630544224</v>
      </c>
      <c r="I186" s="928"/>
      <c r="J186" s="928">
        <f>(P108/$R108*100*($E108/365))+(P109/$R109*100*($E109/365))</f>
        <v>28.220720369455783</v>
      </c>
      <c r="K186" s="928"/>
      <c r="L186" s="928">
        <f>(Q108/$R108*100*($E108/365))+(Q109/$R109*100*($E109/365))</f>
        <v>0</v>
      </c>
      <c r="M186" s="928"/>
      <c r="N186" s="887">
        <f t="shared" si="39"/>
        <v>100</v>
      </c>
      <c r="O186" s="887"/>
      <c r="R186" s="1">
        <v>2010</v>
      </c>
      <c r="S186" s="7">
        <f>(O108*($E108/365))+(O109*($E109/365))</f>
        <v>36.307945205479449</v>
      </c>
      <c r="T186" s="7">
        <f>(P108*($E108/365))+(P109*($E109/365))</f>
        <v>14.296986301369863</v>
      </c>
      <c r="U186" s="7">
        <f>(Q108*($E108/365))+(Q109*($E109/365))</f>
        <v>0</v>
      </c>
      <c r="V186" s="7"/>
      <c r="W186" s="7">
        <f t="shared" si="38"/>
        <v>50.604931506849312</v>
      </c>
    </row>
    <row r="187" spans="1:23">
      <c r="A187" s="1">
        <v>2011</v>
      </c>
      <c r="B187" s="7">
        <f>(K110*($E110/365))+(K111*($E111/365))</f>
        <v>70.833333333333343</v>
      </c>
      <c r="C187" s="7">
        <f>(L110*($E110/365))+(L111*($E111/365))</f>
        <v>29.166666666666668</v>
      </c>
      <c r="D187" s="7">
        <f>(M110*($E110/365))+(M111*($E111/365))</f>
        <v>0</v>
      </c>
      <c r="E187" s="61">
        <f t="shared" si="37"/>
        <v>100.00000000000001</v>
      </c>
      <c r="G187" s="1">
        <v>2011</v>
      </c>
      <c r="H187" s="928">
        <f>(O110/$R110*100*($E110/365))+(O111/$R111*100*($E111/365))</f>
        <v>75.806451612903231</v>
      </c>
      <c r="I187" s="928"/>
      <c r="J187" s="928">
        <f>(P110/$R110*100*($E110/365))+(P111/$R111*100*($E111/365))</f>
        <v>24.193548387096772</v>
      </c>
      <c r="K187" s="928"/>
      <c r="L187" s="928">
        <f>(Q110/$R110*100*($E110/365))+(Q111/$R111*100*($E111/365))</f>
        <v>0</v>
      </c>
      <c r="M187" s="928"/>
      <c r="N187" s="887">
        <f t="shared" si="39"/>
        <v>100</v>
      </c>
      <c r="O187" s="887"/>
      <c r="R187" s="1">
        <v>2011</v>
      </c>
      <c r="S187" s="7">
        <f>(O110*($E110/365))+(O111*($E111/365))</f>
        <v>37.6</v>
      </c>
      <c r="T187" s="7">
        <f>(P110*($E110/365))+(P111*($E111/365))</f>
        <v>12</v>
      </c>
      <c r="U187" s="7">
        <f>(Q110*($E110/365))+(Q111*($E111/365))</f>
        <v>0</v>
      </c>
      <c r="V187" s="7"/>
      <c r="W187" s="7">
        <f t="shared" si="38"/>
        <v>49.6</v>
      </c>
    </row>
    <row r="188" spans="1:23">
      <c r="A188" s="1">
        <v>2012</v>
      </c>
      <c r="B188" s="7">
        <f>(K112*($E112/366))+(K113*($E113/366))</f>
        <v>70.833333333333343</v>
      </c>
      <c r="C188" s="7">
        <f>(L112*($E112/366))+(L113*($E113/366))</f>
        <v>29.166666666666668</v>
      </c>
      <c r="D188" s="7">
        <f>(M112*($E112/366))+(M113*($E113/366))</f>
        <v>0</v>
      </c>
      <c r="E188" s="61">
        <f t="shared" si="37"/>
        <v>100.00000000000001</v>
      </c>
      <c r="G188" s="1">
        <v>2012</v>
      </c>
      <c r="H188" s="928">
        <f>(O112/$R112*100*($E112/366))+(O113/$R113*100*($E113/366))</f>
        <v>75.806451612903231</v>
      </c>
      <c r="I188" s="928"/>
      <c r="J188" s="928">
        <f>(P112/$R112*100*($E112/366))+(P113/$R113*100*($E113/366))</f>
        <v>24.193548387096772</v>
      </c>
      <c r="K188" s="928"/>
      <c r="L188" s="928">
        <f>(Q112/$R112*100*($E112/366))+(Q113/$R113*100*($E113/366))</f>
        <v>0</v>
      </c>
      <c r="M188" s="928"/>
      <c r="N188" s="887">
        <f t="shared" si="39"/>
        <v>100</v>
      </c>
      <c r="O188" s="887"/>
      <c r="R188" s="1">
        <v>2012</v>
      </c>
      <c r="S188" s="7">
        <f>(O112*($E112/366))+(O113*($E113/366))</f>
        <v>37.6</v>
      </c>
      <c r="T188" s="7">
        <f>(P112*($E112/366))+(P113*($E113/366))</f>
        <v>12</v>
      </c>
      <c r="U188" s="7">
        <f>(Q112*($E112/366))+(Q113*($E113/366))</f>
        <v>0</v>
      </c>
      <c r="V188" s="7"/>
      <c r="W188" s="7">
        <f t="shared" si="38"/>
        <v>49.6</v>
      </c>
    </row>
    <row r="189" spans="1:23">
      <c r="A189" s="1">
        <v>2013</v>
      </c>
      <c r="B189" s="7">
        <f>(K114*($E114/365))+(K115*($E115/365))</f>
        <v>70.833333333333343</v>
      </c>
      <c r="C189" s="7">
        <f>(L114*($E114/365))+(L115*($E115/365))</f>
        <v>29.166666666666668</v>
      </c>
      <c r="D189" s="7">
        <f>(M114*($E114/365))+(M115*($E115/365))</f>
        <v>0</v>
      </c>
      <c r="E189" s="273">
        <f t="shared" si="37"/>
        <v>100.00000000000001</v>
      </c>
      <c r="G189" s="1">
        <v>2013</v>
      </c>
      <c r="H189" s="928">
        <f>(O114/$R114*100*($E114/365))+(O115/$R115*100*($E115/365))</f>
        <v>75.806451612903231</v>
      </c>
      <c r="I189" s="928"/>
      <c r="J189" s="928">
        <f>(P114/$R114*100*($E114/365))+(P115/$R115*100*($E115/365))</f>
        <v>24.193548387096772</v>
      </c>
      <c r="K189" s="928"/>
      <c r="L189" s="928">
        <f>(Q114/$R114*100*($E114/365))+(Q115/$R115*100*($E115/365))</f>
        <v>0</v>
      </c>
      <c r="M189" s="928"/>
      <c r="N189" s="887">
        <f>H189+J189+L189</f>
        <v>100</v>
      </c>
      <c r="O189" s="887"/>
      <c r="R189" s="1">
        <v>2013</v>
      </c>
      <c r="S189" s="7">
        <f>(O114*($E114/365))+(O115*($E115/365))</f>
        <v>37.6</v>
      </c>
      <c r="T189" s="7">
        <f>(P114*($E114/365))+(P115*($E115/365))</f>
        <v>12</v>
      </c>
      <c r="U189" s="7">
        <f>(Q114*($E114/365))+(Q115*($E115/365))</f>
        <v>0</v>
      </c>
      <c r="W189" s="7">
        <f t="shared" si="38"/>
        <v>49.6</v>
      </c>
    </row>
    <row r="190" spans="1:23">
      <c r="A190" s="1">
        <v>2014</v>
      </c>
      <c r="B190" s="7">
        <f>(K116*($E116/365))+(K117*($E117/365))</f>
        <v>53.755707762557087</v>
      </c>
      <c r="C190" s="7">
        <f>(L116*($E116/365))+(L117*($E117/365))</f>
        <v>22.134703196347033</v>
      </c>
      <c r="D190" s="7">
        <f>(M116*($E116/365))+(M117*($E117/365))</f>
        <v>24.109589041095891</v>
      </c>
      <c r="E190" s="547">
        <f>B190+C190+D190</f>
        <v>100</v>
      </c>
      <c r="G190" s="1">
        <v>2014</v>
      </c>
      <c r="H190" s="928">
        <f>(O116/$R116*100*($E116/365))+(O117/$R117*100*($E117/365))</f>
        <v>57.529827662395057</v>
      </c>
      <c r="I190" s="928"/>
      <c r="J190" s="928">
        <f>(P116/$R116*100*($E116/365))+(P117/$R117*100*($E117/365))</f>
        <v>18.360583296509056</v>
      </c>
      <c r="K190" s="928"/>
      <c r="L190" s="928">
        <f>(Q116/$R116*100*($E116/365))+(Q117/$R117*100*($E117/365))</f>
        <v>24.109589041095891</v>
      </c>
      <c r="M190" s="928"/>
      <c r="N190" s="887">
        <f>H190+J190+L190</f>
        <v>100</v>
      </c>
      <c r="O190" s="887"/>
      <c r="R190" s="1">
        <v>2014</v>
      </c>
      <c r="S190" s="7">
        <f>(O116*($E116/365))+(O117*($E117/365))</f>
        <v>28.534794520547948</v>
      </c>
      <c r="T190" s="7">
        <f>(P116*($E116/365))+(P117*($E117/365))</f>
        <v>9.1068493150684926</v>
      </c>
      <c r="U190" s="7">
        <f>(Q116*($E116/365))+(Q117*($E117/365))</f>
        <v>9.5473972602739732</v>
      </c>
      <c r="W190" s="7">
        <f>S190+T190+U190</f>
        <v>47.189041095890417</v>
      </c>
    </row>
    <row r="191" spans="1:23" s="632" customFormat="1">
      <c r="A191" s="632">
        <v>2015</v>
      </c>
      <c r="B191" s="631">
        <f>(K118*($E118/365))+(K119*($E119/365))</f>
        <v>0</v>
      </c>
      <c r="C191" s="631">
        <f>(L118*($E118/365))+(L119*($E119/365))</f>
        <v>0</v>
      </c>
      <c r="D191" s="631">
        <f>(M118*($E118/365))+(M119*($E119/365))</f>
        <v>100</v>
      </c>
      <c r="E191" s="628">
        <f>B191+C191+D191</f>
        <v>100</v>
      </c>
      <c r="G191" s="632">
        <v>2015</v>
      </c>
      <c r="H191" s="928">
        <f>(O118/$R118*100*($E118/365))+(O119/$R119*100*($E119/365))</f>
        <v>0</v>
      </c>
      <c r="I191" s="928"/>
      <c r="J191" s="928">
        <f>(P118/$R118*100*($E118/365))+(P119/$R119*100*($E119/365))</f>
        <v>0</v>
      </c>
      <c r="K191" s="928"/>
      <c r="L191" s="928">
        <f>(Q118/$R118*100*($E118/365))+(Q119/$R119*100*($E119/365))</f>
        <v>100</v>
      </c>
      <c r="M191" s="928"/>
      <c r="N191" s="887">
        <f>H191+J191+L191</f>
        <v>100</v>
      </c>
      <c r="O191" s="887"/>
      <c r="R191" s="632">
        <v>2015</v>
      </c>
      <c r="S191" s="631">
        <f>(O118*($E118/365))+(O119*($E119/365))</f>
        <v>0</v>
      </c>
      <c r="T191" s="631">
        <f>(P118*($E118/365))+(P119*($E119/365))</f>
        <v>0</v>
      </c>
      <c r="U191" s="631">
        <f>(Q118*($E118/365))+(Q119*($E119/365))</f>
        <v>39.6</v>
      </c>
      <c r="W191" s="631">
        <f>S191+T191+U191</f>
        <v>39.6</v>
      </c>
    </row>
    <row r="192" spans="1:23">
      <c r="A192" s="697">
        <v>2016</v>
      </c>
      <c r="B192" s="696">
        <f>(K120*($E120/366))+(K121*($E121/366))</f>
        <v>0</v>
      </c>
      <c r="C192" s="696">
        <f>(L120*($E120/366))+(L121*($E121/366))</f>
        <v>0</v>
      </c>
      <c r="D192" s="696">
        <f>(M120*($E120/366))+(M121*($E121/366))</f>
        <v>100</v>
      </c>
      <c r="E192" s="695">
        <f t="shared" ref="E192" si="40">B192+C192+D192</f>
        <v>100</v>
      </c>
      <c r="F192" s="697"/>
      <c r="G192" s="697">
        <v>2016</v>
      </c>
      <c r="H192" s="928">
        <f>(O120/$R120*100*($E120/366))+(O121/$R121*100*($E121/366))</f>
        <v>0</v>
      </c>
      <c r="I192" s="928"/>
      <c r="J192" s="928">
        <f>(P120/$R120*100*($E120/366))+(P121/$R121*100*($E121/366))</f>
        <v>0</v>
      </c>
      <c r="K192" s="928"/>
      <c r="L192" s="928">
        <f>(Q120/$R120*100*($E120/366))+(Q121/$R121*100*($E121/366))</f>
        <v>100</v>
      </c>
      <c r="M192" s="928"/>
      <c r="N192" s="887">
        <f t="shared" ref="N192" si="41">H192+J192+L192</f>
        <v>100</v>
      </c>
      <c r="O192" s="887"/>
      <c r="P192" s="697"/>
      <c r="Q192" s="697"/>
      <c r="R192" s="697">
        <v>2016</v>
      </c>
      <c r="S192" s="696">
        <f>(O120*($E120/366))+(O121*($E121/366))</f>
        <v>0</v>
      </c>
      <c r="T192" s="696">
        <f>(P120*($E120/366))+(P121*($E121/366))</f>
        <v>0</v>
      </c>
      <c r="U192" s="696">
        <f>(Q120*($E120/366))+(Q121*($E121/366))</f>
        <v>39.6</v>
      </c>
      <c r="V192" s="697"/>
      <c r="W192" s="696">
        <f t="shared" ref="W192" si="42">S192+T192+U192</f>
        <v>39.6</v>
      </c>
    </row>
    <row r="193" spans="1:23">
      <c r="A193" s="749">
        <v>2017</v>
      </c>
      <c r="B193" s="746">
        <f>(K122*($E122/365))+(K123*($E123/365))</f>
        <v>0</v>
      </c>
      <c r="C193" s="746">
        <f t="shared" ref="C193:D193" si="43">(L122*($E122/365))+(L123*($E123/365))</f>
        <v>0</v>
      </c>
      <c r="D193" s="746">
        <f t="shared" si="43"/>
        <v>100</v>
      </c>
      <c r="E193" s="745">
        <f t="shared" ref="E193" si="44">B193+C193+D193</f>
        <v>100</v>
      </c>
      <c r="F193" s="749"/>
      <c r="G193" s="749">
        <v>2017</v>
      </c>
      <c r="H193" s="928">
        <f>(O122/$R122*100*($E122/365))+(O123/$R123*100*($E123/365))</f>
        <v>0</v>
      </c>
      <c r="I193" s="928"/>
      <c r="J193" s="928">
        <f>(P122/$R122*100*($E122/365))+(P123/$R123*100*($E123/365))</f>
        <v>0</v>
      </c>
      <c r="K193" s="928"/>
      <c r="L193" s="928">
        <f>(Q122/$R122*100*($E122/365))+(Q123/$R123*100*($E123/365))</f>
        <v>100</v>
      </c>
      <c r="M193" s="928"/>
      <c r="N193" s="887">
        <f t="shared" ref="N193" si="45">H193+J193+L193</f>
        <v>100</v>
      </c>
      <c r="O193" s="887"/>
      <c r="P193" s="749"/>
      <c r="Q193" s="749"/>
      <c r="R193" s="749">
        <v>2017</v>
      </c>
      <c r="S193" s="746">
        <f>(O122*($E122/365))+(O123*($E123/365))</f>
        <v>0</v>
      </c>
      <c r="T193" s="746">
        <f t="shared" ref="T193:U193" si="46">(P122*($E122/365))+(P123*($E123/365))</f>
        <v>0</v>
      </c>
      <c r="U193" s="746">
        <f t="shared" si="46"/>
        <v>39.6</v>
      </c>
      <c r="V193" s="749"/>
      <c r="W193" s="746">
        <f t="shared" ref="W193" si="47">S193+T193+U193</f>
        <v>39.6</v>
      </c>
    </row>
    <row r="194" spans="1:23">
      <c r="A194" s="775">
        <v>2018</v>
      </c>
      <c r="B194" s="774">
        <f>(K124*($E124/365))+(K125*($E125/365))</f>
        <v>0</v>
      </c>
      <c r="C194" s="774">
        <f>(L124*($E124/365))+(L125*($E125/365))</f>
        <v>0</v>
      </c>
      <c r="D194" s="774">
        <f>(M124*($E124/365))+(M125*($E125/365))</f>
        <v>100</v>
      </c>
      <c r="E194" s="773">
        <f t="shared" ref="E194" si="48">B194+C194+D194</f>
        <v>100</v>
      </c>
      <c r="F194" s="775"/>
      <c r="G194" s="775">
        <v>2018</v>
      </c>
      <c r="H194" s="928">
        <f>(O124/$R124*100*($E124/365))+(O125/$R125*100*($E125/365))</f>
        <v>0</v>
      </c>
      <c r="I194" s="928"/>
      <c r="J194" s="928">
        <f>(P124/$R124*100*($E124/365))+(P125/$R125*100*($E125/365))</f>
        <v>0</v>
      </c>
      <c r="K194" s="928"/>
      <c r="L194" s="928">
        <f>(Q124/$R124*100*($E124/365))+(Q125/$R125*100*($E125/365))</f>
        <v>100</v>
      </c>
      <c r="M194" s="928"/>
      <c r="N194" s="887">
        <f t="shared" ref="N194" si="49">H194+J194+L194</f>
        <v>100</v>
      </c>
      <c r="O194" s="887"/>
      <c r="P194" s="775"/>
      <c r="Q194" s="775"/>
      <c r="R194" s="775">
        <v>2018</v>
      </c>
      <c r="S194" s="774">
        <f>(O124*($E124/365))+(O125*($E125/365))</f>
        <v>0</v>
      </c>
      <c r="T194" s="774">
        <f>(P124*($E124/365))+(P125*($E125/365))</f>
        <v>0</v>
      </c>
      <c r="U194" s="774">
        <f>(Q124*($E124/365))+(Q125*($E125/365))</f>
        <v>39.6</v>
      </c>
      <c r="V194" s="775"/>
      <c r="W194" s="774">
        <f t="shared" ref="W194" si="50">S194+T194+U194</f>
        <v>39.6</v>
      </c>
    </row>
    <row r="195" spans="1:23">
      <c r="A195" s="816">
        <v>2019</v>
      </c>
      <c r="B195" s="815">
        <f>(K126*($E126/365))+(K127*($E127/365))</f>
        <v>0</v>
      </c>
      <c r="C195" s="815">
        <f>(L126*($E126/365))+(L127*($E127/365))</f>
        <v>0</v>
      </c>
      <c r="D195" s="815">
        <f>(M126*($E126/365))+(M127*($E127/365))</f>
        <v>100</v>
      </c>
      <c r="E195" s="811">
        <f t="shared" ref="E195" si="51">B195+C195+D195</f>
        <v>100</v>
      </c>
      <c r="F195" s="816"/>
      <c r="G195" s="816">
        <v>2019</v>
      </c>
      <c r="H195" s="928">
        <f>(O126/$R126*100*($E126/365))+(O127/$R127*100*($E127/365))</f>
        <v>0</v>
      </c>
      <c r="I195" s="928"/>
      <c r="J195" s="928">
        <f>(P126/$R126*100*($E126/365))+(P127/$R127*100*($E127/365))</f>
        <v>0</v>
      </c>
      <c r="K195" s="928"/>
      <c r="L195" s="928">
        <f>(Q126/$R126*100*($E126/365))+(Q127/$R127*100*($E127/365))</f>
        <v>100</v>
      </c>
      <c r="M195" s="928"/>
      <c r="N195" s="887">
        <f t="shared" ref="N195" si="52">H195+J195+L195</f>
        <v>100</v>
      </c>
      <c r="O195" s="887"/>
      <c r="P195" s="816"/>
      <c r="Q195" s="816"/>
      <c r="R195" s="816">
        <v>2019</v>
      </c>
      <c r="S195" s="815">
        <f>(O126*($E126/365))+(O127*($E127/365))</f>
        <v>0</v>
      </c>
      <c r="T195" s="815">
        <f>(P126*($E126/365))+(P127*($E127/365))</f>
        <v>0</v>
      </c>
      <c r="U195" s="815">
        <f>(Q126*($E126/365))+(Q127*($E127/365))</f>
        <v>33.58575342465754</v>
      </c>
      <c r="V195" s="816"/>
      <c r="W195" s="815">
        <f t="shared" ref="W195" si="53">S195+T195+U195</f>
        <v>33.58575342465754</v>
      </c>
    </row>
    <row r="196" spans="1:23">
      <c r="A196" s="816"/>
      <c r="G196" s="816"/>
      <c r="P196" s="816"/>
      <c r="Q196" s="816"/>
      <c r="R196" s="816"/>
    </row>
  </sheetData>
  <mergeCells count="392">
    <mergeCell ref="C125:D125"/>
    <mergeCell ref="C126:D126"/>
    <mergeCell ref="C127:D127"/>
    <mergeCell ref="H195:I195"/>
    <mergeCell ref="J195:K195"/>
    <mergeCell ref="L195:M195"/>
    <mergeCell ref="N195:O195"/>
    <mergeCell ref="H193:I193"/>
    <mergeCell ref="J193:K193"/>
    <mergeCell ref="L193:M193"/>
    <mergeCell ref="N193:O193"/>
    <mergeCell ref="H190:I190"/>
    <mergeCell ref="J190:K190"/>
    <mergeCell ref="L190:M190"/>
    <mergeCell ref="N190:O190"/>
    <mergeCell ref="H140:I140"/>
    <mergeCell ref="J140:K140"/>
    <mergeCell ref="L140:M140"/>
    <mergeCell ref="N140:O140"/>
    <mergeCell ref="H143:I143"/>
    <mergeCell ref="J143:K143"/>
    <mergeCell ref="L143:M143"/>
    <mergeCell ref="N143:O143"/>
    <mergeCell ref="H144:I144"/>
    <mergeCell ref="H137:I137"/>
    <mergeCell ref="H139:I139"/>
    <mergeCell ref="J139:K139"/>
    <mergeCell ref="L139:M139"/>
    <mergeCell ref="N139:O139"/>
    <mergeCell ref="J137:K137"/>
    <mergeCell ref="L137:M137"/>
    <mergeCell ref="N137:O137"/>
    <mergeCell ref="H138:I138"/>
    <mergeCell ref="J138:K138"/>
    <mergeCell ref="L138:M138"/>
    <mergeCell ref="N138:O138"/>
    <mergeCell ref="C110:D110"/>
    <mergeCell ref="C103:D103"/>
    <mergeCell ref="C104:D104"/>
    <mergeCell ref="C111:D111"/>
    <mergeCell ref="C112:D112"/>
    <mergeCell ref="C113:D113"/>
    <mergeCell ref="C105:D105"/>
    <mergeCell ref="C106:D106"/>
    <mergeCell ref="C107:D107"/>
    <mergeCell ref="C108:D108"/>
    <mergeCell ref="C114:D114"/>
    <mergeCell ref="C115:D115"/>
    <mergeCell ref="C119:D119"/>
    <mergeCell ref="C118:D118"/>
    <mergeCell ref="C122:D122"/>
    <mergeCell ref="C123:D123"/>
    <mergeCell ref="C120:D120"/>
    <mergeCell ref="C121:D121"/>
    <mergeCell ref="C124:D124"/>
    <mergeCell ref="C116:D116"/>
    <mergeCell ref="C117:D117"/>
    <mergeCell ref="C94:D94"/>
    <mergeCell ref="C95:D95"/>
    <mergeCell ref="C96:D96"/>
    <mergeCell ref="C109:D109"/>
    <mergeCell ref="C97:D97"/>
    <mergeCell ref="C98:D98"/>
    <mergeCell ref="C99:D99"/>
    <mergeCell ref="C100:D100"/>
    <mergeCell ref="C101:D101"/>
    <mergeCell ref="C102:D102"/>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0:D40"/>
    <mergeCell ref="C41:D41"/>
    <mergeCell ref="C42:D42"/>
    <mergeCell ref="C43:D43"/>
    <mergeCell ref="C44:D44"/>
    <mergeCell ref="C45:D45"/>
    <mergeCell ref="C46:D46"/>
    <mergeCell ref="C47:D47"/>
    <mergeCell ref="C48:D48"/>
    <mergeCell ref="C31:D31"/>
    <mergeCell ref="C32:D32"/>
    <mergeCell ref="C33:D33"/>
    <mergeCell ref="C34:D34"/>
    <mergeCell ref="C35:D35"/>
    <mergeCell ref="C36:D36"/>
    <mergeCell ref="C37:D37"/>
    <mergeCell ref="C38:D38"/>
    <mergeCell ref="C39:D39"/>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32:W132"/>
    <mergeCell ref="H134:I134"/>
    <mergeCell ref="J134:K134"/>
    <mergeCell ref="L134:M134"/>
    <mergeCell ref="N134:O134"/>
    <mergeCell ref="H136:I136"/>
    <mergeCell ref="J136:K136"/>
    <mergeCell ref="L136:M136"/>
    <mergeCell ref="N136:O136"/>
    <mergeCell ref="H135:I135"/>
    <mergeCell ref="J135:K135"/>
    <mergeCell ref="L135:M135"/>
    <mergeCell ref="N135:O135"/>
    <mergeCell ref="L144:M144"/>
    <mergeCell ref="N144:O144"/>
    <mergeCell ref="H141:I141"/>
    <mergeCell ref="J141:K141"/>
    <mergeCell ref="L141:M141"/>
    <mergeCell ref="N141:O141"/>
    <mergeCell ref="H142:I142"/>
    <mergeCell ref="J142:K142"/>
    <mergeCell ref="L142:M142"/>
    <mergeCell ref="N142:O142"/>
    <mergeCell ref="J144:K144"/>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61:I161"/>
    <mergeCell ref="J161:K161"/>
    <mergeCell ref="L161:M161"/>
    <mergeCell ref="N161:O161"/>
    <mergeCell ref="H162:I162"/>
    <mergeCell ref="J162:K162"/>
    <mergeCell ref="L162:M162"/>
    <mergeCell ref="N162:O162"/>
    <mergeCell ref="J164:K164"/>
    <mergeCell ref="L164:M164"/>
    <mergeCell ref="N164:O164"/>
    <mergeCell ref="H163:I163"/>
    <mergeCell ref="J163:K163"/>
    <mergeCell ref="L163:M163"/>
    <mergeCell ref="N163:O163"/>
    <mergeCell ref="H164:I164"/>
    <mergeCell ref="H172:I172"/>
    <mergeCell ref="H173:I173"/>
    <mergeCell ref="H174:I174"/>
    <mergeCell ref="J169:K169"/>
    <mergeCell ref="J170:K170"/>
    <mergeCell ref="J166:K166"/>
    <mergeCell ref="J167:K167"/>
    <mergeCell ref="J168:K168"/>
    <mergeCell ref="H166:I166"/>
    <mergeCell ref="H167:I167"/>
    <mergeCell ref="H168:I168"/>
    <mergeCell ref="H169:I169"/>
    <mergeCell ref="H170:I170"/>
    <mergeCell ref="J173:K173"/>
    <mergeCell ref="J175:K175"/>
    <mergeCell ref="J176:K176"/>
    <mergeCell ref="J177:K177"/>
    <mergeCell ref="J178:K178"/>
    <mergeCell ref="J179:K179"/>
    <mergeCell ref="J180:K180"/>
    <mergeCell ref="J174:K174"/>
    <mergeCell ref="H178:I178"/>
    <mergeCell ref="H180:I180"/>
    <mergeCell ref="AT4:AW4"/>
    <mergeCell ref="AX4:BA4"/>
    <mergeCell ref="N166:O166"/>
    <mergeCell ref="N167:O167"/>
    <mergeCell ref="N168:O168"/>
    <mergeCell ref="L178:M178"/>
    <mergeCell ref="L179:M179"/>
    <mergeCell ref="L180:M180"/>
    <mergeCell ref="L181:M181"/>
    <mergeCell ref="L172:M172"/>
    <mergeCell ref="L173:M173"/>
    <mergeCell ref="L174:M174"/>
    <mergeCell ref="L175:M175"/>
    <mergeCell ref="L176:M176"/>
    <mergeCell ref="L177:M177"/>
    <mergeCell ref="N171:O171"/>
    <mergeCell ref="N172:O172"/>
    <mergeCell ref="N173:O173"/>
    <mergeCell ref="N174:O174"/>
    <mergeCell ref="L166:M166"/>
    <mergeCell ref="L167:M167"/>
    <mergeCell ref="L168:M168"/>
    <mergeCell ref="L169:M169"/>
    <mergeCell ref="L165:M165"/>
    <mergeCell ref="H189:I189"/>
    <mergeCell ref="J189:K189"/>
    <mergeCell ref="L189:M189"/>
    <mergeCell ref="N187:O187"/>
    <mergeCell ref="N188:O188"/>
    <mergeCell ref="N181:O181"/>
    <mergeCell ref="N182:O182"/>
    <mergeCell ref="N183:O183"/>
    <mergeCell ref="N184:O184"/>
    <mergeCell ref="N185:O185"/>
    <mergeCell ref="N186:O186"/>
    <mergeCell ref="L185:M185"/>
    <mergeCell ref="J181:K181"/>
    <mergeCell ref="H181:I181"/>
    <mergeCell ref="L187:M187"/>
    <mergeCell ref="L188:M188"/>
    <mergeCell ref="H184:I184"/>
    <mergeCell ref="J182:K182"/>
    <mergeCell ref="J183:K183"/>
    <mergeCell ref="H194:I194"/>
    <mergeCell ref="J194:K194"/>
    <mergeCell ref="L194:M194"/>
    <mergeCell ref="N194:O194"/>
    <mergeCell ref="H192:I192"/>
    <mergeCell ref="J192:K192"/>
    <mergeCell ref="L192:M192"/>
    <mergeCell ref="N192:O192"/>
    <mergeCell ref="H175:I175"/>
    <mergeCell ref="H176:I176"/>
    <mergeCell ref="H177:I177"/>
    <mergeCell ref="H179:I179"/>
    <mergeCell ref="H191:I191"/>
    <mergeCell ref="J191:K191"/>
    <mergeCell ref="L191:M191"/>
    <mergeCell ref="N191:O191"/>
    <mergeCell ref="N189:O189"/>
    <mergeCell ref="N175:O175"/>
    <mergeCell ref="N176:O176"/>
    <mergeCell ref="N177:O177"/>
    <mergeCell ref="N178:O178"/>
    <mergeCell ref="N179:O179"/>
    <mergeCell ref="N180:O180"/>
    <mergeCell ref="H185:I185"/>
    <mergeCell ref="H165:I165"/>
    <mergeCell ref="J165:K165"/>
    <mergeCell ref="N165:O165"/>
    <mergeCell ref="H188:I188"/>
    <mergeCell ref="H182:I182"/>
    <mergeCell ref="H183:I183"/>
    <mergeCell ref="J187:K187"/>
    <mergeCell ref="J188:K188"/>
    <mergeCell ref="J184:K184"/>
    <mergeCell ref="J185:K185"/>
    <mergeCell ref="J186:K186"/>
    <mergeCell ref="H186:I186"/>
    <mergeCell ref="H187:I187"/>
    <mergeCell ref="L186:M186"/>
    <mergeCell ref="N169:O169"/>
    <mergeCell ref="N170:O170"/>
    <mergeCell ref="L184:M184"/>
    <mergeCell ref="L171:M171"/>
    <mergeCell ref="L170:M170"/>
    <mergeCell ref="L182:M182"/>
    <mergeCell ref="L183:M183"/>
    <mergeCell ref="H171:I171"/>
    <mergeCell ref="J171:K171"/>
    <mergeCell ref="J172:K17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A196"/>
  <sheetViews>
    <sheetView zoomScale="179" zoomScaleNormal="120" workbookViewId="0">
      <pane xSplit="1" ySplit="5" topLeftCell="B103" activePane="bottomRight" state="frozen"/>
      <selection pane="topRight" activeCell="B1" sqref="B1"/>
      <selection pane="bottomLeft" activeCell="A6" sqref="A6"/>
      <selection pane="bottomRight" activeCell="R132" sqref="R132:W132"/>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69</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1239</v>
      </c>
      <c r="D6" s="925"/>
      <c r="E6" s="227">
        <v>350</v>
      </c>
      <c r="G6" s="235">
        <v>4</v>
      </c>
      <c r="H6" s="227">
        <v>3</v>
      </c>
      <c r="J6" s="242">
        <v>7</v>
      </c>
      <c r="K6" s="218">
        <f t="shared" ref="K6:M7" si="0">G6/$J6*100</f>
        <v>57.142857142857139</v>
      </c>
      <c r="L6" s="218">
        <f t="shared" si="0"/>
        <v>42.857142857142854</v>
      </c>
      <c r="M6" s="218">
        <f t="shared" si="0"/>
        <v>0</v>
      </c>
      <c r="N6" s="237">
        <f>K6+L6+M6</f>
        <v>100</v>
      </c>
      <c r="O6" s="217">
        <f>Y6+AG6</f>
        <v>36.700000000000003</v>
      </c>
      <c r="P6" s="218">
        <v>24</v>
      </c>
      <c r="Q6" s="218"/>
      <c r="R6" s="219">
        <f>O6+P6+Q6</f>
        <v>60.7</v>
      </c>
      <c r="S6" s="227">
        <v>2</v>
      </c>
      <c r="T6" s="870"/>
      <c r="U6" s="853"/>
      <c r="V6" s="226" t="s">
        <v>132</v>
      </c>
      <c r="W6" s="227" t="s">
        <v>22</v>
      </c>
      <c r="X6" s="227" t="s">
        <v>11</v>
      </c>
      <c r="Y6" s="228">
        <v>25.5</v>
      </c>
      <c r="Z6" s="227" t="s">
        <v>81</v>
      </c>
      <c r="AA6" s="227" t="s">
        <v>17</v>
      </c>
      <c r="AB6" s="227" t="s">
        <v>18</v>
      </c>
      <c r="AC6" s="228">
        <v>24</v>
      </c>
      <c r="AD6" s="227" t="s">
        <v>331</v>
      </c>
      <c r="AE6" s="227" t="s">
        <v>75</v>
      </c>
      <c r="AF6" s="227" t="s">
        <v>11</v>
      </c>
      <c r="AG6" s="228">
        <v>11.2</v>
      </c>
      <c r="AL6" s="226"/>
      <c r="AO6" s="228"/>
      <c r="AP6" s="226"/>
      <c r="AS6" s="228"/>
      <c r="AW6" s="228"/>
      <c r="BA6" s="229"/>
    </row>
    <row r="7" spans="1:53" s="227" customFormat="1">
      <c r="A7" s="233">
        <v>1959</v>
      </c>
      <c r="B7" s="853">
        <v>21901</v>
      </c>
      <c r="C7" s="925" t="s">
        <v>452</v>
      </c>
      <c r="D7" s="925"/>
      <c r="E7" s="227">
        <f>365-E6</f>
        <v>15</v>
      </c>
      <c r="F7" s="227">
        <v>1</v>
      </c>
      <c r="G7" s="235">
        <v>3</v>
      </c>
      <c r="H7" s="227">
        <v>2</v>
      </c>
      <c r="I7" s="227">
        <v>2</v>
      </c>
      <c r="J7" s="242">
        <v>7</v>
      </c>
      <c r="K7" s="218">
        <f t="shared" si="0"/>
        <v>42.857142857142854</v>
      </c>
      <c r="L7" s="218">
        <f t="shared" si="0"/>
        <v>28.571428571428569</v>
      </c>
      <c r="M7" s="218">
        <f t="shared" si="0"/>
        <v>28.571428571428569</v>
      </c>
      <c r="N7" s="237">
        <f>K7+L7+M7</f>
        <v>99.999999999999986</v>
      </c>
      <c r="O7" s="217">
        <v>37.700000000000003</v>
      </c>
      <c r="P7" s="218">
        <v>24</v>
      </c>
      <c r="Q7" s="218">
        <v>26</v>
      </c>
      <c r="R7" s="219">
        <f>O7+P7+Q7</f>
        <v>87.7</v>
      </c>
      <c r="S7" s="248">
        <v>3</v>
      </c>
      <c r="T7" s="853">
        <v>21848</v>
      </c>
      <c r="U7" s="854">
        <v>21901</v>
      </c>
      <c r="V7" s="226" t="s">
        <v>132</v>
      </c>
      <c r="W7" s="227" t="s">
        <v>22</v>
      </c>
      <c r="X7" s="227" t="s">
        <v>11</v>
      </c>
      <c r="Y7" s="228">
        <v>26</v>
      </c>
      <c r="Z7" s="227" t="s">
        <v>81</v>
      </c>
      <c r="AA7" s="227" t="s">
        <v>17</v>
      </c>
      <c r="AB7" s="227" t="s">
        <v>18</v>
      </c>
      <c r="AC7" s="227">
        <v>24</v>
      </c>
      <c r="AD7" s="226" t="s">
        <v>457</v>
      </c>
      <c r="AE7" s="227" t="s">
        <v>20</v>
      </c>
      <c r="AF7" s="227" t="s">
        <v>12</v>
      </c>
      <c r="AG7" s="228">
        <v>26</v>
      </c>
      <c r="AH7" s="227" t="s">
        <v>331</v>
      </c>
      <c r="AI7" s="227" t="s">
        <v>75</v>
      </c>
      <c r="AJ7" s="227" t="s">
        <v>11</v>
      </c>
      <c r="AK7" s="227">
        <v>11.7</v>
      </c>
      <c r="AL7" s="226"/>
      <c r="AO7" s="228"/>
      <c r="AP7" s="226"/>
      <c r="AS7" s="228"/>
      <c r="AW7" s="228"/>
      <c r="BA7" s="229"/>
    </row>
    <row r="8" spans="1:53" s="185" customFormat="1">
      <c r="A8" s="101">
        <v>1960</v>
      </c>
      <c r="B8" s="852"/>
      <c r="C8" s="917" t="s">
        <v>452</v>
      </c>
      <c r="D8" s="917"/>
      <c r="E8" s="185">
        <v>0</v>
      </c>
      <c r="G8" s="119">
        <v>3</v>
      </c>
      <c r="H8" s="185">
        <v>2</v>
      </c>
      <c r="I8" s="185">
        <v>2</v>
      </c>
      <c r="J8" s="126">
        <v>7</v>
      </c>
      <c r="K8" s="92">
        <f t="shared" ref="K8:M23" si="1">G8/$J8*100</f>
        <v>42.857142857142854</v>
      </c>
      <c r="L8" s="92">
        <f t="shared" si="1"/>
        <v>28.571428571428569</v>
      </c>
      <c r="M8" s="92">
        <f t="shared" si="1"/>
        <v>28.571428571428569</v>
      </c>
      <c r="N8" s="121">
        <f>K8+L8+M8</f>
        <v>99.999999999999986</v>
      </c>
      <c r="O8" s="91">
        <v>37.700000000000003</v>
      </c>
      <c r="P8" s="92">
        <v>24</v>
      </c>
      <c r="Q8" s="92">
        <v>26</v>
      </c>
      <c r="R8" s="93">
        <f>O8+P8+Q8</f>
        <v>87.7</v>
      </c>
      <c r="S8" s="185">
        <v>3</v>
      </c>
      <c r="T8" s="839"/>
      <c r="U8" s="852"/>
      <c r="V8" s="82" t="s">
        <v>132</v>
      </c>
      <c r="W8" s="185" t="s">
        <v>22</v>
      </c>
      <c r="X8" s="185" t="s">
        <v>11</v>
      </c>
      <c r="Y8" s="83">
        <v>26</v>
      </c>
      <c r="Z8" s="185" t="s">
        <v>81</v>
      </c>
      <c r="AA8" s="185" t="s">
        <v>17</v>
      </c>
      <c r="AB8" s="185" t="s">
        <v>18</v>
      </c>
      <c r="AC8" s="185">
        <v>24</v>
      </c>
      <c r="AD8" s="82" t="s">
        <v>457</v>
      </c>
      <c r="AE8" s="185" t="s">
        <v>20</v>
      </c>
      <c r="AF8" s="185" t="s">
        <v>12</v>
      </c>
      <c r="AG8" s="83">
        <v>26</v>
      </c>
      <c r="AH8" s="185" t="s">
        <v>331</v>
      </c>
      <c r="AI8" s="185" t="s">
        <v>75</v>
      </c>
      <c r="AJ8" s="185" t="s">
        <v>11</v>
      </c>
      <c r="AK8" s="185">
        <v>11.7</v>
      </c>
      <c r="AL8" s="82"/>
      <c r="AO8" s="83"/>
      <c r="AP8" s="82"/>
      <c r="AS8" s="83"/>
      <c r="AW8" s="83"/>
      <c r="BA8" s="84"/>
    </row>
    <row r="9" spans="1:53" s="185" customFormat="1">
      <c r="A9" s="101">
        <v>1960</v>
      </c>
      <c r="B9" s="852"/>
      <c r="C9" s="917" t="s">
        <v>451</v>
      </c>
      <c r="D9" s="917"/>
      <c r="E9" s="185">
        <v>366</v>
      </c>
      <c r="F9" s="185">
        <v>1</v>
      </c>
      <c r="G9" s="119">
        <v>3</v>
      </c>
      <c r="H9" s="185">
        <v>2</v>
      </c>
      <c r="I9" s="185">
        <v>2</v>
      </c>
      <c r="J9" s="126">
        <v>7</v>
      </c>
      <c r="K9" s="92">
        <f t="shared" si="1"/>
        <v>42.857142857142854</v>
      </c>
      <c r="L9" s="92">
        <f t="shared" si="1"/>
        <v>28.571428571428569</v>
      </c>
      <c r="M9" s="92">
        <f t="shared" si="1"/>
        <v>28.571428571428569</v>
      </c>
      <c r="N9" s="121">
        <f>K9+L9+M9</f>
        <v>99.999999999999986</v>
      </c>
      <c r="O9" s="91">
        <v>37.700000000000003</v>
      </c>
      <c r="P9" s="92">
        <v>24</v>
      </c>
      <c r="Q9" s="92">
        <v>26</v>
      </c>
      <c r="R9" s="93">
        <f t="shared" ref="R9:R67" si="2">O9+P9+Q9</f>
        <v>87.7</v>
      </c>
      <c r="S9" s="185">
        <v>3</v>
      </c>
      <c r="T9" s="839"/>
      <c r="U9" s="852"/>
      <c r="V9" s="82" t="s">
        <v>132</v>
      </c>
      <c r="W9" s="185" t="s">
        <v>22</v>
      </c>
      <c r="X9" s="185" t="s">
        <v>11</v>
      </c>
      <c r="Y9" s="83">
        <v>26</v>
      </c>
      <c r="Z9" s="185" t="s">
        <v>81</v>
      </c>
      <c r="AA9" s="185" t="s">
        <v>17</v>
      </c>
      <c r="AB9" s="185" t="s">
        <v>18</v>
      </c>
      <c r="AC9" s="185">
        <v>24</v>
      </c>
      <c r="AD9" s="82" t="s">
        <v>457</v>
      </c>
      <c r="AE9" s="185" t="s">
        <v>20</v>
      </c>
      <c r="AF9" s="185" t="s">
        <v>12</v>
      </c>
      <c r="AG9" s="83">
        <v>26</v>
      </c>
      <c r="AH9" s="185" t="s">
        <v>331</v>
      </c>
      <c r="AI9" s="185" t="s">
        <v>75</v>
      </c>
      <c r="AJ9" s="185" t="s">
        <v>11</v>
      </c>
      <c r="AK9" s="185">
        <v>11.7</v>
      </c>
      <c r="AL9" s="82"/>
      <c r="AO9" s="83"/>
      <c r="AP9" s="82"/>
      <c r="AS9" s="83"/>
      <c r="AW9" s="83"/>
      <c r="BA9" s="84"/>
    </row>
    <row r="10" spans="1:53" s="185" customFormat="1">
      <c r="A10" s="101">
        <v>1961</v>
      </c>
      <c r="B10" s="852"/>
      <c r="C10" s="917" t="s">
        <v>451</v>
      </c>
      <c r="D10" s="917"/>
      <c r="E10" s="185">
        <v>0</v>
      </c>
      <c r="G10" s="119">
        <v>3</v>
      </c>
      <c r="H10" s="185">
        <v>2</v>
      </c>
      <c r="I10" s="185">
        <v>2</v>
      </c>
      <c r="J10" s="126">
        <v>7</v>
      </c>
      <c r="K10" s="92">
        <f t="shared" si="1"/>
        <v>42.857142857142854</v>
      </c>
      <c r="L10" s="92">
        <f t="shared" si="1"/>
        <v>28.571428571428569</v>
      </c>
      <c r="M10" s="92">
        <f t="shared" si="1"/>
        <v>28.571428571428569</v>
      </c>
      <c r="N10" s="121">
        <f t="shared" ref="N10:N73" si="3">K10+L10+M10</f>
        <v>99.999999999999986</v>
      </c>
      <c r="O10" s="91">
        <v>37.700000000000003</v>
      </c>
      <c r="P10" s="92">
        <v>24</v>
      </c>
      <c r="Q10" s="92">
        <v>26</v>
      </c>
      <c r="R10" s="93">
        <f t="shared" si="2"/>
        <v>87.7</v>
      </c>
      <c r="S10" s="185">
        <v>3</v>
      </c>
      <c r="T10" s="839"/>
      <c r="U10" s="852"/>
      <c r="V10" s="82" t="s">
        <v>132</v>
      </c>
      <c r="W10" s="185" t="s">
        <v>22</v>
      </c>
      <c r="X10" s="185" t="s">
        <v>11</v>
      </c>
      <c r="Y10" s="83">
        <v>26</v>
      </c>
      <c r="Z10" s="185" t="s">
        <v>81</v>
      </c>
      <c r="AA10" s="185" t="s">
        <v>17</v>
      </c>
      <c r="AB10" s="185" t="s">
        <v>18</v>
      </c>
      <c r="AC10" s="185">
        <v>24</v>
      </c>
      <c r="AD10" s="82" t="s">
        <v>457</v>
      </c>
      <c r="AE10" s="185" t="s">
        <v>20</v>
      </c>
      <c r="AF10" s="185" t="s">
        <v>12</v>
      </c>
      <c r="AG10" s="83">
        <v>26</v>
      </c>
      <c r="AH10" s="185" t="s">
        <v>331</v>
      </c>
      <c r="AI10" s="185" t="s">
        <v>75</v>
      </c>
      <c r="AJ10" s="185" t="s">
        <v>11</v>
      </c>
      <c r="AK10" s="185">
        <v>11.7</v>
      </c>
      <c r="AL10" s="82"/>
      <c r="AO10" s="83"/>
      <c r="AP10" s="82"/>
      <c r="AS10" s="83"/>
      <c r="AW10" s="83"/>
      <c r="BA10" s="84"/>
    </row>
    <row r="11" spans="1:53" s="185" customFormat="1">
      <c r="A11" s="101">
        <v>1961</v>
      </c>
      <c r="B11" s="852"/>
      <c r="C11" s="917" t="s">
        <v>419</v>
      </c>
      <c r="D11" s="917"/>
      <c r="E11" s="185">
        <v>365</v>
      </c>
      <c r="F11" s="185">
        <v>1</v>
      </c>
      <c r="G11" s="119">
        <v>3</v>
      </c>
      <c r="H11" s="185">
        <v>2</v>
      </c>
      <c r="I11" s="185">
        <v>2</v>
      </c>
      <c r="J11" s="126">
        <v>7</v>
      </c>
      <c r="K11" s="92">
        <f t="shared" si="1"/>
        <v>42.857142857142854</v>
      </c>
      <c r="L11" s="92">
        <f t="shared" si="1"/>
        <v>28.571428571428569</v>
      </c>
      <c r="M11" s="92">
        <f t="shared" si="1"/>
        <v>28.571428571428569</v>
      </c>
      <c r="N11" s="121">
        <f t="shared" si="3"/>
        <v>99.999999999999986</v>
      </c>
      <c r="O11" s="91">
        <v>37.700000000000003</v>
      </c>
      <c r="P11" s="92">
        <v>24</v>
      </c>
      <c r="Q11" s="92">
        <v>26</v>
      </c>
      <c r="R11" s="93">
        <f t="shared" si="2"/>
        <v>87.7</v>
      </c>
      <c r="S11" s="185">
        <v>3</v>
      </c>
      <c r="T11" s="839"/>
      <c r="U11" s="852"/>
      <c r="V11" s="82" t="s">
        <v>132</v>
      </c>
      <c r="W11" s="185" t="s">
        <v>22</v>
      </c>
      <c r="X11" s="185" t="s">
        <v>11</v>
      </c>
      <c r="Y11" s="83">
        <v>26</v>
      </c>
      <c r="Z11" s="185" t="s">
        <v>81</v>
      </c>
      <c r="AA11" s="185" t="s">
        <v>17</v>
      </c>
      <c r="AB11" s="185" t="s">
        <v>18</v>
      </c>
      <c r="AC11" s="185">
        <v>24</v>
      </c>
      <c r="AD11" s="82" t="s">
        <v>457</v>
      </c>
      <c r="AE11" s="185" t="s">
        <v>20</v>
      </c>
      <c r="AF11" s="185" t="s">
        <v>12</v>
      </c>
      <c r="AG11" s="83">
        <v>26</v>
      </c>
      <c r="AH11" s="185" t="s">
        <v>331</v>
      </c>
      <c r="AI11" s="185" t="s">
        <v>75</v>
      </c>
      <c r="AJ11" s="185" t="s">
        <v>11</v>
      </c>
      <c r="AK11" s="185">
        <v>11.7</v>
      </c>
      <c r="AL11" s="82"/>
      <c r="AO11" s="83"/>
      <c r="AP11" s="82"/>
      <c r="AS11" s="83"/>
      <c r="AW11" s="83"/>
      <c r="BA11" s="84"/>
    </row>
    <row r="12" spans="1:53" s="185" customFormat="1">
      <c r="A12" s="101">
        <v>1962</v>
      </c>
      <c r="B12" s="852"/>
      <c r="C12" s="917" t="s">
        <v>419</v>
      </c>
      <c r="D12" s="917"/>
      <c r="E12" s="185">
        <v>0</v>
      </c>
      <c r="G12" s="119">
        <v>3</v>
      </c>
      <c r="H12" s="185">
        <v>2</v>
      </c>
      <c r="I12" s="185">
        <v>2</v>
      </c>
      <c r="J12" s="126">
        <v>7</v>
      </c>
      <c r="K12" s="92">
        <f t="shared" si="1"/>
        <v>42.857142857142854</v>
      </c>
      <c r="L12" s="92">
        <f t="shared" si="1"/>
        <v>28.571428571428569</v>
      </c>
      <c r="M12" s="92">
        <f t="shared" si="1"/>
        <v>28.571428571428569</v>
      </c>
      <c r="N12" s="121">
        <f t="shared" si="3"/>
        <v>99.999999999999986</v>
      </c>
      <c r="O12" s="91">
        <v>37.700000000000003</v>
      </c>
      <c r="P12" s="92">
        <v>24</v>
      </c>
      <c r="Q12" s="92">
        <v>26</v>
      </c>
      <c r="R12" s="93">
        <f t="shared" si="2"/>
        <v>87.7</v>
      </c>
      <c r="S12" s="185">
        <v>3</v>
      </c>
      <c r="T12" s="839"/>
      <c r="U12" s="852"/>
      <c r="V12" s="82" t="s">
        <v>132</v>
      </c>
      <c r="W12" s="185" t="s">
        <v>22</v>
      </c>
      <c r="X12" s="185" t="s">
        <v>11</v>
      </c>
      <c r="Y12" s="83">
        <v>26</v>
      </c>
      <c r="Z12" s="185" t="s">
        <v>81</v>
      </c>
      <c r="AA12" s="185" t="s">
        <v>17</v>
      </c>
      <c r="AB12" s="185" t="s">
        <v>18</v>
      </c>
      <c r="AC12" s="185">
        <v>24</v>
      </c>
      <c r="AD12" s="82" t="s">
        <v>457</v>
      </c>
      <c r="AE12" s="185" t="s">
        <v>20</v>
      </c>
      <c r="AF12" s="185" t="s">
        <v>12</v>
      </c>
      <c r="AG12" s="83">
        <v>26</v>
      </c>
      <c r="AH12" s="185" t="s">
        <v>331</v>
      </c>
      <c r="AI12" s="185" t="s">
        <v>75</v>
      </c>
      <c r="AJ12" s="185" t="s">
        <v>11</v>
      </c>
      <c r="AK12" s="185">
        <v>11.7</v>
      </c>
      <c r="AL12" s="82"/>
      <c r="AO12" s="83"/>
      <c r="AP12" s="82"/>
      <c r="AS12" s="83"/>
      <c r="AW12" s="83"/>
      <c r="BA12" s="84"/>
    </row>
    <row r="13" spans="1:53" s="185" customFormat="1">
      <c r="A13" s="101">
        <v>1962</v>
      </c>
      <c r="B13" s="852"/>
      <c r="C13" s="917" t="s">
        <v>815</v>
      </c>
      <c r="D13" s="917"/>
      <c r="E13" s="185">
        <v>365</v>
      </c>
      <c r="F13" s="185">
        <v>1</v>
      </c>
      <c r="G13" s="119">
        <v>3</v>
      </c>
      <c r="H13" s="185">
        <v>2</v>
      </c>
      <c r="I13" s="185">
        <v>2</v>
      </c>
      <c r="J13" s="126">
        <v>7</v>
      </c>
      <c r="K13" s="92">
        <f t="shared" si="1"/>
        <v>42.857142857142854</v>
      </c>
      <c r="L13" s="92">
        <f t="shared" si="1"/>
        <v>28.571428571428569</v>
      </c>
      <c r="M13" s="92">
        <f t="shared" si="1"/>
        <v>28.571428571428569</v>
      </c>
      <c r="N13" s="121">
        <f t="shared" si="3"/>
        <v>99.999999999999986</v>
      </c>
      <c r="O13" s="91">
        <v>37.700000000000003</v>
      </c>
      <c r="P13" s="92">
        <v>24</v>
      </c>
      <c r="Q13" s="92">
        <v>26</v>
      </c>
      <c r="R13" s="93">
        <f t="shared" si="2"/>
        <v>87.7</v>
      </c>
      <c r="S13" s="185">
        <v>3</v>
      </c>
      <c r="T13" s="839"/>
      <c r="U13" s="852"/>
      <c r="V13" s="82" t="s">
        <v>132</v>
      </c>
      <c r="W13" s="185" t="s">
        <v>22</v>
      </c>
      <c r="X13" s="185" t="s">
        <v>11</v>
      </c>
      <c r="Y13" s="83">
        <v>26</v>
      </c>
      <c r="Z13" s="185" t="s">
        <v>81</v>
      </c>
      <c r="AA13" s="185" t="s">
        <v>17</v>
      </c>
      <c r="AB13" s="185" t="s">
        <v>18</v>
      </c>
      <c r="AC13" s="185">
        <v>24</v>
      </c>
      <c r="AD13" s="82" t="s">
        <v>457</v>
      </c>
      <c r="AE13" s="185" t="s">
        <v>20</v>
      </c>
      <c r="AF13" s="185" t="s">
        <v>12</v>
      </c>
      <c r="AG13" s="83">
        <v>26</v>
      </c>
      <c r="AH13" s="185" t="s">
        <v>331</v>
      </c>
      <c r="AI13" s="185" t="s">
        <v>75</v>
      </c>
      <c r="AJ13" s="185" t="s">
        <v>11</v>
      </c>
      <c r="AK13" s="185">
        <v>11.7</v>
      </c>
      <c r="AL13" s="82"/>
      <c r="AO13" s="83"/>
      <c r="AP13" s="82"/>
      <c r="AS13" s="83"/>
      <c r="AW13" s="83"/>
      <c r="BA13" s="84"/>
    </row>
    <row r="14" spans="1:53" s="185" customFormat="1">
      <c r="A14" s="101">
        <v>1962.6</v>
      </c>
      <c r="B14" s="852"/>
      <c r="C14" s="917" t="s">
        <v>815</v>
      </c>
      <c r="D14" s="917"/>
      <c r="E14" s="185">
        <v>345</v>
      </c>
      <c r="G14" s="119">
        <v>3</v>
      </c>
      <c r="H14" s="185">
        <v>2</v>
      </c>
      <c r="I14" s="185">
        <v>2</v>
      </c>
      <c r="J14" s="126">
        <v>7</v>
      </c>
      <c r="K14" s="92">
        <f t="shared" si="1"/>
        <v>42.857142857142854</v>
      </c>
      <c r="L14" s="92">
        <f t="shared" si="1"/>
        <v>28.571428571428569</v>
      </c>
      <c r="M14" s="92">
        <f t="shared" si="1"/>
        <v>28.571428571428569</v>
      </c>
      <c r="N14" s="121">
        <f t="shared" si="3"/>
        <v>99.999999999999986</v>
      </c>
      <c r="O14" s="91">
        <v>37.700000000000003</v>
      </c>
      <c r="P14" s="92">
        <v>24</v>
      </c>
      <c r="Q14" s="92">
        <v>26</v>
      </c>
      <c r="R14" s="93">
        <f t="shared" si="2"/>
        <v>87.7</v>
      </c>
      <c r="S14" s="185">
        <v>3</v>
      </c>
      <c r="T14" s="839"/>
      <c r="U14" s="852"/>
      <c r="V14" s="82" t="s">
        <v>132</v>
      </c>
      <c r="W14" s="185" t="s">
        <v>22</v>
      </c>
      <c r="X14" s="185" t="s">
        <v>11</v>
      </c>
      <c r="Y14" s="83">
        <v>26</v>
      </c>
      <c r="Z14" s="185" t="s">
        <v>81</v>
      </c>
      <c r="AA14" s="185" t="s">
        <v>17</v>
      </c>
      <c r="AB14" s="185" t="s">
        <v>18</v>
      </c>
      <c r="AC14" s="185">
        <v>24</v>
      </c>
      <c r="AD14" s="82" t="s">
        <v>457</v>
      </c>
      <c r="AE14" s="185" t="s">
        <v>20</v>
      </c>
      <c r="AF14" s="185" t="s">
        <v>12</v>
      </c>
      <c r="AG14" s="83">
        <v>26</v>
      </c>
      <c r="AH14" s="185" t="s">
        <v>331</v>
      </c>
      <c r="AI14" s="185" t="s">
        <v>75</v>
      </c>
      <c r="AJ14" s="185" t="s">
        <v>11</v>
      </c>
      <c r="AK14" s="185">
        <v>11.7</v>
      </c>
      <c r="AL14" s="82"/>
      <c r="AO14" s="83"/>
      <c r="AP14" s="82"/>
      <c r="AS14" s="83"/>
      <c r="AW14" s="83"/>
      <c r="BA14" s="84"/>
    </row>
    <row r="15" spans="1:53" s="292" customFormat="1">
      <c r="A15" s="338">
        <v>1963.05714285714</v>
      </c>
      <c r="B15" s="836">
        <v>23357</v>
      </c>
      <c r="C15" s="916" t="s">
        <v>853</v>
      </c>
      <c r="D15" s="916"/>
      <c r="E15" s="292">
        <f>365-E14</f>
        <v>20</v>
      </c>
      <c r="F15" s="292">
        <v>1</v>
      </c>
      <c r="G15" s="366">
        <v>3</v>
      </c>
      <c r="H15" s="292">
        <v>2</v>
      </c>
      <c r="I15" s="292">
        <v>2</v>
      </c>
      <c r="J15" s="377">
        <v>7</v>
      </c>
      <c r="K15" s="336">
        <f t="shared" si="1"/>
        <v>42.857142857142854</v>
      </c>
      <c r="L15" s="336">
        <f t="shared" si="1"/>
        <v>28.571428571428569</v>
      </c>
      <c r="M15" s="336">
        <f t="shared" si="1"/>
        <v>28.571428571428569</v>
      </c>
      <c r="N15" s="368">
        <f t="shared" si="3"/>
        <v>99.999999999999986</v>
      </c>
      <c r="O15" s="335">
        <v>36.5</v>
      </c>
      <c r="P15" s="336">
        <v>24</v>
      </c>
      <c r="Q15" s="336">
        <v>26.5</v>
      </c>
      <c r="R15" s="337">
        <f t="shared" si="2"/>
        <v>87</v>
      </c>
      <c r="S15" s="292">
        <v>3</v>
      </c>
      <c r="T15" s="838">
        <v>23311</v>
      </c>
      <c r="U15" s="836">
        <v>23357</v>
      </c>
      <c r="V15" s="299" t="s">
        <v>132</v>
      </c>
      <c r="W15" s="292" t="s">
        <v>22</v>
      </c>
      <c r="X15" s="292" t="s">
        <v>11</v>
      </c>
      <c r="Y15" s="300">
        <v>25.5</v>
      </c>
      <c r="Z15" s="292" t="s">
        <v>81</v>
      </c>
      <c r="AA15" s="292" t="s">
        <v>17</v>
      </c>
      <c r="AB15" s="292" t="s">
        <v>18</v>
      </c>
      <c r="AC15" s="292">
        <v>24</v>
      </c>
      <c r="AD15" s="299" t="s">
        <v>457</v>
      </c>
      <c r="AE15" s="292" t="s">
        <v>20</v>
      </c>
      <c r="AF15" s="292" t="s">
        <v>12</v>
      </c>
      <c r="AG15" s="300">
        <v>26.5</v>
      </c>
      <c r="AH15" s="292" t="s">
        <v>331</v>
      </c>
      <c r="AI15" s="292" t="s">
        <v>75</v>
      </c>
      <c r="AJ15" s="292" t="s">
        <v>11</v>
      </c>
      <c r="AK15" s="292">
        <v>11</v>
      </c>
      <c r="AL15" s="299"/>
      <c r="AO15" s="300"/>
      <c r="AP15" s="299"/>
      <c r="AS15" s="300"/>
      <c r="AW15" s="300"/>
      <c r="BA15" s="301"/>
    </row>
    <row r="16" spans="1:53" s="292" customFormat="1">
      <c r="A16" s="338">
        <v>1963.5142857142901</v>
      </c>
      <c r="B16" s="836"/>
      <c r="C16" s="916" t="s">
        <v>853</v>
      </c>
      <c r="D16" s="916"/>
      <c r="E16" s="292">
        <v>0</v>
      </c>
      <c r="G16" s="366">
        <v>3</v>
      </c>
      <c r="H16" s="292">
        <v>2</v>
      </c>
      <c r="I16" s="292">
        <v>2</v>
      </c>
      <c r="J16" s="377">
        <v>7</v>
      </c>
      <c r="K16" s="336">
        <f t="shared" si="1"/>
        <v>42.857142857142854</v>
      </c>
      <c r="L16" s="336">
        <f t="shared" si="1"/>
        <v>28.571428571428569</v>
      </c>
      <c r="M16" s="336">
        <f t="shared" si="1"/>
        <v>28.571428571428569</v>
      </c>
      <c r="N16" s="368">
        <f t="shared" si="3"/>
        <v>99.999999999999986</v>
      </c>
      <c r="O16" s="335">
        <v>36.5</v>
      </c>
      <c r="P16" s="336">
        <v>24</v>
      </c>
      <c r="Q16" s="336">
        <v>26.5</v>
      </c>
      <c r="R16" s="337">
        <f t="shared" si="2"/>
        <v>87</v>
      </c>
      <c r="S16" s="292">
        <v>3</v>
      </c>
      <c r="T16" s="838"/>
      <c r="U16" s="836"/>
      <c r="V16" s="299" t="s">
        <v>132</v>
      </c>
      <c r="W16" s="292" t="s">
        <v>22</v>
      </c>
      <c r="X16" s="292" t="s">
        <v>11</v>
      </c>
      <c r="Y16" s="300">
        <v>25.5</v>
      </c>
      <c r="Z16" s="292" t="s">
        <v>81</v>
      </c>
      <c r="AA16" s="292" t="s">
        <v>17</v>
      </c>
      <c r="AB16" s="292" t="s">
        <v>18</v>
      </c>
      <c r="AC16" s="292">
        <v>24</v>
      </c>
      <c r="AD16" s="299" t="s">
        <v>457</v>
      </c>
      <c r="AE16" s="292" t="s">
        <v>20</v>
      </c>
      <c r="AF16" s="292" t="s">
        <v>12</v>
      </c>
      <c r="AG16" s="300">
        <v>26.5</v>
      </c>
      <c r="AH16" s="292" t="s">
        <v>331</v>
      </c>
      <c r="AI16" s="292" t="s">
        <v>75</v>
      </c>
      <c r="AJ16" s="292" t="s">
        <v>11</v>
      </c>
      <c r="AK16" s="292">
        <v>11</v>
      </c>
      <c r="AL16" s="299"/>
      <c r="AO16" s="300"/>
      <c r="AP16" s="299"/>
      <c r="AS16" s="300"/>
      <c r="AW16" s="300"/>
      <c r="BA16" s="301"/>
    </row>
    <row r="17" spans="1:53" s="292" customFormat="1">
      <c r="A17" s="338">
        <v>1963.9714285714299</v>
      </c>
      <c r="B17" s="836"/>
      <c r="C17" s="916" t="s">
        <v>458</v>
      </c>
      <c r="D17" s="916"/>
      <c r="E17" s="292">
        <v>366</v>
      </c>
      <c r="F17" s="292">
        <v>1</v>
      </c>
      <c r="G17" s="366">
        <v>3</v>
      </c>
      <c r="H17" s="292">
        <v>2</v>
      </c>
      <c r="I17" s="292">
        <v>2</v>
      </c>
      <c r="J17" s="377">
        <v>7</v>
      </c>
      <c r="K17" s="336">
        <f t="shared" si="1"/>
        <v>42.857142857142854</v>
      </c>
      <c r="L17" s="336">
        <f t="shared" si="1"/>
        <v>28.571428571428569</v>
      </c>
      <c r="M17" s="336">
        <f t="shared" si="1"/>
        <v>28.571428571428569</v>
      </c>
      <c r="N17" s="368">
        <f t="shared" si="3"/>
        <v>99.999999999999986</v>
      </c>
      <c r="O17" s="335">
        <v>36.5</v>
      </c>
      <c r="P17" s="336">
        <v>24</v>
      </c>
      <c r="Q17" s="336">
        <v>26.5</v>
      </c>
      <c r="R17" s="337">
        <f t="shared" si="2"/>
        <v>87</v>
      </c>
      <c r="S17" s="292">
        <v>3</v>
      </c>
      <c r="T17" s="838"/>
      <c r="U17" s="836"/>
      <c r="V17" s="299" t="s">
        <v>132</v>
      </c>
      <c r="W17" s="292" t="s">
        <v>22</v>
      </c>
      <c r="X17" s="292" t="s">
        <v>11</v>
      </c>
      <c r="Y17" s="300">
        <v>25.5</v>
      </c>
      <c r="Z17" s="292" t="s">
        <v>81</v>
      </c>
      <c r="AA17" s="292" t="s">
        <v>17</v>
      </c>
      <c r="AB17" s="292" t="s">
        <v>18</v>
      </c>
      <c r="AC17" s="292">
        <v>24</v>
      </c>
      <c r="AD17" s="299" t="s">
        <v>457</v>
      </c>
      <c r="AE17" s="292" t="s">
        <v>20</v>
      </c>
      <c r="AF17" s="292" t="s">
        <v>12</v>
      </c>
      <c r="AG17" s="300">
        <v>26.5</v>
      </c>
      <c r="AH17" s="292" t="s">
        <v>331</v>
      </c>
      <c r="AI17" s="292" t="s">
        <v>75</v>
      </c>
      <c r="AJ17" s="292" t="s">
        <v>11</v>
      </c>
      <c r="AK17" s="292">
        <v>11</v>
      </c>
      <c r="AL17" s="299"/>
      <c r="AO17" s="300"/>
      <c r="AP17" s="299"/>
      <c r="AS17" s="300"/>
      <c r="AW17" s="300"/>
      <c r="BA17" s="301"/>
    </row>
    <row r="18" spans="1:53" s="292" customFormat="1">
      <c r="A18" s="338">
        <v>1965</v>
      </c>
      <c r="B18" s="836"/>
      <c r="C18" s="916" t="s">
        <v>458</v>
      </c>
      <c r="D18" s="916"/>
      <c r="E18" s="292">
        <v>0</v>
      </c>
      <c r="G18" s="366">
        <v>3</v>
      </c>
      <c r="H18" s="292">
        <v>2</v>
      </c>
      <c r="I18" s="292">
        <v>2</v>
      </c>
      <c r="J18" s="377">
        <v>7</v>
      </c>
      <c r="K18" s="336">
        <f t="shared" si="1"/>
        <v>42.857142857142854</v>
      </c>
      <c r="L18" s="336">
        <f t="shared" si="1"/>
        <v>28.571428571428569</v>
      </c>
      <c r="M18" s="336">
        <f t="shared" si="1"/>
        <v>28.571428571428569</v>
      </c>
      <c r="N18" s="368">
        <f t="shared" si="3"/>
        <v>99.999999999999986</v>
      </c>
      <c r="O18" s="335">
        <v>36.5</v>
      </c>
      <c r="P18" s="336">
        <v>24</v>
      </c>
      <c r="Q18" s="336">
        <v>26.5</v>
      </c>
      <c r="R18" s="337">
        <f t="shared" si="2"/>
        <v>87</v>
      </c>
      <c r="S18" s="292">
        <v>3</v>
      </c>
      <c r="T18" s="838"/>
      <c r="U18" s="836"/>
      <c r="V18" s="299" t="s">
        <v>132</v>
      </c>
      <c r="W18" s="292" t="s">
        <v>22</v>
      </c>
      <c r="X18" s="292" t="s">
        <v>11</v>
      </c>
      <c r="Y18" s="300">
        <v>25.5</v>
      </c>
      <c r="Z18" s="292" t="s">
        <v>81</v>
      </c>
      <c r="AA18" s="292" t="s">
        <v>17</v>
      </c>
      <c r="AB18" s="292" t="s">
        <v>18</v>
      </c>
      <c r="AC18" s="292">
        <v>24</v>
      </c>
      <c r="AD18" s="299" t="s">
        <v>457</v>
      </c>
      <c r="AE18" s="292" t="s">
        <v>20</v>
      </c>
      <c r="AF18" s="292" t="s">
        <v>12</v>
      </c>
      <c r="AG18" s="300">
        <v>26.5</v>
      </c>
      <c r="AH18" s="292" t="s">
        <v>331</v>
      </c>
      <c r="AI18" s="292" t="s">
        <v>75</v>
      </c>
      <c r="AJ18" s="292" t="s">
        <v>11</v>
      </c>
      <c r="AK18" s="292">
        <v>11</v>
      </c>
      <c r="AL18" s="299"/>
      <c r="AO18" s="300"/>
      <c r="AP18" s="299"/>
      <c r="AS18" s="300"/>
      <c r="AW18" s="300"/>
      <c r="BA18" s="301"/>
    </row>
    <row r="19" spans="1:53" s="292" customFormat="1">
      <c r="A19" s="338">
        <v>1964.88571428572</v>
      </c>
      <c r="B19" s="836"/>
      <c r="C19" s="959" t="s">
        <v>417</v>
      </c>
      <c r="D19" s="916"/>
      <c r="E19" s="292">
        <v>365</v>
      </c>
      <c r="F19" s="292">
        <v>1</v>
      </c>
      <c r="G19" s="366">
        <v>3</v>
      </c>
      <c r="H19" s="292">
        <v>2</v>
      </c>
      <c r="I19" s="292">
        <v>2</v>
      </c>
      <c r="J19" s="377">
        <v>7</v>
      </c>
      <c r="K19" s="336">
        <f t="shared" si="1"/>
        <v>42.857142857142854</v>
      </c>
      <c r="L19" s="336">
        <f t="shared" si="1"/>
        <v>28.571428571428569</v>
      </c>
      <c r="M19" s="336">
        <f t="shared" si="1"/>
        <v>28.571428571428569</v>
      </c>
      <c r="N19" s="368">
        <f t="shared" si="3"/>
        <v>99.999999999999986</v>
      </c>
      <c r="O19" s="335">
        <v>36.5</v>
      </c>
      <c r="P19" s="336">
        <v>24</v>
      </c>
      <c r="Q19" s="336">
        <v>26.5</v>
      </c>
      <c r="R19" s="337">
        <f t="shared" si="2"/>
        <v>87</v>
      </c>
      <c r="S19" s="292">
        <v>3</v>
      </c>
      <c r="T19" s="838"/>
      <c r="U19" s="836"/>
      <c r="V19" s="299" t="s">
        <v>132</v>
      </c>
      <c r="W19" s="292" t="s">
        <v>22</v>
      </c>
      <c r="X19" s="292" t="s">
        <v>11</v>
      </c>
      <c r="Y19" s="300">
        <v>25.5</v>
      </c>
      <c r="Z19" s="292" t="s">
        <v>81</v>
      </c>
      <c r="AA19" s="292" t="s">
        <v>17</v>
      </c>
      <c r="AB19" s="292" t="s">
        <v>18</v>
      </c>
      <c r="AC19" s="292">
        <v>24</v>
      </c>
      <c r="AD19" s="299" t="s">
        <v>457</v>
      </c>
      <c r="AE19" s="292" t="s">
        <v>20</v>
      </c>
      <c r="AF19" s="292" t="s">
        <v>12</v>
      </c>
      <c r="AG19" s="300">
        <v>26.5</v>
      </c>
      <c r="AH19" s="292" t="s">
        <v>331</v>
      </c>
      <c r="AI19" s="292" t="s">
        <v>75</v>
      </c>
      <c r="AJ19" s="292" t="s">
        <v>11</v>
      </c>
      <c r="AK19" s="292">
        <v>11</v>
      </c>
      <c r="AL19" s="299"/>
      <c r="AO19" s="300"/>
      <c r="AP19" s="299"/>
      <c r="AS19" s="300"/>
      <c r="AW19" s="300"/>
      <c r="BA19" s="301"/>
    </row>
    <row r="20" spans="1:53" s="292" customFormat="1">
      <c r="A20" s="338">
        <v>1966</v>
      </c>
      <c r="B20" s="836"/>
      <c r="C20" s="959" t="s">
        <v>417</v>
      </c>
      <c r="D20" s="916"/>
      <c r="E20" s="292">
        <v>0</v>
      </c>
      <c r="G20" s="366">
        <v>3</v>
      </c>
      <c r="H20" s="292">
        <v>2</v>
      </c>
      <c r="I20" s="292">
        <v>2</v>
      </c>
      <c r="J20" s="377">
        <v>7</v>
      </c>
      <c r="K20" s="336">
        <f t="shared" si="1"/>
        <v>42.857142857142854</v>
      </c>
      <c r="L20" s="336">
        <f t="shared" si="1"/>
        <v>28.571428571428569</v>
      </c>
      <c r="M20" s="336">
        <f t="shared" si="1"/>
        <v>28.571428571428569</v>
      </c>
      <c r="N20" s="368">
        <f t="shared" si="3"/>
        <v>99.999999999999986</v>
      </c>
      <c r="O20" s="335">
        <v>36.5</v>
      </c>
      <c r="P20" s="336">
        <v>24</v>
      </c>
      <c r="Q20" s="336">
        <v>26.5</v>
      </c>
      <c r="R20" s="337">
        <f t="shared" si="2"/>
        <v>87</v>
      </c>
      <c r="S20" s="292">
        <v>3</v>
      </c>
      <c r="T20" s="838"/>
      <c r="U20" s="836"/>
      <c r="V20" s="299" t="s">
        <v>132</v>
      </c>
      <c r="W20" s="292" t="s">
        <v>22</v>
      </c>
      <c r="X20" s="292" t="s">
        <v>11</v>
      </c>
      <c r="Y20" s="300">
        <v>25.5</v>
      </c>
      <c r="Z20" s="292" t="s">
        <v>81</v>
      </c>
      <c r="AA20" s="292" t="s">
        <v>17</v>
      </c>
      <c r="AB20" s="292" t="s">
        <v>18</v>
      </c>
      <c r="AC20" s="292">
        <v>24</v>
      </c>
      <c r="AD20" s="299" t="s">
        <v>457</v>
      </c>
      <c r="AE20" s="292" t="s">
        <v>20</v>
      </c>
      <c r="AF20" s="292" t="s">
        <v>12</v>
      </c>
      <c r="AG20" s="300">
        <v>26.5</v>
      </c>
      <c r="AH20" s="292" t="s">
        <v>331</v>
      </c>
      <c r="AI20" s="292" t="s">
        <v>75</v>
      </c>
      <c r="AJ20" s="292" t="s">
        <v>11</v>
      </c>
      <c r="AK20" s="292">
        <v>11</v>
      </c>
      <c r="AL20" s="299"/>
      <c r="AO20" s="300"/>
      <c r="AP20" s="299"/>
      <c r="AS20" s="300"/>
      <c r="AW20" s="300"/>
      <c r="BA20" s="301"/>
    </row>
    <row r="21" spans="1:53" s="292" customFormat="1">
      <c r="A21" s="338">
        <v>1965.8</v>
      </c>
      <c r="B21" s="836"/>
      <c r="C21" s="916" t="s">
        <v>418</v>
      </c>
      <c r="D21" s="916"/>
      <c r="E21" s="292">
        <v>365</v>
      </c>
      <c r="F21" s="292">
        <v>1</v>
      </c>
      <c r="G21" s="366">
        <v>3</v>
      </c>
      <c r="H21" s="292">
        <v>2</v>
      </c>
      <c r="I21" s="292">
        <v>2</v>
      </c>
      <c r="J21" s="377">
        <v>7</v>
      </c>
      <c r="K21" s="336">
        <f t="shared" si="1"/>
        <v>42.857142857142854</v>
      </c>
      <c r="L21" s="336">
        <f t="shared" si="1"/>
        <v>28.571428571428569</v>
      </c>
      <c r="M21" s="336">
        <f t="shared" si="1"/>
        <v>28.571428571428569</v>
      </c>
      <c r="N21" s="368">
        <f t="shared" si="3"/>
        <v>99.999999999999986</v>
      </c>
      <c r="O21" s="335">
        <v>36.5</v>
      </c>
      <c r="P21" s="336">
        <v>24</v>
      </c>
      <c r="Q21" s="336">
        <v>26.5</v>
      </c>
      <c r="R21" s="337">
        <f t="shared" si="2"/>
        <v>87</v>
      </c>
      <c r="S21" s="292">
        <v>3</v>
      </c>
      <c r="T21" s="838"/>
      <c r="U21" s="836"/>
      <c r="V21" s="299" t="s">
        <v>132</v>
      </c>
      <c r="W21" s="292" t="s">
        <v>22</v>
      </c>
      <c r="X21" s="292" t="s">
        <v>11</v>
      </c>
      <c r="Y21" s="300">
        <v>25.5</v>
      </c>
      <c r="Z21" s="292" t="s">
        <v>81</v>
      </c>
      <c r="AA21" s="292" t="s">
        <v>17</v>
      </c>
      <c r="AB21" s="292" t="s">
        <v>18</v>
      </c>
      <c r="AC21" s="292">
        <v>24</v>
      </c>
      <c r="AD21" s="299" t="s">
        <v>457</v>
      </c>
      <c r="AE21" s="292" t="s">
        <v>20</v>
      </c>
      <c r="AF21" s="292" t="s">
        <v>12</v>
      </c>
      <c r="AG21" s="300">
        <v>26.5</v>
      </c>
      <c r="AH21" s="292" t="s">
        <v>331</v>
      </c>
      <c r="AI21" s="292" t="s">
        <v>75</v>
      </c>
      <c r="AJ21" s="292" t="s">
        <v>11</v>
      </c>
      <c r="AK21" s="292">
        <v>11</v>
      </c>
      <c r="AL21" s="299"/>
      <c r="AO21" s="300"/>
      <c r="AP21" s="299"/>
      <c r="AS21" s="300"/>
      <c r="AW21" s="300"/>
      <c r="BA21" s="301"/>
    </row>
    <row r="22" spans="1:53" s="292" customFormat="1">
      <c r="A22" s="338">
        <v>1967</v>
      </c>
      <c r="B22" s="836"/>
      <c r="C22" s="916" t="s">
        <v>418</v>
      </c>
      <c r="D22" s="916"/>
      <c r="E22" s="292">
        <v>363</v>
      </c>
      <c r="G22" s="366">
        <v>3</v>
      </c>
      <c r="H22" s="292">
        <v>2</v>
      </c>
      <c r="I22" s="292">
        <v>2</v>
      </c>
      <c r="J22" s="377">
        <v>7</v>
      </c>
      <c r="K22" s="336">
        <f t="shared" si="1"/>
        <v>42.857142857142854</v>
      </c>
      <c r="L22" s="336">
        <f t="shared" si="1"/>
        <v>28.571428571428569</v>
      </c>
      <c r="M22" s="336">
        <f t="shared" si="1"/>
        <v>28.571428571428569</v>
      </c>
      <c r="N22" s="368">
        <f t="shared" si="3"/>
        <v>99.999999999999986</v>
      </c>
      <c r="O22" s="335">
        <v>36.5</v>
      </c>
      <c r="P22" s="336">
        <v>24</v>
      </c>
      <c r="Q22" s="336">
        <v>26.5</v>
      </c>
      <c r="R22" s="337">
        <f t="shared" si="2"/>
        <v>87</v>
      </c>
      <c r="S22" s="292">
        <v>3</v>
      </c>
      <c r="T22" s="838"/>
      <c r="U22" s="836"/>
      <c r="V22" s="299" t="s">
        <v>132</v>
      </c>
      <c r="W22" s="292" t="s">
        <v>22</v>
      </c>
      <c r="X22" s="292" t="s">
        <v>11</v>
      </c>
      <c r="Y22" s="300">
        <v>25.5</v>
      </c>
      <c r="Z22" s="292" t="s">
        <v>81</v>
      </c>
      <c r="AA22" s="292" t="s">
        <v>17</v>
      </c>
      <c r="AB22" s="292" t="s">
        <v>18</v>
      </c>
      <c r="AC22" s="292">
        <v>24</v>
      </c>
      <c r="AD22" s="299" t="s">
        <v>457</v>
      </c>
      <c r="AE22" s="292" t="s">
        <v>20</v>
      </c>
      <c r="AF22" s="292" t="s">
        <v>12</v>
      </c>
      <c r="AG22" s="300">
        <v>26.5</v>
      </c>
      <c r="AH22" s="292" t="s">
        <v>331</v>
      </c>
      <c r="AI22" s="292" t="s">
        <v>75</v>
      </c>
      <c r="AJ22" s="292" t="s">
        <v>11</v>
      </c>
      <c r="AK22" s="292">
        <v>11</v>
      </c>
      <c r="AL22" s="299"/>
      <c r="AO22" s="300"/>
      <c r="AP22" s="299"/>
      <c r="AS22" s="300"/>
      <c r="AW22" s="300"/>
      <c r="BA22" s="301"/>
    </row>
    <row r="23" spans="1:53" s="185" customFormat="1">
      <c r="A23" s="101">
        <v>1966.7142857142901</v>
      </c>
      <c r="B23" s="852">
        <v>24836</v>
      </c>
      <c r="C23" s="917" t="s">
        <v>816</v>
      </c>
      <c r="D23" s="917"/>
      <c r="E23" s="185">
        <f>365-E22</f>
        <v>2</v>
      </c>
      <c r="F23" s="185">
        <v>1</v>
      </c>
      <c r="G23" s="119">
        <v>3</v>
      </c>
      <c r="H23" s="185">
        <v>2</v>
      </c>
      <c r="I23" s="185">
        <v>2</v>
      </c>
      <c r="J23" s="126">
        <v>7</v>
      </c>
      <c r="K23" s="92">
        <f t="shared" si="1"/>
        <v>42.857142857142854</v>
      </c>
      <c r="L23" s="92">
        <f t="shared" si="1"/>
        <v>28.571428571428569</v>
      </c>
      <c r="M23" s="92">
        <f t="shared" si="1"/>
        <v>28.571428571428569</v>
      </c>
      <c r="N23" s="121">
        <f t="shared" si="3"/>
        <v>99.999999999999986</v>
      </c>
      <c r="O23" s="91">
        <v>35</v>
      </c>
      <c r="P23" s="92">
        <v>22.5</v>
      </c>
      <c r="Q23" s="92">
        <v>25.5</v>
      </c>
      <c r="R23" s="93">
        <f t="shared" si="2"/>
        <v>83</v>
      </c>
      <c r="S23" s="185">
        <v>3</v>
      </c>
      <c r="T23" s="839">
        <v>24774</v>
      </c>
      <c r="U23" s="852">
        <v>24836</v>
      </c>
      <c r="V23" s="82" t="s">
        <v>132</v>
      </c>
      <c r="W23" s="185" t="s">
        <v>22</v>
      </c>
      <c r="X23" s="185" t="s">
        <v>11</v>
      </c>
      <c r="Y23" s="83">
        <v>24.5</v>
      </c>
      <c r="Z23" s="185" t="s">
        <v>81</v>
      </c>
      <c r="AA23" s="185" t="s">
        <v>17</v>
      </c>
      <c r="AB23" s="185" t="s">
        <v>18</v>
      </c>
      <c r="AC23" s="185">
        <v>22.5</v>
      </c>
      <c r="AD23" s="82" t="s">
        <v>457</v>
      </c>
      <c r="AE23" s="185" t="s">
        <v>20</v>
      </c>
      <c r="AF23" s="185" t="s">
        <v>12</v>
      </c>
      <c r="AG23" s="83">
        <v>25.5</v>
      </c>
      <c r="AH23" s="185" t="s">
        <v>331</v>
      </c>
      <c r="AI23" s="185" t="s">
        <v>75</v>
      </c>
      <c r="AJ23" s="185" t="s">
        <v>11</v>
      </c>
      <c r="AK23" s="185">
        <v>10.5</v>
      </c>
      <c r="AL23" s="82"/>
      <c r="AO23" s="83"/>
      <c r="AP23" s="82"/>
      <c r="AS23" s="83"/>
      <c r="AW23" s="83"/>
      <c r="BA23" s="84"/>
    </row>
    <row r="24" spans="1:53" s="185" customFormat="1">
      <c r="A24" s="101">
        <v>1968</v>
      </c>
      <c r="B24" s="852"/>
      <c r="C24" s="917" t="s">
        <v>816</v>
      </c>
      <c r="D24" s="917"/>
      <c r="E24" s="185">
        <v>0</v>
      </c>
      <c r="G24" s="119">
        <v>3</v>
      </c>
      <c r="H24" s="185">
        <v>2</v>
      </c>
      <c r="I24" s="185">
        <v>2</v>
      </c>
      <c r="J24" s="126">
        <v>7</v>
      </c>
      <c r="K24" s="92">
        <f t="shared" ref="K24:M59" si="4">G24/$J24*100</f>
        <v>42.857142857142854</v>
      </c>
      <c r="L24" s="92">
        <f t="shared" si="4"/>
        <v>28.571428571428569</v>
      </c>
      <c r="M24" s="92">
        <f t="shared" si="4"/>
        <v>28.571428571428569</v>
      </c>
      <c r="N24" s="121">
        <f t="shared" si="3"/>
        <v>99.999999999999986</v>
      </c>
      <c r="O24" s="91">
        <v>35</v>
      </c>
      <c r="P24" s="92">
        <v>22.5</v>
      </c>
      <c r="Q24" s="92">
        <v>25.5</v>
      </c>
      <c r="R24" s="93">
        <f t="shared" si="2"/>
        <v>83</v>
      </c>
      <c r="S24" s="185">
        <v>3</v>
      </c>
      <c r="T24" s="839"/>
      <c r="U24" s="852"/>
      <c r="V24" s="82" t="s">
        <v>132</v>
      </c>
      <c r="W24" s="185" t="s">
        <v>22</v>
      </c>
      <c r="X24" s="185" t="s">
        <v>11</v>
      </c>
      <c r="Y24" s="83">
        <v>24.5</v>
      </c>
      <c r="Z24" s="185" t="s">
        <v>81</v>
      </c>
      <c r="AA24" s="185" t="s">
        <v>17</v>
      </c>
      <c r="AB24" s="185" t="s">
        <v>18</v>
      </c>
      <c r="AC24" s="185">
        <v>22.5</v>
      </c>
      <c r="AD24" s="82" t="s">
        <v>457</v>
      </c>
      <c r="AE24" s="185" t="s">
        <v>20</v>
      </c>
      <c r="AF24" s="185" t="s">
        <v>12</v>
      </c>
      <c r="AG24" s="83">
        <v>25.5</v>
      </c>
      <c r="AH24" s="185" t="s">
        <v>331</v>
      </c>
      <c r="AI24" s="185" t="s">
        <v>75</v>
      </c>
      <c r="AJ24" s="185" t="s">
        <v>11</v>
      </c>
      <c r="AK24" s="185">
        <v>10.5</v>
      </c>
      <c r="AL24" s="82"/>
      <c r="AO24" s="83"/>
      <c r="AP24" s="82"/>
      <c r="AS24" s="83"/>
      <c r="AW24" s="83"/>
      <c r="BA24" s="84"/>
    </row>
    <row r="25" spans="1:53" s="185" customFormat="1">
      <c r="A25" s="101">
        <v>1967.62857142857</v>
      </c>
      <c r="B25" s="852"/>
      <c r="C25" s="917" t="s">
        <v>854</v>
      </c>
      <c r="D25" s="917"/>
      <c r="E25" s="185">
        <v>366</v>
      </c>
      <c r="F25" s="185">
        <v>1</v>
      </c>
      <c r="G25" s="119">
        <v>3</v>
      </c>
      <c r="H25" s="185">
        <v>2</v>
      </c>
      <c r="I25" s="185">
        <v>2</v>
      </c>
      <c r="J25" s="126">
        <v>7</v>
      </c>
      <c r="K25" s="92">
        <f t="shared" si="4"/>
        <v>42.857142857142854</v>
      </c>
      <c r="L25" s="92">
        <f t="shared" si="4"/>
        <v>28.571428571428569</v>
      </c>
      <c r="M25" s="92">
        <f t="shared" si="4"/>
        <v>28.571428571428569</v>
      </c>
      <c r="N25" s="121">
        <f t="shared" si="3"/>
        <v>99.999999999999986</v>
      </c>
      <c r="O25" s="91">
        <v>35</v>
      </c>
      <c r="P25" s="92">
        <v>22.5</v>
      </c>
      <c r="Q25" s="92">
        <v>25.5</v>
      </c>
      <c r="R25" s="93">
        <f t="shared" si="2"/>
        <v>83</v>
      </c>
      <c r="S25" s="185">
        <v>3</v>
      </c>
      <c r="T25" s="839"/>
      <c r="U25" s="852"/>
      <c r="V25" s="82" t="s">
        <v>132</v>
      </c>
      <c r="W25" s="185" t="s">
        <v>22</v>
      </c>
      <c r="X25" s="185" t="s">
        <v>11</v>
      </c>
      <c r="Y25" s="83">
        <v>24.5</v>
      </c>
      <c r="Z25" s="185" t="s">
        <v>81</v>
      </c>
      <c r="AA25" s="185" t="s">
        <v>17</v>
      </c>
      <c r="AB25" s="185" t="s">
        <v>18</v>
      </c>
      <c r="AC25" s="185">
        <v>22.5</v>
      </c>
      <c r="AD25" s="82" t="s">
        <v>457</v>
      </c>
      <c r="AE25" s="185" t="s">
        <v>20</v>
      </c>
      <c r="AF25" s="185" t="s">
        <v>12</v>
      </c>
      <c r="AG25" s="83">
        <v>25.5</v>
      </c>
      <c r="AH25" s="185" t="s">
        <v>331</v>
      </c>
      <c r="AI25" s="185" t="s">
        <v>75</v>
      </c>
      <c r="AJ25" s="185" t="s">
        <v>11</v>
      </c>
      <c r="AK25" s="185">
        <v>10.5</v>
      </c>
      <c r="AL25" s="82"/>
      <c r="AO25" s="83"/>
      <c r="AP25" s="82"/>
      <c r="AS25" s="83"/>
      <c r="AW25" s="83"/>
      <c r="BA25" s="84"/>
    </row>
    <row r="26" spans="1:53" s="185" customFormat="1">
      <c r="A26" s="101">
        <v>1969</v>
      </c>
      <c r="B26" s="852"/>
      <c r="C26" s="917" t="s">
        <v>854</v>
      </c>
      <c r="D26" s="917"/>
      <c r="E26" s="185">
        <v>0</v>
      </c>
      <c r="G26" s="119">
        <v>3</v>
      </c>
      <c r="H26" s="185">
        <v>2</v>
      </c>
      <c r="I26" s="185">
        <v>2</v>
      </c>
      <c r="J26" s="126">
        <v>7</v>
      </c>
      <c r="K26" s="92">
        <f t="shared" si="4"/>
        <v>42.857142857142854</v>
      </c>
      <c r="L26" s="92">
        <f t="shared" si="4"/>
        <v>28.571428571428569</v>
      </c>
      <c r="M26" s="92">
        <f t="shared" si="4"/>
        <v>28.571428571428569</v>
      </c>
      <c r="N26" s="121">
        <f t="shared" si="3"/>
        <v>99.999999999999986</v>
      </c>
      <c r="O26" s="91">
        <v>35</v>
      </c>
      <c r="P26" s="92">
        <v>22.5</v>
      </c>
      <c r="Q26" s="92">
        <v>25.5</v>
      </c>
      <c r="R26" s="93">
        <f t="shared" si="2"/>
        <v>83</v>
      </c>
      <c r="S26" s="185">
        <v>3</v>
      </c>
      <c r="T26" s="839"/>
      <c r="U26" s="852"/>
      <c r="V26" s="82" t="s">
        <v>132</v>
      </c>
      <c r="W26" s="185" t="s">
        <v>22</v>
      </c>
      <c r="X26" s="185" t="s">
        <v>11</v>
      </c>
      <c r="Y26" s="83">
        <v>24.5</v>
      </c>
      <c r="Z26" s="185" t="s">
        <v>81</v>
      </c>
      <c r="AA26" s="185" t="s">
        <v>17</v>
      </c>
      <c r="AB26" s="185" t="s">
        <v>18</v>
      </c>
      <c r="AC26" s="185">
        <v>22.5</v>
      </c>
      <c r="AD26" s="82" t="s">
        <v>457</v>
      </c>
      <c r="AE26" s="185" t="s">
        <v>20</v>
      </c>
      <c r="AF26" s="185" t="s">
        <v>12</v>
      </c>
      <c r="AG26" s="83">
        <v>25.5</v>
      </c>
      <c r="AH26" s="185" t="s">
        <v>331</v>
      </c>
      <c r="AI26" s="185" t="s">
        <v>75</v>
      </c>
      <c r="AJ26" s="185" t="s">
        <v>11</v>
      </c>
      <c r="AK26" s="185">
        <v>10.5</v>
      </c>
      <c r="AL26" s="82"/>
      <c r="AO26" s="83"/>
      <c r="AP26" s="82"/>
      <c r="AS26" s="83"/>
      <c r="AW26" s="83"/>
      <c r="BA26" s="84"/>
    </row>
    <row r="27" spans="1:53" s="185" customFormat="1">
      <c r="A27" s="101">
        <v>1968.5428571428599</v>
      </c>
      <c r="B27" s="852"/>
      <c r="C27" s="917" t="s">
        <v>459</v>
      </c>
      <c r="D27" s="917"/>
      <c r="E27" s="185">
        <v>365</v>
      </c>
      <c r="F27" s="185">
        <v>1</v>
      </c>
      <c r="G27" s="119">
        <v>3</v>
      </c>
      <c r="H27" s="185">
        <v>2</v>
      </c>
      <c r="I27" s="185">
        <v>2</v>
      </c>
      <c r="J27" s="126">
        <v>7</v>
      </c>
      <c r="K27" s="92">
        <f t="shared" si="4"/>
        <v>42.857142857142854</v>
      </c>
      <c r="L27" s="92">
        <f t="shared" si="4"/>
        <v>28.571428571428569</v>
      </c>
      <c r="M27" s="92">
        <f t="shared" si="4"/>
        <v>28.571428571428569</v>
      </c>
      <c r="N27" s="121">
        <f t="shared" si="3"/>
        <v>99.999999999999986</v>
      </c>
      <c r="O27" s="91">
        <v>35</v>
      </c>
      <c r="P27" s="92">
        <v>22.5</v>
      </c>
      <c r="Q27" s="92">
        <v>25.5</v>
      </c>
      <c r="R27" s="93">
        <f t="shared" si="2"/>
        <v>83</v>
      </c>
      <c r="S27" s="185">
        <v>3</v>
      </c>
      <c r="T27" s="839"/>
      <c r="U27" s="852"/>
      <c r="V27" s="82" t="s">
        <v>132</v>
      </c>
      <c r="W27" s="185" t="s">
        <v>22</v>
      </c>
      <c r="X27" s="185" t="s">
        <v>11</v>
      </c>
      <c r="Y27" s="83">
        <v>24.5</v>
      </c>
      <c r="Z27" s="185" t="s">
        <v>81</v>
      </c>
      <c r="AA27" s="185" t="s">
        <v>17</v>
      </c>
      <c r="AB27" s="185" t="s">
        <v>18</v>
      </c>
      <c r="AC27" s="185">
        <v>22.5</v>
      </c>
      <c r="AD27" s="82" t="s">
        <v>457</v>
      </c>
      <c r="AE27" s="185" t="s">
        <v>20</v>
      </c>
      <c r="AF27" s="185" t="s">
        <v>12</v>
      </c>
      <c r="AG27" s="83">
        <v>25.5</v>
      </c>
      <c r="AH27" s="185" t="s">
        <v>331</v>
      </c>
      <c r="AI27" s="185" t="s">
        <v>75</v>
      </c>
      <c r="AJ27" s="185" t="s">
        <v>11</v>
      </c>
      <c r="AK27" s="185">
        <v>10.5</v>
      </c>
      <c r="AL27" s="82"/>
      <c r="AO27" s="83"/>
      <c r="AP27" s="82"/>
      <c r="AS27" s="83"/>
      <c r="AW27" s="83"/>
      <c r="BA27" s="84"/>
    </row>
    <row r="28" spans="1:53" s="185" customFormat="1">
      <c r="A28" s="101">
        <v>1970</v>
      </c>
      <c r="B28" s="852"/>
      <c r="C28" s="917" t="s">
        <v>459</v>
      </c>
      <c r="D28" s="917"/>
      <c r="E28" s="185">
        <v>0</v>
      </c>
      <c r="G28" s="119">
        <v>3</v>
      </c>
      <c r="H28" s="185">
        <v>2</v>
      </c>
      <c r="I28" s="185">
        <v>2</v>
      </c>
      <c r="J28" s="126">
        <v>7</v>
      </c>
      <c r="K28" s="92">
        <f t="shared" si="4"/>
        <v>42.857142857142854</v>
      </c>
      <c r="L28" s="92">
        <f t="shared" si="4"/>
        <v>28.571428571428569</v>
      </c>
      <c r="M28" s="92">
        <f t="shared" si="4"/>
        <v>28.571428571428569</v>
      </c>
      <c r="N28" s="121">
        <f t="shared" si="3"/>
        <v>99.999999999999986</v>
      </c>
      <c r="O28" s="91">
        <v>35</v>
      </c>
      <c r="P28" s="92">
        <v>22.5</v>
      </c>
      <c r="Q28" s="92">
        <v>25.5</v>
      </c>
      <c r="R28" s="93">
        <f t="shared" si="2"/>
        <v>83</v>
      </c>
      <c r="S28" s="185">
        <v>3</v>
      </c>
      <c r="T28" s="839"/>
      <c r="U28" s="852"/>
      <c r="V28" s="82" t="s">
        <v>132</v>
      </c>
      <c r="W28" s="185" t="s">
        <v>22</v>
      </c>
      <c r="X28" s="185" t="s">
        <v>11</v>
      </c>
      <c r="Y28" s="83">
        <v>24.5</v>
      </c>
      <c r="Z28" s="185" t="s">
        <v>81</v>
      </c>
      <c r="AA28" s="185" t="s">
        <v>17</v>
      </c>
      <c r="AB28" s="185" t="s">
        <v>18</v>
      </c>
      <c r="AC28" s="185">
        <v>22.5</v>
      </c>
      <c r="AD28" s="82" t="s">
        <v>457</v>
      </c>
      <c r="AE28" s="185" t="s">
        <v>20</v>
      </c>
      <c r="AF28" s="185" t="s">
        <v>12</v>
      </c>
      <c r="AG28" s="83">
        <v>25.5</v>
      </c>
      <c r="AH28" s="185" t="s">
        <v>331</v>
      </c>
      <c r="AI28" s="185" t="s">
        <v>75</v>
      </c>
      <c r="AJ28" s="185" t="s">
        <v>11</v>
      </c>
      <c r="AK28" s="185">
        <v>10.5</v>
      </c>
      <c r="AL28" s="82"/>
      <c r="AO28" s="83"/>
      <c r="AP28" s="82"/>
      <c r="AS28" s="83"/>
      <c r="AW28" s="83"/>
      <c r="BA28" s="84"/>
    </row>
    <row r="29" spans="1:53" s="185" customFormat="1">
      <c r="A29" s="101">
        <v>1970</v>
      </c>
      <c r="B29" s="852"/>
      <c r="C29" s="917" t="s">
        <v>420</v>
      </c>
      <c r="D29" s="917"/>
      <c r="E29" s="185">
        <v>365</v>
      </c>
      <c r="F29" s="185">
        <v>1</v>
      </c>
      <c r="G29" s="119">
        <v>3</v>
      </c>
      <c r="H29" s="185">
        <v>2</v>
      </c>
      <c r="I29" s="185">
        <v>2</v>
      </c>
      <c r="J29" s="126">
        <v>7</v>
      </c>
      <c r="K29" s="92">
        <f t="shared" si="4"/>
        <v>42.857142857142854</v>
      </c>
      <c r="L29" s="92">
        <f t="shared" si="4"/>
        <v>28.571428571428569</v>
      </c>
      <c r="M29" s="92">
        <f t="shared" si="4"/>
        <v>28.571428571428569</v>
      </c>
      <c r="N29" s="121">
        <f t="shared" si="3"/>
        <v>99.999999999999986</v>
      </c>
      <c r="O29" s="91">
        <v>35</v>
      </c>
      <c r="P29" s="92">
        <v>22.5</v>
      </c>
      <c r="Q29" s="92">
        <v>25.5</v>
      </c>
      <c r="R29" s="93">
        <f t="shared" si="2"/>
        <v>83</v>
      </c>
      <c r="S29" s="185">
        <v>3</v>
      </c>
      <c r="T29" s="839"/>
      <c r="U29" s="852"/>
      <c r="V29" s="82" t="s">
        <v>132</v>
      </c>
      <c r="W29" s="185" t="s">
        <v>22</v>
      </c>
      <c r="X29" s="185" t="s">
        <v>11</v>
      </c>
      <c r="Y29" s="83">
        <v>24.5</v>
      </c>
      <c r="Z29" s="185" t="s">
        <v>81</v>
      </c>
      <c r="AA29" s="185" t="s">
        <v>17</v>
      </c>
      <c r="AB29" s="185" t="s">
        <v>18</v>
      </c>
      <c r="AC29" s="185">
        <v>22.5</v>
      </c>
      <c r="AD29" s="82" t="s">
        <v>457</v>
      </c>
      <c r="AE29" s="185" t="s">
        <v>20</v>
      </c>
      <c r="AF29" s="185" t="s">
        <v>12</v>
      </c>
      <c r="AG29" s="83">
        <v>25.5</v>
      </c>
      <c r="AH29" s="185" t="s">
        <v>331</v>
      </c>
      <c r="AI29" s="185" t="s">
        <v>75</v>
      </c>
      <c r="AJ29" s="185" t="s">
        <v>11</v>
      </c>
      <c r="AK29" s="185">
        <v>10.5</v>
      </c>
      <c r="AL29" s="82"/>
      <c r="AO29" s="83"/>
      <c r="AP29" s="82"/>
      <c r="AS29" s="83"/>
      <c r="AW29" s="83"/>
      <c r="BA29" s="84"/>
    </row>
    <row r="30" spans="1:53" s="185" customFormat="1">
      <c r="A30" s="101">
        <v>1971</v>
      </c>
      <c r="B30" s="852"/>
      <c r="C30" s="917" t="s">
        <v>420</v>
      </c>
      <c r="D30" s="917"/>
      <c r="E30" s="185">
        <v>341</v>
      </c>
      <c r="G30" s="119">
        <v>3</v>
      </c>
      <c r="H30" s="185">
        <v>2</v>
      </c>
      <c r="I30" s="185">
        <v>2</v>
      </c>
      <c r="J30" s="126">
        <v>7</v>
      </c>
      <c r="K30" s="92">
        <f t="shared" si="4"/>
        <v>42.857142857142854</v>
      </c>
      <c r="L30" s="92">
        <f t="shared" si="4"/>
        <v>28.571428571428569</v>
      </c>
      <c r="M30" s="92">
        <f t="shared" si="4"/>
        <v>28.571428571428569</v>
      </c>
      <c r="N30" s="121">
        <f t="shared" si="3"/>
        <v>99.999999999999986</v>
      </c>
      <c r="O30" s="91">
        <v>35</v>
      </c>
      <c r="P30" s="92">
        <v>22.5</v>
      </c>
      <c r="Q30" s="92">
        <v>25.5</v>
      </c>
      <c r="R30" s="93">
        <f t="shared" si="2"/>
        <v>83</v>
      </c>
      <c r="S30" s="185">
        <v>3</v>
      </c>
      <c r="T30" s="839"/>
      <c r="U30" s="852"/>
      <c r="V30" s="82" t="s">
        <v>132</v>
      </c>
      <c r="W30" s="185" t="s">
        <v>22</v>
      </c>
      <c r="X30" s="185" t="s">
        <v>11</v>
      </c>
      <c r="Y30" s="83">
        <v>24.5</v>
      </c>
      <c r="Z30" s="185" t="s">
        <v>81</v>
      </c>
      <c r="AA30" s="185" t="s">
        <v>17</v>
      </c>
      <c r="AB30" s="185" t="s">
        <v>18</v>
      </c>
      <c r="AC30" s="185">
        <v>22.5</v>
      </c>
      <c r="AD30" s="82" t="s">
        <v>457</v>
      </c>
      <c r="AE30" s="185" t="s">
        <v>20</v>
      </c>
      <c r="AF30" s="185" t="s">
        <v>12</v>
      </c>
      <c r="AG30" s="83">
        <v>25.5</v>
      </c>
      <c r="AH30" s="185" t="s">
        <v>331</v>
      </c>
      <c r="AI30" s="185" t="s">
        <v>75</v>
      </c>
      <c r="AJ30" s="185" t="s">
        <v>11</v>
      </c>
      <c r="AK30" s="185">
        <v>10.5</v>
      </c>
      <c r="AL30" s="82"/>
      <c r="AO30" s="83"/>
      <c r="AP30" s="82"/>
      <c r="AS30" s="83"/>
      <c r="AW30" s="83"/>
      <c r="BA30" s="84"/>
    </row>
    <row r="31" spans="1:53" s="292" customFormat="1">
      <c r="A31" s="338">
        <v>1971</v>
      </c>
      <c r="B31" s="836">
        <v>26275</v>
      </c>
      <c r="C31" s="916" t="s">
        <v>421</v>
      </c>
      <c r="D31" s="916"/>
      <c r="E31" s="292">
        <f xml:space="preserve"> 365-E30</f>
        <v>24</v>
      </c>
      <c r="F31" s="292">
        <v>1</v>
      </c>
      <c r="G31" s="366">
        <v>3</v>
      </c>
      <c r="H31" s="292">
        <v>2</v>
      </c>
      <c r="I31" s="292">
        <v>2</v>
      </c>
      <c r="J31" s="377">
        <v>7</v>
      </c>
      <c r="K31" s="336">
        <f t="shared" si="4"/>
        <v>42.857142857142854</v>
      </c>
      <c r="L31" s="336">
        <f t="shared" si="4"/>
        <v>28.571428571428569</v>
      </c>
      <c r="M31" s="336">
        <f t="shared" si="4"/>
        <v>28.571428571428569</v>
      </c>
      <c r="N31" s="368">
        <f t="shared" si="3"/>
        <v>99.999999999999986</v>
      </c>
      <c r="O31" s="335">
        <v>36</v>
      </c>
      <c r="P31" s="336">
        <v>22</v>
      </c>
      <c r="Q31" s="336">
        <v>23</v>
      </c>
      <c r="R31" s="337">
        <f t="shared" si="2"/>
        <v>81</v>
      </c>
      <c r="S31" s="292">
        <v>3</v>
      </c>
      <c r="T31" s="838">
        <v>26237</v>
      </c>
      <c r="U31" s="836">
        <v>26275</v>
      </c>
      <c r="V31" s="299" t="s">
        <v>132</v>
      </c>
      <c r="W31" s="292" t="s">
        <v>22</v>
      </c>
      <c r="X31" s="292" t="s">
        <v>11</v>
      </c>
      <c r="Y31" s="300">
        <v>24.5</v>
      </c>
      <c r="Z31" s="292" t="s">
        <v>81</v>
      </c>
      <c r="AA31" s="292" t="s">
        <v>17</v>
      </c>
      <c r="AB31" s="292" t="s">
        <v>18</v>
      </c>
      <c r="AC31" s="292">
        <v>22</v>
      </c>
      <c r="AD31" s="299" t="s">
        <v>457</v>
      </c>
      <c r="AE31" s="292" t="s">
        <v>20</v>
      </c>
      <c r="AF31" s="292" t="s">
        <v>12</v>
      </c>
      <c r="AG31" s="300">
        <v>23</v>
      </c>
      <c r="AH31" s="292" t="s">
        <v>331</v>
      </c>
      <c r="AI31" s="292" t="s">
        <v>75</v>
      </c>
      <c r="AJ31" s="292" t="s">
        <v>11</v>
      </c>
      <c r="AK31" s="292">
        <v>11.5</v>
      </c>
      <c r="AL31" s="299"/>
      <c r="AO31" s="300"/>
      <c r="AP31" s="299"/>
      <c r="AS31" s="300"/>
      <c r="AW31" s="300"/>
      <c r="BA31" s="301"/>
    </row>
    <row r="32" spans="1:53" s="292" customFormat="1">
      <c r="A32" s="338">
        <v>1972</v>
      </c>
      <c r="B32" s="836"/>
      <c r="C32" s="916" t="s">
        <v>421</v>
      </c>
      <c r="D32" s="916"/>
      <c r="E32" s="292">
        <v>0</v>
      </c>
      <c r="G32" s="366">
        <v>3</v>
      </c>
      <c r="H32" s="292">
        <v>2</v>
      </c>
      <c r="I32" s="292">
        <v>2</v>
      </c>
      <c r="J32" s="377">
        <v>7</v>
      </c>
      <c r="K32" s="336">
        <f t="shared" si="4"/>
        <v>42.857142857142854</v>
      </c>
      <c r="L32" s="336">
        <f t="shared" si="4"/>
        <v>28.571428571428569</v>
      </c>
      <c r="M32" s="336">
        <f t="shared" si="4"/>
        <v>28.571428571428569</v>
      </c>
      <c r="N32" s="368">
        <f t="shared" si="3"/>
        <v>99.999999999999986</v>
      </c>
      <c r="O32" s="335">
        <v>36</v>
      </c>
      <c r="P32" s="336">
        <v>22</v>
      </c>
      <c r="Q32" s="336">
        <v>23</v>
      </c>
      <c r="R32" s="337">
        <f t="shared" si="2"/>
        <v>81</v>
      </c>
      <c r="S32" s="292">
        <v>3</v>
      </c>
      <c r="T32" s="838"/>
      <c r="U32" s="836"/>
      <c r="V32" s="299" t="s">
        <v>132</v>
      </c>
      <c r="W32" s="292" t="s">
        <v>22</v>
      </c>
      <c r="X32" s="292" t="s">
        <v>11</v>
      </c>
      <c r="Y32" s="300">
        <v>24.5</v>
      </c>
      <c r="Z32" s="292" t="s">
        <v>81</v>
      </c>
      <c r="AA32" s="292" t="s">
        <v>17</v>
      </c>
      <c r="AB32" s="292" t="s">
        <v>18</v>
      </c>
      <c r="AC32" s="292">
        <v>22</v>
      </c>
      <c r="AD32" s="299" t="s">
        <v>457</v>
      </c>
      <c r="AE32" s="292" t="s">
        <v>20</v>
      </c>
      <c r="AF32" s="292" t="s">
        <v>12</v>
      </c>
      <c r="AG32" s="300">
        <v>23</v>
      </c>
      <c r="AH32" s="292" t="s">
        <v>331</v>
      </c>
      <c r="AI32" s="292" t="s">
        <v>75</v>
      </c>
      <c r="AJ32" s="292" t="s">
        <v>11</v>
      </c>
      <c r="AK32" s="292">
        <v>11.5</v>
      </c>
      <c r="AL32" s="299"/>
      <c r="AO32" s="300"/>
      <c r="AP32" s="299"/>
      <c r="AS32" s="300"/>
      <c r="AW32" s="300"/>
      <c r="BA32" s="301"/>
    </row>
    <row r="33" spans="1:53" s="292" customFormat="1">
      <c r="A33" s="338">
        <v>1972</v>
      </c>
      <c r="B33" s="836"/>
      <c r="C33" s="916" t="s">
        <v>422</v>
      </c>
      <c r="D33" s="916"/>
      <c r="E33" s="292">
        <v>366</v>
      </c>
      <c r="F33" s="292">
        <v>1</v>
      </c>
      <c r="G33" s="366">
        <v>3</v>
      </c>
      <c r="H33" s="292">
        <v>2</v>
      </c>
      <c r="I33" s="292">
        <v>2</v>
      </c>
      <c r="J33" s="377">
        <v>7</v>
      </c>
      <c r="K33" s="336">
        <f t="shared" si="4"/>
        <v>42.857142857142854</v>
      </c>
      <c r="L33" s="336">
        <f t="shared" si="4"/>
        <v>28.571428571428569</v>
      </c>
      <c r="M33" s="336">
        <f t="shared" si="4"/>
        <v>28.571428571428569</v>
      </c>
      <c r="N33" s="368">
        <f t="shared" si="3"/>
        <v>99.999999999999986</v>
      </c>
      <c r="O33" s="335">
        <v>36</v>
      </c>
      <c r="P33" s="336">
        <v>22</v>
      </c>
      <c r="Q33" s="336">
        <v>23</v>
      </c>
      <c r="R33" s="337">
        <f t="shared" si="2"/>
        <v>81</v>
      </c>
      <c r="S33" s="292">
        <v>3</v>
      </c>
      <c r="T33" s="838"/>
      <c r="U33" s="836"/>
      <c r="V33" s="299" t="s">
        <v>132</v>
      </c>
      <c r="W33" s="292" t="s">
        <v>22</v>
      </c>
      <c r="X33" s="292" t="s">
        <v>11</v>
      </c>
      <c r="Y33" s="300">
        <v>24.5</v>
      </c>
      <c r="Z33" s="292" t="s">
        <v>81</v>
      </c>
      <c r="AA33" s="292" t="s">
        <v>17</v>
      </c>
      <c r="AB33" s="292" t="s">
        <v>18</v>
      </c>
      <c r="AC33" s="292">
        <v>22</v>
      </c>
      <c r="AD33" s="299" t="s">
        <v>457</v>
      </c>
      <c r="AE33" s="292" t="s">
        <v>20</v>
      </c>
      <c r="AF33" s="292" t="s">
        <v>12</v>
      </c>
      <c r="AG33" s="300">
        <v>23</v>
      </c>
      <c r="AH33" s="292" t="s">
        <v>331</v>
      </c>
      <c r="AI33" s="292" t="s">
        <v>75</v>
      </c>
      <c r="AJ33" s="292" t="s">
        <v>11</v>
      </c>
      <c r="AK33" s="292">
        <v>11.5</v>
      </c>
      <c r="AL33" s="299"/>
      <c r="AO33" s="300"/>
      <c r="AP33" s="299"/>
      <c r="AS33" s="300"/>
      <c r="AW33" s="300"/>
      <c r="BA33" s="301"/>
    </row>
    <row r="34" spans="1:53" s="292" customFormat="1">
      <c r="A34" s="338">
        <v>1973</v>
      </c>
      <c r="B34" s="836"/>
      <c r="C34" s="916" t="s">
        <v>422</v>
      </c>
      <c r="D34" s="916"/>
      <c r="E34" s="292">
        <v>0</v>
      </c>
      <c r="G34" s="366">
        <v>3</v>
      </c>
      <c r="H34" s="292">
        <v>2</v>
      </c>
      <c r="I34" s="292">
        <v>2</v>
      </c>
      <c r="J34" s="377">
        <v>7</v>
      </c>
      <c r="K34" s="336">
        <f t="shared" si="4"/>
        <v>42.857142857142854</v>
      </c>
      <c r="L34" s="336">
        <f t="shared" si="4"/>
        <v>28.571428571428569</v>
      </c>
      <c r="M34" s="336">
        <f t="shared" si="4"/>
        <v>28.571428571428569</v>
      </c>
      <c r="N34" s="368">
        <f t="shared" si="3"/>
        <v>99.999999999999986</v>
      </c>
      <c r="O34" s="335">
        <v>36</v>
      </c>
      <c r="P34" s="336">
        <v>22</v>
      </c>
      <c r="Q34" s="336">
        <v>23</v>
      </c>
      <c r="R34" s="337">
        <f t="shared" si="2"/>
        <v>81</v>
      </c>
      <c r="S34" s="292">
        <v>3</v>
      </c>
      <c r="T34" s="838"/>
      <c r="U34" s="836"/>
      <c r="V34" s="299" t="s">
        <v>132</v>
      </c>
      <c r="W34" s="292" t="s">
        <v>22</v>
      </c>
      <c r="X34" s="292" t="s">
        <v>11</v>
      </c>
      <c r="Y34" s="300">
        <v>24.5</v>
      </c>
      <c r="Z34" s="292" t="s">
        <v>81</v>
      </c>
      <c r="AA34" s="292" t="s">
        <v>17</v>
      </c>
      <c r="AB34" s="292" t="s">
        <v>18</v>
      </c>
      <c r="AC34" s="292">
        <v>22</v>
      </c>
      <c r="AD34" s="299" t="s">
        <v>457</v>
      </c>
      <c r="AE34" s="292" t="s">
        <v>20</v>
      </c>
      <c r="AF34" s="292" t="s">
        <v>12</v>
      </c>
      <c r="AG34" s="300">
        <v>23</v>
      </c>
      <c r="AH34" s="292" t="s">
        <v>331</v>
      </c>
      <c r="AI34" s="292" t="s">
        <v>75</v>
      </c>
      <c r="AJ34" s="292" t="s">
        <v>11</v>
      </c>
      <c r="AK34" s="292">
        <v>11.5</v>
      </c>
      <c r="AL34" s="299"/>
      <c r="AO34" s="300"/>
      <c r="AP34" s="299"/>
      <c r="AS34" s="300"/>
      <c r="AW34" s="300"/>
      <c r="BA34" s="301"/>
    </row>
    <row r="35" spans="1:53" s="292" customFormat="1">
      <c r="A35" s="338">
        <v>1973</v>
      </c>
      <c r="B35" s="836"/>
      <c r="C35" s="916" t="s">
        <v>423</v>
      </c>
      <c r="D35" s="916"/>
      <c r="E35" s="292">
        <v>365</v>
      </c>
      <c r="F35" s="292">
        <v>1</v>
      </c>
      <c r="G35" s="366">
        <v>3</v>
      </c>
      <c r="H35" s="292">
        <v>2</v>
      </c>
      <c r="I35" s="292">
        <v>2</v>
      </c>
      <c r="J35" s="377">
        <v>7</v>
      </c>
      <c r="K35" s="336">
        <f t="shared" si="4"/>
        <v>42.857142857142854</v>
      </c>
      <c r="L35" s="336">
        <f t="shared" si="4"/>
        <v>28.571428571428569</v>
      </c>
      <c r="M35" s="336">
        <f t="shared" si="4"/>
        <v>28.571428571428569</v>
      </c>
      <c r="N35" s="368">
        <f t="shared" si="3"/>
        <v>99.999999999999986</v>
      </c>
      <c r="O35" s="335">
        <v>36</v>
      </c>
      <c r="P35" s="336">
        <v>22</v>
      </c>
      <c r="Q35" s="336">
        <v>23</v>
      </c>
      <c r="R35" s="337">
        <f t="shared" si="2"/>
        <v>81</v>
      </c>
      <c r="S35" s="292">
        <v>3</v>
      </c>
      <c r="T35" s="838"/>
      <c r="U35" s="836"/>
      <c r="V35" s="299" t="s">
        <v>132</v>
      </c>
      <c r="W35" s="292" t="s">
        <v>22</v>
      </c>
      <c r="X35" s="292" t="s">
        <v>11</v>
      </c>
      <c r="Y35" s="300">
        <v>24.5</v>
      </c>
      <c r="Z35" s="292" t="s">
        <v>81</v>
      </c>
      <c r="AA35" s="292" t="s">
        <v>17</v>
      </c>
      <c r="AB35" s="292" t="s">
        <v>18</v>
      </c>
      <c r="AC35" s="292">
        <v>22</v>
      </c>
      <c r="AD35" s="299" t="s">
        <v>457</v>
      </c>
      <c r="AE35" s="292" t="s">
        <v>20</v>
      </c>
      <c r="AF35" s="292" t="s">
        <v>12</v>
      </c>
      <c r="AG35" s="300">
        <v>23</v>
      </c>
      <c r="AH35" s="292" t="s">
        <v>331</v>
      </c>
      <c r="AI35" s="292" t="s">
        <v>75</v>
      </c>
      <c r="AJ35" s="292" t="s">
        <v>11</v>
      </c>
      <c r="AK35" s="292">
        <v>11.5</v>
      </c>
      <c r="AL35" s="299"/>
      <c r="AO35" s="300"/>
      <c r="AP35" s="299"/>
      <c r="AS35" s="300"/>
      <c r="AW35" s="300"/>
      <c r="BA35" s="301"/>
    </row>
    <row r="36" spans="1:53" s="292" customFormat="1">
      <c r="A36" s="338">
        <v>1974</v>
      </c>
      <c r="B36" s="836"/>
      <c r="C36" s="916" t="s">
        <v>423</v>
      </c>
      <c r="D36" s="916"/>
      <c r="E36" s="292">
        <v>0</v>
      </c>
      <c r="G36" s="366">
        <v>3</v>
      </c>
      <c r="H36" s="292">
        <v>2</v>
      </c>
      <c r="I36" s="292">
        <v>2</v>
      </c>
      <c r="J36" s="377">
        <v>7</v>
      </c>
      <c r="K36" s="336">
        <f t="shared" si="4"/>
        <v>42.857142857142854</v>
      </c>
      <c r="L36" s="336">
        <f t="shared" si="4"/>
        <v>28.571428571428569</v>
      </c>
      <c r="M36" s="336">
        <f t="shared" si="4"/>
        <v>28.571428571428569</v>
      </c>
      <c r="N36" s="368">
        <f t="shared" si="3"/>
        <v>99.999999999999986</v>
      </c>
      <c r="O36" s="335">
        <v>36</v>
      </c>
      <c r="P36" s="336">
        <v>22</v>
      </c>
      <c r="Q36" s="336">
        <v>23</v>
      </c>
      <c r="R36" s="337">
        <f t="shared" si="2"/>
        <v>81</v>
      </c>
      <c r="S36" s="292">
        <v>3</v>
      </c>
      <c r="T36" s="838"/>
      <c r="U36" s="836"/>
      <c r="V36" s="299" t="s">
        <v>132</v>
      </c>
      <c r="W36" s="292" t="s">
        <v>22</v>
      </c>
      <c r="X36" s="292" t="s">
        <v>11</v>
      </c>
      <c r="Y36" s="300">
        <v>24.5</v>
      </c>
      <c r="Z36" s="292" t="s">
        <v>81</v>
      </c>
      <c r="AA36" s="292" t="s">
        <v>17</v>
      </c>
      <c r="AB36" s="292" t="s">
        <v>18</v>
      </c>
      <c r="AC36" s="292">
        <v>22</v>
      </c>
      <c r="AD36" s="299" t="s">
        <v>457</v>
      </c>
      <c r="AE36" s="292" t="s">
        <v>20</v>
      </c>
      <c r="AF36" s="292" t="s">
        <v>12</v>
      </c>
      <c r="AG36" s="300">
        <v>23</v>
      </c>
      <c r="AH36" s="292" t="s">
        <v>331</v>
      </c>
      <c r="AI36" s="292" t="s">
        <v>75</v>
      </c>
      <c r="AJ36" s="292" t="s">
        <v>11</v>
      </c>
      <c r="AK36" s="292">
        <v>11.5</v>
      </c>
      <c r="AL36" s="299"/>
      <c r="AO36" s="300"/>
      <c r="AP36" s="299"/>
      <c r="AS36" s="300"/>
      <c r="AW36" s="300"/>
      <c r="BA36" s="301"/>
    </row>
    <row r="37" spans="1:53" s="292" customFormat="1">
      <c r="A37" s="338">
        <v>1974</v>
      </c>
      <c r="B37" s="836"/>
      <c r="C37" s="916" t="s">
        <v>460</v>
      </c>
      <c r="D37" s="916"/>
      <c r="E37" s="292">
        <v>365</v>
      </c>
      <c r="F37" s="292">
        <v>1</v>
      </c>
      <c r="G37" s="366">
        <v>3</v>
      </c>
      <c r="H37" s="292">
        <v>2</v>
      </c>
      <c r="I37" s="292">
        <v>2</v>
      </c>
      <c r="J37" s="377">
        <v>7</v>
      </c>
      <c r="K37" s="336">
        <f t="shared" si="4"/>
        <v>42.857142857142854</v>
      </c>
      <c r="L37" s="336">
        <f t="shared" si="4"/>
        <v>28.571428571428569</v>
      </c>
      <c r="M37" s="336">
        <f t="shared" si="4"/>
        <v>28.571428571428569</v>
      </c>
      <c r="N37" s="368">
        <f t="shared" si="3"/>
        <v>99.999999999999986</v>
      </c>
      <c r="O37" s="335">
        <v>36</v>
      </c>
      <c r="P37" s="336">
        <v>22</v>
      </c>
      <c r="Q37" s="336">
        <v>23</v>
      </c>
      <c r="R37" s="337">
        <f t="shared" si="2"/>
        <v>81</v>
      </c>
      <c r="S37" s="292">
        <v>3</v>
      </c>
      <c r="T37" s="838"/>
      <c r="U37" s="836"/>
      <c r="V37" s="299" t="s">
        <v>132</v>
      </c>
      <c r="W37" s="292" t="s">
        <v>22</v>
      </c>
      <c r="X37" s="292" t="s">
        <v>11</v>
      </c>
      <c r="Y37" s="300">
        <v>24.5</v>
      </c>
      <c r="Z37" s="292" t="s">
        <v>81</v>
      </c>
      <c r="AA37" s="292" t="s">
        <v>17</v>
      </c>
      <c r="AB37" s="292" t="s">
        <v>18</v>
      </c>
      <c r="AC37" s="292">
        <v>22</v>
      </c>
      <c r="AD37" s="299" t="s">
        <v>457</v>
      </c>
      <c r="AE37" s="292" t="s">
        <v>20</v>
      </c>
      <c r="AF37" s="292" t="s">
        <v>12</v>
      </c>
      <c r="AG37" s="300">
        <v>23</v>
      </c>
      <c r="AH37" s="292" t="s">
        <v>331</v>
      </c>
      <c r="AI37" s="292" t="s">
        <v>75</v>
      </c>
      <c r="AJ37" s="292" t="s">
        <v>11</v>
      </c>
      <c r="AK37" s="292">
        <v>11.5</v>
      </c>
      <c r="AL37" s="299"/>
      <c r="AO37" s="300"/>
      <c r="AP37" s="299"/>
      <c r="AS37" s="300"/>
      <c r="AW37" s="300"/>
      <c r="BA37" s="301"/>
    </row>
    <row r="38" spans="1:53" s="292" customFormat="1" ht="8.25" customHeight="1">
      <c r="A38" s="338">
        <v>1975</v>
      </c>
      <c r="B38" s="836"/>
      <c r="C38" s="916" t="s">
        <v>460</v>
      </c>
      <c r="D38" s="916"/>
      <c r="E38" s="292">
        <v>343</v>
      </c>
      <c r="G38" s="366">
        <v>3</v>
      </c>
      <c r="H38" s="292">
        <v>2</v>
      </c>
      <c r="I38" s="292">
        <v>2</v>
      </c>
      <c r="J38" s="377">
        <v>7</v>
      </c>
      <c r="K38" s="336">
        <f t="shared" si="4"/>
        <v>42.857142857142854</v>
      </c>
      <c r="L38" s="336">
        <f t="shared" si="4"/>
        <v>28.571428571428569</v>
      </c>
      <c r="M38" s="336">
        <f t="shared" si="4"/>
        <v>28.571428571428569</v>
      </c>
      <c r="N38" s="368">
        <f t="shared" si="3"/>
        <v>99.999999999999986</v>
      </c>
      <c r="O38" s="335">
        <v>36</v>
      </c>
      <c r="P38" s="336">
        <v>22</v>
      </c>
      <c r="Q38" s="336">
        <v>23</v>
      </c>
      <c r="R38" s="337">
        <f t="shared" si="2"/>
        <v>81</v>
      </c>
      <c r="S38" s="292">
        <v>3</v>
      </c>
      <c r="T38" s="838"/>
      <c r="U38" s="836"/>
      <c r="V38" s="299" t="s">
        <v>132</v>
      </c>
      <c r="W38" s="292" t="s">
        <v>22</v>
      </c>
      <c r="X38" s="292" t="s">
        <v>11</v>
      </c>
      <c r="Y38" s="300">
        <v>24.5</v>
      </c>
      <c r="Z38" s="292" t="s">
        <v>81</v>
      </c>
      <c r="AA38" s="292" t="s">
        <v>17</v>
      </c>
      <c r="AB38" s="292" t="s">
        <v>18</v>
      </c>
      <c r="AC38" s="292">
        <v>22</v>
      </c>
      <c r="AD38" s="299" t="s">
        <v>457</v>
      </c>
      <c r="AE38" s="292" t="s">
        <v>20</v>
      </c>
      <c r="AF38" s="292" t="s">
        <v>12</v>
      </c>
      <c r="AG38" s="300">
        <v>23</v>
      </c>
      <c r="AH38" s="292" t="s">
        <v>331</v>
      </c>
      <c r="AI38" s="292" t="s">
        <v>75</v>
      </c>
      <c r="AJ38" s="292" t="s">
        <v>11</v>
      </c>
      <c r="AK38" s="292">
        <v>11.5</v>
      </c>
      <c r="AL38" s="299"/>
      <c r="AO38" s="300"/>
      <c r="AP38" s="299"/>
      <c r="AS38" s="300"/>
      <c r="AW38" s="300"/>
      <c r="BA38" s="301"/>
    </row>
    <row r="39" spans="1:53" s="185" customFormat="1">
      <c r="A39" s="101">
        <v>1975</v>
      </c>
      <c r="B39" s="852">
        <v>27738</v>
      </c>
      <c r="C39" s="917" t="s">
        <v>424</v>
      </c>
      <c r="D39" s="917"/>
      <c r="E39" s="185">
        <f>365-E38</f>
        <v>22</v>
      </c>
      <c r="F39" s="185">
        <v>1</v>
      </c>
      <c r="G39" s="119">
        <v>3</v>
      </c>
      <c r="H39" s="185">
        <v>2</v>
      </c>
      <c r="I39" s="185">
        <v>2</v>
      </c>
      <c r="J39" s="126">
        <v>7</v>
      </c>
      <c r="K39" s="92">
        <f t="shared" si="4"/>
        <v>42.857142857142854</v>
      </c>
      <c r="L39" s="92">
        <f t="shared" si="4"/>
        <v>28.571428571428569</v>
      </c>
      <c r="M39" s="92">
        <f t="shared" si="4"/>
        <v>28.571428571428569</v>
      </c>
      <c r="N39" s="121">
        <f t="shared" si="3"/>
        <v>99.999999999999986</v>
      </c>
      <c r="O39" s="91">
        <v>34</v>
      </c>
      <c r="P39" s="92">
        <v>23</v>
      </c>
      <c r="Q39" s="92">
        <v>27.5</v>
      </c>
      <c r="R39" s="93">
        <f t="shared" si="2"/>
        <v>84.5</v>
      </c>
      <c r="S39" s="185">
        <v>3</v>
      </c>
      <c r="T39" s="839">
        <v>27693</v>
      </c>
      <c r="U39" s="852">
        <v>27738</v>
      </c>
      <c r="V39" s="82" t="s">
        <v>132</v>
      </c>
      <c r="W39" s="185" t="s">
        <v>22</v>
      </c>
      <c r="X39" s="185" t="s">
        <v>11</v>
      </c>
      <c r="Y39" s="83">
        <v>23.5</v>
      </c>
      <c r="Z39" s="185" t="s">
        <v>81</v>
      </c>
      <c r="AA39" s="185" t="s">
        <v>17</v>
      </c>
      <c r="AB39" s="185" t="s">
        <v>18</v>
      </c>
      <c r="AC39" s="185">
        <v>23</v>
      </c>
      <c r="AD39" s="82" t="s">
        <v>457</v>
      </c>
      <c r="AE39" s="185" t="s">
        <v>20</v>
      </c>
      <c r="AF39" s="185" t="s">
        <v>12</v>
      </c>
      <c r="AG39" s="83">
        <v>27.5</v>
      </c>
      <c r="AH39" s="185" t="s">
        <v>331</v>
      </c>
      <c r="AI39" s="185" t="s">
        <v>75</v>
      </c>
      <c r="AJ39" s="185" t="s">
        <v>11</v>
      </c>
      <c r="AK39" s="185">
        <v>10.5</v>
      </c>
      <c r="AL39" s="82"/>
      <c r="AO39" s="83"/>
      <c r="AP39" s="82"/>
      <c r="AS39" s="83"/>
      <c r="AW39" s="83"/>
      <c r="BA39" s="84"/>
    </row>
    <row r="40" spans="1:53" s="185" customFormat="1">
      <c r="A40" s="101">
        <v>1976</v>
      </c>
      <c r="B40" s="852"/>
      <c r="C40" s="917" t="s">
        <v>424</v>
      </c>
      <c r="D40" s="917"/>
      <c r="E40" s="185">
        <v>0</v>
      </c>
      <c r="G40" s="119">
        <v>3</v>
      </c>
      <c r="H40" s="185">
        <v>2</v>
      </c>
      <c r="I40" s="185">
        <v>2</v>
      </c>
      <c r="J40" s="126">
        <v>7</v>
      </c>
      <c r="K40" s="92">
        <f t="shared" si="4"/>
        <v>42.857142857142854</v>
      </c>
      <c r="L40" s="92">
        <f t="shared" si="4"/>
        <v>28.571428571428569</v>
      </c>
      <c r="M40" s="92">
        <f t="shared" si="4"/>
        <v>28.571428571428569</v>
      </c>
      <c r="N40" s="121">
        <f t="shared" si="3"/>
        <v>99.999999999999986</v>
      </c>
      <c r="O40" s="91">
        <v>34</v>
      </c>
      <c r="P40" s="92">
        <v>23</v>
      </c>
      <c r="Q40" s="92">
        <v>27.5</v>
      </c>
      <c r="R40" s="93">
        <f t="shared" si="2"/>
        <v>84.5</v>
      </c>
      <c r="S40" s="185">
        <v>3</v>
      </c>
      <c r="T40" s="839"/>
      <c r="U40" s="852"/>
      <c r="V40" s="82" t="s">
        <v>132</v>
      </c>
      <c r="W40" s="185" t="s">
        <v>22</v>
      </c>
      <c r="X40" s="185" t="s">
        <v>11</v>
      </c>
      <c r="Y40" s="83">
        <v>23.5</v>
      </c>
      <c r="Z40" s="185" t="s">
        <v>81</v>
      </c>
      <c r="AA40" s="185" t="s">
        <v>17</v>
      </c>
      <c r="AB40" s="185" t="s">
        <v>18</v>
      </c>
      <c r="AC40" s="185">
        <v>23</v>
      </c>
      <c r="AD40" s="82" t="s">
        <v>457</v>
      </c>
      <c r="AE40" s="185" t="s">
        <v>20</v>
      </c>
      <c r="AF40" s="185" t="s">
        <v>12</v>
      </c>
      <c r="AG40" s="83">
        <v>27.5</v>
      </c>
      <c r="AH40" s="185" t="s">
        <v>331</v>
      </c>
      <c r="AI40" s="185" t="s">
        <v>75</v>
      </c>
      <c r="AJ40" s="185" t="s">
        <v>11</v>
      </c>
      <c r="AK40" s="185">
        <v>10.5</v>
      </c>
      <c r="AL40" s="82"/>
      <c r="AO40" s="83"/>
      <c r="AP40" s="82"/>
      <c r="AS40" s="83"/>
      <c r="AW40" s="83"/>
      <c r="BA40" s="84"/>
    </row>
    <row r="41" spans="1:53" s="185" customFormat="1">
      <c r="A41" s="101">
        <v>1976</v>
      </c>
      <c r="B41" s="852"/>
      <c r="C41" s="917" t="s">
        <v>425</v>
      </c>
      <c r="D41" s="917"/>
      <c r="E41" s="185">
        <v>366</v>
      </c>
      <c r="F41" s="185">
        <v>1</v>
      </c>
      <c r="G41" s="119">
        <v>3</v>
      </c>
      <c r="H41" s="185">
        <v>2</v>
      </c>
      <c r="I41" s="185">
        <v>2</v>
      </c>
      <c r="J41" s="126">
        <v>7</v>
      </c>
      <c r="K41" s="92">
        <f t="shared" si="4"/>
        <v>42.857142857142854</v>
      </c>
      <c r="L41" s="92">
        <f t="shared" si="4"/>
        <v>28.571428571428569</v>
      </c>
      <c r="M41" s="92">
        <f t="shared" si="4"/>
        <v>28.571428571428569</v>
      </c>
      <c r="N41" s="121">
        <f t="shared" si="3"/>
        <v>99.999999999999986</v>
      </c>
      <c r="O41" s="91">
        <v>34</v>
      </c>
      <c r="P41" s="92">
        <v>23</v>
      </c>
      <c r="Q41" s="92">
        <v>27.5</v>
      </c>
      <c r="R41" s="93">
        <f t="shared" si="2"/>
        <v>84.5</v>
      </c>
      <c r="S41" s="185">
        <v>3</v>
      </c>
      <c r="T41" s="839"/>
      <c r="U41" s="852"/>
      <c r="V41" s="82" t="s">
        <v>132</v>
      </c>
      <c r="W41" s="185" t="s">
        <v>22</v>
      </c>
      <c r="X41" s="185" t="s">
        <v>11</v>
      </c>
      <c r="Y41" s="83">
        <v>23.5</v>
      </c>
      <c r="Z41" s="185" t="s">
        <v>81</v>
      </c>
      <c r="AA41" s="185" t="s">
        <v>17</v>
      </c>
      <c r="AB41" s="185" t="s">
        <v>18</v>
      </c>
      <c r="AC41" s="185">
        <v>23</v>
      </c>
      <c r="AD41" s="82" t="s">
        <v>457</v>
      </c>
      <c r="AE41" s="185" t="s">
        <v>20</v>
      </c>
      <c r="AF41" s="185" t="s">
        <v>12</v>
      </c>
      <c r="AG41" s="83">
        <v>27.5</v>
      </c>
      <c r="AH41" s="185" t="s">
        <v>331</v>
      </c>
      <c r="AI41" s="185" t="s">
        <v>75</v>
      </c>
      <c r="AJ41" s="185" t="s">
        <v>11</v>
      </c>
      <c r="AK41" s="185">
        <v>10.5</v>
      </c>
      <c r="AL41" s="82"/>
      <c r="AO41" s="83"/>
      <c r="AP41" s="82"/>
      <c r="AS41" s="83"/>
      <c r="AW41" s="83"/>
      <c r="BA41" s="84"/>
    </row>
    <row r="42" spans="1:53" s="185" customFormat="1">
      <c r="A42" s="101">
        <v>1977</v>
      </c>
      <c r="B42" s="852"/>
      <c r="C42" s="917" t="s">
        <v>425</v>
      </c>
      <c r="D42" s="917"/>
      <c r="E42" s="185">
        <v>0</v>
      </c>
      <c r="G42" s="119">
        <v>3</v>
      </c>
      <c r="H42" s="185">
        <v>2</v>
      </c>
      <c r="I42" s="185">
        <v>2</v>
      </c>
      <c r="J42" s="126">
        <v>7</v>
      </c>
      <c r="K42" s="92">
        <f t="shared" si="4"/>
        <v>42.857142857142854</v>
      </c>
      <c r="L42" s="92">
        <f t="shared" si="4"/>
        <v>28.571428571428569</v>
      </c>
      <c r="M42" s="92">
        <f t="shared" si="4"/>
        <v>28.571428571428569</v>
      </c>
      <c r="N42" s="121">
        <f t="shared" si="3"/>
        <v>99.999999999999986</v>
      </c>
      <c r="O42" s="91">
        <v>34</v>
      </c>
      <c r="P42" s="92">
        <v>23</v>
      </c>
      <c r="Q42" s="92">
        <v>27.5</v>
      </c>
      <c r="R42" s="93">
        <f t="shared" si="2"/>
        <v>84.5</v>
      </c>
      <c r="S42" s="185">
        <v>3</v>
      </c>
      <c r="T42" s="839"/>
      <c r="U42" s="852"/>
      <c r="V42" s="82" t="s">
        <v>132</v>
      </c>
      <c r="W42" s="185" t="s">
        <v>22</v>
      </c>
      <c r="X42" s="185" t="s">
        <v>11</v>
      </c>
      <c r="Y42" s="83">
        <v>23.5</v>
      </c>
      <c r="Z42" s="185" t="s">
        <v>81</v>
      </c>
      <c r="AA42" s="185" t="s">
        <v>17</v>
      </c>
      <c r="AB42" s="185" t="s">
        <v>18</v>
      </c>
      <c r="AC42" s="185">
        <v>23</v>
      </c>
      <c r="AD42" s="82" t="s">
        <v>457</v>
      </c>
      <c r="AE42" s="185" t="s">
        <v>20</v>
      </c>
      <c r="AF42" s="185" t="s">
        <v>12</v>
      </c>
      <c r="AG42" s="83">
        <v>27.5</v>
      </c>
      <c r="AH42" s="185" t="s">
        <v>331</v>
      </c>
      <c r="AI42" s="185" t="s">
        <v>75</v>
      </c>
      <c r="AJ42" s="185" t="s">
        <v>11</v>
      </c>
      <c r="AK42" s="185">
        <v>10.5</v>
      </c>
      <c r="AL42" s="82"/>
      <c r="AO42" s="83"/>
      <c r="AP42" s="82"/>
      <c r="AS42" s="83"/>
      <c r="AW42" s="83"/>
      <c r="BA42" s="84"/>
    </row>
    <row r="43" spans="1:53" s="185" customFormat="1">
      <c r="A43" s="101">
        <v>1977</v>
      </c>
      <c r="B43" s="852"/>
      <c r="C43" s="917" t="s">
        <v>461</v>
      </c>
      <c r="D43" s="917"/>
      <c r="E43" s="185">
        <v>365</v>
      </c>
      <c r="F43" s="185">
        <v>1</v>
      </c>
      <c r="G43" s="119">
        <v>3</v>
      </c>
      <c r="H43" s="185">
        <v>2</v>
      </c>
      <c r="I43" s="185">
        <v>2</v>
      </c>
      <c r="J43" s="126">
        <v>7</v>
      </c>
      <c r="K43" s="92">
        <f t="shared" si="4"/>
        <v>42.857142857142854</v>
      </c>
      <c r="L43" s="92">
        <f t="shared" si="4"/>
        <v>28.571428571428569</v>
      </c>
      <c r="M43" s="92">
        <f t="shared" si="4"/>
        <v>28.571428571428569</v>
      </c>
      <c r="N43" s="121">
        <f t="shared" si="3"/>
        <v>99.999999999999986</v>
      </c>
      <c r="O43" s="91">
        <v>34</v>
      </c>
      <c r="P43" s="92">
        <v>23</v>
      </c>
      <c r="Q43" s="92">
        <v>27.5</v>
      </c>
      <c r="R43" s="93">
        <f t="shared" si="2"/>
        <v>84.5</v>
      </c>
      <c r="S43" s="185">
        <v>3</v>
      </c>
      <c r="T43" s="839"/>
      <c r="U43" s="852"/>
      <c r="V43" s="82" t="s">
        <v>132</v>
      </c>
      <c r="W43" s="185" t="s">
        <v>22</v>
      </c>
      <c r="X43" s="185" t="s">
        <v>11</v>
      </c>
      <c r="Y43" s="83">
        <v>23.5</v>
      </c>
      <c r="Z43" s="185" t="s">
        <v>81</v>
      </c>
      <c r="AA43" s="185" t="s">
        <v>17</v>
      </c>
      <c r="AB43" s="185" t="s">
        <v>18</v>
      </c>
      <c r="AC43" s="185">
        <v>23</v>
      </c>
      <c r="AD43" s="82" t="s">
        <v>457</v>
      </c>
      <c r="AE43" s="185" t="s">
        <v>20</v>
      </c>
      <c r="AF43" s="185" t="s">
        <v>12</v>
      </c>
      <c r="AG43" s="83">
        <v>27.5</v>
      </c>
      <c r="AH43" s="185" t="s">
        <v>331</v>
      </c>
      <c r="AI43" s="185" t="s">
        <v>75</v>
      </c>
      <c r="AJ43" s="185" t="s">
        <v>11</v>
      </c>
      <c r="AK43" s="185">
        <v>10.5</v>
      </c>
      <c r="AL43" s="82"/>
      <c r="AO43" s="83"/>
      <c r="AP43" s="82"/>
      <c r="AS43" s="83"/>
      <c r="AW43" s="83"/>
      <c r="BA43" s="84"/>
    </row>
    <row r="44" spans="1:53" s="185" customFormat="1">
      <c r="A44" s="101">
        <v>1978</v>
      </c>
      <c r="B44" s="852"/>
      <c r="C44" s="917" t="s">
        <v>461</v>
      </c>
      <c r="D44" s="917"/>
      <c r="E44" s="185">
        <v>0</v>
      </c>
      <c r="G44" s="119">
        <v>3</v>
      </c>
      <c r="H44" s="185">
        <v>2</v>
      </c>
      <c r="I44" s="185">
        <v>2</v>
      </c>
      <c r="J44" s="126">
        <v>7</v>
      </c>
      <c r="K44" s="92">
        <f t="shared" si="4"/>
        <v>42.857142857142854</v>
      </c>
      <c r="L44" s="92">
        <f t="shared" si="4"/>
        <v>28.571428571428569</v>
      </c>
      <c r="M44" s="92">
        <f t="shared" si="4"/>
        <v>28.571428571428569</v>
      </c>
      <c r="N44" s="121">
        <f t="shared" si="3"/>
        <v>99.999999999999986</v>
      </c>
      <c r="O44" s="91">
        <v>34</v>
      </c>
      <c r="P44" s="92">
        <v>23</v>
      </c>
      <c r="Q44" s="92">
        <v>27.5</v>
      </c>
      <c r="R44" s="93">
        <f t="shared" si="2"/>
        <v>84.5</v>
      </c>
      <c r="S44" s="185">
        <v>3</v>
      </c>
      <c r="T44" s="839"/>
      <c r="U44" s="852"/>
      <c r="V44" s="82" t="s">
        <v>132</v>
      </c>
      <c r="W44" s="185" t="s">
        <v>22</v>
      </c>
      <c r="X44" s="185" t="s">
        <v>11</v>
      </c>
      <c r="Y44" s="83">
        <v>23.5</v>
      </c>
      <c r="Z44" s="185" t="s">
        <v>81</v>
      </c>
      <c r="AA44" s="185" t="s">
        <v>17</v>
      </c>
      <c r="AB44" s="185" t="s">
        <v>18</v>
      </c>
      <c r="AC44" s="185">
        <v>23</v>
      </c>
      <c r="AD44" s="82" t="s">
        <v>457</v>
      </c>
      <c r="AE44" s="185" t="s">
        <v>20</v>
      </c>
      <c r="AF44" s="185" t="s">
        <v>12</v>
      </c>
      <c r="AG44" s="83">
        <v>27.5</v>
      </c>
      <c r="AH44" s="185" t="s">
        <v>331</v>
      </c>
      <c r="AI44" s="185" t="s">
        <v>75</v>
      </c>
      <c r="AJ44" s="185" t="s">
        <v>11</v>
      </c>
      <c r="AK44" s="185">
        <v>10.5</v>
      </c>
      <c r="AL44" s="82"/>
      <c r="AO44" s="83"/>
      <c r="AP44" s="82"/>
      <c r="AS44" s="83"/>
      <c r="AW44" s="83"/>
      <c r="BA44" s="84"/>
    </row>
    <row r="45" spans="1:53" s="185" customFormat="1">
      <c r="A45" s="101">
        <v>1978</v>
      </c>
      <c r="B45" s="852"/>
      <c r="C45" s="917" t="s">
        <v>426</v>
      </c>
      <c r="D45" s="917"/>
      <c r="E45" s="185">
        <v>365</v>
      </c>
      <c r="F45" s="185">
        <v>1</v>
      </c>
      <c r="G45" s="119">
        <v>3</v>
      </c>
      <c r="H45" s="185">
        <v>2</v>
      </c>
      <c r="I45" s="185">
        <v>2</v>
      </c>
      <c r="J45" s="126">
        <v>7</v>
      </c>
      <c r="K45" s="92">
        <f t="shared" si="4"/>
        <v>42.857142857142854</v>
      </c>
      <c r="L45" s="92">
        <f t="shared" si="4"/>
        <v>28.571428571428569</v>
      </c>
      <c r="M45" s="92">
        <f t="shared" si="4"/>
        <v>28.571428571428569</v>
      </c>
      <c r="N45" s="121">
        <f t="shared" si="3"/>
        <v>99.999999999999986</v>
      </c>
      <c r="O45" s="91">
        <v>34</v>
      </c>
      <c r="P45" s="92">
        <v>23</v>
      </c>
      <c r="Q45" s="92">
        <v>27.5</v>
      </c>
      <c r="R45" s="93">
        <f t="shared" si="2"/>
        <v>84.5</v>
      </c>
      <c r="S45" s="185">
        <v>3</v>
      </c>
      <c r="T45" s="839"/>
      <c r="U45" s="852"/>
      <c r="V45" s="82" t="s">
        <v>132</v>
      </c>
      <c r="W45" s="185" t="s">
        <v>22</v>
      </c>
      <c r="X45" s="185" t="s">
        <v>11</v>
      </c>
      <c r="Y45" s="83">
        <v>23.5</v>
      </c>
      <c r="Z45" s="185" t="s">
        <v>81</v>
      </c>
      <c r="AA45" s="185" t="s">
        <v>17</v>
      </c>
      <c r="AB45" s="185" t="s">
        <v>18</v>
      </c>
      <c r="AC45" s="185">
        <v>23</v>
      </c>
      <c r="AD45" s="82" t="s">
        <v>457</v>
      </c>
      <c r="AE45" s="185" t="s">
        <v>20</v>
      </c>
      <c r="AF45" s="185" t="s">
        <v>12</v>
      </c>
      <c r="AG45" s="83">
        <v>27.5</v>
      </c>
      <c r="AH45" s="185" t="s">
        <v>331</v>
      </c>
      <c r="AI45" s="185" t="s">
        <v>75</v>
      </c>
      <c r="AJ45" s="185" t="s">
        <v>11</v>
      </c>
      <c r="AK45" s="185">
        <v>10.5</v>
      </c>
      <c r="AL45" s="82"/>
      <c r="AO45" s="83"/>
      <c r="AP45" s="82"/>
      <c r="AS45" s="83"/>
      <c r="AW45" s="83"/>
      <c r="BA45" s="84"/>
    </row>
    <row r="46" spans="1:53" s="185" customFormat="1">
      <c r="A46" s="101">
        <v>1979</v>
      </c>
      <c r="B46" s="852"/>
      <c r="C46" s="917" t="s">
        <v>426</v>
      </c>
      <c r="D46" s="917"/>
      <c r="E46" s="185">
        <v>360</v>
      </c>
      <c r="G46" s="119">
        <v>3</v>
      </c>
      <c r="H46" s="185">
        <v>2</v>
      </c>
      <c r="I46" s="185">
        <v>2</v>
      </c>
      <c r="J46" s="126">
        <v>7</v>
      </c>
      <c r="K46" s="92">
        <f t="shared" si="4"/>
        <v>42.857142857142854</v>
      </c>
      <c r="L46" s="92">
        <f t="shared" si="4"/>
        <v>28.571428571428569</v>
      </c>
      <c r="M46" s="92">
        <f t="shared" si="4"/>
        <v>28.571428571428569</v>
      </c>
      <c r="N46" s="121">
        <f t="shared" si="3"/>
        <v>99.999999999999986</v>
      </c>
      <c r="O46" s="91">
        <v>34</v>
      </c>
      <c r="P46" s="92">
        <v>23</v>
      </c>
      <c r="Q46" s="92">
        <v>27.5</v>
      </c>
      <c r="R46" s="93">
        <f t="shared" si="2"/>
        <v>84.5</v>
      </c>
      <c r="S46" s="185">
        <v>3</v>
      </c>
      <c r="T46" s="839"/>
      <c r="U46" s="852"/>
      <c r="V46" s="82" t="s">
        <v>132</v>
      </c>
      <c r="W46" s="185" t="s">
        <v>22</v>
      </c>
      <c r="X46" s="185" t="s">
        <v>11</v>
      </c>
      <c r="Y46" s="83">
        <v>23.5</v>
      </c>
      <c r="Z46" s="185" t="s">
        <v>81</v>
      </c>
      <c r="AA46" s="185" t="s">
        <v>17</v>
      </c>
      <c r="AB46" s="185" t="s">
        <v>18</v>
      </c>
      <c r="AC46" s="185">
        <v>23</v>
      </c>
      <c r="AD46" s="82" t="s">
        <v>457</v>
      </c>
      <c r="AE46" s="185" t="s">
        <v>20</v>
      </c>
      <c r="AF46" s="185" t="s">
        <v>12</v>
      </c>
      <c r="AG46" s="83">
        <v>27.5</v>
      </c>
      <c r="AH46" s="185" t="s">
        <v>331</v>
      </c>
      <c r="AI46" s="185" t="s">
        <v>75</v>
      </c>
      <c r="AJ46" s="185" t="s">
        <v>11</v>
      </c>
      <c r="AK46" s="185">
        <v>10.5</v>
      </c>
      <c r="AL46" s="82"/>
      <c r="AO46" s="83"/>
      <c r="AP46" s="82"/>
      <c r="AS46" s="83"/>
      <c r="AW46" s="83"/>
      <c r="BA46" s="84"/>
    </row>
    <row r="47" spans="1:53" s="292" customFormat="1">
      <c r="A47" s="338">
        <v>1979</v>
      </c>
      <c r="B47" s="836">
        <v>29216</v>
      </c>
      <c r="C47" s="916" t="s">
        <v>427</v>
      </c>
      <c r="D47" s="916"/>
      <c r="E47" s="292">
        <f>365-E46</f>
        <v>5</v>
      </c>
      <c r="F47" s="292">
        <v>1</v>
      </c>
      <c r="G47" s="366">
        <v>3</v>
      </c>
      <c r="H47" s="292">
        <v>2</v>
      </c>
      <c r="I47" s="292">
        <v>2</v>
      </c>
      <c r="J47" s="377">
        <v>7</v>
      </c>
      <c r="K47" s="336">
        <f t="shared" si="4"/>
        <v>42.857142857142854</v>
      </c>
      <c r="L47" s="336">
        <f t="shared" si="4"/>
        <v>28.571428571428569</v>
      </c>
      <c r="M47" s="336">
        <f t="shared" si="4"/>
        <v>28.571428571428569</v>
      </c>
      <c r="N47" s="368">
        <f t="shared" si="3"/>
        <v>99.999999999999986</v>
      </c>
      <c r="O47" s="335">
        <v>37</v>
      </c>
      <c r="P47" s="336">
        <v>22</v>
      </c>
      <c r="Q47" s="336">
        <v>25.5</v>
      </c>
      <c r="R47" s="337">
        <f t="shared" si="2"/>
        <v>84.5</v>
      </c>
      <c r="S47" s="292">
        <v>3</v>
      </c>
      <c r="T47" s="838">
        <v>29149</v>
      </c>
      <c r="U47" s="836">
        <v>29216</v>
      </c>
      <c r="V47" s="299" t="s">
        <v>132</v>
      </c>
      <c r="W47" s="292" t="s">
        <v>22</v>
      </c>
      <c r="X47" s="292" t="s">
        <v>11</v>
      </c>
      <c r="Y47" s="300">
        <v>25.5</v>
      </c>
      <c r="Z47" s="292" t="s">
        <v>81</v>
      </c>
      <c r="AA47" s="292" t="s">
        <v>17</v>
      </c>
      <c r="AB47" s="292" t="s">
        <v>18</v>
      </c>
      <c r="AC47" s="292">
        <v>22</v>
      </c>
      <c r="AD47" s="299" t="s">
        <v>457</v>
      </c>
      <c r="AE47" s="292" t="s">
        <v>20</v>
      </c>
      <c r="AF47" s="292" t="s">
        <v>12</v>
      </c>
      <c r="AG47" s="300">
        <v>25.5</v>
      </c>
      <c r="AH47" s="292" t="s">
        <v>331</v>
      </c>
      <c r="AI47" s="292" t="s">
        <v>75</v>
      </c>
      <c r="AJ47" s="292" t="s">
        <v>11</v>
      </c>
      <c r="AK47" s="292">
        <v>11.5</v>
      </c>
      <c r="AL47" s="299"/>
      <c r="AO47" s="300"/>
      <c r="AP47" s="299"/>
      <c r="AS47" s="300"/>
      <c r="AW47" s="300"/>
      <c r="BA47" s="301"/>
    </row>
    <row r="48" spans="1:53" s="292" customFormat="1">
      <c r="A48" s="338">
        <v>1980</v>
      </c>
      <c r="B48" s="836"/>
      <c r="C48" s="916" t="s">
        <v>427</v>
      </c>
      <c r="D48" s="916"/>
      <c r="E48" s="292">
        <v>0</v>
      </c>
      <c r="G48" s="366">
        <v>3</v>
      </c>
      <c r="H48" s="292">
        <v>2</v>
      </c>
      <c r="I48" s="292">
        <v>2</v>
      </c>
      <c r="J48" s="377">
        <v>7</v>
      </c>
      <c r="K48" s="336">
        <f t="shared" si="4"/>
        <v>42.857142857142854</v>
      </c>
      <c r="L48" s="336">
        <f t="shared" si="4"/>
        <v>28.571428571428569</v>
      </c>
      <c r="M48" s="336">
        <f t="shared" si="4"/>
        <v>28.571428571428569</v>
      </c>
      <c r="N48" s="368">
        <f t="shared" si="3"/>
        <v>99.999999999999986</v>
      </c>
      <c r="O48" s="335">
        <v>37</v>
      </c>
      <c r="P48" s="336">
        <v>22</v>
      </c>
      <c r="Q48" s="336">
        <v>25.5</v>
      </c>
      <c r="R48" s="337">
        <f t="shared" si="2"/>
        <v>84.5</v>
      </c>
      <c r="S48" s="292">
        <v>3</v>
      </c>
      <c r="T48" s="838"/>
      <c r="U48" s="836"/>
      <c r="V48" s="299" t="s">
        <v>132</v>
      </c>
      <c r="W48" s="292" t="s">
        <v>22</v>
      </c>
      <c r="X48" s="292" t="s">
        <v>11</v>
      </c>
      <c r="Y48" s="300">
        <v>25.5</v>
      </c>
      <c r="Z48" s="292" t="s">
        <v>81</v>
      </c>
      <c r="AA48" s="292" t="s">
        <v>17</v>
      </c>
      <c r="AB48" s="292" t="s">
        <v>18</v>
      </c>
      <c r="AC48" s="292">
        <v>22</v>
      </c>
      <c r="AD48" s="299" t="s">
        <v>457</v>
      </c>
      <c r="AE48" s="292" t="s">
        <v>20</v>
      </c>
      <c r="AF48" s="292" t="s">
        <v>12</v>
      </c>
      <c r="AG48" s="300">
        <v>25.5</v>
      </c>
      <c r="AH48" s="292" t="s">
        <v>331</v>
      </c>
      <c r="AI48" s="292" t="s">
        <v>75</v>
      </c>
      <c r="AJ48" s="292" t="s">
        <v>11</v>
      </c>
      <c r="AK48" s="292">
        <v>11.5</v>
      </c>
      <c r="AL48" s="299"/>
      <c r="AO48" s="300"/>
      <c r="AP48" s="299"/>
      <c r="AS48" s="300"/>
      <c r="AW48" s="300"/>
      <c r="BA48" s="301"/>
    </row>
    <row r="49" spans="1:53" s="292" customFormat="1">
      <c r="A49" s="338">
        <v>1980</v>
      </c>
      <c r="B49" s="836"/>
      <c r="C49" s="916" t="s">
        <v>428</v>
      </c>
      <c r="D49" s="916"/>
      <c r="E49" s="292">
        <v>366</v>
      </c>
      <c r="F49" s="292">
        <v>1</v>
      </c>
      <c r="G49" s="366">
        <v>3</v>
      </c>
      <c r="H49" s="292">
        <v>2</v>
      </c>
      <c r="I49" s="292">
        <v>2</v>
      </c>
      <c r="J49" s="377">
        <v>7</v>
      </c>
      <c r="K49" s="336">
        <f t="shared" si="4"/>
        <v>42.857142857142854</v>
      </c>
      <c r="L49" s="336">
        <f t="shared" si="4"/>
        <v>28.571428571428569</v>
      </c>
      <c r="M49" s="336">
        <f t="shared" si="4"/>
        <v>28.571428571428569</v>
      </c>
      <c r="N49" s="368">
        <f t="shared" si="3"/>
        <v>99.999999999999986</v>
      </c>
      <c r="O49" s="335">
        <v>37</v>
      </c>
      <c r="P49" s="336">
        <v>22</v>
      </c>
      <c r="Q49" s="336">
        <v>25.5</v>
      </c>
      <c r="R49" s="337">
        <f t="shared" si="2"/>
        <v>84.5</v>
      </c>
      <c r="S49" s="292">
        <v>3</v>
      </c>
      <c r="T49" s="838"/>
      <c r="U49" s="836"/>
      <c r="V49" s="299" t="s">
        <v>132</v>
      </c>
      <c r="W49" s="292" t="s">
        <v>22</v>
      </c>
      <c r="X49" s="292" t="s">
        <v>11</v>
      </c>
      <c r="Y49" s="300">
        <v>25.5</v>
      </c>
      <c r="Z49" s="292" t="s">
        <v>81</v>
      </c>
      <c r="AA49" s="292" t="s">
        <v>17</v>
      </c>
      <c r="AB49" s="292" t="s">
        <v>18</v>
      </c>
      <c r="AC49" s="292">
        <v>22</v>
      </c>
      <c r="AD49" s="299" t="s">
        <v>457</v>
      </c>
      <c r="AE49" s="292" t="s">
        <v>20</v>
      </c>
      <c r="AF49" s="292" t="s">
        <v>12</v>
      </c>
      <c r="AG49" s="300">
        <v>25.5</v>
      </c>
      <c r="AH49" s="292" t="s">
        <v>331</v>
      </c>
      <c r="AI49" s="292" t="s">
        <v>75</v>
      </c>
      <c r="AJ49" s="292" t="s">
        <v>11</v>
      </c>
      <c r="AK49" s="292">
        <v>11.5</v>
      </c>
      <c r="AL49" s="299"/>
      <c r="AO49" s="300"/>
      <c r="AP49" s="299"/>
      <c r="AS49" s="300"/>
      <c r="AW49" s="300"/>
      <c r="BA49" s="301"/>
    </row>
    <row r="50" spans="1:53" s="292" customFormat="1">
      <c r="A50" s="338">
        <v>1981</v>
      </c>
      <c r="B50" s="836"/>
      <c r="C50" s="916" t="s">
        <v>428</v>
      </c>
      <c r="D50" s="916"/>
      <c r="E50" s="292">
        <v>0</v>
      </c>
      <c r="G50" s="366">
        <v>3</v>
      </c>
      <c r="H50" s="292">
        <v>2</v>
      </c>
      <c r="I50" s="292">
        <v>2</v>
      </c>
      <c r="J50" s="377">
        <v>7</v>
      </c>
      <c r="K50" s="336">
        <f t="shared" si="4"/>
        <v>42.857142857142854</v>
      </c>
      <c r="L50" s="336">
        <f t="shared" si="4"/>
        <v>28.571428571428569</v>
      </c>
      <c r="M50" s="336">
        <f t="shared" si="4"/>
        <v>28.571428571428569</v>
      </c>
      <c r="N50" s="368">
        <f t="shared" si="3"/>
        <v>99.999999999999986</v>
      </c>
      <c r="O50" s="335">
        <v>37</v>
      </c>
      <c r="P50" s="336">
        <v>22</v>
      </c>
      <c r="Q50" s="336">
        <v>25.5</v>
      </c>
      <c r="R50" s="337">
        <f t="shared" si="2"/>
        <v>84.5</v>
      </c>
      <c r="S50" s="292">
        <v>3</v>
      </c>
      <c r="T50" s="838"/>
      <c r="U50" s="836"/>
      <c r="V50" s="299" t="s">
        <v>132</v>
      </c>
      <c r="W50" s="292" t="s">
        <v>22</v>
      </c>
      <c r="X50" s="292" t="s">
        <v>11</v>
      </c>
      <c r="Y50" s="300">
        <v>25.5</v>
      </c>
      <c r="Z50" s="292" t="s">
        <v>81</v>
      </c>
      <c r="AA50" s="292" t="s">
        <v>17</v>
      </c>
      <c r="AB50" s="292" t="s">
        <v>18</v>
      </c>
      <c r="AC50" s="292">
        <v>22</v>
      </c>
      <c r="AD50" s="299" t="s">
        <v>457</v>
      </c>
      <c r="AE50" s="292" t="s">
        <v>20</v>
      </c>
      <c r="AF50" s="292" t="s">
        <v>12</v>
      </c>
      <c r="AG50" s="300">
        <v>25.5</v>
      </c>
      <c r="AH50" s="292" t="s">
        <v>331</v>
      </c>
      <c r="AI50" s="292" t="s">
        <v>75</v>
      </c>
      <c r="AJ50" s="292" t="s">
        <v>11</v>
      </c>
      <c r="AK50" s="292">
        <v>11.5</v>
      </c>
      <c r="AL50" s="299"/>
      <c r="AO50" s="300"/>
      <c r="AP50" s="299"/>
      <c r="AS50" s="300"/>
      <c r="AW50" s="300"/>
      <c r="BA50" s="301"/>
    </row>
    <row r="51" spans="1:53" s="292" customFormat="1">
      <c r="A51" s="338">
        <v>1981</v>
      </c>
      <c r="B51" s="836"/>
      <c r="C51" s="916" t="s">
        <v>429</v>
      </c>
      <c r="D51" s="916"/>
      <c r="E51" s="292">
        <v>365</v>
      </c>
      <c r="F51" s="292">
        <v>1</v>
      </c>
      <c r="G51" s="366">
        <v>3</v>
      </c>
      <c r="H51" s="292">
        <v>2</v>
      </c>
      <c r="I51" s="292">
        <v>2</v>
      </c>
      <c r="J51" s="377">
        <v>7</v>
      </c>
      <c r="K51" s="336">
        <f t="shared" si="4"/>
        <v>42.857142857142854</v>
      </c>
      <c r="L51" s="336">
        <f t="shared" si="4"/>
        <v>28.571428571428569</v>
      </c>
      <c r="M51" s="336">
        <f t="shared" si="4"/>
        <v>28.571428571428569</v>
      </c>
      <c r="N51" s="368">
        <f t="shared" si="3"/>
        <v>99.999999999999986</v>
      </c>
      <c r="O51" s="335">
        <v>37</v>
      </c>
      <c r="P51" s="336">
        <v>22</v>
      </c>
      <c r="Q51" s="336">
        <v>25.5</v>
      </c>
      <c r="R51" s="337">
        <f t="shared" si="2"/>
        <v>84.5</v>
      </c>
      <c r="S51" s="292">
        <v>3</v>
      </c>
      <c r="T51" s="838"/>
      <c r="U51" s="836"/>
      <c r="V51" s="299" t="s">
        <v>132</v>
      </c>
      <c r="W51" s="292" t="s">
        <v>22</v>
      </c>
      <c r="X51" s="292" t="s">
        <v>11</v>
      </c>
      <c r="Y51" s="300">
        <v>25.5</v>
      </c>
      <c r="Z51" s="292" t="s">
        <v>81</v>
      </c>
      <c r="AA51" s="292" t="s">
        <v>17</v>
      </c>
      <c r="AB51" s="292" t="s">
        <v>18</v>
      </c>
      <c r="AC51" s="292">
        <v>22</v>
      </c>
      <c r="AD51" s="299" t="s">
        <v>457</v>
      </c>
      <c r="AE51" s="292" t="s">
        <v>20</v>
      </c>
      <c r="AF51" s="292" t="s">
        <v>12</v>
      </c>
      <c r="AG51" s="300">
        <v>25.5</v>
      </c>
      <c r="AH51" s="292" t="s">
        <v>331</v>
      </c>
      <c r="AI51" s="292" t="s">
        <v>75</v>
      </c>
      <c r="AJ51" s="292" t="s">
        <v>11</v>
      </c>
      <c r="AK51" s="292">
        <v>11.5</v>
      </c>
      <c r="AL51" s="299"/>
      <c r="AO51" s="300"/>
      <c r="AP51" s="299"/>
      <c r="AS51" s="300"/>
      <c r="AW51" s="300"/>
      <c r="BA51" s="301"/>
    </row>
    <row r="52" spans="1:53" s="292" customFormat="1">
      <c r="A52" s="338">
        <v>1982</v>
      </c>
      <c r="B52" s="836"/>
      <c r="C52" s="916" t="s">
        <v>429</v>
      </c>
      <c r="D52" s="916"/>
      <c r="E52" s="292">
        <v>0</v>
      </c>
      <c r="G52" s="366">
        <v>3</v>
      </c>
      <c r="H52" s="292">
        <v>2</v>
      </c>
      <c r="I52" s="292">
        <v>2</v>
      </c>
      <c r="J52" s="377">
        <v>7</v>
      </c>
      <c r="K52" s="336">
        <f t="shared" si="4"/>
        <v>42.857142857142854</v>
      </c>
      <c r="L52" s="336">
        <f t="shared" si="4"/>
        <v>28.571428571428569</v>
      </c>
      <c r="M52" s="336">
        <f t="shared" si="4"/>
        <v>28.571428571428569</v>
      </c>
      <c r="N52" s="368">
        <f t="shared" si="3"/>
        <v>99.999999999999986</v>
      </c>
      <c r="O52" s="335">
        <v>37</v>
      </c>
      <c r="P52" s="336">
        <v>22</v>
      </c>
      <c r="Q52" s="336">
        <v>25.5</v>
      </c>
      <c r="R52" s="337">
        <f t="shared" si="2"/>
        <v>84.5</v>
      </c>
      <c r="S52" s="292">
        <v>3</v>
      </c>
      <c r="T52" s="838"/>
      <c r="U52" s="836"/>
      <c r="V52" s="299" t="s">
        <v>132</v>
      </c>
      <c r="W52" s="292" t="s">
        <v>22</v>
      </c>
      <c r="X52" s="292" t="s">
        <v>11</v>
      </c>
      <c r="Y52" s="300">
        <v>25.5</v>
      </c>
      <c r="Z52" s="292" t="s">
        <v>81</v>
      </c>
      <c r="AA52" s="292" t="s">
        <v>17</v>
      </c>
      <c r="AB52" s="292" t="s">
        <v>18</v>
      </c>
      <c r="AC52" s="292">
        <v>22</v>
      </c>
      <c r="AD52" s="299" t="s">
        <v>457</v>
      </c>
      <c r="AE52" s="292" t="s">
        <v>20</v>
      </c>
      <c r="AF52" s="292" t="s">
        <v>12</v>
      </c>
      <c r="AG52" s="300">
        <v>25.5</v>
      </c>
      <c r="AH52" s="292" t="s">
        <v>331</v>
      </c>
      <c r="AI52" s="292" t="s">
        <v>75</v>
      </c>
      <c r="AJ52" s="292" t="s">
        <v>11</v>
      </c>
      <c r="AK52" s="292">
        <v>11.5</v>
      </c>
      <c r="AL52" s="299"/>
      <c r="AO52" s="300"/>
      <c r="AP52" s="299"/>
      <c r="AS52" s="300"/>
      <c r="AW52" s="300"/>
      <c r="BA52" s="301"/>
    </row>
    <row r="53" spans="1:53" s="292" customFormat="1">
      <c r="A53" s="338">
        <v>1982</v>
      </c>
      <c r="B53" s="836"/>
      <c r="C53" s="916" t="s">
        <v>462</v>
      </c>
      <c r="D53" s="916"/>
      <c r="E53" s="292">
        <v>365</v>
      </c>
      <c r="F53" s="292">
        <v>1</v>
      </c>
      <c r="G53" s="366">
        <v>3</v>
      </c>
      <c r="H53" s="292">
        <v>2</v>
      </c>
      <c r="I53" s="292">
        <v>2</v>
      </c>
      <c r="J53" s="377">
        <v>7</v>
      </c>
      <c r="K53" s="336">
        <f t="shared" si="4"/>
        <v>42.857142857142854</v>
      </c>
      <c r="L53" s="336">
        <f t="shared" si="4"/>
        <v>28.571428571428569</v>
      </c>
      <c r="M53" s="336">
        <f t="shared" si="4"/>
        <v>28.571428571428569</v>
      </c>
      <c r="N53" s="368">
        <f t="shared" si="3"/>
        <v>99.999999999999986</v>
      </c>
      <c r="O53" s="335">
        <v>37</v>
      </c>
      <c r="P53" s="336">
        <v>22</v>
      </c>
      <c r="Q53" s="336">
        <v>25.5</v>
      </c>
      <c r="R53" s="337">
        <f t="shared" si="2"/>
        <v>84.5</v>
      </c>
      <c r="S53" s="292">
        <v>3</v>
      </c>
      <c r="T53" s="838"/>
      <c r="U53" s="836"/>
      <c r="V53" s="299" t="s">
        <v>132</v>
      </c>
      <c r="W53" s="292" t="s">
        <v>22</v>
      </c>
      <c r="X53" s="292" t="s">
        <v>11</v>
      </c>
      <c r="Y53" s="300">
        <v>25.5</v>
      </c>
      <c r="Z53" s="292" t="s">
        <v>81</v>
      </c>
      <c r="AA53" s="292" t="s">
        <v>17</v>
      </c>
      <c r="AB53" s="292" t="s">
        <v>18</v>
      </c>
      <c r="AC53" s="292">
        <v>22</v>
      </c>
      <c r="AD53" s="299" t="s">
        <v>457</v>
      </c>
      <c r="AE53" s="292" t="s">
        <v>20</v>
      </c>
      <c r="AF53" s="292" t="s">
        <v>12</v>
      </c>
      <c r="AG53" s="300">
        <v>25.5</v>
      </c>
      <c r="AH53" s="292" t="s">
        <v>331</v>
      </c>
      <c r="AI53" s="292" t="s">
        <v>75</v>
      </c>
      <c r="AJ53" s="292" t="s">
        <v>11</v>
      </c>
      <c r="AK53" s="292">
        <v>11.5</v>
      </c>
      <c r="AL53" s="299"/>
      <c r="AO53" s="300"/>
      <c r="AP53" s="299"/>
      <c r="AS53" s="300"/>
      <c r="AW53" s="300"/>
      <c r="BA53" s="301"/>
    </row>
    <row r="54" spans="1:53" s="292" customFormat="1">
      <c r="A54" s="338">
        <v>1983</v>
      </c>
      <c r="B54" s="836"/>
      <c r="C54" s="916" t="s">
        <v>462</v>
      </c>
      <c r="D54" s="916"/>
      <c r="E54" s="292">
        <v>352</v>
      </c>
      <c r="G54" s="366">
        <v>3</v>
      </c>
      <c r="H54" s="292">
        <v>2</v>
      </c>
      <c r="I54" s="292">
        <v>2</v>
      </c>
      <c r="J54" s="377">
        <v>7</v>
      </c>
      <c r="K54" s="336">
        <f t="shared" si="4"/>
        <v>42.857142857142854</v>
      </c>
      <c r="L54" s="336">
        <f t="shared" si="4"/>
        <v>28.571428571428569</v>
      </c>
      <c r="M54" s="336">
        <f t="shared" si="4"/>
        <v>28.571428571428569</v>
      </c>
      <c r="N54" s="368">
        <f t="shared" si="3"/>
        <v>99.999999999999986</v>
      </c>
      <c r="O54" s="335">
        <v>37</v>
      </c>
      <c r="P54" s="336">
        <v>22</v>
      </c>
      <c r="Q54" s="336">
        <v>25.5</v>
      </c>
      <c r="R54" s="337">
        <f t="shared" si="2"/>
        <v>84.5</v>
      </c>
      <c r="S54" s="292">
        <v>3</v>
      </c>
      <c r="T54" s="838"/>
      <c r="U54" s="836"/>
      <c r="V54" s="299" t="s">
        <v>132</v>
      </c>
      <c r="W54" s="292" t="s">
        <v>22</v>
      </c>
      <c r="X54" s="292" t="s">
        <v>11</v>
      </c>
      <c r="Y54" s="300">
        <v>25.5</v>
      </c>
      <c r="Z54" s="292" t="s">
        <v>81</v>
      </c>
      <c r="AA54" s="292" t="s">
        <v>17</v>
      </c>
      <c r="AB54" s="292" t="s">
        <v>18</v>
      </c>
      <c r="AC54" s="292">
        <v>22</v>
      </c>
      <c r="AD54" s="299" t="s">
        <v>457</v>
      </c>
      <c r="AE54" s="292" t="s">
        <v>20</v>
      </c>
      <c r="AF54" s="292" t="s">
        <v>12</v>
      </c>
      <c r="AG54" s="300">
        <v>25.5</v>
      </c>
      <c r="AH54" s="292" t="s">
        <v>331</v>
      </c>
      <c r="AI54" s="292" t="s">
        <v>75</v>
      </c>
      <c r="AJ54" s="292" t="s">
        <v>11</v>
      </c>
      <c r="AK54" s="292">
        <v>11.5</v>
      </c>
      <c r="AL54" s="299"/>
      <c r="AO54" s="300"/>
      <c r="AP54" s="299"/>
      <c r="AS54" s="300"/>
      <c r="AW54" s="300"/>
      <c r="BA54" s="301"/>
    </row>
    <row r="55" spans="1:53" s="185" customFormat="1">
      <c r="A55" s="101">
        <v>1983</v>
      </c>
      <c r="B55" s="852">
        <v>30669</v>
      </c>
      <c r="C55" s="917" t="s">
        <v>430</v>
      </c>
      <c r="D55" s="917"/>
      <c r="E55" s="185">
        <f>365-E54</f>
        <v>13</v>
      </c>
      <c r="F55" s="185">
        <v>1</v>
      </c>
      <c r="G55" s="119">
        <v>3</v>
      </c>
      <c r="H55" s="185">
        <v>2</v>
      </c>
      <c r="I55" s="185">
        <v>2</v>
      </c>
      <c r="J55" s="126">
        <v>7</v>
      </c>
      <c r="K55" s="92">
        <f t="shared" si="4"/>
        <v>42.857142857142854</v>
      </c>
      <c r="L55" s="92">
        <f t="shared" si="4"/>
        <v>28.571428571428569</v>
      </c>
      <c r="M55" s="92">
        <f t="shared" si="4"/>
        <v>28.571428571428569</v>
      </c>
      <c r="N55" s="121">
        <f t="shared" si="3"/>
        <v>99.999999999999986</v>
      </c>
      <c r="O55" s="91">
        <v>38.5</v>
      </c>
      <c r="P55" s="92">
        <v>21</v>
      </c>
      <c r="Q55" s="92">
        <v>23.5</v>
      </c>
      <c r="R55" s="93">
        <f t="shared" si="2"/>
        <v>83</v>
      </c>
      <c r="S55" s="185">
        <v>3</v>
      </c>
      <c r="T55" s="839">
        <v>30612</v>
      </c>
      <c r="U55" s="852">
        <v>30669</v>
      </c>
      <c r="V55" s="82" t="s">
        <v>132</v>
      </c>
      <c r="W55" s="185" t="s">
        <v>22</v>
      </c>
      <c r="X55" s="185" t="s">
        <v>11</v>
      </c>
      <c r="Y55" s="83">
        <v>27</v>
      </c>
      <c r="Z55" s="185" t="s">
        <v>81</v>
      </c>
      <c r="AA55" s="185" t="s">
        <v>17</v>
      </c>
      <c r="AB55" s="185" t="s">
        <v>18</v>
      </c>
      <c r="AC55" s="185">
        <v>21</v>
      </c>
      <c r="AD55" s="82" t="s">
        <v>457</v>
      </c>
      <c r="AE55" s="185" t="s">
        <v>20</v>
      </c>
      <c r="AF55" s="185" t="s">
        <v>12</v>
      </c>
      <c r="AG55" s="83">
        <v>23.5</v>
      </c>
      <c r="AH55" s="185" t="s">
        <v>331</v>
      </c>
      <c r="AI55" s="185" t="s">
        <v>75</v>
      </c>
      <c r="AJ55" s="185" t="s">
        <v>11</v>
      </c>
      <c r="AK55" s="185">
        <v>11.5</v>
      </c>
      <c r="AL55" s="82"/>
      <c r="AO55" s="83"/>
      <c r="AP55" s="82"/>
      <c r="AS55" s="83"/>
      <c r="AW55" s="83"/>
      <c r="BA55" s="84"/>
    </row>
    <row r="56" spans="1:53" s="185" customFormat="1">
      <c r="A56" s="101">
        <v>1984</v>
      </c>
      <c r="B56" s="852"/>
      <c r="C56" s="917" t="s">
        <v>430</v>
      </c>
      <c r="D56" s="917"/>
      <c r="E56" s="185">
        <v>0</v>
      </c>
      <c r="G56" s="119">
        <v>3</v>
      </c>
      <c r="H56" s="185">
        <v>2</v>
      </c>
      <c r="I56" s="185">
        <v>2</v>
      </c>
      <c r="J56" s="126">
        <v>7</v>
      </c>
      <c r="K56" s="92">
        <f t="shared" si="4"/>
        <v>42.857142857142854</v>
      </c>
      <c r="L56" s="92">
        <f t="shared" si="4"/>
        <v>28.571428571428569</v>
      </c>
      <c r="M56" s="92">
        <f t="shared" si="4"/>
        <v>28.571428571428569</v>
      </c>
      <c r="N56" s="121">
        <f t="shared" si="3"/>
        <v>99.999999999999986</v>
      </c>
      <c r="O56" s="91">
        <v>38.5</v>
      </c>
      <c r="P56" s="92">
        <v>21</v>
      </c>
      <c r="Q56" s="92">
        <v>23.5</v>
      </c>
      <c r="R56" s="93">
        <f t="shared" si="2"/>
        <v>83</v>
      </c>
      <c r="S56" s="185">
        <v>3</v>
      </c>
      <c r="T56" s="839"/>
      <c r="U56" s="852"/>
      <c r="V56" s="82" t="s">
        <v>132</v>
      </c>
      <c r="W56" s="185" t="s">
        <v>22</v>
      </c>
      <c r="X56" s="185" t="s">
        <v>11</v>
      </c>
      <c r="Y56" s="83">
        <v>27</v>
      </c>
      <c r="Z56" s="185" t="s">
        <v>81</v>
      </c>
      <c r="AA56" s="185" t="s">
        <v>17</v>
      </c>
      <c r="AB56" s="185" t="s">
        <v>18</v>
      </c>
      <c r="AC56" s="185">
        <v>21</v>
      </c>
      <c r="AD56" s="82" t="s">
        <v>457</v>
      </c>
      <c r="AE56" s="185" t="s">
        <v>20</v>
      </c>
      <c r="AF56" s="185" t="s">
        <v>12</v>
      </c>
      <c r="AG56" s="83">
        <v>23.5</v>
      </c>
      <c r="AH56" s="185" t="s">
        <v>331</v>
      </c>
      <c r="AI56" s="185" t="s">
        <v>75</v>
      </c>
      <c r="AJ56" s="185" t="s">
        <v>11</v>
      </c>
      <c r="AK56" s="185">
        <v>11.5</v>
      </c>
      <c r="AL56" s="82"/>
      <c r="AO56" s="83"/>
      <c r="AP56" s="82"/>
      <c r="AS56" s="83"/>
      <c r="AW56" s="83"/>
      <c r="BA56" s="84"/>
    </row>
    <row r="57" spans="1:53" s="185" customFormat="1">
      <c r="A57" s="101">
        <v>1984</v>
      </c>
      <c r="B57" s="852"/>
      <c r="C57" s="917" t="s">
        <v>431</v>
      </c>
      <c r="D57" s="917"/>
      <c r="E57" s="185">
        <v>366</v>
      </c>
      <c r="F57" s="185">
        <v>1</v>
      </c>
      <c r="G57" s="119">
        <v>3</v>
      </c>
      <c r="H57" s="185">
        <v>2</v>
      </c>
      <c r="I57" s="185">
        <v>2</v>
      </c>
      <c r="J57" s="126">
        <v>7</v>
      </c>
      <c r="K57" s="92">
        <f t="shared" si="4"/>
        <v>42.857142857142854</v>
      </c>
      <c r="L57" s="92">
        <f t="shared" si="4"/>
        <v>28.571428571428569</v>
      </c>
      <c r="M57" s="92">
        <f t="shared" si="4"/>
        <v>28.571428571428569</v>
      </c>
      <c r="N57" s="121">
        <f t="shared" si="3"/>
        <v>99.999999999999986</v>
      </c>
      <c r="O57" s="91">
        <v>38.5</v>
      </c>
      <c r="P57" s="92">
        <v>21</v>
      </c>
      <c r="Q57" s="92">
        <v>23.5</v>
      </c>
      <c r="R57" s="93">
        <f t="shared" si="2"/>
        <v>83</v>
      </c>
      <c r="S57" s="185">
        <v>3</v>
      </c>
      <c r="T57" s="839"/>
      <c r="U57" s="852"/>
      <c r="V57" s="82" t="s">
        <v>132</v>
      </c>
      <c r="W57" s="185" t="s">
        <v>22</v>
      </c>
      <c r="X57" s="185" t="s">
        <v>11</v>
      </c>
      <c r="Y57" s="83">
        <v>27</v>
      </c>
      <c r="Z57" s="185" t="s">
        <v>81</v>
      </c>
      <c r="AA57" s="185" t="s">
        <v>17</v>
      </c>
      <c r="AB57" s="185" t="s">
        <v>18</v>
      </c>
      <c r="AC57" s="185">
        <v>21</v>
      </c>
      <c r="AD57" s="82" t="s">
        <v>457</v>
      </c>
      <c r="AE57" s="185" t="s">
        <v>20</v>
      </c>
      <c r="AF57" s="185" t="s">
        <v>12</v>
      </c>
      <c r="AG57" s="83">
        <v>23.5</v>
      </c>
      <c r="AH57" s="185" t="s">
        <v>331</v>
      </c>
      <c r="AI57" s="185" t="s">
        <v>75</v>
      </c>
      <c r="AJ57" s="185" t="s">
        <v>11</v>
      </c>
      <c r="AK57" s="185">
        <v>11.5</v>
      </c>
      <c r="AL57" s="82"/>
      <c r="AO57" s="83"/>
      <c r="AP57" s="82"/>
      <c r="AS57" s="83"/>
      <c r="AW57" s="83"/>
      <c r="BA57" s="84"/>
    </row>
    <row r="58" spans="1:53" s="185" customFormat="1">
      <c r="A58" s="101">
        <v>1985</v>
      </c>
      <c r="B58" s="852"/>
      <c r="C58" s="917" t="s">
        <v>431</v>
      </c>
      <c r="D58" s="917"/>
      <c r="E58" s="185">
        <v>0</v>
      </c>
      <c r="G58" s="119">
        <v>3</v>
      </c>
      <c r="H58" s="185">
        <v>2</v>
      </c>
      <c r="I58" s="185">
        <v>2</v>
      </c>
      <c r="J58" s="126">
        <v>7</v>
      </c>
      <c r="K58" s="92">
        <f t="shared" si="4"/>
        <v>42.857142857142854</v>
      </c>
      <c r="L58" s="92">
        <f t="shared" si="4"/>
        <v>28.571428571428569</v>
      </c>
      <c r="M58" s="92">
        <f t="shared" si="4"/>
        <v>28.571428571428569</v>
      </c>
      <c r="N58" s="121">
        <f t="shared" si="3"/>
        <v>99.999999999999986</v>
      </c>
      <c r="O58" s="91">
        <v>38.5</v>
      </c>
      <c r="P58" s="92">
        <v>21</v>
      </c>
      <c r="Q58" s="92">
        <v>23.5</v>
      </c>
      <c r="R58" s="93">
        <f t="shared" si="2"/>
        <v>83</v>
      </c>
      <c r="S58" s="185">
        <v>3</v>
      </c>
      <c r="T58" s="839"/>
      <c r="U58" s="852"/>
      <c r="V58" s="82" t="s">
        <v>132</v>
      </c>
      <c r="W58" s="185" t="s">
        <v>22</v>
      </c>
      <c r="X58" s="185" t="s">
        <v>11</v>
      </c>
      <c r="Y58" s="83">
        <v>27</v>
      </c>
      <c r="Z58" s="185" t="s">
        <v>81</v>
      </c>
      <c r="AA58" s="185" t="s">
        <v>17</v>
      </c>
      <c r="AB58" s="185" t="s">
        <v>18</v>
      </c>
      <c r="AC58" s="185">
        <v>21</v>
      </c>
      <c r="AD58" s="82" t="s">
        <v>457</v>
      </c>
      <c r="AE58" s="185" t="s">
        <v>20</v>
      </c>
      <c r="AF58" s="185" t="s">
        <v>12</v>
      </c>
      <c r="AG58" s="83">
        <v>23.5</v>
      </c>
      <c r="AH58" s="185" t="s">
        <v>331</v>
      </c>
      <c r="AI58" s="185" t="s">
        <v>75</v>
      </c>
      <c r="AJ58" s="185" t="s">
        <v>11</v>
      </c>
      <c r="AK58" s="185">
        <v>11.5</v>
      </c>
      <c r="AL58" s="82"/>
      <c r="AO58" s="83"/>
      <c r="AP58" s="82"/>
      <c r="AS58" s="83"/>
      <c r="AW58" s="83"/>
      <c r="BA58" s="84"/>
    </row>
    <row r="59" spans="1:53" s="185" customFormat="1">
      <c r="A59" s="101">
        <v>1985</v>
      </c>
      <c r="B59" s="852"/>
      <c r="C59" s="917" t="s">
        <v>432</v>
      </c>
      <c r="D59" s="917"/>
      <c r="E59" s="185">
        <v>365</v>
      </c>
      <c r="F59" s="185">
        <v>1</v>
      </c>
      <c r="G59" s="119">
        <v>3</v>
      </c>
      <c r="H59" s="185">
        <v>2</v>
      </c>
      <c r="I59" s="185">
        <v>2</v>
      </c>
      <c r="J59" s="126">
        <v>7</v>
      </c>
      <c r="K59" s="92">
        <f t="shared" si="4"/>
        <v>42.857142857142854</v>
      </c>
      <c r="L59" s="92">
        <f t="shared" si="4"/>
        <v>28.571428571428569</v>
      </c>
      <c r="M59" s="92">
        <f t="shared" si="4"/>
        <v>28.571428571428569</v>
      </c>
      <c r="N59" s="121">
        <f t="shared" si="3"/>
        <v>99.999999999999986</v>
      </c>
      <c r="O59" s="91">
        <v>38.5</v>
      </c>
      <c r="P59" s="92">
        <v>21</v>
      </c>
      <c r="Q59" s="92">
        <v>23.5</v>
      </c>
      <c r="R59" s="93">
        <f t="shared" si="2"/>
        <v>83</v>
      </c>
      <c r="S59" s="185">
        <v>3</v>
      </c>
      <c r="T59" s="839"/>
      <c r="U59" s="852"/>
      <c r="V59" s="82" t="s">
        <v>132</v>
      </c>
      <c r="W59" s="185" t="s">
        <v>22</v>
      </c>
      <c r="X59" s="185" t="s">
        <v>11</v>
      </c>
      <c r="Y59" s="83">
        <v>27</v>
      </c>
      <c r="Z59" s="185" t="s">
        <v>81</v>
      </c>
      <c r="AA59" s="185" t="s">
        <v>17</v>
      </c>
      <c r="AB59" s="185" t="s">
        <v>18</v>
      </c>
      <c r="AC59" s="185">
        <v>21</v>
      </c>
      <c r="AD59" s="82" t="s">
        <v>457</v>
      </c>
      <c r="AE59" s="185" t="s">
        <v>20</v>
      </c>
      <c r="AF59" s="185" t="s">
        <v>12</v>
      </c>
      <c r="AG59" s="83">
        <v>23.5</v>
      </c>
      <c r="AH59" s="185" t="s">
        <v>331</v>
      </c>
      <c r="AI59" s="185" t="s">
        <v>75</v>
      </c>
      <c r="AJ59" s="185" t="s">
        <v>11</v>
      </c>
      <c r="AK59" s="185">
        <v>11.5</v>
      </c>
      <c r="AL59" s="82"/>
      <c r="AO59" s="83"/>
      <c r="AP59" s="82"/>
      <c r="AS59" s="83"/>
      <c r="AW59" s="83"/>
      <c r="BA59" s="84"/>
    </row>
    <row r="60" spans="1:53" s="185" customFormat="1">
      <c r="A60" s="101">
        <v>1986</v>
      </c>
      <c r="B60" s="852"/>
      <c r="C60" s="917" t="s">
        <v>432</v>
      </c>
      <c r="D60" s="917"/>
      <c r="E60" s="185">
        <v>0</v>
      </c>
      <c r="G60" s="119">
        <v>3</v>
      </c>
      <c r="H60" s="185">
        <v>2</v>
      </c>
      <c r="I60" s="185">
        <v>2</v>
      </c>
      <c r="J60" s="126">
        <v>7</v>
      </c>
      <c r="K60" s="92">
        <f>G60/J60*100</f>
        <v>42.857142857142854</v>
      </c>
      <c r="L60" s="92">
        <f>H60/J60*100</f>
        <v>28.571428571428569</v>
      </c>
      <c r="M60" s="92">
        <f>I60/J60*100</f>
        <v>28.571428571428569</v>
      </c>
      <c r="N60" s="121">
        <f t="shared" si="3"/>
        <v>99.999999999999986</v>
      </c>
      <c r="O60" s="91">
        <v>38.5</v>
      </c>
      <c r="P60" s="92">
        <v>21</v>
      </c>
      <c r="Q60" s="92">
        <v>23.5</v>
      </c>
      <c r="R60" s="93">
        <f t="shared" si="2"/>
        <v>83</v>
      </c>
      <c r="S60" s="185">
        <v>3</v>
      </c>
      <c r="T60" s="839"/>
      <c r="U60" s="852"/>
      <c r="V60" s="82" t="s">
        <v>132</v>
      </c>
      <c r="W60" s="185" t="s">
        <v>22</v>
      </c>
      <c r="X60" s="185" t="s">
        <v>11</v>
      </c>
      <c r="Y60" s="83">
        <v>27</v>
      </c>
      <c r="Z60" s="185" t="s">
        <v>81</v>
      </c>
      <c r="AA60" s="185" t="s">
        <v>17</v>
      </c>
      <c r="AB60" s="185" t="s">
        <v>18</v>
      </c>
      <c r="AC60" s="185">
        <v>21</v>
      </c>
      <c r="AD60" s="82" t="s">
        <v>457</v>
      </c>
      <c r="AE60" s="185" t="s">
        <v>20</v>
      </c>
      <c r="AF60" s="185" t="s">
        <v>12</v>
      </c>
      <c r="AG60" s="83">
        <v>23.5</v>
      </c>
      <c r="AH60" s="185" t="s">
        <v>331</v>
      </c>
      <c r="AI60" s="185" t="s">
        <v>75</v>
      </c>
      <c r="AJ60" s="185" t="s">
        <v>11</v>
      </c>
      <c r="AK60" s="185">
        <v>11.5</v>
      </c>
      <c r="AL60" s="82"/>
      <c r="AO60" s="83"/>
      <c r="AP60" s="82"/>
      <c r="AS60" s="83"/>
      <c r="AW60" s="83"/>
      <c r="BA60" s="84"/>
    </row>
    <row r="61" spans="1:53" s="185" customFormat="1">
      <c r="A61" s="101">
        <v>1986</v>
      </c>
      <c r="B61" s="852"/>
      <c r="C61" s="917" t="s">
        <v>463</v>
      </c>
      <c r="D61" s="917"/>
      <c r="E61" s="185">
        <v>365</v>
      </c>
      <c r="F61" s="185">
        <v>1</v>
      </c>
      <c r="G61" s="119">
        <v>3</v>
      </c>
      <c r="H61" s="185">
        <v>2</v>
      </c>
      <c r="I61" s="185">
        <v>2</v>
      </c>
      <c r="J61" s="126">
        <v>7</v>
      </c>
      <c r="K61" s="92">
        <f t="shared" ref="K61:K68" si="5">G61/J61*100</f>
        <v>42.857142857142854</v>
      </c>
      <c r="L61" s="92">
        <f t="shared" ref="L61:L68" si="6">H61/J61*100</f>
        <v>28.571428571428569</v>
      </c>
      <c r="M61" s="92">
        <f t="shared" ref="M61:M68" si="7">I61/J61*100</f>
        <v>28.571428571428569</v>
      </c>
      <c r="N61" s="121">
        <f t="shared" si="3"/>
        <v>99.999999999999986</v>
      </c>
      <c r="O61" s="91">
        <v>38.5</v>
      </c>
      <c r="P61" s="92">
        <v>21</v>
      </c>
      <c r="Q61" s="92">
        <v>23.5</v>
      </c>
      <c r="R61" s="93">
        <f t="shared" si="2"/>
        <v>83</v>
      </c>
      <c r="S61" s="185">
        <v>3</v>
      </c>
      <c r="T61" s="839"/>
      <c r="U61" s="852"/>
      <c r="V61" s="82" t="s">
        <v>132</v>
      </c>
      <c r="W61" s="185" t="s">
        <v>22</v>
      </c>
      <c r="X61" s="185" t="s">
        <v>11</v>
      </c>
      <c r="Y61" s="83">
        <v>27</v>
      </c>
      <c r="Z61" s="185" t="s">
        <v>81</v>
      </c>
      <c r="AA61" s="185" t="s">
        <v>17</v>
      </c>
      <c r="AB61" s="185" t="s">
        <v>18</v>
      </c>
      <c r="AC61" s="185">
        <v>21</v>
      </c>
      <c r="AD61" s="82" t="s">
        <v>457</v>
      </c>
      <c r="AE61" s="185" t="s">
        <v>20</v>
      </c>
      <c r="AF61" s="185" t="s">
        <v>12</v>
      </c>
      <c r="AG61" s="83">
        <v>23.5</v>
      </c>
      <c r="AH61" s="185" t="s">
        <v>331</v>
      </c>
      <c r="AI61" s="185" t="s">
        <v>75</v>
      </c>
      <c r="AJ61" s="185" t="s">
        <v>11</v>
      </c>
      <c r="AK61" s="185">
        <v>11.5</v>
      </c>
      <c r="AL61" s="82"/>
      <c r="AO61" s="83"/>
      <c r="AP61" s="82"/>
      <c r="AS61" s="83"/>
      <c r="AW61" s="83"/>
      <c r="BA61" s="84"/>
    </row>
    <row r="62" spans="1:53" s="185" customFormat="1">
      <c r="A62" s="101">
        <v>1987</v>
      </c>
      <c r="B62" s="852"/>
      <c r="C62" s="917" t="s">
        <v>463</v>
      </c>
      <c r="D62" s="917"/>
      <c r="E62" s="185">
        <v>342</v>
      </c>
      <c r="G62" s="119">
        <v>3</v>
      </c>
      <c r="H62" s="185">
        <v>2</v>
      </c>
      <c r="I62" s="185">
        <v>2</v>
      </c>
      <c r="J62" s="126">
        <v>7</v>
      </c>
      <c r="K62" s="92">
        <f t="shared" si="5"/>
        <v>42.857142857142854</v>
      </c>
      <c r="L62" s="92">
        <f t="shared" si="6"/>
        <v>28.571428571428569</v>
      </c>
      <c r="M62" s="92">
        <f t="shared" si="7"/>
        <v>28.571428571428569</v>
      </c>
      <c r="N62" s="121">
        <f t="shared" si="3"/>
        <v>99.999999999999986</v>
      </c>
      <c r="O62" s="91">
        <v>38.5</v>
      </c>
      <c r="P62" s="92">
        <v>21</v>
      </c>
      <c r="Q62" s="92">
        <v>23.5</v>
      </c>
      <c r="R62" s="93">
        <f t="shared" si="2"/>
        <v>83</v>
      </c>
      <c r="S62" s="81">
        <v>3</v>
      </c>
      <c r="T62" s="839"/>
      <c r="U62" s="852"/>
      <c r="V62" s="82" t="s">
        <v>132</v>
      </c>
      <c r="W62" s="185" t="s">
        <v>22</v>
      </c>
      <c r="X62" s="185" t="s">
        <v>11</v>
      </c>
      <c r="Y62" s="83">
        <v>27</v>
      </c>
      <c r="Z62" s="185" t="s">
        <v>81</v>
      </c>
      <c r="AA62" s="185" t="s">
        <v>17</v>
      </c>
      <c r="AB62" s="185" t="s">
        <v>18</v>
      </c>
      <c r="AC62" s="185">
        <v>21</v>
      </c>
      <c r="AD62" s="82" t="s">
        <v>457</v>
      </c>
      <c r="AE62" s="185" t="s">
        <v>20</v>
      </c>
      <c r="AF62" s="185" t="s">
        <v>12</v>
      </c>
      <c r="AG62" s="83">
        <v>23.5</v>
      </c>
      <c r="AH62" s="185" t="s">
        <v>331</v>
      </c>
      <c r="AI62" s="185" t="s">
        <v>75</v>
      </c>
      <c r="AJ62" s="185" t="s">
        <v>11</v>
      </c>
      <c r="AK62" s="185">
        <v>11.5</v>
      </c>
      <c r="AL62" s="82"/>
      <c r="AO62" s="83"/>
      <c r="AP62" s="82"/>
      <c r="AS62" s="83"/>
      <c r="AW62" s="83"/>
      <c r="BA62" s="84"/>
    </row>
    <row r="63" spans="1:53" s="292" customFormat="1">
      <c r="A63" s="338">
        <v>1987</v>
      </c>
      <c r="B63" s="836">
        <v>32120</v>
      </c>
      <c r="C63" s="916" t="s">
        <v>464</v>
      </c>
      <c r="D63" s="916"/>
      <c r="E63" s="292">
        <f>365-E62</f>
        <v>23</v>
      </c>
      <c r="F63" s="292">
        <v>1</v>
      </c>
      <c r="G63" s="366">
        <v>3</v>
      </c>
      <c r="H63" s="292">
        <v>2</v>
      </c>
      <c r="I63" s="292">
        <v>2</v>
      </c>
      <c r="J63" s="377">
        <v>7</v>
      </c>
      <c r="K63" s="336">
        <f t="shared" si="5"/>
        <v>42.857142857142854</v>
      </c>
      <c r="L63" s="336">
        <f t="shared" si="6"/>
        <v>28.571428571428569</v>
      </c>
      <c r="M63" s="336">
        <f t="shared" si="7"/>
        <v>28.571428571428569</v>
      </c>
      <c r="N63" s="368">
        <f t="shared" si="3"/>
        <v>99.999999999999986</v>
      </c>
      <c r="O63" s="335">
        <v>38</v>
      </c>
      <c r="P63" s="336">
        <v>21</v>
      </c>
      <c r="Q63" s="336">
        <v>20.5</v>
      </c>
      <c r="R63" s="337">
        <f t="shared" si="2"/>
        <v>79.5</v>
      </c>
      <c r="S63" s="312">
        <v>3</v>
      </c>
      <c r="T63" s="838">
        <v>32068</v>
      </c>
      <c r="U63" s="836">
        <v>32120</v>
      </c>
      <c r="V63" s="299" t="s">
        <v>132</v>
      </c>
      <c r="W63" s="292" t="s">
        <v>22</v>
      </c>
      <c r="X63" s="292" t="s">
        <v>11</v>
      </c>
      <c r="Y63" s="300">
        <v>25.5</v>
      </c>
      <c r="Z63" s="292" t="s">
        <v>81</v>
      </c>
      <c r="AA63" s="292" t="s">
        <v>17</v>
      </c>
      <c r="AB63" s="292" t="s">
        <v>18</v>
      </c>
      <c r="AC63" s="292">
        <v>21</v>
      </c>
      <c r="AD63" s="299" t="s">
        <v>457</v>
      </c>
      <c r="AE63" s="292" t="s">
        <v>20</v>
      </c>
      <c r="AF63" s="292" t="s">
        <v>12</v>
      </c>
      <c r="AG63" s="300">
        <v>20.5</v>
      </c>
      <c r="AH63" s="292" t="s">
        <v>331</v>
      </c>
      <c r="AI63" s="292" t="s">
        <v>75</v>
      </c>
      <c r="AJ63" s="292" t="s">
        <v>11</v>
      </c>
      <c r="AK63" s="292">
        <v>12.5</v>
      </c>
      <c r="AL63" s="299"/>
      <c r="AO63" s="300"/>
      <c r="AP63" s="299"/>
      <c r="AS63" s="300"/>
      <c r="AW63" s="300"/>
      <c r="BA63" s="301"/>
    </row>
    <row r="64" spans="1:53" s="292" customFormat="1">
      <c r="A64" s="338">
        <v>1988</v>
      </c>
      <c r="B64" s="836"/>
      <c r="C64" s="916" t="s">
        <v>464</v>
      </c>
      <c r="D64" s="916"/>
      <c r="E64" s="292">
        <v>0</v>
      </c>
      <c r="G64" s="366">
        <v>3</v>
      </c>
      <c r="H64" s="292">
        <v>2</v>
      </c>
      <c r="I64" s="292">
        <v>2</v>
      </c>
      <c r="J64" s="377">
        <v>7</v>
      </c>
      <c r="K64" s="336">
        <f t="shared" si="5"/>
        <v>42.857142857142854</v>
      </c>
      <c r="L64" s="336">
        <f t="shared" si="6"/>
        <v>28.571428571428569</v>
      </c>
      <c r="M64" s="336">
        <f t="shared" si="7"/>
        <v>28.571428571428569</v>
      </c>
      <c r="N64" s="368">
        <f t="shared" si="3"/>
        <v>99.999999999999986</v>
      </c>
      <c r="O64" s="335">
        <v>38</v>
      </c>
      <c r="P64" s="336">
        <v>21</v>
      </c>
      <c r="Q64" s="336">
        <v>20.5</v>
      </c>
      <c r="R64" s="337">
        <f t="shared" si="2"/>
        <v>79.5</v>
      </c>
      <c r="S64" s="312">
        <v>3</v>
      </c>
      <c r="T64" s="838"/>
      <c r="U64" s="836"/>
      <c r="V64" s="299" t="s">
        <v>132</v>
      </c>
      <c r="W64" s="292" t="s">
        <v>22</v>
      </c>
      <c r="X64" s="292" t="s">
        <v>11</v>
      </c>
      <c r="Y64" s="300">
        <v>25.5</v>
      </c>
      <c r="Z64" s="292" t="s">
        <v>81</v>
      </c>
      <c r="AA64" s="292" t="s">
        <v>17</v>
      </c>
      <c r="AB64" s="292" t="s">
        <v>18</v>
      </c>
      <c r="AC64" s="292">
        <v>21</v>
      </c>
      <c r="AD64" s="299" t="s">
        <v>457</v>
      </c>
      <c r="AE64" s="292" t="s">
        <v>20</v>
      </c>
      <c r="AF64" s="292" t="s">
        <v>12</v>
      </c>
      <c r="AG64" s="300">
        <v>20.5</v>
      </c>
      <c r="AH64" s="292" t="s">
        <v>331</v>
      </c>
      <c r="AI64" s="292" t="s">
        <v>75</v>
      </c>
      <c r="AJ64" s="292" t="s">
        <v>11</v>
      </c>
      <c r="AK64" s="292">
        <v>12.5</v>
      </c>
      <c r="AL64" s="299"/>
      <c r="AO64" s="300"/>
      <c r="AP64" s="299"/>
      <c r="AS64" s="300"/>
      <c r="AW64" s="300"/>
      <c r="BA64" s="301"/>
    </row>
    <row r="65" spans="1:53" s="292" customFormat="1">
      <c r="A65" s="338">
        <v>1988</v>
      </c>
      <c r="B65" s="836"/>
      <c r="C65" s="916" t="s">
        <v>433</v>
      </c>
      <c r="D65" s="916"/>
      <c r="E65" s="292">
        <v>366</v>
      </c>
      <c r="F65" s="292">
        <v>1</v>
      </c>
      <c r="G65" s="366">
        <v>3</v>
      </c>
      <c r="H65" s="292">
        <v>2</v>
      </c>
      <c r="I65" s="292">
        <v>2</v>
      </c>
      <c r="J65" s="377">
        <v>7</v>
      </c>
      <c r="K65" s="336">
        <f t="shared" si="5"/>
        <v>42.857142857142854</v>
      </c>
      <c r="L65" s="336">
        <f t="shared" si="6"/>
        <v>28.571428571428569</v>
      </c>
      <c r="M65" s="336">
        <f t="shared" si="7"/>
        <v>28.571428571428569</v>
      </c>
      <c r="N65" s="368">
        <f t="shared" si="3"/>
        <v>99.999999999999986</v>
      </c>
      <c r="O65" s="335">
        <v>38</v>
      </c>
      <c r="P65" s="336">
        <v>21</v>
      </c>
      <c r="Q65" s="336">
        <v>20.5</v>
      </c>
      <c r="R65" s="337">
        <f t="shared" si="2"/>
        <v>79.5</v>
      </c>
      <c r="S65" s="312">
        <v>3</v>
      </c>
      <c r="T65" s="838"/>
      <c r="U65" s="836"/>
      <c r="V65" s="299" t="s">
        <v>132</v>
      </c>
      <c r="W65" s="292" t="s">
        <v>22</v>
      </c>
      <c r="X65" s="292" t="s">
        <v>11</v>
      </c>
      <c r="Y65" s="300">
        <v>25.5</v>
      </c>
      <c r="Z65" s="292" t="s">
        <v>81</v>
      </c>
      <c r="AA65" s="292" t="s">
        <v>17</v>
      </c>
      <c r="AB65" s="292" t="s">
        <v>18</v>
      </c>
      <c r="AC65" s="292">
        <v>21</v>
      </c>
      <c r="AD65" s="299" t="s">
        <v>457</v>
      </c>
      <c r="AE65" s="292" t="s">
        <v>20</v>
      </c>
      <c r="AF65" s="292" t="s">
        <v>12</v>
      </c>
      <c r="AG65" s="300">
        <v>20.5</v>
      </c>
      <c r="AH65" s="292" t="s">
        <v>331</v>
      </c>
      <c r="AI65" s="292" t="s">
        <v>75</v>
      </c>
      <c r="AJ65" s="292" t="s">
        <v>11</v>
      </c>
      <c r="AK65" s="292">
        <v>12.5</v>
      </c>
      <c r="AL65" s="299"/>
      <c r="AO65" s="300"/>
      <c r="AP65" s="299"/>
      <c r="AS65" s="300"/>
      <c r="AW65" s="300"/>
      <c r="BA65" s="301"/>
    </row>
    <row r="66" spans="1:53" s="292" customFormat="1">
      <c r="A66" s="338">
        <v>1989</v>
      </c>
      <c r="B66" s="836"/>
      <c r="C66" s="916" t="s">
        <v>433</v>
      </c>
      <c r="D66" s="916"/>
      <c r="E66" s="292">
        <v>0</v>
      </c>
      <c r="G66" s="366">
        <v>3</v>
      </c>
      <c r="H66" s="292">
        <v>2</v>
      </c>
      <c r="I66" s="292">
        <v>2</v>
      </c>
      <c r="J66" s="377">
        <v>7</v>
      </c>
      <c r="K66" s="336">
        <f t="shared" si="5"/>
        <v>42.857142857142854</v>
      </c>
      <c r="L66" s="336">
        <f t="shared" si="6"/>
        <v>28.571428571428569</v>
      </c>
      <c r="M66" s="336">
        <f t="shared" si="7"/>
        <v>28.571428571428569</v>
      </c>
      <c r="N66" s="368">
        <f t="shared" si="3"/>
        <v>99.999999999999986</v>
      </c>
      <c r="O66" s="335">
        <v>38</v>
      </c>
      <c r="P66" s="336">
        <v>21</v>
      </c>
      <c r="Q66" s="336">
        <v>20.5</v>
      </c>
      <c r="R66" s="337">
        <f t="shared" si="2"/>
        <v>79.5</v>
      </c>
      <c r="S66" s="312">
        <v>3</v>
      </c>
      <c r="T66" s="838"/>
      <c r="U66" s="836"/>
      <c r="V66" s="299" t="s">
        <v>132</v>
      </c>
      <c r="W66" s="292" t="s">
        <v>22</v>
      </c>
      <c r="X66" s="292" t="s">
        <v>11</v>
      </c>
      <c r="Y66" s="300">
        <v>25.5</v>
      </c>
      <c r="Z66" s="292" t="s">
        <v>81</v>
      </c>
      <c r="AA66" s="292" t="s">
        <v>17</v>
      </c>
      <c r="AB66" s="292" t="s">
        <v>18</v>
      </c>
      <c r="AC66" s="292">
        <v>21</v>
      </c>
      <c r="AD66" s="299" t="s">
        <v>457</v>
      </c>
      <c r="AE66" s="292" t="s">
        <v>20</v>
      </c>
      <c r="AF66" s="292" t="s">
        <v>12</v>
      </c>
      <c r="AG66" s="300">
        <v>20.5</v>
      </c>
      <c r="AH66" s="292" t="s">
        <v>331</v>
      </c>
      <c r="AI66" s="292" t="s">
        <v>75</v>
      </c>
      <c r="AJ66" s="292" t="s">
        <v>11</v>
      </c>
      <c r="AK66" s="292">
        <v>12.5</v>
      </c>
      <c r="AL66" s="299"/>
      <c r="AO66" s="300"/>
      <c r="AP66" s="299"/>
      <c r="AS66" s="300"/>
      <c r="AW66" s="300"/>
      <c r="BA66" s="301"/>
    </row>
    <row r="67" spans="1:53" s="103" customFormat="1">
      <c r="A67" s="180">
        <v>1989</v>
      </c>
      <c r="B67" s="846"/>
      <c r="C67" s="923" t="s">
        <v>435</v>
      </c>
      <c r="D67" s="923"/>
      <c r="E67" s="103">
        <f>365-E66</f>
        <v>365</v>
      </c>
      <c r="F67" s="103">
        <v>1</v>
      </c>
      <c r="G67" s="386">
        <v>3</v>
      </c>
      <c r="H67" s="103">
        <v>2</v>
      </c>
      <c r="I67" s="103">
        <v>2</v>
      </c>
      <c r="J67" s="387">
        <v>7</v>
      </c>
      <c r="K67" s="353">
        <f t="shared" si="5"/>
        <v>42.857142857142854</v>
      </c>
      <c r="L67" s="353">
        <f t="shared" si="6"/>
        <v>28.571428571428569</v>
      </c>
      <c r="M67" s="353">
        <f t="shared" si="7"/>
        <v>28.571428571428569</v>
      </c>
      <c r="N67" s="354">
        <f t="shared" si="3"/>
        <v>99.999999999999986</v>
      </c>
      <c r="O67" s="352">
        <v>38</v>
      </c>
      <c r="P67" s="353">
        <v>21</v>
      </c>
      <c r="Q67" s="353">
        <v>20.5</v>
      </c>
      <c r="R67" s="354">
        <f t="shared" si="2"/>
        <v>79.5</v>
      </c>
      <c r="S67" s="396">
        <v>3</v>
      </c>
      <c r="T67" s="840"/>
      <c r="U67" s="846"/>
      <c r="V67" s="104" t="s">
        <v>132</v>
      </c>
      <c r="W67" s="103" t="s">
        <v>22</v>
      </c>
      <c r="X67" s="103" t="s">
        <v>11</v>
      </c>
      <c r="Y67" s="105">
        <v>25.5</v>
      </c>
      <c r="Z67" s="103" t="s">
        <v>81</v>
      </c>
      <c r="AA67" s="103" t="s">
        <v>17</v>
      </c>
      <c r="AB67" s="103" t="s">
        <v>18</v>
      </c>
      <c r="AC67" s="103">
        <v>21</v>
      </c>
      <c r="AD67" s="104" t="s">
        <v>457</v>
      </c>
      <c r="AE67" s="103" t="s">
        <v>20</v>
      </c>
      <c r="AF67" s="103" t="s">
        <v>12</v>
      </c>
      <c r="AG67" s="105">
        <v>20.5</v>
      </c>
      <c r="AH67" s="103" t="s">
        <v>331</v>
      </c>
      <c r="AI67" s="103" t="s">
        <v>75</v>
      </c>
      <c r="AJ67" s="103" t="s">
        <v>11</v>
      </c>
      <c r="AK67" s="105">
        <v>12.5</v>
      </c>
      <c r="AL67" s="104"/>
      <c r="AO67" s="105"/>
      <c r="AP67" s="104"/>
      <c r="AS67" s="105"/>
      <c r="AW67" s="105"/>
      <c r="BA67" s="106"/>
    </row>
    <row r="68" spans="1:53" s="292" customFormat="1">
      <c r="A68" s="292">
        <v>1990</v>
      </c>
      <c r="B68" s="836"/>
      <c r="C68" s="916" t="s">
        <v>435</v>
      </c>
      <c r="D68" s="916"/>
      <c r="E68" s="292">
        <v>0</v>
      </c>
      <c r="G68" s="366">
        <v>3</v>
      </c>
      <c r="H68" s="292">
        <v>2</v>
      </c>
      <c r="I68" s="292">
        <v>2</v>
      </c>
      <c r="J68" s="377">
        <v>7</v>
      </c>
      <c r="K68" s="336">
        <f t="shared" si="5"/>
        <v>42.857142857142854</v>
      </c>
      <c r="L68" s="336">
        <f t="shared" si="6"/>
        <v>28.571428571428569</v>
      </c>
      <c r="M68" s="336">
        <f t="shared" si="7"/>
        <v>28.571428571428569</v>
      </c>
      <c r="N68" s="368">
        <f t="shared" si="3"/>
        <v>99.999999999999986</v>
      </c>
      <c r="O68" s="335">
        <v>38</v>
      </c>
      <c r="P68" s="336">
        <v>21</v>
      </c>
      <c r="Q68" s="336">
        <v>20.5</v>
      </c>
      <c r="R68" s="337">
        <f>O68+P68+Q68</f>
        <v>79.5</v>
      </c>
      <c r="S68" s="292">
        <v>3</v>
      </c>
      <c r="T68" s="838"/>
      <c r="U68" s="836"/>
      <c r="V68" s="299" t="s">
        <v>132</v>
      </c>
      <c r="W68" s="292" t="s">
        <v>22</v>
      </c>
      <c r="X68" s="292" t="s">
        <v>11</v>
      </c>
      <c r="Y68" s="300">
        <v>25.5</v>
      </c>
      <c r="Z68" s="292" t="s">
        <v>81</v>
      </c>
      <c r="AA68" s="292" t="s">
        <v>17</v>
      </c>
      <c r="AB68" s="292" t="s">
        <v>18</v>
      </c>
      <c r="AC68" s="292">
        <v>21</v>
      </c>
      <c r="AD68" s="299" t="s">
        <v>457</v>
      </c>
      <c r="AE68" s="292" t="s">
        <v>20</v>
      </c>
      <c r="AF68" s="292" t="s">
        <v>12</v>
      </c>
      <c r="AG68" s="300">
        <v>20.5</v>
      </c>
      <c r="AH68" s="292" t="s">
        <v>331</v>
      </c>
      <c r="AI68" s="292" t="s">
        <v>75</v>
      </c>
      <c r="AJ68" s="292" t="s">
        <v>11</v>
      </c>
      <c r="AK68" s="292">
        <v>12.5</v>
      </c>
      <c r="AL68" s="299"/>
      <c r="AO68" s="300"/>
      <c r="AP68" s="299"/>
      <c r="AS68" s="300"/>
      <c r="AW68" s="300"/>
      <c r="BA68" s="301"/>
    </row>
    <row r="69" spans="1:53" s="292" customFormat="1">
      <c r="A69" s="292">
        <v>1990</v>
      </c>
      <c r="B69" s="836"/>
      <c r="C69" s="916" t="s">
        <v>436</v>
      </c>
      <c r="D69" s="916"/>
      <c r="E69" s="292">
        <f>365-E68</f>
        <v>365</v>
      </c>
      <c r="F69" s="292">
        <v>1</v>
      </c>
      <c r="G69" s="366">
        <v>3</v>
      </c>
      <c r="H69" s="292">
        <v>2</v>
      </c>
      <c r="I69" s="292">
        <v>2</v>
      </c>
      <c r="J69" s="377">
        <v>7</v>
      </c>
      <c r="K69" s="336">
        <f>G69/J69*100</f>
        <v>42.857142857142854</v>
      </c>
      <c r="L69" s="336">
        <f>H69/J69*100</f>
        <v>28.571428571428569</v>
      </c>
      <c r="M69" s="336">
        <f>I69/J69*100</f>
        <v>28.571428571428569</v>
      </c>
      <c r="N69" s="368">
        <f t="shared" si="3"/>
        <v>99.999999999999986</v>
      </c>
      <c r="O69" s="335">
        <v>38</v>
      </c>
      <c r="P69" s="336">
        <v>21</v>
      </c>
      <c r="Q69" s="336">
        <v>20.5</v>
      </c>
      <c r="R69" s="337">
        <f>O69+P69+Q69</f>
        <v>79.5</v>
      </c>
      <c r="S69" s="292">
        <v>3</v>
      </c>
      <c r="T69" s="838"/>
      <c r="U69" s="836"/>
      <c r="V69" s="299" t="s">
        <v>132</v>
      </c>
      <c r="W69" s="292" t="s">
        <v>22</v>
      </c>
      <c r="X69" s="292" t="s">
        <v>11</v>
      </c>
      <c r="Y69" s="300">
        <v>25.5</v>
      </c>
      <c r="Z69" s="292" t="s">
        <v>81</v>
      </c>
      <c r="AA69" s="292" t="s">
        <v>17</v>
      </c>
      <c r="AB69" s="292" t="s">
        <v>18</v>
      </c>
      <c r="AC69" s="292">
        <v>21</v>
      </c>
      <c r="AD69" s="299" t="s">
        <v>457</v>
      </c>
      <c r="AE69" s="292" t="s">
        <v>20</v>
      </c>
      <c r="AF69" s="292" t="s">
        <v>12</v>
      </c>
      <c r="AG69" s="300">
        <v>20.5</v>
      </c>
      <c r="AH69" s="292" t="s">
        <v>331</v>
      </c>
      <c r="AI69" s="292" t="s">
        <v>75</v>
      </c>
      <c r="AJ69" s="292" t="s">
        <v>11</v>
      </c>
      <c r="AK69" s="292">
        <v>12.5</v>
      </c>
      <c r="AL69" s="299"/>
      <c r="AO69" s="300"/>
      <c r="AP69" s="299"/>
      <c r="AS69" s="300"/>
      <c r="AW69" s="300"/>
      <c r="BA69" s="301"/>
    </row>
    <row r="70" spans="1:53" s="292" customFormat="1">
      <c r="A70" s="292">
        <v>1991</v>
      </c>
      <c r="B70" s="836"/>
      <c r="C70" s="916" t="s">
        <v>436</v>
      </c>
      <c r="D70" s="916"/>
      <c r="E70" s="292">
        <v>337</v>
      </c>
      <c r="G70" s="366">
        <v>3</v>
      </c>
      <c r="H70" s="292">
        <v>2</v>
      </c>
      <c r="I70" s="292">
        <v>2</v>
      </c>
      <c r="J70" s="377">
        <v>7</v>
      </c>
      <c r="K70" s="336">
        <f>G70/J70*100</f>
        <v>42.857142857142854</v>
      </c>
      <c r="L70" s="336">
        <f>H70/J70*100</f>
        <v>28.571428571428569</v>
      </c>
      <c r="M70" s="336">
        <f>I70/J70*100</f>
        <v>28.571428571428569</v>
      </c>
      <c r="N70" s="368">
        <f t="shared" si="3"/>
        <v>99.999999999999986</v>
      </c>
      <c r="O70" s="335">
        <v>38</v>
      </c>
      <c r="P70" s="336">
        <v>21</v>
      </c>
      <c r="Q70" s="336">
        <v>20.5</v>
      </c>
      <c r="R70" s="337">
        <f t="shared" ref="R70:R113" si="8">O70+P70+Q70</f>
        <v>79.5</v>
      </c>
      <c r="S70" s="292">
        <v>3</v>
      </c>
      <c r="T70" s="838"/>
      <c r="U70" s="836"/>
      <c r="V70" s="299" t="s">
        <v>132</v>
      </c>
      <c r="W70" s="292" t="s">
        <v>22</v>
      </c>
      <c r="X70" s="292" t="s">
        <v>11</v>
      </c>
      <c r="Y70" s="300">
        <v>25.5</v>
      </c>
      <c r="Z70" s="292" t="s">
        <v>81</v>
      </c>
      <c r="AA70" s="292" t="s">
        <v>17</v>
      </c>
      <c r="AB70" s="292" t="s">
        <v>18</v>
      </c>
      <c r="AC70" s="292">
        <v>21</v>
      </c>
      <c r="AD70" s="299" t="s">
        <v>457</v>
      </c>
      <c r="AE70" s="292" t="s">
        <v>20</v>
      </c>
      <c r="AF70" s="292" t="s">
        <v>12</v>
      </c>
      <c r="AG70" s="300">
        <v>20.5</v>
      </c>
      <c r="AH70" s="292" t="s">
        <v>331</v>
      </c>
      <c r="AI70" s="292" t="s">
        <v>75</v>
      </c>
      <c r="AJ70" s="292" t="s">
        <v>11</v>
      </c>
      <c r="AK70" s="292">
        <v>12.5</v>
      </c>
      <c r="AL70" s="299"/>
      <c r="AO70" s="300"/>
      <c r="AP70" s="299"/>
      <c r="AS70" s="300"/>
      <c r="AW70" s="300"/>
      <c r="BA70" s="301"/>
    </row>
    <row r="71" spans="1:53" s="185" customFormat="1">
      <c r="A71" s="185">
        <v>1991</v>
      </c>
      <c r="B71" s="852">
        <v>33576</v>
      </c>
      <c r="C71" s="917" t="s">
        <v>465</v>
      </c>
      <c r="D71" s="917"/>
      <c r="E71" s="185">
        <f>365-E70</f>
        <v>28</v>
      </c>
      <c r="F71" s="185">
        <v>1</v>
      </c>
      <c r="G71" s="119">
        <v>3</v>
      </c>
      <c r="H71" s="185">
        <v>2</v>
      </c>
      <c r="I71" s="185">
        <v>2</v>
      </c>
      <c r="J71" s="126">
        <v>7</v>
      </c>
      <c r="K71" s="92">
        <f>G71/J71*100</f>
        <v>42.857142857142854</v>
      </c>
      <c r="L71" s="92">
        <f>H71/J71*100</f>
        <v>28.571428571428569</v>
      </c>
      <c r="M71" s="92">
        <f>I71/J71*100</f>
        <v>28.571428571428569</v>
      </c>
      <c r="N71" s="121">
        <f t="shared" si="3"/>
        <v>99.999999999999986</v>
      </c>
      <c r="O71" s="91">
        <v>34.5</v>
      </c>
      <c r="P71" s="92">
        <v>18</v>
      </c>
      <c r="Q71" s="92">
        <v>20.5</v>
      </c>
      <c r="R71" s="93">
        <f t="shared" si="8"/>
        <v>73</v>
      </c>
      <c r="S71" s="185">
        <v>3</v>
      </c>
      <c r="T71" s="839">
        <v>33531</v>
      </c>
      <c r="U71" s="852">
        <v>33576</v>
      </c>
      <c r="V71" s="82" t="s">
        <v>132</v>
      </c>
      <c r="W71" s="185" t="s">
        <v>22</v>
      </c>
      <c r="X71" s="185" t="s">
        <v>11</v>
      </c>
      <c r="Y71" s="83">
        <v>22</v>
      </c>
      <c r="Z71" s="185" t="s">
        <v>81</v>
      </c>
      <c r="AA71" s="185" t="s">
        <v>17</v>
      </c>
      <c r="AB71" s="185" t="s">
        <v>18</v>
      </c>
      <c r="AC71" s="185">
        <v>18</v>
      </c>
      <c r="AD71" s="82" t="s">
        <v>457</v>
      </c>
      <c r="AE71" s="185" t="s">
        <v>20</v>
      </c>
      <c r="AF71" s="185" t="s">
        <v>12</v>
      </c>
      <c r="AG71" s="83">
        <v>20.5</v>
      </c>
      <c r="AH71" s="185" t="s">
        <v>331</v>
      </c>
      <c r="AI71" s="185" t="s">
        <v>75</v>
      </c>
      <c r="AJ71" s="185" t="s">
        <v>11</v>
      </c>
      <c r="AK71" s="185">
        <v>12.5</v>
      </c>
      <c r="AL71" s="82"/>
      <c r="AO71" s="83"/>
      <c r="AP71" s="82"/>
      <c r="AS71" s="83"/>
      <c r="AW71" s="83"/>
      <c r="BA71" s="84"/>
    </row>
    <row r="72" spans="1:53" s="185" customFormat="1">
      <c r="A72" s="185">
        <v>1992</v>
      </c>
      <c r="B72" s="852"/>
      <c r="C72" s="917" t="s">
        <v>465</v>
      </c>
      <c r="D72" s="917"/>
      <c r="E72" s="185">
        <v>0</v>
      </c>
      <c r="G72" s="119">
        <v>3</v>
      </c>
      <c r="H72" s="185">
        <v>2</v>
      </c>
      <c r="I72" s="185">
        <v>2</v>
      </c>
      <c r="J72" s="126">
        <v>7</v>
      </c>
      <c r="K72" s="92">
        <f>G72/J72*100</f>
        <v>42.857142857142854</v>
      </c>
      <c r="L72" s="92">
        <f>H72/J72*100</f>
        <v>28.571428571428569</v>
      </c>
      <c r="M72" s="92">
        <f>I72/J72*100</f>
        <v>28.571428571428569</v>
      </c>
      <c r="N72" s="121">
        <f t="shared" si="3"/>
        <v>99.999999999999986</v>
      </c>
      <c r="O72" s="91">
        <v>34.5</v>
      </c>
      <c r="P72" s="92">
        <v>18</v>
      </c>
      <c r="Q72" s="92">
        <v>20.5</v>
      </c>
      <c r="R72" s="93">
        <f t="shared" si="8"/>
        <v>73</v>
      </c>
      <c r="S72" s="185">
        <v>3</v>
      </c>
      <c r="T72" s="839"/>
      <c r="U72" s="852"/>
      <c r="V72" s="82" t="s">
        <v>132</v>
      </c>
      <c r="W72" s="185" t="s">
        <v>22</v>
      </c>
      <c r="X72" s="185" t="s">
        <v>11</v>
      </c>
      <c r="Y72" s="83">
        <v>22</v>
      </c>
      <c r="Z72" s="185" t="s">
        <v>81</v>
      </c>
      <c r="AA72" s="185" t="s">
        <v>17</v>
      </c>
      <c r="AB72" s="185" t="s">
        <v>18</v>
      </c>
      <c r="AC72" s="185">
        <v>18</v>
      </c>
      <c r="AD72" s="82" t="s">
        <v>457</v>
      </c>
      <c r="AE72" s="185" t="s">
        <v>20</v>
      </c>
      <c r="AF72" s="185" t="s">
        <v>12</v>
      </c>
      <c r="AG72" s="83">
        <v>20.5</v>
      </c>
      <c r="AH72" s="185" t="s">
        <v>331</v>
      </c>
      <c r="AI72" s="185" t="s">
        <v>75</v>
      </c>
      <c r="AJ72" s="185" t="s">
        <v>11</v>
      </c>
      <c r="AK72" s="185">
        <v>12.5</v>
      </c>
      <c r="AL72" s="82"/>
      <c r="AO72" s="83"/>
      <c r="AP72" s="82"/>
      <c r="AS72" s="83"/>
      <c r="AW72" s="83"/>
      <c r="BA72" s="84"/>
    </row>
    <row r="73" spans="1:53" s="185" customFormat="1">
      <c r="A73" s="185">
        <v>1992</v>
      </c>
      <c r="B73" s="852"/>
      <c r="C73" s="917" t="s">
        <v>437</v>
      </c>
      <c r="D73" s="917"/>
      <c r="E73" s="185">
        <v>366</v>
      </c>
      <c r="F73" s="185">
        <v>1</v>
      </c>
      <c r="G73" s="119">
        <v>3</v>
      </c>
      <c r="H73" s="185">
        <v>2</v>
      </c>
      <c r="I73" s="185">
        <v>2</v>
      </c>
      <c r="J73" s="126">
        <v>7</v>
      </c>
      <c r="K73" s="92">
        <f>G73/J73*100</f>
        <v>42.857142857142854</v>
      </c>
      <c r="L73" s="92">
        <f>H73/J73*100</f>
        <v>28.571428571428569</v>
      </c>
      <c r="M73" s="92">
        <f>I73/J73*100</f>
        <v>28.571428571428569</v>
      </c>
      <c r="N73" s="121">
        <f t="shared" si="3"/>
        <v>99.999999999999986</v>
      </c>
      <c r="O73" s="91">
        <v>34.5</v>
      </c>
      <c r="P73" s="92">
        <v>18</v>
      </c>
      <c r="Q73" s="92">
        <v>20.5</v>
      </c>
      <c r="R73" s="93">
        <f t="shared" si="8"/>
        <v>73</v>
      </c>
      <c r="S73" s="185">
        <v>3</v>
      </c>
      <c r="T73" s="839"/>
      <c r="U73" s="852"/>
      <c r="V73" s="82" t="s">
        <v>132</v>
      </c>
      <c r="W73" s="185" t="s">
        <v>22</v>
      </c>
      <c r="X73" s="185" t="s">
        <v>11</v>
      </c>
      <c r="Y73" s="83">
        <v>22</v>
      </c>
      <c r="Z73" s="185" t="s">
        <v>81</v>
      </c>
      <c r="AA73" s="185" t="s">
        <v>17</v>
      </c>
      <c r="AB73" s="185" t="s">
        <v>18</v>
      </c>
      <c r="AC73" s="185">
        <v>18</v>
      </c>
      <c r="AD73" s="82" t="s">
        <v>457</v>
      </c>
      <c r="AE73" s="185" t="s">
        <v>20</v>
      </c>
      <c r="AF73" s="185" t="s">
        <v>12</v>
      </c>
      <c r="AG73" s="83">
        <v>20.5</v>
      </c>
      <c r="AH73" s="185" t="s">
        <v>331</v>
      </c>
      <c r="AI73" s="185" t="s">
        <v>75</v>
      </c>
      <c r="AJ73" s="185" t="s">
        <v>11</v>
      </c>
      <c r="AK73" s="185">
        <v>12.5</v>
      </c>
      <c r="AL73" s="82"/>
      <c r="AO73" s="83"/>
      <c r="AP73" s="82"/>
      <c r="AS73" s="83"/>
      <c r="AW73" s="83"/>
      <c r="BA73" s="84"/>
    </row>
    <row r="74" spans="1:53" s="185" customFormat="1">
      <c r="A74" s="185">
        <v>1993</v>
      </c>
      <c r="B74" s="852"/>
      <c r="C74" s="917" t="s">
        <v>437</v>
      </c>
      <c r="D74" s="917"/>
      <c r="E74" s="185">
        <v>0</v>
      </c>
      <c r="G74" s="119">
        <v>3</v>
      </c>
      <c r="H74" s="185">
        <v>2</v>
      </c>
      <c r="I74" s="185">
        <v>2</v>
      </c>
      <c r="J74" s="126">
        <v>7</v>
      </c>
      <c r="K74" s="92">
        <f t="shared" ref="K74:K109" si="9">G74/J74*100</f>
        <v>42.857142857142854</v>
      </c>
      <c r="L74" s="92">
        <f t="shared" ref="L74:L109" si="10">H74/J74*100</f>
        <v>28.571428571428569</v>
      </c>
      <c r="M74" s="92">
        <f t="shared" ref="M74:M109" si="11">I74/J74*100</f>
        <v>28.571428571428569</v>
      </c>
      <c r="N74" s="121">
        <f t="shared" ref="N74:N112" si="12">K74+L74+M74</f>
        <v>99.999999999999986</v>
      </c>
      <c r="O74" s="91">
        <v>34.5</v>
      </c>
      <c r="P74" s="92">
        <v>18</v>
      </c>
      <c r="Q74" s="92">
        <v>20.5</v>
      </c>
      <c r="R74" s="93">
        <f t="shared" si="8"/>
        <v>73</v>
      </c>
      <c r="S74" s="185">
        <v>3</v>
      </c>
      <c r="T74" s="839"/>
      <c r="U74" s="852"/>
      <c r="V74" s="82" t="s">
        <v>132</v>
      </c>
      <c r="W74" s="185" t="s">
        <v>22</v>
      </c>
      <c r="X74" s="185" t="s">
        <v>11</v>
      </c>
      <c r="Y74" s="83">
        <v>22</v>
      </c>
      <c r="Z74" s="185" t="s">
        <v>81</v>
      </c>
      <c r="AA74" s="185" t="s">
        <v>17</v>
      </c>
      <c r="AB74" s="185" t="s">
        <v>18</v>
      </c>
      <c r="AC74" s="185">
        <v>18</v>
      </c>
      <c r="AD74" s="82" t="s">
        <v>457</v>
      </c>
      <c r="AE74" s="185" t="s">
        <v>20</v>
      </c>
      <c r="AF74" s="185" t="s">
        <v>12</v>
      </c>
      <c r="AG74" s="83">
        <v>20.5</v>
      </c>
      <c r="AH74" s="185" t="s">
        <v>331</v>
      </c>
      <c r="AI74" s="185" t="s">
        <v>75</v>
      </c>
      <c r="AJ74" s="185" t="s">
        <v>11</v>
      </c>
      <c r="AK74" s="185">
        <v>12.5</v>
      </c>
      <c r="AL74" s="82"/>
      <c r="AO74" s="83"/>
      <c r="AP74" s="82"/>
      <c r="AS74" s="83"/>
      <c r="AW74" s="83"/>
      <c r="BA74" s="84"/>
    </row>
    <row r="75" spans="1:53" s="185" customFormat="1">
      <c r="A75" s="185">
        <v>1993</v>
      </c>
      <c r="B75" s="852"/>
      <c r="C75" s="917" t="s">
        <v>466</v>
      </c>
      <c r="D75" s="917"/>
      <c r="E75" s="185">
        <f>365-E74</f>
        <v>365</v>
      </c>
      <c r="F75" s="185">
        <v>1</v>
      </c>
      <c r="G75" s="119">
        <v>3</v>
      </c>
      <c r="H75" s="185">
        <v>2</v>
      </c>
      <c r="I75" s="185">
        <v>2</v>
      </c>
      <c r="J75" s="126">
        <v>7</v>
      </c>
      <c r="K75" s="92">
        <f t="shared" si="9"/>
        <v>42.857142857142854</v>
      </c>
      <c r="L75" s="92">
        <f t="shared" si="10"/>
        <v>28.571428571428569</v>
      </c>
      <c r="M75" s="92">
        <f t="shared" si="11"/>
        <v>28.571428571428569</v>
      </c>
      <c r="N75" s="121">
        <f t="shared" si="12"/>
        <v>99.999999999999986</v>
      </c>
      <c r="O75" s="91">
        <v>34.5</v>
      </c>
      <c r="P75" s="92">
        <v>18</v>
      </c>
      <c r="Q75" s="92">
        <v>20.5</v>
      </c>
      <c r="R75" s="93">
        <f t="shared" si="8"/>
        <v>73</v>
      </c>
      <c r="S75" s="185">
        <v>3</v>
      </c>
      <c r="T75" s="839"/>
      <c r="U75" s="852"/>
      <c r="V75" s="82" t="s">
        <v>132</v>
      </c>
      <c r="W75" s="185" t="s">
        <v>22</v>
      </c>
      <c r="X75" s="185" t="s">
        <v>11</v>
      </c>
      <c r="Y75" s="83">
        <v>22</v>
      </c>
      <c r="Z75" s="185" t="s">
        <v>81</v>
      </c>
      <c r="AA75" s="185" t="s">
        <v>17</v>
      </c>
      <c r="AB75" s="185" t="s">
        <v>18</v>
      </c>
      <c r="AC75" s="185">
        <v>18</v>
      </c>
      <c r="AD75" s="82" t="s">
        <v>457</v>
      </c>
      <c r="AE75" s="185" t="s">
        <v>20</v>
      </c>
      <c r="AF75" s="185" t="s">
        <v>12</v>
      </c>
      <c r="AG75" s="83">
        <v>20.5</v>
      </c>
      <c r="AH75" s="185" t="s">
        <v>331</v>
      </c>
      <c r="AI75" s="185" t="s">
        <v>75</v>
      </c>
      <c r="AJ75" s="185" t="s">
        <v>11</v>
      </c>
      <c r="AK75" s="185">
        <v>12.5</v>
      </c>
      <c r="AL75" s="82"/>
      <c r="AO75" s="83"/>
      <c r="AP75" s="82"/>
      <c r="AS75" s="83"/>
      <c r="AW75" s="83"/>
      <c r="BA75" s="84"/>
    </row>
    <row r="76" spans="1:53" s="185" customFormat="1">
      <c r="A76" s="185">
        <v>1994</v>
      </c>
      <c r="B76" s="852"/>
      <c r="C76" s="917" t="s">
        <v>466</v>
      </c>
      <c r="D76" s="917"/>
      <c r="E76" s="185">
        <v>0</v>
      </c>
      <c r="G76" s="119">
        <v>3</v>
      </c>
      <c r="H76" s="185">
        <v>2</v>
      </c>
      <c r="I76" s="185">
        <v>2</v>
      </c>
      <c r="J76" s="126">
        <v>7</v>
      </c>
      <c r="K76" s="92">
        <f t="shared" si="9"/>
        <v>42.857142857142854</v>
      </c>
      <c r="L76" s="92">
        <f t="shared" si="10"/>
        <v>28.571428571428569</v>
      </c>
      <c r="M76" s="92">
        <f t="shared" si="11"/>
        <v>28.571428571428569</v>
      </c>
      <c r="N76" s="121">
        <f t="shared" si="12"/>
        <v>99.999999999999986</v>
      </c>
      <c r="O76" s="91">
        <v>34.5</v>
      </c>
      <c r="P76" s="92">
        <v>18</v>
      </c>
      <c r="Q76" s="92">
        <v>20.5</v>
      </c>
      <c r="R76" s="93">
        <f t="shared" si="8"/>
        <v>73</v>
      </c>
      <c r="S76" s="185">
        <v>3</v>
      </c>
      <c r="T76" s="839"/>
      <c r="U76" s="852"/>
      <c r="V76" s="82" t="s">
        <v>132</v>
      </c>
      <c r="W76" s="185" t="s">
        <v>22</v>
      </c>
      <c r="X76" s="185" t="s">
        <v>11</v>
      </c>
      <c r="Y76" s="83">
        <v>22</v>
      </c>
      <c r="Z76" s="185" t="s">
        <v>81</v>
      </c>
      <c r="AA76" s="185" t="s">
        <v>17</v>
      </c>
      <c r="AB76" s="185" t="s">
        <v>18</v>
      </c>
      <c r="AC76" s="185">
        <v>18</v>
      </c>
      <c r="AD76" s="82" t="s">
        <v>457</v>
      </c>
      <c r="AE76" s="185" t="s">
        <v>20</v>
      </c>
      <c r="AF76" s="185" t="s">
        <v>12</v>
      </c>
      <c r="AG76" s="83">
        <v>20.5</v>
      </c>
      <c r="AH76" s="185" t="s">
        <v>331</v>
      </c>
      <c r="AI76" s="185" t="s">
        <v>75</v>
      </c>
      <c r="AJ76" s="185" t="s">
        <v>11</v>
      </c>
      <c r="AK76" s="185">
        <v>12.5</v>
      </c>
      <c r="AL76" s="82"/>
      <c r="AO76" s="83"/>
      <c r="AP76" s="82"/>
      <c r="AS76" s="83"/>
      <c r="AW76" s="83"/>
      <c r="BA76" s="84"/>
    </row>
    <row r="77" spans="1:53" s="185" customFormat="1">
      <c r="A77" s="185">
        <v>1994</v>
      </c>
      <c r="B77" s="852"/>
      <c r="C77" s="917" t="s">
        <v>442</v>
      </c>
      <c r="D77" s="917"/>
      <c r="E77" s="185">
        <f>365-E76</f>
        <v>365</v>
      </c>
      <c r="F77" s="185">
        <v>1</v>
      </c>
      <c r="G77" s="119">
        <v>3</v>
      </c>
      <c r="H77" s="185">
        <v>2</v>
      </c>
      <c r="I77" s="185">
        <v>2</v>
      </c>
      <c r="J77" s="126">
        <v>7</v>
      </c>
      <c r="K77" s="92">
        <f t="shared" si="9"/>
        <v>42.857142857142854</v>
      </c>
      <c r="L77" s="92">
        <f t="shared" si="10"/>
        <v>28.571428571428569</v>
      </c>
      <c r="M77" s="92">
        <f t="shared" si="11"/>
        <v>28.571428571428569</v>
      </c>
      <c r="N77" s="121">
        <f t="shared" si="12"/>
        <v>99.999999999999986</v>
      </c>
      <c r="O77" s="91">
        <v>34.5</v>
      </c>
      <c r="P77" s="92">
        <v>18</v>
      </c>
      <c r="Q77" s="92">
        <v>20.5</v>
      </c>
      <c r="R77" s="93">
        <f t="shared" si="8"/>
        <v>73</v>
      </c>
      <c r="S77" s="185">
        <v>3</v>
      </c>
      <c r="T77" s="839"/>
      <c r="U77" s="852"/>
      <c r="V77" s="82" t="s">
        <v>132</v>
      </c>
      <c r="W77" s="185" t="s">
        <v>22</v>
      </c>
      <c r="X77" s="185" t="s">
        <v>11</v>
      </c>
      <c r="Y77" s="83">
        <v>22</v>
      </c>
      <c r="Z77" s="185" t="s">
        <v>81</v>
      </c>
      <c r="AA77" s="185" t="s">
        <v>17</v>
      </c>
      <c r="AB77" s="185" t="s">
        <v>18</v>
      </c>
      <c r="AC77" s="185">
        <v>18</v>
      </c>
      <c r="AD77" s="82" t="s">
        <v>457</v>
      </c>
      <c r="AE77" s="185" t="s">
        <v>20</v>
      </c>
      <c r="AF77" s="185" t="s">
        <v>12</v>
      </c>
      <c r="AG77" s="83">
        <v>20.5</v>
      </c>
      <c r="AH77" s="185" t="s">
        <v>331</v>
      </c>
      <c r="AI77" s="185" t="s">
        <v>75</v>
      </c>
      <c r="AJ77" s="185" t="s">
        <v>11</v>
      </c>
      <c r="AK77" s="185">
        <v>12.5</v>
      </c>
      <c r="AL77" s="82"/>
      <c r="AO77" s="83"/>
      <c r="AP77" s="82"/>
      <c r="AS77" s="83"/>
      <c r="AW77" s="83"/>
      <c r="BA77" s="84"/>
    </row>
    <row r="78" spans="1:53" s="185" customFormat="1">
      <c r="A78" s="185">
        <v>1995</v>
      </c>
      <c r="B78" s="852"/>
      <c r="C78" s="917" t="s">
        <v>442</v>
      </c>
      <c r="D78" s="917"/>
      <c r="E78" s="185">
        <v>346</v>
      </c>
      <c r="G78" s="119">
        <v>3</v>
      </c>
      <c r="H78" s="185">
        <v>2</v>
      </c>
      <c r="I78" s="185">
        <v>2</v>
      </c>
      <c r="J78" s="126">
        <v>7</v>
      </c>
      <c r="K78" s="92">
        <f t="shared" si="9"/>
        <v>42.857142857142854</v>
      </c>
      <c r="L78" s="92">
        <f t="shared" si="10"/>
        <v>28.571428571428569</v>
      </c>
      <c r="M78" s="92">
        <f t="shared" si="11"/>
        <v>28.571428571428569</v>
      </c>
      <c r="N78" s="121">
        <f t="shared" si="12"/>
        <v>99.999999999999986</v>
      </c>
      <c r="O78" s="91">
        <v>34.5</v>
      </c>
      <c r="P78" s="92">
        <v>18</v>
      </c>
      <c r="Q78" s="92">
        <v>20.5</v>
      </c>
      <c r="R78" s="93">
        <f t="shared" si="8"/>
        <v>73</v>
      </c>
      <c r="S78" s="185">
        <v>3</v>
      </c>
      <c r="T78" s="839"/>
      <c r="U78" s="852"/>
      <c r="V78" s="82" t="s">
        <v>132</v>
      </c>
      <c r="W78" s="185" t="s">
        <v>22</v>
      </c>
      <c r="X78" s="185" t="s">
        <v>11</v>
      </c>
      <c r="Y78" s="83">
        <v>22</v>
      </c>
      <c r="Z78" s="185" t="s">
        <v>81</v>
      </c>
      <c r="AA78" s="185" t="s">
        <v>17</v>
      </c>
      <c r="AB78" s="185" t="s">
        <v>18</v>
      </c>
      <c r="AC78" s="185">
        <v>18</v>
      </c>
      <c r="AD78" s="82" t="s">
        <v>457</v>
      </c>
      <c r="AE78" s="185" t="s">
        <v>20</v>
      </c>
      <c r="AF78" s="185" t="s">
        <v>12</v>
      </c>
      <c r="AG78" s="83">
        <v>20.5</v>
      </c>
      <c r="AH78" s="185" t="s">
        <v>331</v>
      </c>
      <c r="AI78" s="185" t="s">
        <v>75</v>
      </c>
      <c r="AJ78" s="185" t="s">
        <v>11</v>
      </c>
      <c r="AK78" s="185">
        <v>12.5</v>
      </c>
      <c r="AL78" s="82"/>
      <c r="AO78" s="83"/>
      <c r="AP78" s="82"/>
      <c r="AS78" s="83"/>
      <c r="AW78" s="83"/>
      <c r="BA78" s="84"/>
    </row>
    <row r="79" spans="1:53" s="292" customFormat="1">
      <c r="A79" s="292">
        <v>1995</v>
      </c>
      <c r="B79" s="836">
        <v>35046</v>
      </c>
      <c r="C79" s="916" t="s">
        <v>434</v>
      </c>
      <c r="D79" s="916"/>
      <c r="E79" s="292">
        <f>365-E78</f>
        <v>19</v>
      </c>
      <c r="F79" s="292">
        <v>1</v>
      </c>
      <c r="G79" s="366">
        <v>3</v>
      </c>
      <c r="H79" s="292">
        <v>2</v>
      </c>
      <c r="I79" s="292">
        <v>2</v>
      </c>
      <c r="J79" s="377">
        <v>7</v>
      </c>
      <c r="K79" s="336">
        <f t="shared" si="9"/>
        <v>42.857142857142854</v>
      </c>
      <c r="L79" s="336">
        <f t="shared" si="10"/>
        <v>28.571428571428569</v>
      </c>
      <c r="M79" s="336">
        <f t="shared" si="11"/>
        <v>28.571428571428569</v>
      </c>
      <c r="N79" s="368">
        <f t="shared" si="12"/>
        <v>99.999999999999986</v>
      </c>
      <c r="O79" s="335">
        <v>37</v>
      </c>
      <c r="P79" s="336">
        <v>17</v>
      </c>
      <c r="Q79" s="336">
        <v>27</v>
      </c>
      <c r="R79" s="337">
        <f t="shared" si="8"/>
        <v>81</v>
      </c>
      <c r="S79" s="292">
        <v>3</v>
      </c>
      <c r="T79" s="838">
        <v>34994</v>
      </c>
      <c r="U79" s="836">
        <v>35046</v>
      </c>
      <c r="V79" s="299" t="s">
        <v>132</v>
      </c>
      <c r="W79" s="292" t="s">
        <v>22</v>
      </c>
      <c r="X79" s="292" t="s">
        <v>11</v>
      </c>
      <c r="Y79" s="300">
        <v>22.5</v>
      </c>
      <c r="Z79" s="292" t="s">
        <v>81</v>
      </c>
      <c r="AA79" s="292" t="s">
        <v>17</v>
      </c>
      <c r="AB79" s="292" t="s">
        <v>18</v>
      </c>
      <c r="AC79" s="292">
        <v>17</v>
      </c>
      <c r="AD79" s="299" t="s">
        <v>457</v>
      </c>
      <c r="AE79" s="292" t="s">
        <v>20</v>
      </c>
      <c r="AF79" s="292" t="s">
        <v>12</v>
      </c>
      <c r="AG79" s="300">
        <v>27</v>
      </c>
      <c r="AH79" s="292" t="s">
        <v>331</v>
      </c>
      <c r="AI79" s="292" t="s">
        <v>855</v>
      </c>
      <c r="AJ79" s="292" t="s">
        <v>11</v>
      </c>
      <c r="AK79" s="292">
        <v>14.5</v>
      </c>
      <c r="AL79" s="299"/>
      <c r="AO79" s="300"/>
      <c r="AP79" s="299"/>
      <c r="AS79" s="300"/>
      <c r="AW79" s="300"/>
      <c r="BA79" s="301"/>
    </row>
    <row r="80" spans="1:53" s="292" customFormat="1">
      <c r="A80" s="292">
        <v>1996</v>
      </c>
      <c r="B80" s="836"/>
      <c r="C80" s="916" t="s">
        <v>434</v>
      </c>
      <c r="D80" s="916"/>
      <c r="E80" s="292">
        <v>0</v>
      </c>
      <c r="G80" s="366">
        <v>3</v>
      </c>
      <c r="H80" s="292">
        <v>2</v>
      </c>
      <c r="I80" s="292">
        <v>2</v>
      </c>
      <c r="J80" s="377">
        <v>7</v>
      </c>
      <c r="K80" s="336">
        <f t="shared" si="9"/>
        <v>42.857142857142854</v>
      </c>
      <c r="L80" s="336">
        <f t="shared" si="10"/>
        <v>28.571428571428569</v>
      </c>
      <c r="M80" s="336">
        <f t="shared" si="11"/>
        <v>28.571428571428569</v>
      </c>
      <c r="N80" s="368">
        <f t="shared" si="12"/>
        <v>99.999999999999986</v>
      </c>
      <c r="O80" s="335">
        <v>37</v>
      </c>
      <c r="P80" s="336">
        <v>17</v>
      </c>
      <c r="Q80" s="336">
        <v>27</v>
      </c>
      <c r="R80" s="337">
        <f t="shared" si="8"/>
        <v>81</v>
      </c>
      <c r="S80" s="292">
        <v>3</v>
      </c>
      <c r="T80" s="838"/>
      <c r="U80" s="836"/>
      <c r="V80" s="299" t="s">
        <v>132</v>
      </c>
      <c r="W80" s="292" t="s">
        <v>22</v>
      </c>
      <c r="X80" s="292" t="s">
        <v>11</v>
      </c>
      <c r="Y80" s="300">
        <v>22.5</v>
      </c>
      <c r="Z80" s="292" t="s">
        <v>81</v>
      </c>
      <c r="AA80" s="292" t="s">
        <v>17</v>
      </c>
      <c r="AB80" s="292" t="s">
        <v>18</v>
      </c>
      <c r="AC80" s="292">
        <v>17</v>
      </c>
      <c r="AD80" s="299" t="s">
        <v>457</v>
      </c>
      <c r="AE80" s="292" t="s">
        <v>20</v>
      </c>
      <c r="AF80" s="292" t="s">
        <v>12</v>
      </c>
      <c r="AG80" s="300">
        <v>27</v>
      </c>
      <c r="AH80" s="292" t="s">
        <v>331</v>
      </c>
      <c r="AI80" s="292" t="s">
        <v>855</v>
      </c>
      <c r="AJ80" s="292" t="s">
        <v>11</v>
      </c>
      <c r="AK80" s="292">
        <v>14.5</v>
      </c>
      <c r="AL80" s="299"/>
      <c r="AO80" s="300"/>
      <c r="AP80" s="299"/>
      <c r="AS80" s="300"/>
      <c r="AW80" s="300"/>
      <c r="BA80" s="301"/>
    </row>
    <row r="81" spans="1:53" s="292" customFormat="1">
      <c r="A81" s="292">
        <v>1996</v>
      </c>
      <c r="B81" s="836"/>
      <c r="C81" s="916" t="s">
        <v>439</v>
      </c>
      <c r="D81" s="916"/>
      <c r="E81" s="292">
        <v>366</v>
      </c>
      <c r="F81" s="292">
        <v>1</v>
      </c>
      <c r="G81" s="366">
        <v>3</v>
      </c>
      <c r="H81" s="292">
        <v>2</v>
      </c>
      <c r="I81" s="292">
        <v>2</v>
      </c>
      <c r="J81" s="377">
        <v>7</v>
      </c>
      <c r="K81" s="336">
        <f t="shared" si="9"/>
        <v>42.857142857142854</v>
      </c>
      <c r="L81" s="336">
        <f t="shared" si="10"/>
        <v>28.571428571428569</v>
      </c>
      <c r="M81" s="336">
        <f t="shared" si="11"/>
        <v>28.571428571428569</v>
      </c>
      <c r="N81" s="368">
        <f t="shared" si="12"/>
        <v>99.999999999999986</v>
      </c>
      <c r="O81" s="335">
        <v>37</v>
      </c>
      <c r="P81" s="336">
        <v>17</v>
      </c>
      <c r="Q81" s="336">
        <v>27</v>
      </c>
      <c r="R81" s="337">
        <f t="shared" si="8"/>
        <v>81</v>
      </c>
      <c r="S81" s="292">
        <v>3</v>
      </c>
      <c r="T81" s="838"/>
      <c r="U81" s="836"/>
      <c r="V81" s="299" t="s">
        <v>132</v>
      </c>
      <c r="W81" s="292" t="s">
        <v>22</v>
      </c>
      <c r="X81" s="292" t="s">
        <v>11</v>
      </c>
      <c r="Y81" s="300">
        <v>22.5</v>
      </c>
      <c r="Z81" s="292" t="s">
        <v>81</v>
      </c>
      <c r="AA81" s="292" t="s">
        <v>17</v>
      </c>
      <c r="AB81" s="292" t="s">
        <v>18</v>
      </c>
      <c r="AC81" s="292">
        <v>17</v>
      </c>
      <c r="AD81" s="299" t="s">
        <v>457</v>
      </c>
      <c r="AE81" s="292" t="s">
        <v>20</v>
      </c>
      <c r="AF81" s="292" t="s">
        <v>12</v>
      </c>
      <c r="AG81" s="300">
        <v>27</v>
      </c>
      <c r="AH81" s="292" t="s">
        <v>331</v>
      </c>
      <c r="AI81" s="292" t="s">
        <v>855</v>
      </c>
      <c r="AJ81" s="292" t="s">
        <v>11</v>
      </c>
      <c r="AK81" s="292">
        <v>14.5</v>
      </c>
      <c r="AL81" s="299"/>
      <c r="AO81" s="300"/>
      <c r="AP81" s="299"/>
      <c r="AS81" s="300"/>
      <c r="AW81" s="300"/>
      <c r="BA81" s="301"/>
    </row>
    <row r="82" spans="1:53" s="292" customFormat="1">
      <c r="A82" s="292">
        <v>1997</v>
      </c>
      <c r="B82" s="836"/>
      <c r="C82" s="916" t="s">
        <v>439</v>
      </c>
      <c r="D82" s="916"/>
      <c r="E82" s="292">
        <v>0</v>
      </c>
      <c r="G82" s="366">
        <v>3</v>
      </c>
      <c r="H82" s="292">
        <v>2</v>
      </c>
      <c r="I82" s="292">
        <v>2</v>
      </c>
      <c r="J82" s="377">
        <v>7</v>
      </c>
      <c r="K82" s="336">
        <f t="shared" si="9"/>
        <v>42.857142857142854</v>
      </c>
      <c r="L82" s="336">
        <f t="shared" si="10"/>
        <v>28.571428571428569</v>
      </c>
      <c r="M82" s="336">
        <f t="shared" si="11"/>
        <v>28.571428571428569</v>
      </c>
      <c r="N82" s="368">
        <f t="shared" si="12"/>
        <v>99.999999999999986</v>
      </c>
      <c r="O82" s="335">
        <v>37</v>
      </c>
      <c r="P82" s="336">
        <v>17</v>
      </c>
      <c r="Q82" s="336">
        <v>27</v>
      </c>
      <c r="R82" s="337">
        <f t="shared" si="8"/>
        <v>81</v>
      </c>
      <c r="S82" s="292">
        <v>3</v>
      </c>
      <c r="T82" s="838"/>
      <c r="U82" s="836"/>
      <c r="V82" s="299" t="s">
        <v>132</v>
      </c>
      <c r="W82" s="292" t="s">
        <v>22</v>
      </c>
      <c r="X82" s="292" t="s">
        <v>11</v>
      </c>
      <c r="Y82" s="300">
        <v>22.5</v>
      </c>
      <c r="Z82" s="292" t="s">
        <v>81</v>
      </c>
      <c r="AA82" s="292" t="s">
        <v>17</v>
      </c>
      <c r="AB82" s="292" t="s">
        <v>18</v>
      </c>
      <c r="AC82" s="292">
        <v>17</v>
      </c>
      <c r="AD82" s="299" t="s">
        <v>457</v>
      </c>
      <c r="AE82" s="292" t="s">
        <v>20</v>
      </c>
      <c r="AF82" s="292" t="s">
        <v>12</v>
      </c>
      <c r="AG82" s="300">
        <v>27</v>
      </c>
      <c r="AH82" s="292" t="s">
        <v>331</v>
      </c>
      <c r="AI82" s="292" t="s">
        <v>855</v>
      </c>
      <c r="AJ82" s="292" t="s">
        <v>11</v>
      </c>
      <c r="AK82" s="292">
        <v>14.5</v>
      </c>
      <c r="AL82" s="299"/>
      <c r="AO82" s="300"/>
      <c r="AP82" s="299"/>
      <c r="AS82" s="300"/>
      <c r="AW82" s="300"/>
      <c r="BA82" s="301"/>
    </row>
    <row r="83" spans="1:53" s="292" customFormat="1">
      <c r="A83" s="292">
        <v>1997</v>
      </c>
      <c r="B83" s="836"/>
      <c r="C83" s="916" t="s">
        <v>440</v>
      </c>
      <c r="D83" s="916"/>
      <c r="E83" s="292">
        <f>365-E82</f>
        <v>365</v>
      </c>
      <c r="F83" s="292">
        <v>1</v>
      </c>
      <c r="G83" s="366">
        <v>3</v>
      </c>
      <c r="H83" s="292">
        <v>2</v>
      </c>
      <c r="I83" s="292">
        <v>2</v>
      </c>
      <c r="J83" s="377">
        <v>7</v>
      </c>
      <c r="K83" s="336">
        <f t="shared" si="9"/>
        <v>42.857142857142854</v>
      </c>
      <c r="L83" s="336">
        <f t="shared" si="10"/>
        <v>28.571428571428569</v>
      </c>
      <c r="M83" s="336">
        <f t="shared" si="11"/>
        <v>28.571428571428569</v>
      </c>
      <c r="N83" s="368">
        <f t="shared" si="12"/>
        <v>99.999999999999986</v>
      </c>
      <c r="O83" s="335">
        <v>37</v>
      </c>
      <c r="P83" s="336">
        <v>17</v>
      </c>
      <c r="Q83" s="336">
        <v>27</v>
      </c>
      <c r="R83" s="337">
        <f t="shared" si="8"/>
        <v>81</v>
      </c>
      <c r="S83" s="292">
        <v>3</v>
      </c>
      <c r="T83" s="838"/>
      <c r="U83" s="836"/>
      <c r="V83" s="299" t="s">
        <v>132</v>
      </c>
      <c r="W83" s="292" t="s">
        <v>22</v>
      </c>
      <c r="X83" s="292" t="s">
        <v>11</v>
      </c>
      <c r="Y83" s="300">
        <v>22.5</v>
      </c>
      <c r="Z83" s="292" t="s">
        <v>81</v>
      </c>
      <c r="AA83" s="292" t="s">
        <v>17</v>
      </c>
      <c r="AB83" s="292" t="s">
        <v>18</v>
      </c>
      <c r="AC83" s="292">
        <v>17</v>
      </c>
      <c r="AD83" s="299" t="s">
        <v>457</v>
      </c>
      <c r="AE83" s="292" t="s">
        <v>20</v>
      </c>
      <c r="AF83" s="292" t="s">
        <v>12</v>
      </c>
      <c r="AG83" s="300">
        <v>27</v>
      </c>
      <c r="AH83" s="292" t="s">
        <v>331</v>
      </c>
      <c r="AI83" s="292" t="s">
        <v>855</v>
      </c>
      <c r="AJ83" s="292" t="s">
        <v>11</v>
      </c>
      <c r="AK83" s="292">
        <v>14.5</v>
      </c>
      <c r="AL83" s="299"/>
      <c r="AO83" s="300"/>
      <c r="AP83" s="299"/>
      <c r="AS83" s="300"/>
      <c r="AW83" s="300"/>
      <c r="BA83" s="301"/>
    </row>
    <row r="84" spans="1:53" s="292" customFormat="1">
      <c r="A84" s="292">
        <v>1998</v>
      </c>
      <c r="B84" s="836"/>
      <c r="C84" s="916" t="s">
        <v>440</v>
      </c>
      <c r="D84" s="916"/>
      <c r="E84" s="292">
        <v>0</v>
      </c>
      <c r="G84" s="366">
        <v>3</v>
      </c>
      <c r="H84" s="292">
        <v>2</v>
      </c>
      <c r="I84" s="292">
        <v>2</v>
      </c>
      <c r="J84" s="377">
        <v>7</v>
      </c>
      <c r="K84" s="336">
        <f t="shared" si="9"/>
        <v>42.857142857142854</v>
      </c>
      <c r="L84" s="336">
        <f t="shared" si="10"/>
        <v>28.571428571428569</v>
      </c>
      <c r="M84" s="336">
        <f t="shared" si="11"/>
        <v>28.571428571428569</v>
      </c>
      <c r="N84" s="368">
        <f t="shared" si="12"/>
        <v>99.999999999999986</v>
      </c>
      <c r="O84" s="335">
        <v>37</v>
      </c>
      <c r="P84" s="336">
        <v>17</v>
      </c>
      <c r="Q84" s="336">
        <v>27</v>
      </c>
      <c r="R84" s="337">
        <f t="shared" si="8"/>
        <v>81</v>
      </c>
      <c r="S84" s="292">
        <v>3</v>
      </c>
      <c r="T84" s="838"/>
      <c r="U84" s="836"/>
      <c r="V84" s="299" t="s">
        <v>132</v>
      </c>
      <c r="W84" s="292" t="s">
        <v>22</v>
      </c>
      <c r="X84" s="292" t="s">
        <v>11</v>
      </c>
      <c r="Y84" s="300">
        <v>22.5</v>
      </c>
      <c r="Z84" s="292" t="s">
        <v>81</v>
      </c>
      <c r="AA84" s="292" t="s">
        <v>17</v>
      </c>
      <c r="AB84" s="292" t="s">
        <v>18</v>
      </c>
      <c r="AC84" s="292">
        <v>17</v>
      </c>
      <c r="AD84" s="299" t="s">
        <v>457</v>
      </c>
      <c r="AE84" s="292" t="s">
        <v>20</v>
      </c>
      <c r="AF84" s="292" t="s">
        <v>12</v>
      </c>
      <c r="AG84" s="300">
        <v>27</v>
      </c>
      <c r="AH84" s="292" t="s">
        <v>331</v>
      </c>
      <c r="AI84" s="292" t="s">
        <v>855</v>
      </c>
      <c r="AJ84" s="292" t="s">
        <v>11</v>
      </c>
      <c r="AK84" s="292">
        <v>14.5</v>
      </c>
      <c r="AL84" s="299"/>
      <c r="AO84" s="300"/>
      <c r="AP84" s="299"/>
      <c r="AS84" s="300"/>
      <c r="AW84" s="300"/>
      <c r="BA84" s="301"/>
    </row>
    <row r="85" spans="1:53" s="292" customFormat="1">
      <c r="A85" s="292">
        <v>1998</v>
      </c>
      <c r="B85" s="836"/>
      <c r="C85" s="916" t="s">
        <v>467</v>
      </c>
      <c r="D85" s="916"/>
      <c r="E85" s="292">
        <f>365-E84</f>
        <v>365</v>
      </c>
      <c r="F85" s="292">
        <v>1</v>
      </c>
      <c r="G85" s="366">
        <v>3</v>
      </c>
      <c r="H85" s="292">
        <v>2</v>
      </c>
      <c r="I85" s="292">
        <v>2</v>
      </c>
      <c r="J85" s="377">
        <v>7</v>
      </c>
      <c r="K85" s="336">
        <f t="shared" si="9"/>
        <v>42.857142857142854</v>
      </c>
      <c r="L85" s="336">
        <f t="shared" si="10"/>
        <v>28.571428571428569</v>
      </c>
      <c r="M85" s="336">
        <f t="shared" si="11"/>
        <v>28.571428571428569</v>
      </c>
      <c r="N85" s="368">
        <f t="shared" si="12"/>
        <v>99.999999999999986</v>
      </c>
      <c r="O85" s="335">
        <v>37</v>
      </c>
      <c r="P85" s="336">
        <v>17</v>
      </c>
      <c r="Q85" s="336">
        <v>27</v>
      </c>
      <c r="R85" s="337">
        <f t="shared" si="8"/>
        <v>81</v>
      </c>
      <c r="S85" s="292">
        <v>3</v>
      </c>
      <c r="T85" s="838"/>
      <c r="U85" s="836"/>
      <c r="V85" s="299" t="s">
        <v>132</v>
      </c>
      <c r="W85" s="292" t="s">
        <v>22</v>
      </c>
      <c r="X85" s="292" t="s">
        <v>11</v>
      </c>
      <c r="Y85" s="300">
        <v>22.5</v>
      </c>
      <c r="Z85" s="292" t="s">
        <v>81</v>
      </c>
      <c r="AA85" s="292" t="s">
        <v>17</v>
      </c>
      <c r="AB85" s="292" t="s">
        <v>18</v>
      </c>
      <c r="AC85" s="292">
        <v>17</v>
      </c>
      <c r="AD85" s="299" t="s">
        <v>457</v>
      </c>
      <c r="AE85" s="292" t="s">
        <v>20</v>
      </c>
      <c r="AF85" s="292" t="s">
        <v>12</v>
      </c>
      <c r="AG85" s="300">
        <v>27</v>
      </c>
      <c r="AH85" s="292" t="s">
        <v>331</v>
      </c>
      <c r="AI85" s="292" t="s">
        <v>855</v>
      </c>
      <c r="AJ85" s="292" t="s">
        <v>11</v>
      </c>
      <c r="AK85" s="292">
        <v>14.5</v>
      </c>
      <c r="AL85" s="299"/>
      <c r="AO85" s="300"/>
      <c r="AP85" s="299"/>
      <c r="AS85" s="300"/>
      <c r="AW85" s="300"/>
      <c r="BA85" s="301"/>
    </row>
    <row r="86" spans="1:53" s="292" customFormat="1">
      <c r="A86" s="292">
        <v>1999</v>
      </c>
      <c r="B86" s="836"/>
      <c r="C86" s="916" t="s">
        <v>467</v>
      </c>
      <c r="D86" s="916"/>
      <c r="E86" s="292">
        <v>348</v>
      </c>
      <c r="G86" s="366">
        <v>3</v>
      </c>
      <c r="H86" s="292">
        <v>2</v>
      </c>
      <c r="I86" s="292">
        <v>2</v>
      </c>
      <c r="J86" s="377">
        <v>7</v>
      </c>
      <c r="K86" s="336">
        <f t="shared" si="9"/>
        <v>42.857142857142854</v>
      </c>
      <c r="L86" s="336">
        <f t="shared" si="10"/>
        <v>28.571428571428569</v>
      </c>
      <c r="M86" s="336">
        <f t="shared" si="11"/>
        <v>28.571428571428569</v>
      </c>
      <c r="N86" s="368">
        <f t="shared" si="12"/>
        <v>99.999999999999986</v>
      </c>
      <c r="O86" s="335">
        <v>37</v>
      </c>
      <c r="P86" s="336">
        <v>17</v>
      </c>
      <c r="Q86" s="336">
        <v>27</v>
      </c>
      <c r="R86" s="337">
        <f t="shared" si="8"/>
        <v>81</v>
      </c>
      <c r="S86" s="292">
        <v>3</v>
      </c>
      <c r="T86" s="838"/>
      <c r="U86" s="836"/>
      <c r="V86" s="299" t="s">
        <v>132</v>
      </c>
      <c r="W86" s="292" t="s">
        <v>22</v>
      </c>
      <c r="X86" s="292" t="s">
        <v>11</v>
      </c>
      <c r="Y86" s="300">
        <v>22.5</v>
      </c>
      <c r="Z86" s="292" t="s">
        <v>81</v>
      </c>
      <c r="AA86" s="292" t="s">
        <v>17</v>
      </c>
      <c r="AB86" s="292" t="s">
        <v>18</v>
      </c>
      <c r="AC86" s="292">
        <v>17</v>
      </c>
      <c r="AD86" s="299" t="s">
        <v>457</v>
      </c>
      <c r="AE86" s="292" t="s">
        <v>20</v>
      </c>
      <c r="AF86" s="292" t="s">
        <v>12</v>
      </c>
      <c r="AG86" s="300">
        <v>27</v>
      </c>
      <c r="AH86" s="292" t="s">
        <v>331</v>
      </c>
      <c r="AI86" s="292" t="s">
        <v>855</v>
      </c>
      <c r="AJ86" s="292" t="s">
        <v>11</v>
      </c>
      <c r="AK86" s="292">
        <v>14.5</v>
      </c>
      <c r="AL86" s="299"/>
      <c r="AO86" s="300"/>
      <c r="AP86" s="299"/>
      <c r="AS86" s="300"/>
      <c r="AW86" s="300"/>
      <c r="BA86" s="301"/>
    </row>
    <row r="87" spans="1:53" s="185" customFormat="1">
      <c r="A87" s="185">
        <v>1999</v>
      </c>
      <c r="B87" s="852">
        <v>36509</v>
      </c>
      <c r="C87" s="917" t="s">
        <v>441</v>
      </c>
      <c r="D87" s="917"/>
      <c r="E87" s="185">
        <f>365-E86</f>
        <v>17</v>
      </c>
      <c r="F87" s="185">
        <v>1</v>
      </c>
      <c r="G87" s="119">
        <v>3</v>
      </c>
      <c r="H87" s="185">
        <v>2</v>
      </c>
      <c r="I87" s="185">
        <v>2</v>
      </c>
      <c r="J87" s="126">
        <v>7</v>
      </c>
      <c r="K87" s="92">
        <f t="shared" si="9"/>
        <v>42.857142857142854</v>
      </c>
      <c r="L87" s="92">
        <f t="shared" si="10"/>
        <v>28.571428571428569</v>
      </c>
      <c r="M87" s="92">
        <f t="shared" si="11"/>
        <v>28.571428571428569</v>
      </c>
      <c r="N87" s="121">
        <f t="shared" si="12"/>
        <v>99.999999999999986</v>
      </c>
      <c r="O87" s="91">
        <v>43.5</v>
      </c>
      <c r="P87" s="92">
        <v>17.5</v>
      </c>
      <c r="Q87" s="92">
        <v>25.5</v>
      </c>
      <c r="R87" s="93">
        <f t="shared" si="8"/>
        <v>86.5</v>
      </c>
      <c r="S87" s="185">
        <v>3</v>
      </c>
      <c r="T87" s="839">
        <v>36457</v>
      </c>
      <c r="U87" s="852">
        <v>36509</v>
      </c>
      <c r="V87" s="82" t="s">
        <v>132</v>
      </c>
      <c r="W87" s="185" t="s">
        <v>22</v>
      </c>
      <c r="X87" s="185" t="s">
        <v>11</v>
      </c>
      <c r="Y87" s="83">
        <v>21.5</v>
      </c>
      <c r="Z87" s="185" t="s">
        <v>81</v>
      </c>
      <c r="AA87" s="185" t="s">
        <v>17</v>
      </c>
      <c r="AB87" s="185" t="s">
        <v>18</v>
      </c>
      <c r="AC87" s="185">
        <v>17.5</v>
      </c>
      <c r="AD87" s="82" t="s">
        <v>457</v>
      </c>
      <c r="AE87" s="185" t="s">
        <v>20</v>
      </c>
      <c r="AF87" s="185" t="s">
        <v>12</v>
      </c>
      <c r="AG87" s="83">
        <v>25.5</v>
      </c>
      <c r="AH87" s="185" t="s">
        <v>331</v>
      </c>
      <c r="AI87" s="185" t="s">
        <v>855</v>
      </c>
      <c r="AJ87" s="185" t="s">
        <v>11</v>
      </c>
      <c r="AK87" s="185">
        <v>22</v>
      </c>
      <c r="AL87" s="82"/>
      <c r="AO87" s="83"/>
      <c r="AP87" s="82"/>
      <c r="AS87" s="83"/>
      <c r="AW87" s="83"/>
      <c r="BA87" s="84"/>
    </row>
    <row r="88" spans="1:53" s="185" customFormat="1">
      <c r="A88" s="185">
        <v>2000</v>
      </c>
      <c r="B88" s="852"/>
      <c r="C88" s="917" t="s">
        <v>441</v>
      </c>
      <c r="D88" s="917"/>
      <c r="E88" s="185">
        <v>0</v>
      </c>
      <c r="G88" s="119">
        <v>3</v>
      </c>
      <c r="H88" s="185">
        <v>2</v>
      </c>
      <c r="I88" s="185">
        <v>2</v>
      </c>
      <c r="J88" s="126">
        <v>7</v>
      </c>
      <c r="K88" s="92">
        <f t="shared" si="9"/>
        <v>42.857142857142854</v>
      </c>
      <c r="L88" s="92">
        <f t="shared" si="10"/>
        <v>28.571428571428569</v>
      </c>
      <c r="M88" s="92">
        <f t="shared" si="11"/>
        <v>28.571428571428569</v>
      </c>
      <c r="N88" s="121">
        <f t="shared" si="12"/>
        <v>99.999999999999986</v>
      </c>
      <c r="O88" s="91">
        <v>43.5</v>
      </c>
      <c r="P88" s="92">
        <v>17.5</v>
      </c>
      <c r="Q88" s="92">
        <v>25.5</v>
      </c>
      <c r="R88" s="93">
        <f t="shared" si="8"/>
        <v>86.5</v>
      </c>
      <c r="S88" s="185">
        <v>3</v>
      </c>
      <c r="T88" s="839"/>
      <c r="U88" s="852"/>
      <c r="V88" s="82" t="s">
        <v>132</v>
      </c>
      <c r="W88" s="185" t="s">
        <v>22</v>
      </c>
      <c r="X88" s="185" t="s">
        <v>11</v>
      </c>
      <c r="Y88" s="83">
        <v>21.5</v>
      </c>
      <c r="Z88" s="185" t="s">
        <v>81</v>
      </c>
      <c r="AA88" s="185" t="s">
        <v>17</v>
      </c>
      <c r="AB88" s="185" t="s">
        <v>18</v>
      </c>
      <c r="AC88" s="185">
        <v>17.5</v>
      </c>
      <c r="AD88" s="82" t="s">
        <v>457</v>
      </c>
      <c r="AE88" s="185" t="s">
        <v>20</v>
      </c>
      <c r="AF88" s="185" t="s">
        <v>12</v>
      </c>
      <c r="AG88" s="83">
        <v>25.5</v>
      </c>
      <c r="AH88" s="185" t="s">
        <v>331</v>
      </c>
      <c r="AI88" s="185" t="s">
        <v>855</v>
      </c>
      <c r="AJ88" s="185" t="s">
        <v>11</v>
      </c>
      <c r="AK88" s="185">
        <v>22</v>
      </c>
      <c r="AL88" s="82"/>
      <c r="AO88" s="83"/>
      <c r="AP88" s="82"/>
      <c r="AS88" s="83"/>
      <c r="AW88" s="83"/>
      <c r="BA88" s="84"/>
    </row>
    <row r="89" spans="1:53" s="185" customFormat="1">
      <c r="A89" s="185">
        <v>2000</v>
      </c>
      <c r="B89" s="852"/>
      <c r="C89" s="917" t="s">
        <v>468</v>
      </c>
      <c r="D89" s="917"/>
      <c r="E89" s="185">
        <v>366</v>
      </c>
      <c r="F89" s="185">
        <v>1</v>
      </c>
      <c r="G89" s="119">
        <v>3</v>
      </c>
      <c r="H89" s="185">
        <v>2</v>
      </c>
      <c r="I89" s="185">
        <v>2</v>
      </c>
      <c r="J89" s="126">
        <v>7</v>
      </c>
      <c r="K89" s="92">
        <f t="shared" si="9"/>
        <v>42.857142857142854</v>
      </c>
      <c r="L89" s="92">
        <f t="shared" si="10"/>
        <v>28.571428571428569</v>
      </c>
      <c r="M89" s="92">
        <f t="shared" si="11"/>
        <v>28.571428571428569</v>
      </c>
      <c r="N89" s="121">
        <f t="shared" si="12"/>
        <v>99.999999999999986</v>
      </c>
      <c r="O89" s="91">
        <v>43.5</v>
      </c>
      <c r="P89" s="92">
        <v>17.5</v>
      </c>
      <c r="Q89" s="92">
        <v>25.5</v>
      </c>
      <c r="R89" s="93">
        <f t="shared" si="8"/>
        <v>86.5</v>
      </c>
      <c r="S89" s="185">
        <v>3</v>
      </c>
      <c r="T89" s="839"/>
      <c r="U89" s="852"/>
      <c r="V89" s="82" t="s">
        <v>132</v>
      </c>
      <c r="W89" s="185" t="s">
        <v>22</v>
      </c>
      <c r="X89" s="185" t="s">
        <v>11</v>
      </c>
      <c r="Y89" s="83">
        <v>21.5</v>
      </c>
      <c r="Z89" s="185" t="s">
        <v>81</v>
      </c>
      <c r="AA89" s="185" t="s">
        <v>17</v>
      </c>
      <c r="AB89" s="185" t="s">
        <v>18</v>
      </c>
      <c r="AC89" s="185">
        <v>17.5</v>
      </c>
      <c r="AD89" s="82" t="s">
        <v>457</v>
      </c>
      <c r="AE89" s="185" t="s">
        <v>20</v>
      </c>
      <c r="AF89" s="185" t="s">
        <v>12</v>
      </c>
      <c r="AG89" s="83">
        <v>25.5</v>
      </c>
      <c r="AH89" s="185" t="s">
        <v>331</v>
      </c>
      <c r="AI89" s="185" t="s">
        <v>855</v>
      </c>
      <c r="AJ89" s="185" t="s">
        <v>11</v>
      </c>
      <c r="AK89" s="185">
        <v>22</v>
      </c>
      <c r="AL89" s="82"/>
      <c r="AO89" s="83"/>
      <c r="AP89" s="82"/>
      <c r="AS89" s="83"/>
      <c r="AW89" s="83"/>
      <c r="BA89" s="84"/>
    </row>
    <row r="90" spans="1:53" s="185" customFormat="1">
      <c r="A90" s="185">
        <v>2001</v>
      </c>
      <c r="B90" s="852"/>
      <c r="C90" s="917" t="s">
        <v>468</v>
      </c>
      <c r="D90" s="917"/>
      <c r="E90" s="185">
        <v>0</v>
      </c>
      <c r="G90" s="119">
        <v>3</v>
      </c>
      <c r="H90" s="185">
        <v>2</v>
      </c>
      <c r="I90" s="185">
        <v>2</v>
      </c>
      <c r="J90" s="126">
        <v>7</v>
      </c>
      <c r="K90" s="92">
        <f t="shared" si="9"/>
        <v>42.857142857142854</v>
      </c>
      <c r="L90" s="92">
        <f t="shared" si="10"/>
        <v>28.571428571428569</v>
      </c>
      <c r="M90" s="92">
        <f t="shared" si="11"/>
        <v>28.571428571428569</v>
      </c>
      <c r="N90" s="121">
        <f t="shared" si="12"/>
        <v>99.999999999999986</v>
      </c>
      <c r="O90" s="91">
        <v>43.5</v>
      </c>
      <c r="P90" s="92">
        <v>17.5</v>
      </c>
      <c r="Q90" s="92">
        <v>25.5</v>
      </c>
      <c r="R90" s="93">
        <f t="shared" si="8"/>
        <v>86.5</v>
      </c>
      <c r="S90" s="185">
        <v>3</v>
      </c>
      <c r="T90" s="839"/>
      <c r="U90" s="852"/>
      <c r="V90" s="82" t="s">
        <v>132</v>
      </c>
      <c r="W90" s="185" t="s">
        <v>22</v>
      </c>
      <c r="X90" s="185" t="s">
        <v>11</v>
      </c>
      <c r="Y90" s="83">
        <v>21.5</v>
      </c>
      <c r="Z90" s="185" t="s">
        <v>81</v>
      </c>
      <c r="AA90" s="185" t="s">
        <v>17</v>
      </c>
      <c r="AB90" s="185" t="s">
        <v>18</v>
      </c>
      <c r="AC90" s="185">
        <v>17.5</v>
      </c>
      <c r="AD90" s="82" t="s">
        <v>457</v>
      </c>
      <c r="AE90" s="185" t="s">
        <v>20</v>
      </c>
      <c r="AF90" s="185" t="s">
        <v>12</v>
      </c>
      <c r="AG90" s="83">
        <v>25.5</v>
      </c>
      <c r="AH90" s="185" t="s">
        <v>331</v>
      </c>
      <c r="AI90" s="185" t="s">
        <v>855</v>
      </c>
      <c r="AJ90" s="185" t="s">
        <v>11</v>
      </c>
      <c r="AK90" s="185">
        <v>22</v>
      </c>
      <c r="AL90" s="82"/>
      <c r="AO90" s="83"/>
      <c r="AP90" s="82"/>
      <c r="AS90" s="83"/>
      <c r="AW90" s="83"/>
      <c r="BA90" s="84"/>
    </row>
    <row r="91" spans="1:53" s="185" customFormat="1">
      <c r="A91" s="185">
        <v>2001</v>
      </c>
      <c r="B91" s="852"/>
      <c r="C91" s="917" t="s">
        <v>438</v>
      </c>
      <c r="D91" s="917"/>
      <c r="E91" s="185">
        <f>365-E90</f>
        <v>365</v>
      </c>
      <c r="F91" s="185">
        <v>1</v>
      </c>
      <c r="G91" s="119">
        <v>3</v>
      </c>
      <c r="H91" s="185">
        <v>2</v>
      </c>
      <c r="I91" s="185">
        <v>2</v>
      </c>
      <c r="J91" s="126">
        <v>7</v>
      </c>
      <c r="K91" s="92">
        <f t="shared" si="9"/>
        <v>42.857142857142854</v>
      </c>
      <c r="L91" s="92">
        <f t="shared" si="10"/>
        <v>28.571428571428569</v>
      </c>
      <c r="M91" s="92">
        <f t="shared" si="11"/>
        <v>28.571428571428569</v>
      </c>
      <c r="N91" s="121">
        <f t="shared" si="12"/>
        <v>99.999999999999986</v>
      </c>
      <c r="O91" s="91">
        <v>43.5</v>
      </c>
      <c r="P91" s="92">
        <v>17.5</v>
      </c>
      <c r="Q91" s="92">
        <v>25.5</v>
      </c>
      <c r="R91" s="93">
        <f t="shared" si="8"/>
        <v>86.5</v>
      </c>
      <c r="S91" s="185">
        <v>3</v>
      </c>
      <c r="T91" s="839"/>
      <c r="U91" s="852"/>
      <c r="V91" s="82" t="s">
        <v>132</v>
      </c>
      <c r="W91" s="185" t="s">
        <v>22</v>
      </c>
      <c r="X91" s="185" t="s">
        <v>11</v>
      </c>
      <c r="Y91" s="83">
        <v>21.5</v>
      </c>
      <c r="Z91" s="185" t="s">
        <v>81</v>
      </c>
      <c r="AA91" s="185" t="s">
        <v>17</v>
      </c>
      <c r="AB91" s="185" t="s">
        <v>18</v>
      </c>
      <c r="AC91" s="185">
        <v>17.5</v>
      </c>
      <c r="AD91" s="82" t="s">
        <v>457</v>
      </c>
      <c r="AE91" s="185" t="s">
        <v>20</v>
      </c>
      <c r="AF91" s="185" t="s">
        <v>12</v>
      </c>
      <c r="AG91" s="83">
        <v>25.5</v>
      </c>
      <c r="AH91" s="185" t="s">
        <v>331</v>
      </c>
      <c r="AI91" s="185" t="s">
        <v>855</v>
      </c>
      <c r="AJ91" s="185" t="s">
        <v>11</v>
      </c>
      <c r="AK91" s="185">
        <v>22</v>
      </c>
      <c r="AL91" s="82"/>
      <c r="AO91" s="83"/>
      <c r="AP91" s="82"/>
      <c r="AS91" s="83"/>
      <c r="AW91" s="83"/>
      <c r="BA91" s="84"/>
    </row>
    <row r="92" spans="1:53" s="185" customFormat="1">
      <c r="A92" s="185">
        <v>2002</v>
      </c>
      <c r="B92" s="852"/>
      <c r="C92" s="917" t="s">
        <v>438</v>
      </c>
      <c r="D92" s="917"/>
      <c r="E92" s="185">
        <v>0</v>
      </c>
      <c r="G92" s="119">
        <v>3</v>
      </c>
      <c r="H92" s="185">
        <v>2</v>
      </c>
      <c r="I92" s="185">
        <v>2</v>
      </c>
      <c r="J92" s="126">
        <v>7</v>
      </c>
      <c r="K92" s="92">
        <f t="shared" si="9"/>
        <v>42.857142857142854</v>
      </c>
      <c r="L92" s="92">
        <f t="shared" si="10"/>
        <v>28.571428571428569</v>
      </c>
      <c r="M92" s="92">
        <f t="shared" si="11"/>
        <v>28.571428571428569</v>
      </c>
      <c r="N92" s="121">
        <f t="shared" si="12"/>
        <v>99.999999999999986</v>
      </c>
      <c r="O92" s="91">
        <v>43.5</v>
      </c>
      <c r="P92" s="92">
        <v>17.5</v>
      </c>
      <c r="Q92" s="92">
        <v>25.5</v>
      </c>
      <c r="R92" s="93">
        <f t="shared" si="8"/>
        <v>86.5</v>
      </c>
      <c r="S92" s="185">
        <v>3</v>
      </c>
      <c r="T92" s="839"/>
      <c r="U92" s="852"/>
      <c r="V92" s="82" t="s">
        <v>132</v>
      </c>
      <c r="W92" s="185" t="s">
        <v>22</v>
      </c>
      <c r="X92" s="185" t="s">
        <v>11</v>
      </c>
      <c r="Y92" s="83">
        <v>21.5</v>
      </c>
      <c r="Z92" s="185" t="s">
        <v>81</v>
      </c>
      <c r="AA92" s="185" t="s">
        <v>17</v>
      </c>
      <c r="AB92" s="185" t="s">
        <v>18</v>
      </c>
      <c r="AC92" s="185">
        <v>17.5</v>
      </c>
      <c r="AD92" s="82" t="s">
        <v>457</v>
      </c>
      <c r="AE92" s="185" t="s">
        <v>20</v>
      </c>
      <c r="AF92" s="185" t="s">
        <v>12</v>
      </c>
      <c r="AG92" s="83">
        <v>25.5</v>
      </c>
      <c r="AH92" s="185" t="s">
        <v>331</v>
      </c>
      <c r="AI92" s="185" t="s">
        <v>855</v>
      </c>
      <c r="AJ92" s="185" t="s">
        <v>11</v>
      </c>
      <c r="AK92" s="185">
        <v>22</v>
      </c>
      <c r="AL92" s="82"/>
      <c r="AO92" s="83"/>
      <c r="AP92" s="82"/>
      <c r="AS92" s="83"/>
      <c r="AW92" s="83"/>
      <c r="BA92" s="84"/>
    </row>
    <row r="93" spans="1:53" s="185" customFormat="1">
      <c r="A93" s="185">
        <v>2002</v>
      </c>
      <c r="B93" s="852"/>
      <c r="C93" s="917" t="s">
        <v>443</v>
      </c>
      <c r="D93" s="917"/>
      <c r="E93" s="185">
        <f>365-E92</f>
        <v>365</v>
      </c>
      <c r="F93" s="185">
        <v>1</v>
      </c>
      <c r="G93" s="119">
        <v>3</v>
      </c>
      <c r="H93" s="185">
        <v>2</v>
      </c>
      <c r="I93" s="185">
        <v>2</v>
      </c>
      <c r="J93" s="126">
        <v>7</v>
      </c>
      <c r="K93" s="92">
        <f t="shared" si="9"/>
        <v>42.857142857142854</v>
      </c>
      <c r="L93" s="92">
        <f t="shared" si="10"/>
        <v>28.571428571428569</v>
      </c>
      <c r="M93" s="92">
        <f t="shared" si="11"/>
        <v>28.571428571428569</v>
      </c>
      <c r="N93" s="121">
        <f t="shared" si="12"/>
        <v>99.999999999999986</v>
      </c>
      <c r="O93" s="91">
        <v>43.5</v>
      </c>
      <c r="P93" s="92">
        <v>17.5</v>
      </c>
      <c r="Q93" s="92">
        <v>25.5</v>
      </c>
      <c r="R93" s="93">
        <f t="shared" si="8"/>
        <v>86.5</v>
      </c>
      <c r="S93" s="185">
        <v>3</v>
      </c>
      <c r="T93" s="839"/>
      <c r="U93" s="852"/>
      <c r="V93" s="82" t="s">
        <v>132</v>
      </c>
      <c r="W93" s="185" t="s">
        <v>22</v>
      </c>
      <c r="X93" s="185" t="s">
        <v>11</v>
      </c>
      <c r="Y93" s="83">
        <v>21.5</v>
      </c>
      <c r="Z93" s="185" t="s">
        <v>81</v>
      </c>
      <c r="AA93" s="185" t="s">
        <v>17</v>
      </c>
      <c r="AB93" s="185" t="s">
        <v>18</v>
      </c>
      <c r="AC93" s="185">
        <v>17.5</v>
      </c>
      <c r="AD93" s="82" t="s">
        <v>457</v>
      </c>
      <c r="AE93" s="185" t="s">
        <v>20</v>
      </c>
      <c r="AF93" s="185" t="s">
        <v>12</v>
      </c>
      <c r="AG93" s="83">
        <v>25.5</v>
      </c>
      <c r="AH93" s="185" t="s">
        <v>331</v>
      </c>
      <c r="AI93" s="185" t="s">
        <v>855</v>
      </c>
      <c r="AJ93" s="185" t="s">
        <v>11</v>
      </c>
      <c r="AK93" s="185">
        <v>22</v>
      </c>
      <c r="AL93" s="82"/>
      <c r="AO93" s="83"/>
      <c r="AP93" s="82"/>
      <c r="AS93" s="83"/>
      <c r="AW93" s="83"/>
      <c r="BA93" s="84"/>
    </row>
    <row r="94" spans="1:53" s="185" customFormat="1">
      <c r="A94" s="185">
        <v>2003</v>
      </c>
      <c r="B94" s="852"/>
      <c r="C94" s="917" t="s">
        <v>443</v>
      </c>
      <c r="D94" s="917"/>
      <c r="E94" s="185">
        <v>343</v>
      </c>
      <c r="G94" s="119">
        <v>3</v>
      </c>
      <c r="H94" s="185">
        <v>2</v>
      </c>
      <c r="I94" s="185">
        <v>2</v>
      </c>
      <c r="J94" s="126">
        <v>7</v>
      </c>
      <c r="K94" s="92">
        <f t="shared" si="9"/>
        <v>42.857142857142854</v>
      </c>
      <c r="L94" s="92">
        <f t="shared" si="10"/>
        <v>28.571428571428569</v>
      </c>
      <c r="M94" s="92">
        <f t="shared" si="11"/>
        <v>28.571428571428569</v>
      </c>
      <c r="N94" s="121">
        <f t="shared" si="12"/>
        <v>99.999999999999986</v>
      </c>
      <c r="O94" s="91">
        <v>43.5</v>
      </c>
      <c r="P94" s="92">
        <v>17.5</v>
      </c>
      <c r="Q94" s="92">
        <v>25.5</v>
      </c>
      <c r="R94" s="93">
        <f t="shared" si="8"/>
        <v>86.5</v>
      </c>
      <c r="S94" s="185">
        <v>3</v>
      </c>
      <c r="T94" s="839"/>
      <c r="U94" s="852"/>
      <c r="V94" s="82" t="s">
        <v>132</v>
      </c>
      <c r="W94" s="185" t="s">
        <v>22</v>
      </c>
      <c r="X94" s="185" t="s">
        <v>11</v>
      </c>
      <c r="Y94" s="83">
        <v>21.5</v>
      </c>
      <c r="Z94" s="185" t="s">
        <v>81</v>
      </c>
      <c r="AA94" s="185" t="s">
        <v>17</v>
      </c>
      <c r="AB94" s="185" t="s">
        <v>18</v>
      </c>
      <c r="AC94" s="185">
        <v>17.5</v>
      </c>
      <c r="AD94" s="82" t="s">
        <v>457</v>
      </c>
      <c r="AE94" s="185" t="s">
        <v>20</v>
      </c>
      <c r="AF94" s="185" t="s">
        <v>12</v>
      </c>
      <c r="AG94" s="83">
        <v>25.5</v>
      </c>
      <c r="AH94" s="185" t="s">
        <v>331</v>
      </c>
      <c r="AI94" s="185" t="s">
        <v>855</v>
      </c>
      <c r="AJ94" s="185" t="s">
        <v>11</v>
      </c>
      <c r="AK94" s="185">
        <v>22</v>
      </c>
      <c r="AL94" s="82"/>
      <c r="AO94" s="83"/>
      <c r="AP94" s="82"/>
      <c r="AS94" s="83"/>
      <c r="AW94" s="83"/>
      <c r="BA94" s="84"/>
    </row>
    <row r="95" spans="1:53" s="292" customFormat="1">
      <c r="A95" s="292">
        <v>2003</v>
      </c>
      <c r="B95" s="836">
        <v>37965</v>
      </c>
      <c r="C95" s="916" t="s">
        <v>444</v>
      </c>
      <c r="D95" s="916"/>
      <c r="E95" s="292">
        <f>365-E94</f>
        <v>22</v>
      </c>
      <c r="F95" s="292">
        <v>1</v>
      </c>
      <c r="G95" s="366">
        <v>3</v>
      </c>
      <c r="H95" s="292">
        <v>2</v>
      </c>
      <c r="I95" s="292">
        <v>2</v>
      </c>
      <c r="J95" s="377">
        <v>7</v>
      </c>
      <c r="K95" s="336">
        <f t="shared" si="9"/>
        <v>42.857142857142854</v>
      </c>
      <c r="L95" s="336">
        <f t="shared" si="10"/>
        <v>28.571428571428569</v>
      </c>
      <c r="M95" s="336">
        <f t="shared" si="11"/>
        <v>28.571428571428569</v>
      </c>
      <c r="N95" s="368">
        <f t="shared" si="12"/>
        <v>99.999999999999986</v>
      </c>
      <c r="O95" s="335">
        <v>45.5</v>
      </c>
      <c r="P95" s="336">
        <v>14</v>
      </c>
      <c r="Q95" s="336">
        <v>26</v>
      </c>
      <c r="R95" s="337">
        <f t="shared" si="8"/>
        <v>85.5</v>
      </c>
      <c r="S95" s="292">
        <v>3</v>
      </c>
      <c r="T95" s="838">
        <v>37913</v>
      </c>
      <c r="U95" s="836">
        <v>37965</v>
      </c>
      <c r="V95" s="299" t="s">
        <v>132</v>
      </c>
      <c r="W95" s="292" t="s">
        <v>22</v>
      </c>
      <c r="X95" s="292" t="s">
        <v>11</v>
      </c>
      <c r="Y95" s="300">
        <v>18</v>
      </c>
      <c r="Z95" s="292" t="s">
        <v>81</v>
      </c>
      <c r="AA95" s="292" t="s">
        <v>17</v>
      </c>
      <c r="AB95" s="292" t="s">
        <v>18</v>
      </c>
      <c r="AC95" s="292">
        <v>14</v>
      </c>
      <c r="AD95" s="299" t="s">
        <v>457</v>
      </c>
      <c r="AE95" s="292" t="s">
        <v>20</v>
      </c>
      <c r="AF95" s="292" t="s">
        <v>12</v>
      </c>
      <c r="AG95" s="300">
        <v>26</v>
      </c>
      <c r="AH95" s="292" t="s">
        <v>331</v>
      </c>
      <c r="AI95" s="292" t="s">
        <v>855</v>
      </c>
      <c r="AJ95" s="292" t="s">
        <v>11</v>
      </c>
      <c r="AK95" s="292">
        <v>27.5</v>
      </c>
      <c r="AL95" s="299"/>
      <c r="AO95" s="300"/>
      <c r="AP95" s="299"/>
      <c r="AS95" s="300"/>
      <c r="AW95" s="300"/>
      <c r="BA95" s="301"/>
    </row>
    <row r="96" spans="1:53" s="292" customFormat="1">
      <c r="A96" s="292">
        <v>2004</v>
      </c>
      <c r="B96" s="836"/>
      <c r="C96" s="916" t="s">
        <v>444</v>
      </c>
      <c r="D96" s="916"/>
      <c r="E96" s="292">
        <v>0</v>
      </c>
      <c r="G96" s="366">
        <v>4</v>
      </c>
      <c r="H96" s="292">
        <v>1</v>
      </c>
      <c r="I96" s="292">
        <v>2</v>
      </c>
      <c r="J96" s="377">
        <v>7</v>
      </c>
      <c r="K96" s="336">
        <f t="shared" si="9"/>
        <v>57.142857142857139</v>
      </c>
      <c r="L96" s="336">
        <f t="shared" si="10"/>
        <v>14.285714285714285</v>
      </c>
      <c r="M96" s="336">
        <f t="shared" si="11"/>
        <v>28.571428571428569</v>
      </c>
      <c r="N96" s="368">
        <f t="shared" si="12"/>
        <v>99.999999999999986</v>
      </c>
      <c r="O96" s="335">
        <v>45.5</v>
      </c>
      <c r="P96" s="336">
        <v>14</v>
      </c>
      <c r="Q96" s="336">
        <v>26</v>
      </c>
      <c r="R96" s="337">
        <f t="shared" si="8"/>
        <v>85.5</v>
      </c>
      <c r="S96" s="292">
        <v>3</v>
      </c>
      <c r="T96" s="838"/>
      <c r="U96" s="836"/>
      <c r="V96" s="299" t="s">
        <v>132</v>
      </c>
      <c r="W96" s="292" t="s">
        <v>22</v>
      </c>
      <c r="X96" s="292" t="s">
        <v>11</v>
      </c>
      <c r="Y96" s="300">
        <v>18</v>
      </c>
      <c r="Z96" s="292" t="s">
        <v>81</v>
      </c>
      <c r="AA96" s="292" t="s">
        <v>17</v>
      </c>
      <c r="AB96" s="292" t="s">
        <v>18</v>
      </c>
      <c r="AC96" s="292">
        <v>14</v>
      </c>
      <c r="AD96" s="299" t="s">
        <v>457</v>
      </c>
      <c r="AE96" s="292" t="s">
        <v>20</v>
      </c>
      <c r="AF96" s="292" t="s">
        <v>12</v>
      </c>
      <c r="AG96" s="300">
        <v>26</v>
      </c>
      <c r="AH96" s="292" t="s">
        <v>331</v>
      </c>
      <c r="AI96" s="292" t="s">
        <v>855</v>
      </c>
      <c r="AJ96" s="292" t="s">
        <v>11</v>
      </c>
      <c r="AK96" s="292">
        <v>27.5</v>
      </c>
      <c r="AL96" s="299"/>
      <c r="AO96" s="300"/>
      <c r="AP96" s="299"/>
      <c r="AS96" s="300"/>
      <c r="AW96" s="300"/>
      <c r="BA96" s="301"/>
    </row>
    <row r="97" spans="1:53" s="292" customFormat="1">
      <c r="A97" s="292">
        <v>2004</v>
      </c>
      <c r="B97" s="836"/>
      <c r="C97" s="916" t="s">
        <v>445</v>
      </c>
      <c r="D97" s="916"/>
      <c r="E97" s="292">
        <v>366</v>
      </c>
      <c r="F97" s="292">
        <v>1</v>
      </c>
      <c r="G97" s="366">
        <v>4</v>
      </c>
      <c r="H97" s="292">
        <v>1</v>
      </c>
      <c r="I97" s="292">
        <v>2</v>
      </c>
      <c r="J97" s="377">
        <v>7</v>
      </c>
      <c r="K97" s="336">
        <f t="shared" si="9"/>
        <v>57.142857142857139</v>
      </c>
      <c r="L97" s="336">
        <f t="shared" si="10"/>
        <v>14.285714285714285</v>
      </c>
      <c r="M97" s="336">
        <f t="shared" si="11"/>
        <v>28.571428571428569</v>
      </c>
      <c r="N97" s="368">
        <f t="shared" si="12"/>
        <v>99.999999999999986</v>
      </c>
      <c r="O97" s="335">
        <v>45.5</v>
      </c>
      <c r="P97" s="336">
        <v>14</v>
      </c>
      <c r="Q97" s="336">
        <v>26</v>
      </c>
      <c r="R97" s="337">
        <f t="shared" si="8"/>
        <v>85.5</v>
      </c>
      <c r="S97" s="292">
        <v>3</v>
      </c>
      <c r="T97" s="838"/>
      <c r="U97" s="836"/>
      <c r="V97" s="299" t="s">
        <v>132</v>
      </c>
      <c r="W97" s="292" t="s">
        <v>22</v>
      </c>
      <c r="X97" s="292" t="s">
        <v>11</v>
      </c>
      <c r="Y97" s="300">
        <v>18</v>
      </c>
      <c r="Z97" s="292" t="s">
        <v>81</v>
      </c>
      <c r="AA97" s="292" t="s">
        <v>17</v>
      </c>
      <c r="AB97" s="292" t="s">
        <v>18</v>
      </c>
      <c r="AC97" s="292">
        <v>14</v>
      </c>
      <c r="AD97" s="299" t="s">
        <v>457</v>
      </c>
      <c r="AE97" s="292" t="s">
        <v>20</v>
      </c>
      <c r="AF97" s="292" t="s">
        <v>12</v>
      </c>
      <c r="AG97" s="300">
        <v>26</v>
      </c>
      <c r="AH97" s="292" t="s">
        <v>331</v>
      </c>
      <c r="AI97" s="292" t="s">
        <v>855</v>
      </c>
      <c r="AJ97" s="292" t="s">
        <v>11</v>
      </c>
      <c r="AK97" s="292">
        <v>27.5</v>
      </c>
      <c r="AL97" s="299"/>
      <c r="AO97" s="300"/>
      <c r="AP97" s="299"/>
      <c r="AS97" s="300"/>
      <c r="AW97" s="300"/>
      <c r="BA97" s="301"/>
    </row>
    <row r="98" spans="1:53" s="292" customFormat="1">
      <c r="A98" s="292">
        <v>2005</v>
      </c>
      <c r="B98" s="836"/>
      <c r="C98" s="916" t="s">
        <v>445</v>
      </c>
      <c r="D98" s="916"/>
      <c r="E98" s="292">
        <v>0</v>
      </c>
      <c r="G98" s="366">
        <v>4</v>
      </c>
      <c r="H98" s="292">
        <v>1</v>
      </c>
      <c r="I98" s="292">
        <v>2</v>
      </c>
      <c r="J98" s="377">
        <v>7</v>
      </c>
      <c r="K98" s="336">
        <f t="shared" si="9"/>
        <v>57.142857142857139</v>
      </c>
      <c r="L98" s="336">
        <f t="shared" si="10"/>
        <v>14.285714285714285</v>
      </c>
      <c r="M98" s="336">
        <f t="shared" si="11"/>
        <v>28.571428571428569</v>
      </c>
      <c r="N98" s="368">
        <f t="shared" si="12"/>
        <v>99.999999999999986</v>
      </c>
      <c r="O98" s="335">
        <v>45.5</v>
      </c>
      <c r="P98" s="336">
        <v>14</v>
      </c>
      <c r="Q98" s="336">
        <v>26</v>
      </c>
      <c r="R98" s="337">
        <f t="shared" si="8"/>
        <v>85.5</v>
      </c>
      <c r="S98" s="292">
        <v>3</v>
      </c>
      <c r="T98" s="838"/>
      <c r="U98" s="836"/>
      <c r="V98" s="299" t="s">
        <v>132</v>
      </c>
      <c r="W98" s="292" t="s">
        <v>22</v>
      </c>
      <c r="X98" s="292" t="s">
        <v>11</v>
      </c>
      <c r="Y98" s="300">
        <v>18</v>
      </c>
      <c r="Z98" s="292" t="s">
        <v>81</v>
      </c>
      <c r="AA98" s="292" t="s">
        <v>17</v>
      </c>
      <c r="AB98" s="292" t="s">
        <v>18</v>
      </c>
      <c r="AC98" s="292">
        <v>14</v>
      </c>
      <c r="AD98" s="299" t="s">
        <v>457</v>
      </c>
      <c r="AE98" s="292" t="s">
        <v>20</v>
      </c>
      <c r="AF98" s="292" t="s">
        <v>12</v>
      </c>
      <c r="AG98" s="300">
        <v>26</v>
      </c>
      <c r="AH98" s="292" t="s">
        <v>331</v>
      </c>
      <c r="AI98" s="292" t="s">
        <v>855</v>
      </c>
      <c r="AJ98" s="292" t="s">
        <v>11</v>
      </c>
      <c r="AK98" s="292">
        <v>27.5</v>
      </c>
      <c r="AL98" s="299"/>
      <c r="AO98" s="300"/>
      <c r="AP98" s="299"/>
      <c r="AS98" s="300"/>
      <c r="AW98" s="300"/>
      <c r="BA98" s="301"/>
    </row>
    <row r="99" spans="1:53" s="292" customFormat="1">
      <c r="A99" s="292">
        <v>2005</v>
      </c>
      <c r="B99" s="836"/>
      <c r="C99" s="916" t="s">
        <v>469</v>
      </c>
      <c r="D99" s="916"/>
      <c r="E99" s="292">
        <f>365-E98</f>
        <v>365</v>
      </c>
      <c r="F99" s="292">
        <v>1</v>
      </c>
      <c r="G99" s="366">
        <v>4</v>
      </c>
      <c r="H99" s="292">
        <v>1</v>
      </c>
      <c r="I99" s="292">
        <v>2</v>
      </c>
      <c r="J99" s="377">
        <v>7</v>
      </c>
      <c r="K99" s="336">
        <f t="shared" si="9"/>
        <v>57.142857142857139</v>
      </c>
      <c r="L99" s="336">
        <f t="shared" si="10"/>
        <v>14.285714285714285</v>
      </c>
      <c r="M99" s="336">
        <f t="shared" si="11"/>
        <v>28.571428571428569</v>
      </c>
      <c r="N99" s="368">
        <f t="shared" si="12"/>
        <v>99.999999999999986</v>
      </c>
      <c r="O99" s="335">
        <v>45.5</v>
      </c>
      <c r="P99" s="336">
        <v>14</v>
      </c>
      <c r="Q99" s="336">
        <v>26</v>
      </c>
      <c r="R99" s="337">
        <f t="shared" si="8"/>
        <v>85.5</v>
      </c>
      <c r="S99" s="292">
        <v>3</v>
      </c>
      <c r="T99" s="838"/>
      <c r="U99" s="836"/>
      <c r="V99" s="299" t="s">
        <v>132</v>
      </c>
      <c r="W99" s="292" t="s">
        <v>22</v>
      </c>
      <c r="X99" s="292" t="s">
        <v>11</v>
      </c>
      <c r="Y99" s="300">
        <v>18</v>
      </c>
      <c r="Z99" s="292" t="s">
        <v>81</v>
      </c>
      <c r="AA99" s="292" t="s">
        <v>17</v>
      </c>
      <c r="AB99" s="292" t="s">
        <v>18</v>
      </c>
      <c r="AC99" s="292">
        <v>14</v>
      </c>
      <c r="AD99" s="299" t="s">
        <v>457</v>
      </c>
      <c r="AE99" s="292" t="s">
        <v>20</v>
      </c>
      <c r="AF99" s="292" t="s">
        <v>12</v>
      </c>
      <c r="AG99" s="300">
        <v>26</v>
      </c>
      <c r="AH99" s="292" t="s">
        <v>331</v>
      </c>
      <c r="AI99" s="292" t="s">
        <v>855</v>
      </c>
      <c r="AJ99" s="292" t="s">
        <v>11</v>
      </c>
      <c r="AK99" s="292">
        <v>27.5</v>
      </c>
      <c r="AL99" s="299"/>
      <c r="AO99" s="300"/>
      <c r="AP99" s="299"/>
      <c r="AS99" s="300"/>
      <c r="AW99" s="300"/>
      <c r="BA99" s="301"/>
    </row>
    <row r="100" spans="1:53" s="292" customFormat="1">
      <c r="A100" s="292">
        <v>2006</v>
      </c>
      <c r="B100" s="836"/>
      <c r="C100" s="916" t="s">
        <v>469</v>
      </c>
      <c r="D100" s="916"/>
      <c r="E100" s="292">
        <v>0</v>
      </c>
      <c r="G100" s="366">
        <v>4</v>
      </c>
      <c r="H100" s="292">
        <v>1</v>
      </c>
      <c r="I100" s="292">
        <v>2</v>
      </c>
      <c r="J100" s="377">
        <v>7</v>
      </c>
      <c r="K100" s="336">
        <f t="shared" si="9"/>
        <v>57.142857142857139</v>
      </c>
      <c r="L100" s="336">
        <f t="shared" si="10"/>
        <v>14.285714285714285</v>
      </c>
      <c r="M100" s="336">
        <f t="shared" si="11"/>
        <v>28.571428571428569</v>
      </c>
      <c r="N100" s="368">
        <f t="shared" si="12"/>
        <v>99.999999999999986</v>
      </c>
      <c r="O100" s="335">
        <v>45.5</v>
      </c>
      <c r="P100" s="336">
        <v>14</v>
      </c>
      <c r="Q100" s="336">
        <v>26</v>
      </c>
      <c r="R100" s="337">
        <f t="shared" si="8"/>
        <v>85.5</v>
      </c>
      <c r="S100" s="292">
        <v>3</v>
      </c>
      <c r="T100" s="838"/>
      <c r="U100" s="836"/>
      <c r="V100" s="299" t="s">
        <v>132</v>
      </c>
      <c r="W100" s="292" t="s">
        <v>22</v>
      </c>
      <c r="X100" s="292" t="s">
        <v>11</v>
      </c>
      <c r="Y100" s="300">
        <v>18</v>
      </c>
      <c r="Z100" s="292" t="s">
        <v>81</v>
      </c>
      <c r="AA100" s="292" t="s">
        <v>17</v>
      </c>
      <c r="AB100" s="292" t="s">
        <v>18</v>
      </c>
      <c r="AC100" s="292">
        <v>14</v>
      </c>
      <c r="AD100" s="299" t="s">
        <v>457</v>
      </c>
      <c r="AE100" s="292" t="s">
        <v>20</v>
      </c>
      <c r="AF100" s="292" t="s">
        <v>12</v>
      </c>
      <c r="AG100" s="300">
        <v>26</v>
      </c>
      <c r="AH100" s="292" t="s">
        <v>331</v>
      </c>
      <c r="AI100" s="292" t="s">
        <v>855</v>
      </c>
      <c r="AJ100" s="292" t="s">
        <v>11</v>
      </c>
      <c r="AK100" s="292">
        <v>27.5</v>
      </c>
      <c r="AL100" s="299"/>
      <c r="AO100" s="300"/>
      <c r="AP100" s="299"/>
      <c r="AS100" s="300"/>
      <c r="AW100" s="300"/>
      <c r="BA100" s="301"/>
    </row>
    <row r="101" spans="1:53" s="292" customFormat="1">
      <c r="A101" s="292">
        <v>2006</v>
      </c>
      <c r="B101" s="836"/>
      <c r="C101" s="916" t="s">
        <v>470</v>
      </c>
      <c r="D101" s="916"/>
      <c r="E101" s="292">
        <f>365-E100</f>
        <v>365</v>
      </c>
      <c r="F101" s="292">
        <v>1</v>
      </c>
      <c r="G101" s="366">
        <v>4</v>
      </c>
      <c r="H101" s="292">
        <v>1</v>
      </c>
      <c r="I101" s="292">
        <v>2</v>
      </c>
      <c r="J101" s="377">
        <v>7</v>
      </c>
      <c r="K101" s="336">
        <f t="shared" si="9"/>
        <v>57.142857142857139</v>
      </c>
      <c r="L101" s="336">
        <f t="shared" si="10"/>
        <v>14.285714285714285</v>
      </c>
      <c r="M101" s="336">
        <f t="shared" si="11"/>
        <v>28.571428571428569</v>
      </c>
      <c r="N101" s="368">
        <f t="shared" si="12"/>
        <v>99.999999999999986</v>
      </c>
      <c r="O101" s="335">
        <v>45.5</v>
      </c>
      <c r="P101" s="336">
        <v>14</v>
      </c>
      <c r="Q101" s="336">
        <v>26</v>
      </c>
      <c r="R101" s="337">
        <f t="shared" si="8"/>
        <v>85.5</v>
      </c>
      <c r="S101" s="292">
        <v>3</v>
      </c>
      <c r="T101" s="838"/>
      <c r="U101" s="836"/>
      <c r="V101" s="299" t="s">
        <v>132</v>
      </c>
      <c r="W101" s="292" t="s">
        <v>22</v>
      </c>
      <c r="X101" s="292" t="s">
        <v>11</v>
      </c>
      <c r="Y101" s="300">
        <v>18</v>
      </c>
      <c r="Z101" s="292" t="s">
        <v>81</v>
      </c>
      <c r="AA101" s="292" t="s">
        <v>17</v>
      </c>
      <c r="AB101" s="292" t="s">
        <v>18</v>
      </c>
      <c r="AC101" s="292">
        <v>14</v>
      </c>
      <c r="AD101" s="299" t="s">
        <v>457</v>
      </c>
      <c r="AE101" s="292" t="s">
        <v>20</v>
      </c>
      <c r="AF101" s="292" t="s">
        <v>12</v>
      </c>
      <c r="AG101" s="300">
        <v>26</v>
      </c>
      <c r="AH101" s="292" t="s">
        <v>331</v>
      </c>
      <c r="AI101" s="292" t="s">
        <v>855</v>
      </c>
      <c r="AJ101" s="292" t="s">
        <v>11</v>
      </c>
      <c r="AK101" s="292">
        <v>27.5</v>
      </c>
      <c r="AL101" s="299"/>
      <c r="AO101" s="300"/>
      <c r="AP101" s="299"/>
      <c r="AS101" s="300"/>
      <c r="AW101" s="300"/>
      <c r="BA101" s="301"/>
    </row>
    <row r="102" spans="1:53" s="292" customFormat="1">
      <c r="A102" s="292">
        <v>2007</v>
      </c>
      <c r="B102" s="836"/>
      <c r="C102" s="916" t="s">
        <v>470</v>
      </c>
      <c r="D102" s="916"/>
      <c r="E102" s="292">
        <v>345</v>
      </c>
      <c r="G102" s="366">
        <v>4</v>
      </c>
      <c r="H102" s="292">
        <v>1</v>
      </c>
      <c r="I102" s="292">
        <v>2</v>
      </c>
      <c r="J102" s="377">
        <v>7</v>
      </c>
      <c r="K102" s="336">
        <f t="shared" si="9"/>
        <v>57.142857142857139</v>
      </c>
      <c r="L102" s="336">
        <f t="shared" si="10"/>
        <v>14.285714285714285</v>
      </c>
      <c r="M102" s="336">
        <f t="shared" si="11"/>
        <v>28.571428571428569</v>
      </c>
      <c r="N102" s="368">
        <f t="shared" si="12"/>
        <v>99.999999999999986</v>
      </c>
      <c r="O102" s="335">
        <v>45.5</v>
      </c>
      <c r="P102" s="336">
        <v>14</v>
      </c>
      <c r="Q102" s="336">
        <v>26</v>
      </c>
      <c r="R102" s="337">
        <f t="shared" si="8"/>
        <v>85.5</v>
      </c>
      <c r="S102" s="292">
        <v>3</v>
      </c>
      <c r="T102" s="838"/>
      <c r="U102" s="836"/>
      <c r="V102" s="299" t="s">
        <v>132</v>
      </c>
      <c r="W102" s="292" t="s">
        <v>22</v>
      </c>
      <c r="X102" s="292" t="s">
        <v>11</v>
      </c>
      <c r="Y102" s="300">
        <v>18</v>
      </c>
      <c r="Z102" s="292" t="s">
        <v>81</v>
      </c>
      <c r="AA102" s="292" t="s">
        <v>17</v>
      </c>
      <c r="AB102" s="292" t="s">
        <v>18</v>
      </c>
      <c r="AC102" s="292">
        <v>14</v>
      </c>
      <c r="AD102" s="299" t="s">
        <v>457</v>
      </c>
      <c r="AE102" s="292" t="s">
        <v>20</v>
      </c>
      <c r="AF102" s="292" t="s">
        <v>12</v>
      </c>
      <c r="AG102" s="300">
        <v>26</v>
      </c>
      <c r="AH102" s="292" t="s">
        <v>331</v>
      </c>
      <c r="AI102" s="292" t="s">
        <v>855</v>
      </c>
      <c r="AJ102" s="292" t="s">
        <v>11</v>
      </c>
      <c r="AK102" s="292">
        <v>27.5</v>
      </c>
      <c r="AL102" s="299"/>
      <c r="AO102" s="300"/>
      <c r="AP102" s="299"/>
      <c r="AS102" s="300"/>
      <c r="AW102" s="300"/>
      <c r="BA102" s="301"/>
    </row>
    <row r="103" spans="1:53" s="185" customFormat="1">
      <c r="A103" s="185">
        <v>2007</v>
      </c>
      <c r="B103" s="852">
        <v>39428</v>
      </c>
      <c r="C103" s="917" t="s">
        <v>446</v>
      </c>
      <c r="D103" s="917"/>
      <c r="E103" s="185">
        <f>365-E102</f>
        <v>20</v>
      </c>
      <c r="F103" s="185">
        <v>1</v>
      </c>
      <c r="G103" s="119">
        <v>4</v>
      </c>
      <c r="H103" s="185">
        <v>1</v>
      </c>
      <c r="I103" s="185">
        <v>2</v>
      </c>
      <c r="J103" s="126">
        <v>7</v>
      </c>
      <c r="K103" s="92">
        <f t="shared" si="9"/>
        <v>57.142857142857139</v>
      </c>
      <c r="L103" s="92">
        <f t="shared" si="10"/>
        <v>14.285714285714285</v>
      </c>
      <c r="M103" s="92">
        <f t="shared" si="11"/>
        <v>28.571428571428569</v>
      </c>
      <c r="N103" s="121">
        <f t="shared" si="12"/>
        <v>99.999999999999986</v>
      </c>
      <c r="O103" s="91">
        <v>46.5</v>
      </c>
      <c r="P103" s="92">
        <v>15.5</v>
      </c>
      <c r="Q103" s="92">
        <v>21.5</v>
      </c>
      <c r="R103" s="93">
        <f t="shared" si="8"/>
        <v>83.5</v>
      </c>
      <c r="S103" s="185">
        <v>3</v>
      </c>
      <c r="T103" s="839">
        <v>39376</v>
      </c>
      <c r="U103" s="852">
        <v>39428</v>
      </c>
      <c r="V103" s="82" t="s">
        <v>132</v>
      </c>
      <c r="W103" s="185" t="s">
        <v>22</v>
      </c>
      <c r="X103" s="185" t="s">
        <v>11</v>
      </c>
      <c r="Y103" s="83">
        <v>15.5</v>
      </c>
      <c r="Z103" s="185" t="s">
        <v>81</v>
      </c>
      <c r="AA103" s="185" t="s">
        <v>17</v>
      </c>
      <c r="AB103" s="185" t="s">
        <v>18</v>
      </c>
      <c r="AC103" s="185">
        <v>15.5</v>
      </c>
      <c r="AD103" s="82" t="s">
        <v>457</v>
      </c>
      <c r="AE103" s="185" t="s">
        <v>20</v>
      </c>
      <c r="AF103" s="185" t="s">
        <v>12</v>
      </c>
      <c r="AG103" s="83">
        <v>21.5</v>
      </c>
      <c r="AH103" s="185" t="s">
        <v>331</v>
      </c>
      <c r="AI103" s="185" t="s">
        <v>855</v>
      </c>
      <c r="AJ103" s="185" t="s">
        <v>11</v>
      </c>
      <c r="AK103" s="185">
        <v>31</v>
      </c>
      <c r="AL103" s="82"/>
      <c r="AO103" s="83"/>
      <c r="AP103" s="82"/>
      <c r="AS103" s="83"/>
      <c r="AW103" s="83"/>
      <c r="BA103" s="84"/>
    </row>
    <row r="104" spans="1:53" s="185" customFormat="1">
      <c r="A104" s="185">
        <v>2008</v>
      </c>
      <c r="B104" s="852"/>
      <c r="C104" s="917" t="s">
        <v>446</v>
      </c>
      <c r="D104" s="917"/>
      <c r="E104" s="185">
        <v>0</v>
      </c>
      <c r="G104" s="119">
        <v>4</v>
      </c>
      <c r="H104" s="185">
        <v>1</v>
      </c>
      <c r="I104" s="185">
        <v>2</v>
      </c>
      <c r="J104" s="126">
        <v>7</v>
      </c>
      <c r="K104" s="92">
        <f t="shared" si="9"/>
        <v>57.142857142857139</v>
      </c>
      <c r="L104" s="92">
        <f t="shared" si="10"/>
        <v>14.285714285714285</v>
      </c>
      <c r="M104" s="92">
        <f>I104/J104*100</f>
        <v>28.571428571428569</v>
      </c>
      <c r="N104" s="121">
        <f t="shared" si="12"/>
        <v>99.999999999999986</v>
      </c>
      <c r="O104" s="91">
        <v>46.5</v>
      </c>
      <c r="P104" s="92">
        <v>15.5</v>
      </c>
      <c r="Q104" s="92">
        <v>21.5</v>
      </c>
      <c r="R104" s="93">
        <f t="shared" si="8"/>
        <v>83.5</v>
      </c>
      <c r="S104" s="185">
        <v>3</v>
      </c>
      <c r="T104" s="839"/>
      <c r="U104" s="852"/>
      <c r="V104" s="82" t="s">
        <v>132</v>
      </c>
      <c r="W104" s="185" t="s">
        <v>22</v>
      </c>
      <c r="X104" s="185" t="s">
        <v>11</v>
      </c>
      <c r="Y104" s="83">
        <v>15.5</v>
      </c>
      <c r="Z104" s="185" t="s">
        <v>81</v>
      </c>
      <c r="AA104" s="185" t="s">
        <v>17</v>
      </c>
      <c r="AB104" s="185" t="s">
        <v>18</v>
      </c>
      <c r="AC104" s="185">
        <v>15.5</v>
      </c>
      <c r="AD104" s="82" t="s">
        <v>457</v>
      </c>
      <c r="AE104" s="185" t="s">
        <v>20</v>
      </c>
      <c r="AF104" s="185" t="s">
        <v>12</v>
      </c>
      <c r="AG104" s="83">
        <v>21.5</v>
      </c>
      <c r="AH104" s="185" t="s">
        <v>331</v>
      </c>
      <c r="AI104" s="185" t="s">
        <v>855</v>
      </c>
      <c r="AJ104" s="185" t="s">
        <v>11</v>
      </c>
      <c r="AK104" s="185">
        <v>31</v>
      </c>
      <c r="AL104" s="82"/>
      <c r="AO104" s="83"/>
      <c r="AP104" s="82"/>
      <c r="AS104" s="83"/>
      <c r="AW104" s="83"/>
      <c r="BA104" s="84"/>
    </row>
    <row r="105" spans="1:53" s="185" customFormat="1">
      <c r="A105" s="185">
        <v>2008</v>
      </c>
      <c r="B105" s="852"/>
      <c r="C105" s="917" t="s">
        <v>447</v>
      </c>
      <c r="D105" s="917"/>
      <c r="E105" s="185">
        <v>366</v>
      </c>
      <c r="F105" s="185">
        <v>1</v>
      </c>
      <c r="G105" s="119">
        <v>4</v>
      </c>
      <c r="H105" s="185">
        <v>1</v>
      </c>
      <c r="I105" s="185">
        <v>2</v>
      </c>
      <c r="J105" s="126">
        <v>7</v>
      </c>
      <c r="K105" s="92">
        <f t="shared" si="9"/>
        <v>57.142857142857139</v>
      </c>
      <c r="L105" s="92">
        <f t="shared" si="10"/>
        <v>14.285714285714285</v>
      </c>
      <c r="M105" s="92">
        <f t="shared" si="11"/>
        <v>28.571428571428569</v>
      </c>
      <c r="N105" s="121">
        <f t="shared" si="12"/>
        <v>99.999999999999986</v>
      </c>
      <c r="O105" s="91">
        <v>46.5</v>
      </c>
      <c r="P105" s="92">
        <v>15.5</v>
      </c>
      <c r="Q105" s="92">
        <v>21.5</v>
      </c>
      <c r="R105" s="93">
        <f t="shared" si="8"/>
        <v>83.5</v>
      </c>
      <c r="S105" s="185">
        <v>3</v>
      </c>
      <c r="T105" s="839"/>
      <c r="U105" s="852"/>
      <c r="V105" s="82" t="s">
        <v>132</v>
      </c>
      <c r="W105" s="185" t="s">
        <v>22</v>
      </c>
      <c r="X105" s="185" t="s">
        <v>11</v>
      </c>
      <c r="Y105" s="83">
        <v>15.5</v>
      </c>
      <c r="Z105" s="185" t="s">
        <v>81</v>
      </c>
      <c r="AA105" s="185" t="s">
        <v>17</v>
      </c>
      <c r="AB105" s="185" t="s">
        <v>18</v>
      </c>
      <c r="AC105" s="185">
        <v>15.5</v>
      </c>
      <c r="AD105" s="82" t="s">
        <v>457</v>
      </c>
      <c r="AE105" s="185" t="s">
        <v>20</v>
      </c>
      <c r="AF105" s="185" t="s">
        <v>12</v>
      </c>
      <c r="AG105" s="83">
        <v>21.5</v>
      </c>
      <c r="AH105" s="185" t="s">
        <v>331</v>
      </c>
      <c r="AI105" s="185" t="s">
        <v>855</v>
      </c>
      <c r="AJ105" s="185" t="s">
        <v>11</v>
      </c>
      <c r="AK105" s="185">
        <v>31</v>
      </c>
      <c r="AL105" s="82"/>
      <c r="AO105" s="83"/>
      <c r="AP105" s="82"/>
      <c r="AS105" s="83"/>
      <c r="AW105" s="83"/>
      <c r="BA105" s="84"/>
    </row>
    <row r="106" spans="1:53" s="185" customFormat="1">
      <c r="A106" s="185">
        <v>2009</v>
      </c>
      <c r="B106" s="852"/>
      <c r="C106" s="917" t="s">
        <v>447</v>
      </c>
      <c r="D106" s="917"/>
      <c r="E106" s="185">
        <v>0</v>
      </c>
      <c r="G106" s="119">
        <v>4</v>
      </c>
      <c r="H106" s="185">
        <v>1</v>
      </c>
      <c r="I106" s="185">
        <v>2</v>
      </c>
      <c r="J106" s="126">
        <v>7</v>
      </c>
      <c r="K106" s="92">
        <f t="shared" si="9"/>
        <v>57.142857142857139</v>
      </c>
      <c r="L106" s="92">
        <f t="shared" si="10"/>
        <v>14.285714285714285</v>
      </c>
      <c r="M106" s="92">
        <f t="shared" si="11"/>
        <v>28.571428571428569</v>
      </c>
      <c r="N106" s="121">
        <f t="shared" si="12"/>
        <v>99.999999999999986</v>
      </c>
      <c r="O106" s="91">
        <v>46.5</v>
      </c>
      <c r="P106" s="92">
        <v>15.5</v>
      </c>
      <c r="Q106" s="92">
        <v>21.5</v>
      </c>
      <c r="R106" s="93">
        <f t="shared" si="8"/>
        <v>83.5</v>
      </c>
      <c r="S106" s="185">
        <v>3</v>
      </c>
      <c r="T106" s="839"/>
      <c r="U106" s="852"/>
      <c r="V106" s="82" t="s">
        <v>132</v>
      </c>
      <c r="W106" s="185" t="s">
        <v>22</v>
      </c>
      <c r="X106" s="185" t="s">
        <v>11</v>
      </c>
      <c r="Y106" s="83">
        <v>15.5</v>
      </c>
      <c r="Z106" s="185" t="s">
        <v>81</v>
      </c>
      <c r="AA106" s="185" t="s">
        <v>17</v>
      </c>
      <c r="AB106" s="185" t="s">
        <v>18</v>
      </c>
      <c r="AC106" s="185">
        <v>15.5</v>
      </c>
      <c r="AD106" s="82" t="s">
        <v>457</v>
      </c>
      <c r="AE106" s="185" t="s">
        <v>20</v>
      </c>
      <c r="AF106" s="185" t="s">
        <v>12</v>
      </c>
      <c r="AG106" s="83">
        <v>21.5</v>
      </c>
      <c r="AH106" s="185" t="s">
        <v>331</v>
      </c>
      <c r="AI106" s="185" t="s">
        <v>855</v>
      </c>
      <c r="AJ106" s="185" t="s">
        <v>11</v>
      </c>
      <c r="AK106" s="185">
        <v>31</v>
      </c>
      <c r="AL106" s="82"/>
      <c r="AO106" s="83"/>
      <c r="AP106" s="82"/>
      <c r="AS106" s="83"/>
      <c r="AW106" s="83"/>
      <c r="BA106" s="84"/>
    </row>
    <row r="107" spans="1:53" s="185" customFormat="1">
      <c r="A107" s="185">
        <v>2009</v>
      </c>
      <c r="B107" s="852"/>
      <c r="C107" s="917" t="s">
        <v>448</v>
      </c>
      <c r="D107" s="917"/>
      <c r="E107" s="185">
        <v>365</v>
      </c>
      <c r="F107" s="185">
        <v>1</v>
      </c>
      <c r="G107" s="119">
        <v>4</v>
      </c>
      <c r="H107" s="185">
        <v>1</v>
      </c>
      <c r="I107" s="185">
        <v>2</v>
      </c>
      <c r="J107" s="126">
        <v>7</v>
      </c>
      <c r="K107" s="92">
        <f t="shared" si="9"/>
        <v>57.142857142857139</v>
      </c>
      <c r="L107" s="92">
        <f t="shared" si="10"/>
        <v>14.285714285714285</v>
      </c>
      <c r="M107" s="92">
        <f t="shared" si="11"/>
        <v>28.571428571428569</v>
      </c>
      <c r="N107" s="121">
        <f t="shared" si="12"/>
        <v>99.999999999999986</v>
      </c>
      <c r="O107" s="91">
        <v>46.5</v>
      </c>
      <c r="P107" s="92">
        <v>15.5</v>
      </c>
      <c r="Q107" s="92">
        <v>21.5</v>
      </c>
      <c r="R107" s="93">
        <f t="shared" si="8"/>
        <v>83.5</v>
      </c>
      <c r="S107" s="185">
        <v>3</v>
      </c>
      <c r="T107" s="839"/>
      <c r="U107" s="852"/>
      <c r="V107" s="82" t="s">
        <v>132</v>
      </c>
      <c r="W107" s="185" t="s">
        <v>22</v>
      </c>
      <c r="X107" s="185" t="s">
        <v>11</v>
      </c>
      <c r="Y107" s="83">
        <v>15.5</v>
      </c>
      <c r="Z107" s="185" t="s">
        <v>81</v>
      </c>
      <c r="AA107" s="185" t="s">
        <v>17</v>
      </c>
      <c r="AB107" s="185" t="s">
        <v>18</v>
      </c>
      <c r="AC107" s="185">
        <v>15.5</v>
      </c>
      <c r="AD107" s="82" t="s">
        <v>457</v>
      </c>
      <c r="AE107" s="185" t="s">
        <v>20</v>
      </c>
      <c r="AF107" s="185" t="s">
        <v>12</v>
      </c>
      <c r="AG107" s="83">
        <v>21.5</v>
      </c>
      <c r="AH107" s="185" t="s">
        <v>331</v>
      </c>
      <c r="AI107" s="185" t="s">
        <v>855</v>
      </c>
      <c r="AJ107" s="185" t="s">
        <v>11</v>
      </c>
      <c r="AK107" s="185">
        <v>31</v>
      </c>
      <c r="AL107" s="82"/>
      <c r="AO107" s="83"/>
      <c r="AP107" s="82"/>
      <c r="AS107" s="83"/>
      <c r="AW107" s="83"/>
      <c r="BA107" s="84"/>
    </row>
    <row r="108" spans="1:53" s="185" customFormat="1">
      <c r="A108" s="185">
        <v>2010</v>
      </c>
      <c r="B108" s="852"/>
      <c r="C108" s="917" t="s">
        <v>448</v>
      </c>
      <c r="D108" s="917"/>
      <c r="E108" s="185">
        <v>0</v>
      </c>
      <c r="G108" s="119">
        <v>4</v>
      </c>
      <c r="H108" s="185">
        <v>1</v>
      </c>
      <c r="I108" s="185">
        <v>2</v>
      </c>
      <c r="J108" s="126">
        <v>7</v>
      </c>
      <c r="K108" s="92">
        <f t="shared" si="9"/>
        <v>57.142857142857139</v>
      </c>
      <c r="L108" s="92">
        <f t="shared" si="10"/>
        <v>14.285714285714285</v>
      </c>
      <c r="M108" s="92">
        <f t="shared" si="11"/>
        <v>28.571428571428569</v>
      </c>
      <c r="N108" s="121">
        <f t="shared" si="12"/>
        <v>99.999999999999986</v>
      </c>
      <c r="O108" s="91">
        <v>46.5</v>
      </c>
      <c r="P108" s="92">
        <v>15.5</v>
      </c>
      <c r="Q108" s="92">
        <v>21.5</v>
      </c>
      <c r="R108" s="93">
        <f t="shared" si="8"/>
        <v>83.5</v>
      </c>
      <c r="S108" s="185">
        <v>3</v>
      </c>
      <c r="T108" s="839"/>
      <c r="U108" s="852"/>
      <c r="V108" s="82" t="s">
        <v>132</v>
      </c>
      <c r="W108" s="185" t="s">
        <v>22</v>
      </c>
      <c r="X108" s="185" t="s">
        <v>11</v>
      </c>
      <c r="Y108" s="83">
        <v>15.5</v>
      </c>
      <c r="Z108" s="185" t="s">
        <v>81</v>
      </c>
      <c r="AA108" s="185" t="s">
        <v>17</v>
      </c>
      <c r="AB108" s="185" t="s">
        <v>18</v>
      </c>
      <c r="AC108" s="185">
        <v>15.5</v>
      </c>
      <c r="AD108" s="82" t="s">
        <v>457</v>
      </c>
      <c r="AE108" s="185" t="s">
        <v>20</v>
      </c>
      <c r="AF108" s="185" t="s">
        <v>12</v>
      </c>
      <c r="AG108" s="83">
        <v>21.5</v>
      </c>
      <c r="AH108" s="185" t="s">
        <v>331</v>
      </c>
      <c r="AI108" s="185" t="s">
        <v>855</v>
      </c>
      <c r="AJ108" s="185" t="s">
        <v>11</v>
      </c>
      <c r="AK108" s="185">
        <v>31</v>
      </c>
      <c r="AL108" s="82"/>
      <c r="AO108" s="83"/>
      <c r="AP108" s="82"/>
      <c r="AS108" s="83"/>
      <c r="AW108" s="83"/>
      <c r="BA108" s="84"/>
    </row>
    <row r="109" spans="1:53" s="185" customFormat="1">
      <c r="A109" s="185">
        <v>2010</v>
      </c>
      <c r="B109" s="852"/>
      <c r="C109" s="917" t="s">
        <v>471</v>
      </c>
      <c r="D109" s="917"/>
      <c r="E109" s="185">
        <v>365</v>
      </c>
      <c r="F109" s="185">
        <v>1</v>
      </c>
      <c r="G109" s="119">
        <v>4</v>
      </c>
      <c r="H109" s="185">
        <v>1</v>
      </c>
      <c r="I109" s="185">
        <v>2</v>
      </c>
      <c r="J109" s="126">
        <v>7</v>
      </c>
      <c r="K109" s="92">
        <f t="shared" si="9"/>
        <v>57.142857142857139</v>
      </c>
      <c r="L109" s="92">
        <f t="shared" si="10"/>
        <v>14.285714285714285</v>
      </c>
      <c r="M109" s="92">
        <f t="shared" si="11"/>
        <v>28.571428571428569</v>
      </c>
      <c r="N109" s="121">
        <f t="shared" si="12"/>
        <v>99.999999999999986</v>
      </c>
      <c r="O109" s="91">
        <v>46.5</v>
      </c>
      <c r="P109" s="92">
        <v>15.5</v>
      </c>
      <c r="Q109" s="92">
        <v>21.5</v>
      </c>
      <c r="R109" s="93">
        <f t="shared" si="8"/>
        <v>83.5</v>
      </c>
      <c r="S109" s="185">
        <v>3</v>
      </c>
      <c r="T109" s="839"/>
      <c r="U109" s="852"/>
      <c r="V109" s="82" t="s">
        <v>132</v>
      </c>
      <c r="W109" s="185" t="s">
        <v>22</v>
      </c>
      <c r="X109" s="185" t="s">
        <v>11</v>
      </c>
      <c r="Y109" s="83">
        <v>15.5</v>
      </c>
      <c r="Z109" s="185" t="s">
        <v>81</v>
      </c>
      <c r="AA109" s="185" t="s">
        <v>17</v>
      </c>
      <c r="AB109" s="185" t="s">
        <v>18</v>
      </c>
      <c r="AC109" s="185">
        <v>15.5</v>
      </c>
      <c r="AD109" s="82" t="s">
        <v>457</v>
      </c>
      <c r="AE109" s="185" t="s">
        <v>20</v>
      </c>
      <c r="AF109" s="185" t="s">
        <v>12</v>
      </c>
      <c r="AG109" s="83">
        <v>21.5</v>
      </c>
      <c r="AH109" s="185" t="s">
        <v>331</v>
      </c>
      <c r="AI109" s="185" t="s">
        <v>855</v>
      </c>
      <c r="AJ109" s="185" t="s">
        <v>11</v>
      </c>
      <c r="AK109" s="185">
        <v>31</v>
      </c>
      <c r="AL109" s="82"/>
      <c r="AO109" s="83"/>
      <c r="AP109" s="82"/>
      <c r="AS109" s="83"/>
      <c r="AW109" s="83"/>
      <c r="BA109" s="84"/>
    </row>
    <row r="110" spans="1:53" s="185" customFormat="1">
      <c r="A110" s="185">
        <v>2011</v>
      </c>
      <c r="B110" s="852"/>
      <c r="C110" s="917" t="s">
        <v>471</v>
      </c>
      <c r="D110" s="917"/>
      <c r="E110" s="185">
        <v>347</v>
      </c>
      <c r="G110" s="119">
        <v>4</v>
      </c>
      <c r="H110" s="185">
        <v>1</v>
      </c>
      <c r="I110" s="185">
        <v>2</v>
      </c>
      <c r="J110" s="126">
        <v>7</v>
      </c>
      <c r="K110" s="92">
        <f t="shared" ref="K110:K112" si="13">G110/J110*100</f>
        <v>57.142857142857139</v>
      </c>
      <c r="L110" s="92">
        <f t="shared" ref="L110:L112" si="14">H110/J110*100</f>
        <v>14.285714285714285</v>
      </c>
      <c r="M110" s="92">
        <f t="shared" ref="M110:M112" si="15">I110/J110*100</f>
        <v>28.571428571428569</v>
      </c>
      <c r="N110" s="121">
        <f t="shared" si="12"/>
        <v>99.999999999999986</v>
      </c>
      <c r="O110" s="91">
        <v>46.5</v>
      </c>
      <c r="P110" s="92">
        <v>15.5</v>
      </c>
      <c r="Q110" s="92">
        <v>21.5</v>
      </c>
      <c r="R110" s="93">
        <f t="shared" si="8"/>
        <v>83.5</v>
      </c>
      <c r="S110" s="185">
        <v>3</v>
      </c>
      <c r="T110" s="839"/>
      <c r="U110" s="852"/>
      <c r="V110" s="82" t="s">
        <v>132</v>
      </c>
      <c r="W110" s="185" t="s">
        <v>22</v>
      </c>
      <c r="X110" s="185" t="s">
        <v>11</v>
      </c>
      <c r="Y110" s="83">
        <v>15.5</v>
      </c>
      <c r="Z110" s="185" t="s">
        <v>81</v>
      </c>
      <c r="AA110" s="185" t="s">
        <v>17</v>
      </c>
      <c r="AB110" s="185" t="s">
        <v>18</v>
      </c>
      <c r="AC110" s="185">
        <v>15.5</v>
      </c>
      <c r="AD110" s="82" t="s">
        <v>457</v>
      </c>
      <c r="AE110" s="185" t="s">
        <v>20</v>
      </c>
      <c r="AF110" s="185" t="s">
        <v>12</v>
      </c>
      <c r="AG110" s="83">
        <v>21.5</v>
      </c>
      <c r="AH110" s="185" t="s">
        <v>331</v>
      </c>
      <c r="AI110" s="185" t="s">
        <v>855</v>
      </c>
      <c r="AJ110" s="185" t="s">
        <v>11</v>
      </c>
      <c r="AK110" s="185">
        <v>31</v>
      </c>
      <c r="AL110" s="82"/>
      <c r="AO110" s="83"/>
      <c r="AP110" s="82"/>
      <c r="AS110" s="83"/>
      <c r="AW110" s="83"/>
      <c r="BA110" s="84"/>
    </row>
    <row r="111" spans="1:53" s="292" customFormat="1">
      <c r="A111" s="292">
        <v>2011</v>
      </c>
      <c r="B111" s="836">
        <v>40891</v>
      </c>
      <c r="C111" s="916" t="s">
        <v>449</v>
      </c>
      <c r="D111" s="916"/>
      <c r="E111" s="292">
        <f>365-E110</f>
        <v>18</v>
      </c>
      <c r="F111" s="292">
        <v>1</v>
      </c>
      <c r="G111" s="366">
        <v>4</v>
      </c>
      <c r="H111" s="292">
        <v>1</v>
      </c>
      <c r="I111" s="292">
        <v>2</v>
      </c>
      <c r="J111" s="377">
        <v>7</v>
      </c>
      <c r="K111" s="336">
        <f t="shared" si="13"/>
        <v>57.142857142857139</v>
      </c>
      <c r="L111" s="336">
        <f t="shared" si="14"/>
        <v>14.285714285714285</v>
      </c>
      <c r="M111" s="336">
        <f t="shared" si="15"/>
        <v>28.571428571428569</v>
      </c>
      <c r="N111" s="368">
        <f t="shared" si="12"/>
        <v>99.999999999999986</v>
      </c>
      <c r="O111" s="335">
        <v>46.5</v>
      </c>
      <c r="P111" s="336">
        <v>14</v>
      </c>
      <c r="Q111" s="336">
        <v>23</v>
      </c>
      <c r="R111" s="337">
        <f t="shared" si="8"/>
        <v>83.5</v>
      </c>
      <c r="S111" s="292">
        <v>3</v>
      </c>
      <c r="T111" s="838">
        <v>40839</v>
      </c>
      <c r="U111" s="836">
        <v>40891</v>
      </c>
      <c r="V111" s="299" t="s">
        <v>132</v>
      </c>
      <c r="W111" s="292" t="s">
        <v>22</v>
      </c>
      <c r="X111" s="292" t="s">
        <v>11</v>
      </c>
      <c r="Y111" s="300">
        <v>15</v>
      </c>
      <c r="Z111" s="292" t="s">
        <v>81</v>
      </c>
      <c r="AA111" s="292" t="s">
        <v>17</v>
      </c>
      <c r="AB111" s="292" t="s">
        <v>18</v>
      </c>
      <c r="AC111" s="292">
        <v>14</v>
      </c>
      <c r="AD111" s="299" t="s">
        <v>457</v>
      </c>
      <c r="AE111" s="292" t="s">
        <v>20</v>
      </c>
      <c r="AF111" s="292" t="s">
        <v>12</v>
      </c>
      <c r="AG111" s="300">
        <v>23</v>
      </c>
      <c r="AH111" s="292" t="s">
        <v>331</v>
      </c>
      <c r="AI111" s="292" t="s">
        <v>855</v>
      </c>
      <c r="AJ111" s="292" t="s">
        <v>11</v>
      </c>
      <c r="AK111" s="292">
        <v>27</v>
      </c>
      <c r="AL111" s="299" t="s">
        <v>332</v>
      </c>
      <c r="AM111" s="292" t="s">
        <v>74</v>
      </c>
      <c r="AN111" s="292" t="s">
        <v>11</v>
      </c>
      <c r="AO111" s="300">
        <v>4.5</v>
      </c>
      <c r="AP111" s="299"/>
      <c r="AS111" s="300"/>
      <c r="AW111" s="300"/>
      <c r="BA111" s="301"/>
    </row>
    <row r="112" spans="1:53" s="292" customFormat="1">
      <c r="A112" s="292">
        <v>2012</v>
      </c>
      <c r="B112" s="836"/>
      <c r="C112" s="916" t="s">
        <v>449</v>
      </c>
      <c r="D112" s="916"/>
      <c r="E112" s="292">
        <v>0</v>
      </c>
      <c r="G112" s="366">
        <v>4</v>
      </c>
      <c r="H112" s="292">
        <v>1</v>
      </c>
      <c r="I112" s="292">
        <v>2</v>
      </c>
      <c r="J112" s="377">
        <v>7</v>
      </c>
      <c r="K112" s="336">
        <f t="shared" si="13"/>
        <v>57.142857142857139</v>
      </c>
      <c r="L112" s="336">
        <f t="shared" si="14"/>
        <v>14.285714285714285</v>
      </c>
      <c r="M112" s="336">
        <f t="shared" si="15"/>
        <v>28.571428571428569</v>
      </c>
      <c r="N112" s="368">
        <f t="shared" si="12"/>
        <v>99.999999999999986</v>
      </c>
      <c r="O112" s="335">
        <v>46.5</v>
      </c>
      <c r="P112" s="336">
        <v>14</v>
      </c>
      <c r="Q112" s="336">
        <v>23</v>
      </c>
      <c r="R112" s="337">
        <f t="shared" si="8"/>
        <v>83.5</v>
      </c>
      <c r="S112" s="292">
        <v>3</v>
      </c>
      <c r="T112" s="838"/>
      <c r="U112" s="836"/>
      <c r="V112" s="299" t="s">
        <v>132</v>
      </c>
      <c r="W112" s="292" t="s">
        <v>22</v>
      </c>
      <c r="X112" s="292" t="s">
        <v>11</v>
      </c>
      <c r="Y112" s="300">
        <v>15</v>
      </c>
      <c r="Z112" s="292" t="s">
        <v>81</v>
      </c>
      <c r="AA112" s="292" t="s">
        <v>17</v>
      </c>
      <c r="AB112" s="292" t="s">
        <v>18</v>
      </c>
      <c r="AC112" s="292">
        <v>14</v>
      </c>
      <c r="AD112" s="299" t="s">
        <v>457</v>
      </c>
      <c r="AE112" s="292" t="s">
        <v>20</v>
      </c>
      <c r="AF112" s="292" t="s">
        <v>12</v>
      </c>
      <c r="AG112" s="300">
        <v>23</v>
      </c>
      <c r="AH112" s="292" t="s">
        <v>331</v>
      </c>
      <c r="AI112" s="292" t="s">
        <v>855</v>
      </c>
      <c r="AJ112" s="292" t="s">
        <v>11</v>
      </c>
      <c r="AK112" s="292">
        <v>27</v>
      </c>
      <c r="AL112" s="299" t="s">
        <v>332</v>
      </c>
      <c r="AM112" s="292" t="s">
        <v>74</v>
      </c>
      <c r="AN112" s="292" t="s">
        <v>11</v>
      </c>
      <c r="AO112" s="300">
        <v>4.5</v>
      </c>
      <c r="AP112" s="299"/>
      <c r="AS112" s="300"/>
      <c r="AW112" s="300"/>
      <c r="BA112" s="301"/>
    </row>
    <row r="113" spans="1:53" s="292" customFormat="1">
      <c r="A113" s="292">
        <v>2012</v>
      </c>
      <c r="B113" s="836"/>
      <c r="C113" s="916" t="s">
        <v>450</v>
      </c>
      <c r="D113" s="916"/>
      <c r="E113" s="292">
        <v>366</v>
      </c>
      <c r="F113" s="292">
        <v>1</v>
      </c>
      <c r="G113" s="366">
        <v>4</v>
      </c>
      <c r="H113" s="292">
        <v>1</v>
      </c>
      <c r="I113" s="292">
        <v>2</v>
      </c>
      <c r="J113" s="377">
        <v>7</v>
      </c>
      <c r="K113" s="537">
        <f t="shared" ref="K113:K123" si="16">G113/J113*100</f>
        <v>57.142857142857139</v>
      </c>
      <c r="L113" s="537">
        <f t="shared" ref="L113:L123" si="17">H113/J113*100</f>
        <v>14.285714285714285</v>
      </c>
      <c r="M113" s="537">
        <f t="shared" ref="M113:M123" si="18">I113/J113*100</f>
        <v>28.571428571428569</v>
      </c>
      <c r="N113" s="540">
        <f t="shared" ref="N113:N123" si="19">K113+L113+M113</f>
        <v>99.999999999999986</v>
      </c>
      <c r="O113" s="335">
        <v>46.5</v>
      </c>
      <c r="P113" s="336">
        <v>14</v>
      </c>
      <c r="Q113" s="336">
        <v>23</v>
      </c>
      <c r="R113" s="337">
        <f t="shared" si="8"/>
        <v>83.5</v>
      </c>
      <c r="S113" s="292">
        <v>3</v>
      </c>
      <c r="T113" s="838"/>
      <c r="U113" s="836"/>
      <c r="V113" s="299" t="s">
        <v>132</v>
      </c>
      <c r="W113" s="292" t="s">
        <v>22</v>
      </c>
      <c r="X113" s="292" t="s">
        <v>11</v>
      </c>
      <c r="Y113" s="300">
        <v>15</v>
      </c>
      <c r="Z113" s="292" t="s">
        <v>81</v>
      </c>
      <c r="AA113" s="292" t="s">
        <v>17</v>
      </c>
      <c r="AB113" s="292" t="s">
        <v>18</v>
      </c>
      <c r="AC113" s="292">
        <v>14</v>
      </c>
      <c r="AD113" s="299" t="s">
        <v>457</v>
      </c>
      <c r="AE113" s="292" t="s">
        <v>20</v>
      </c>
      <c r="AF113" s="292" t="s">
        <v>12</v>
      </c>
      <c r="AG113" s="300">
        <v>23</v>
      </c>
      <c r="AH113" s="292" t="s">
        <v>331</v>
      </c>
      <c r="AI113" s="292" t="s">
        <v>855</v>
      </c>
      <c r="AJ113" s="292" t="s">
        <v>11</v>
      </c>
      <c r="AK113" s="292">
        <v>27</v>
      </c>
      <c r="AL113" s="299" t="s">
        <v>332</v>
      </c>
      <c r="AM113" s="292" t="s">
        <v>74</v>
      </c>
      <c r="AN113" s="292" t="s">
        <v>11</v>
      </c>
      <c r="AO113" s="300">
        <v>4.5</v>
      </c>
      <c r="AP113" s="299"/>
      <c r="AS113" s="300"/>
      <c r="AW113" s="300"/>
      <c r="BA113" s="301"/>
    </row>
    <row r="114" spans="1:53" s="292" customFormat="1">
      <c r="A114" s="292">
        <v>2013</v>
      </c>
      <c r="B114" s="836"/>
      <c r="C114" s="916" t="s">
        <v>450</v>
      </c>
      <c r="D114" s="916"/>
      <c r="E114" s="292">
        <v>0</v>
      </c>
      <c r="G114" s="366">
        <v>4</v>
      </c>
      <c r="H114" s="292">
        <v>1</v>
      </c>
      <c r="I114" s="292">
        <v>2</v>
      </c>
      <c r="J114" s="377">
        <v>7</v>
      </c>
      <c r="K114" s="537">
        <f t="shared" si="16"/>
        <v>57.142857142857139</v>
      </c>
      <c r="L114" s="537">
        <f t="shared" si="17"/>
        <v>14.285714285714285</v>
      </c>
      <c r="M114" s="537">
        <f t="shared" si="18"/>
        <v>28.571428571428569</v>
      </c>
      <c r="N114" s="540">
        <f t="shared" si="19"/>
        <v>99.999999999999986</v>
      </c>
      <c r="O114" s="335">
        <v>46.5</v>
      </c>
      <c r="P114" s="336">
        <v>14</v>
      </c>
      <c r="Q114" s="336">
        <v>23</v>
      </c>
      <c r="R114" s="337">
        <f>O114+P114+Q114</f>
        <v>83.5</v>
      </c>
      <c r="S114" s="292">
        <v>3</v>
      </c>
      <c r="T114" s="838"/>
      <c r="U114" s="836"/>
      <c r="V114" s="299" t="s">
        <v>132</v>
      </c>
      <c r="W114" s="292" t="s">
        <v>22</v>
      </c>
      <c r="X114" s="292" t="s">
        <v>11</v>
      </c>
      <c r="Y114" s="300">
        <v>15</v>
      </c>
      <c r="Z114" s="292" t="s">
        <v>81</v>
      </c>
      <c r="AA114" s="292" t="s">
        <v>17</v>
      </c>
      <c r="AB114" s="292" t="s">
        <v>18</v>
      </c>
      <c r="AC114" s="292">
        <v>14</v>
      </c>
      <c r="AD114" s="299" t="s">
        <v>457</v>
      </c>
      <c r="AE114" s="292" t="s">
        <v>20</v>
      </c>
      <c r="AF114" s="292" t="s">
        <v>12</v>
      </c>
      <c r="AG114" s="300">
        <v>23</v>
      </c>
      <c r="AH114" s="292" t="s">
        <v>331</v>
      </c>
      <c r="AI114" s="292" t="s">
        <v>855</v>
      </c>
      <c r="AJ114" s="292" t="s">
        <v>11</v>
      </c>
      <c r="AK114" s="292">
        <v>27</v>
      </c>
      <c r="AL114" s="299" t="s">
        <v>332</v>
      </c>
      <c r="AM114" s="292" t="s">
        <v>74</v>
      </c>
      <c r="AN114" s="292" t="s">
        <v>11</v>
      </c>
      <c r="AO114" s="300">
        <v>4.5</v>
      </c>
      <c r="AP114" s="299"/>
      <c r="AS114" s="300"/>
      <c r="AW114" s="300"/>
      <c r="BA114" s="301"/>
    </row>
    <row r="115" spans="1:53" s="292" customFormat="1">
      <c r="A115" s="292">
        <v>2013</v>
      </c>
      <c r="B115" s="836"/>
      <c r="C115" s="916" t="s">
        <v>1253</v>
      </c>
      <c r="D115" s="916"/>
      <c r="E115" s="292">
        <v>365</v>
      </c>
      <c r="F115" s="292">
        <v>1</v>
      </c>
      <c r="G115" s="366">
        <v>4</v>
      </c>
      <c r="H115" s="292">
        <v>1</v>
      </c>
      <c r="I115" s="292">
        <v>2</v>
      </c>
      <c r="J115" s="377">
        <v>7</v>
      </c>
      <c r="K115" s="537">
        <f t="shared" si="16"/>
        <v>57.142857142857139</v>
      </c>
      <c r="L115" s="537">
        <f t="shared" si="17"/>
        <v>14.285714285714285</v>
      </c>
      <c r="M115" s="537">
        <f t="shared" si="18"/>
        <v>28.571428571428569</v>
      </c>
      <c r="N115" s="540">
        <f t="shared" si="19"/>
        <v>99.999999999999986</v>
      </c>
      <c r="O115" s="335">
        <v>46.5</v>
      </c>
      <c r="P115" s="336">
        <v>14</v>
      </c>
      <c r="Q115" s="336">
        <v>23</v>
      </c>
      <c r="R115" s="337">
        <f>O115+P115+Q115</f>
        <v>83.5</v>
      </c>
      <c r="S115" s="292">
        <v>3</v>
      </c>
      <c r="T115" s="838"/>
      <c r="U115" s="836"/>
      <c r="V115" s="299" t="s">
        <v>132</v>
      </c>
      <c r="W115" s="292" t="s">
        <v>22</v>
      </c>
      <c r="X115" s="292" t="s">
        <v>11</v>
      </c>
      <c r="Y115" s="300">
        <v>15</v>
      </c>
      <c r="Z115" s="292" t="s">
        <v>81</v>
      </c>
      <c r="AA115" s="292" t="s">
        <v>17</v>
      </c>
      <c r="AB115" s="292" t="s">
        <v>18</v>
      </c>
      <c r="AC115" s="292">
        <v>14</v>
      </c>
      <c r="AD115" s="299" t="s">
        <v>457</v>
      </c>
      <c r="AE115" s="292" t="s">
        <v>20</v>
      </c>
      <c r="AF115" s="292" t="s">
        <v>12</v>
      </c>
      <c r="AG115" s="300">
        <v>23</v>
      </c>
      <c r="AH115" s="292" t="s">
        <v>331</v>
      </c>
      <c r="AI115" s="292" t="s">
        <v>855</v>
      </c>
      <c r="AJ115" s="292" t="s">
        <v>11</v>
      </c>
      <c r="AK115" s="292">
        <v>27</v>
      </c>
      <c r="AL115" s="299" t="s">
        <v>332</v>
      </c>
      <c r="AM115" s="292" t="s">
        <v>74</v>
      </c>
      <c r="AN115" s="292" t="s">
        <v>11</v>
      </c>
      <c r="AO115" s="300">
        <v>4.5</v>
      </c>
      <c r="AP115" s="299"/>
      <c r="AS115" s="300"/>
      <c r="AW115" s="300"/>
      <c r="BA115" s="301"/>
    </row>
    <row r="116" spans="1:53" s="513" customFormat="1">
      <c r="A116" s="521">
        <v>2014</v>
      </c>
      <c r="B116" s="836"/>
      <c r="C116" s="916" t="s">
        <v>1253</v>
      </c>
      <c r="D116" s="916"/>
      <c r="E116" s="521">
        <v>0</v>
      </c>
      <c r="F116" s="521"/>
      <c r="G116" s="528">
        <v>4</v>
      </c>
      <c r="H116" s="521">
        <v>1</v>
      </c>
      <c r="I116" s="521">
        <v>2</v>
      </c>
      <c r="J116" s="529">
        <v>7</v>
      </c>
      <c r="K116" s="537">
        <f t="shared" si="16"/>
        <v>57.142857142857139</v>
      </c>
      <c r="L116" s="537">
        <f t="shared" si="17"/>
        <v>14.285714285714285</v>
      </c>
      <c r="M116" s="537">
        <f t="shared" si="18"/>
        <v>28.571428571428569</v>
      </c>
      <c r="N116" s="540">
        <f t="shared" si="19"/>
        <v>99.999999999999986</v>
      </c>
      <c r="O116" s="525">
        <v>46.5</v>
      </c>
      <c r="P116" s="526">
        <v>14</v>
      </c>
      <c r="Q116" s="526">
        <v>23</v>
      </c>
      <c r="R116" s="527">
        <v>83.5</v>
      </c>
      <c r="S116" s="521">
        <v>3</v>
      </c>
      <c r="T116" s="838"/>
      <c r="U116" s="836"/>
      <c r="V116" s="522" t="s">
        <v>132</v>
      </c>
      <c r="W116" s="521" t="s">
        <v>22</v>
      </c>
      <c r="X116" s="521" t="s">
        <v>11</v>
      </c>
      <c r="Y116" s="523">
        <v>15</v>
      </c>
      <c r="Z116" s="521" t="s">
        <v>81</v>
      </c>
      <c r="AA116" s="521" t="s">
        <v>17</v>
      </c>
      <c r="AB116" s="521" t="s">
        <v>18</v>
      </c>
      <c r="AC116" s="521">
        <v>14</v>
      </c>
      <c r="AD116" s="522" t="s">
        <v>457</v>
      </c>
      <c r="AE116" s="521" t="s">
        <v>20</v>
      </c>
      <c r="AF116" s="521" t="s">
        <v>12</v>
      </c>
      <c r="AG116" s="523">
        <v>23</v>
      </c>
      <c r="AH116" s="521" t="s">
        <v>331</v>
      </c>
      <c r="AI116" s="521" t="s">
        <v>855</v>
      </c>
      <c r="AJ116" s="521" t="s">
        <v>11</v>
      </c>
      <c r="AK116" s="521">
        <v>27</v>
      </c>
      <c r="AL116" s="522" t="s">
        <v>332</v>
      </c>
      <c r="AM116" s="521" t="s">
        <v>74</v>
      </c>
      <c r="AN116" s="521" t="s">
        <v>11</v>
      </c>
      <c r="AO116" s="523">
        <v>4.5</v>
      </c>
      <c r="AP116" s="522"/>
      <c r="AQ116" s="521"/>
      <c r="AR116" s="521"/>
      <c r="AS116" s="523"/>
      <c r="AT116" s="521"/>
      <c r="AU116" s="521"/>
      <c r="AV116" s="521"/>
      <c r="AW116" s="523"/>
      <c r="AX116" s="521"/>
      <c r="AY116" s="521"/>
      <c r="AZ116" s="521"/>
      <c r="BA116" s="524"/>
    </row>
    <row r="117" spans="1:53" s="513" customFormat="1">
      <c r="A117" s="531">
        <v>2014</v>
      </c>
      <c r="B117" s="836"/>
      <c r="C117" s="916" t="s">
        <v>1299</v>
      </c>
      <c r="D117" s="916"/>
      <c r="E117" s="531">
        <v>365</v>
      </c>
      <c r="F117" s="531">
        <v>1</v>
      </c>
      <c r="G117" s="539">
        <v>4</v>
      </c>
      <c r="H117" s="531">
        <v>1</v>
      </c>
      <c r="I117" s="531">
        <v>2</v>
      </c>
      <c r="J117" s="541">
        <v>7</v>
      </c>
      <c r="K117" s="537">
        <f t="shared" si="16"/>
        <v>57.142857142857139</v>
      </c>
      <c r="L117" s="537">
        <f t="shared" si="17"/>
        <v>14.285714285714285</v>
      </c>
      <c r="M117" s="537">
        <f t="shared" si="18"/>
        <v>28.571428571428569</v>
      </c>
      <c r="N117" s="540">
        <f t="shared" si="19"/>
        <v>99.999999999999986</v>
      </c>
      <c r="O117" s="536">
        <v>46.5</v>
      </c>
      <c r="P117" s="537">
        <v>14</v>
      </c>
      <c r="Q117" s="537">
        <v>23</v>
      </c>
      <c r="R117" s="538">
        <v>83.5</v>
      </c>
      <c r="S117" s="531">
        <v>3</v>
      </c>
      <c r="T117" s="838"/>
      <c r="U117" s="836"/>
      <c r="V117" s="532" t="s">
        <v>132</v>
      </c>
      <c r="W117" s="531" t="s">
        <v>22</v>
      </c>
      <c r="X117" s="531" t="s">
        <v>11</v>
      </c>
      <c r="Y117" s="533">
        <v>15</v>
      </c>
      <c r="Z117" s="531" t="s">
        <v>81</v>
      </c>
      <c r="AA117" s="531" t="s">
        <v>17</v>
      </c>
      <c r="AB117" s="531" t="s">
        <v>18</v>
      </c>
      <c r="AC117" s="531">
        <v>14</v>
      </c>
      <c r="AD117" s="532" t="s">
        <v>457</v>
      </c>
      <c r="AE117" s="531" t="s">
        <v>20</v>
      </c>
      <c r="AF117" s="531" t="s">
        <v>12</v>
      </c>
      <c r="AG117" s="533">
        <v>23</v>
      </c>
      <c r="AH117" s="531" t="s">
        <v>331</v>
      </c>
      <c r="AI117" s="531" t="s">
        <v>855</v>
      </c>
      <c r="AJ117" s="531" t="s">
        <v>11</v>
      </c>
      <c r="AK117" s="531">
        <v>27</v>
      </c>
      <c r="AL117" s="532" t="s">
        <v>332</v>
      </c>
      <c r="AM117" s="531" t="s">
        <v>74</v>
      </c>
      <c r="AN117" s="531" t="s">
        <v>11</v>
      </c>
      <c r="AO117" s="533">
        <v>4.5</v>
      </c>
      <c r="AP117" s="532"/>
      <c r="AQ117" s="531"/>
      <c r="AR117" s="531"/>
      <c r="AS117" s="533"/>
      <c r="AT117" s="531"/>
      <c r="AU117" s="531"/>
      <c r="AV117" s="531"/>
      <c r="AW117" s="533"/>
      <c r="AX117" s="531"/>
      <c r="AY117" s="531"/>
      <c r="AZ117" s="531"/>
      <c r="BA117" s="534"/>
    </row>
    <row r="118" spans="1:53" s="630" customFormat="1">
      <c r="A118" s="630">
        <v>2015</v>
      </c>
      <c r="B118" s="836"/>
      <c r="C118" s="916" t="s">
        <v>1299</v>
      </c>
      <c r="D118" s="916"/>
      <c r="E118" s="630">
        <v>342</v>
      </c>
      <c r="G118" s="539">
        <v>4</v>
      </c>
      <c r="H118" s="630">
        <v>1</v>
      </c>
      <c r="I118" s="630">
        <v>2</v>
      </c>
      <c r="J118" s="541">
        <v>7</v>
      </c>
      <c r="K118" s="537">
        <f t="shared" si="16"/>
        <v>57.142857142857139</v>
      </c>
      <c r="L118" s="537">
        <f t="shared" si="17"/>
        <v>14.285714285714285</v>
      </c>
      <c r="M118" s="537">
        <f t="shared" si="18"/>
        <v>28.571428571428569</v>
      </c>
      <c r="N118" s="540">
        <f t="shared" si="19"/>
        <v>99.999999999999986</v>
      </c>
      <c r="O118" s="536">
        <v>46.5</v>
      </c>
      <c r="P118" s="537">
        <v>14</v>
      </c>
      <c r="Q118" s="537">
        <v>23</v>
      </c>
      <c r="R118" s="538">
        <v>83.5</v>
      </c>
      <c r="S118" s="630">
        <v>3</v>
      </c>
      <c r="T118" s="838"/>
      <c r="U118" s="836"/>
      <c r="V118" s="532" t="s">
        <v>132</v>
      </c>
      <c r="W118" s="630" t="s">
        <v>22</v>
      </c>
      <c r="X118" s="630" t="s">
        <v>11</v>
      </c>
      <c r="Y118" s="533">
        <v>15</v>
      </c>
      <c r="Z118" s="630" t="s">
        <v>81</v>
      </c>
      <c r="AA118" s="630" t="s">
        <v>17</v>
      </c>
      <c r="AB118" s="630" t="s">
        <v>18</v>
      </c>
      <c r="AC118" s="630">
        <v>14</v>
      </c>
      <c r="AD118" s="532" t="s">
        <v>457</v>
      </c>
      <c r="AE118" s="630" t="s">
        <v>20</v>
      </c>
      <c r="AF118" s="630" t="s">
        <v>12</v>
      </c>
      <c r="AG118" s="533">
        <v>23</v>
      </c>
      <c r="AH118" s="630" t="s">
        <v>331</v>
      </c>
      <c r="AI118" s="630" t="s">
        <v>855</v>
      </c>
      <c r="AJ118" s="630" t="s">
        <v>11</v>
      </c>
      <c r="AK118" s="630">
        <v>27</v>
      </c>
      <c r="AL118" s="532" t="s">
        <v>332</v>
      </c>
      <c r="AM118" s="630" t="s">
        <v>74</v>
      </c>
      <c r="AN118" s="630" t="s">
        <v>11</v>
      </c>
      <c r="AO118" s="533">
        <v>4.5</v>
      </c>
      <c r="AP118" s="532"/>
      <c r="AS118" s="533"/>
      <c r="AW118" s="533"/>
      <c r="BA118" s="534"/>
    </row>
    <row r="119" spans="1:53" s="629" customFormat="1">
      <c r="A119" s="629">
        <v>2015</v>
      </c>
      <c r="B119" s="852">
        <v>42347</v>
      </c>
      <c r="C119" s="917" t="s">
        <v>1336</v>
      </c>
      <c r="D119" s="917"/>
      <c r="E119" s="629">
        <v>23</v>
      </c>
      <c r="F119" s="629">
        <v>1</v>
      </c>
      <c r="G119" s="498">
        <v>4</v>
      </c>
      <c r="H119" s="629">
        <v>1</v>
      </c>
      <c r="I119" s="629">
        <v>2</v>
      </c>
      <c r="J119" s="500">
        <v>7</v>
      </c>
      <c r="K119" s="496">
        <f t="shared" si="16"/>
        <v>57.142857142857139</v>
      </c>
      <c r="L119" s="496">
        <f t="shared" si="17"/>
        <v>14.285714285714285</v>
      </c>
      <c r="M119" s="496">
        <f t="shared" si="18"/>
        <v>28.571428571428569</v>
      </c>
      <c r="N119" s="499">
        <f t="shared" si="19"/>
        <v>99.999999999999986</v>
      </c>
      <c r="O119" s="495">
        <v>49</v>
      </c>
      <c r="P119" s="496">
        <v>14</v>
      </c>
      <c r="Q119" s="496">
        <v>28.6</v>
      </c>
      <c r="R119" s="497">
        <f t="shared" ref="R119" si="20">O119+P119+Q119</f>
        <v>91.6</v>
      </c>
      <c r="S119" s="629">
        <v>3</v>
      </c>
      <c r="T119" s="839">
        <v>42295</v>
      </c>
      <c r="U119" s="852">
        <v>42347</v>
      </c>
      <c r="V119" s="492" t="s">
        <v>132</v>
      </c>
      <c r="W119" s="629" t="s">
        <v>22</v>
      </c>
      <c r="X119" s="629" t="s">
        <v>11</v>
      </c>
      <c r="Y119" s="493">
        <v>16.5</v>
      </c>
      <c r="Z119" s="629" t="s">
        <v>81</v>
      </c>
      <c r="AA119" s="629" t="s">
        <v>17</v>
      </c>
      <c r="AB119" s="629" t="s">
        <v>18</v>
      </c>
      <c r="AC119" s="629">
        <v>14</v>
      </c>
      <c r="AD119" s="492" t="s">
        <v>457</v>
      </c>
      <c r="AE119" s="629" t="s">
        <v>20</v>
      </c>
      <c r="AF119" s="629" t="s">
        <v>12</v>
      </c>
      <c r="AG119" s="493">
        <v>21.5</v>
      </c>
      <c r="AH119" s="629" t="s">
        <v>331</v>
      </c>
      <c r="AI119" s="629" t="s">
        <v>855</v>
      </c>
      <c r="AJ119" s="629" t="s">
        <v>11</v>
      </c>
      <c r="AK119" s="629">
        <v>32.5</v>
      </c>
      <c r="AL119" s="492"/>
      <c r="AO119" s="493"/>
      <c r="AP119" s="492"/>
      <c r="AS119" s="493"/>
      <c r="AW119" s="493"/>
      <c r="BA119" s="494"/>
    </row>
    <row r="120" spans="1:53" s="693" customFormat="1">
      <c r="A120" s="693">
        <v>2016</v>
      </c>
      <c r="B120" s="852"/>
      <c r="C120" s="917" t="s">
        <v>1336</v>
      </c>
      <c r="D120" s="917"/>
      <c r="E120" s="693">
        <v>0</v>
      </c>
      <c r="G120" s="498">
        <v>4</v>
      </c>
      <c r="H120" s="693">
        <v>1</v>
      </c>
      <c r="I120" s="693">
        <v>2</v>
      </c>
      <c r="J120" s="500">
        <v>7</v>
      </c>
      <c r="K120" s="496">
        <f t="shared" si="16"/>
        <v>57.142857142857139</v>
      </c>
      <c r="L120" s="496">
        <f t="shared" si="17"/>
        <v>14.285714285714285</v>
      </c>
      <c r="M120" s="496">
        <f t="shared" si="18"/>
        <v>28.571428571428569</v>
      </c>
      <c r="N120" s="499">
        <f t="shared" si="19"/>
        <v>99.999999999999986</v>
      </c>
      <c r="O120" s="495">
        <v>49</v>
      </c>
      <c r="P120" s="496">
        <v>14</v>
      </c>
      <c r="Q120" s="496">
        <v>28.6</v>
      </c>
      <c r="R120" s="497">
        <f t="shared" ref="R120:R121" si="21">O120+P120+Q120</f>
        <v>91.6</v>
      </c>
      <c r="S120" s="693">
        <v>3</v>
      </c>
      <c r="T120" s="839"/>
      <c r="U120" s="852"/>
      <c r="V120" s="492" t="s">
        <v>132</v>
      </c>
      <c r="W120" s="693" t="s">
        <v>22</v>
      </c>
      <c r="X120" s="693" t="s">
        <v>11</v>
      </c>
      <c r="Y120" s="493">
        <v>16.5</v>
      </c>
      <c r="Z120" s="693" t="s">
        <v>81</v>
      </c>
      <c r="AA120" s="693" t="s">
        <v>17</v>
      </c>
      <c r="AB120" s="693" t="s">
        <v>18</v>
      </c>
      <c r="AC120" s="693">
        <v>14</v>
      </c>
      <c r="AD120" s="492" t="s">
        <v>457</v>
      </c>
      <c r="AE120" s="693" t="s">
        <v>20</v>
      </c>
      <c r="AF120" s="693" t="s">
        <v>12</v>
      </c>
      <c r="AG120" s="493">
        <v>21.5</v>
      </c>
      <c r="AH120" s="693" t="s">
        <v>331</v>
      </c>
      <c r="AI120" s="693" t="s">
        <v>855</v>
      </c>
      <c r="AJ120" s="693" t="s">
        <v>11</v>
      </c>
      <c r="AK120" s="693">
        <v>32.5</v>
      </c>
      <c r="AL120" s="492"/>
      <c r="AO120" s="493"/>
      <c r="AP120" s="492"/>
      <c r="AS120" s="493"/>
      <c r="AW120" s="493"/>
      <c r="BA120" s="494"/>
    </row>
    <row r="121" spans="1:53" s="693" customFormat="1">
      <c r="A121" s="693">
        <v>2016</v>
      </c>
      <c r="B121" s="852"/>
      <c r="C121" s="917" t="s">
        <v>1357</v>
      </c>
      <c r="D121" s="917"/>
      <c r="E121" s="693">
        <v>366</v>
      </c>
      <c r="F121" s="693">
        <v>1</v>
      </c>
      <c r="G121" s="498">
        <v>4</v>
      </c>
      <c r="H121" s="693">
        <v>1</v>
      </c>
      <c r="I121" s="693">
        <v>2</v>
      </c>
      <c r="J121" s="500">
        <v>7</v>
      </c>
      <c r="K121" s="496">
        <f t="shared" si="16"/>
        <v>57.142857142857139</v>
      </c>
      <c r="L121" s="496">
        <f t="shared" si="17"/>
        <v>14.285714285714285</v>
      </c>
      <c r="M121" s="496">
        <f t="shared" si="18"/>
        <v>28.571428571428569</v>
      </c>
      <c r="N121" s="499">
        <f t="shared" si="19"/>
        <v>99.999999999999986</v>
      </c>
      <c r="O121" s="495">
        <v>49</v>
      </c>
      <c r="P121" s="496">
        <v>14</v>
      </c>
      <c r="Q121" s="496">
        <v>28.6</v>
      </c>
      <c r="R121" s="497">
        <f t="shared" si="21"/>
        <v>91.6</v>
      </c>
      <c r="S121" s="693">
        <v>3</v>
      </c>
      <c r="T121" s="839"/>
      <c r="U121" s="852"/>
      <c r="V121" s="492" t="s">
        <v>132</v>
      </c>
      <c r="W121" s="693" t="s">
        <v>22</v>
      </c>
      <c r="X121" s="693" t="s">
        <v>11</v>
      </c>
      <c r="Y121" s="493">
        <v>16.5</v>
      </c>
      <c r="Z121" s="693" t="s">
        <v>81</v>
      </c>
      <c r="AA121" s="693" t="s">
        <v>17</v>
      </c>
      <c r="AB121" s="693" t="s">
        <v>18</v>
      </c>
      <c r="AC121" s="693">
        <v>14</v>
      </c>
      <c r="AD121" s="492" t="s">
        <v>457</v>
      </c>
      <c r="AE121" s="693" t="s">
        <v>20</v>
      </c>
      <c r="AF121" s="693" t="s">
        <v>12</v>
      </c>
      <c r="AG121" s="493">
        <v>21.5</v>
      </c>
      <c r="AH121" s="693" t="s">
        <v>331</v>
      </c>
      <c r="AI121" s="693" t="s">
        <v>855</v>
      </c>
      <c r="AJ121" s="693" t="s">
        <v>11</v>
      </c>
      <c r="AK121" s="693">
        <v>32.5</v>
      </c>
      <c r="AL121" s="492"/>
      <c r="AO121" s="493"/>
      <c r="AP121" s="492"/>
      <c r="AS121" s="493"/>
      <c r="AW121" s="493"/>
      <c r="BA121" s="494"/>
    </row>
    <row r="122" spans="1:53" s="732" customFormat="1">
      <c r="A122" s="732">
        <v>2017</v>
      </c>
      <c r="B122" s="852"/>
      <c r="C122" s="917" t="s">
        <v>1357</v>
      </c>
      <c r="D122" s="917"/>
      <c r="E122" s="732">
        <v>0</v>
      </c>
      <c r="G122" s="498">
        <v>4</v>
      </c>
      <c r="H122" s="732">
        <v>1</v>
      </c>
      <c r="I122" s="732">
        <v>2</v>
      </c>
      <c r="J122" s="500">
        <v>7</v>
      </c>
      <c r="K122" s="496">
        <f t="shared" si="16"/>
        <v>57.142857142857139</v>
      </c>
      <c r="L122" s="496">
        <f t="shared" si="17"/>
        <v>14.285714285714285</v>
      </c>
      <c r="M122" s="496">
        <f t="shared" si="18"/>
        <v>28.571428571428569</v>
      </c>
      <c r="N122" s="499">
        <f t="shared" si="19"/>
        <v>99.999999999999986</v>
      </c>
      <c r="O122" s="495">
        <v>49</v>
      </c>
      <c r="P122" s="496">
        <v>14</v>
      </c>
      <c r="Q122" s="496">
        <v>28.6</v>
      </c>
      <c r="R122" s="497">
        <f t="shared" ref="R122:R123" si="22">O122+P122+Q122</f>
        <v>91.6</v>
      </c>
      <c r="S122" s="732">
        <v>3</v>
      </c>
      <c r="T122" s="839"/>
      <c r="U122" s="852"/>
      <c r="V122" s="492" t="s">
        <v>132</v>
      </c>
      <c r="W122" s="732" t="s">
        <v>22</v>
      </c>
      <c r="X122" s="732" t="s">
        <v>11</v>
      </c>
      <c r="Y122" s="493">
        <v>16.5</v>
      </c>
      <c r="Z122" s="732" t="s">
        <v>81</v>
      </c>
      <c r="AA122" s="732" t="s">
        <v>17</v>
      </c>
      <c r="AB122" s="732" t="s">
        <v>18</v>
      </c>
      <c r="AC122" s="732">
        <v>14</v>
      </c>
      <c r="AD122" s="492" t="s">
        <v>457</v>
      </c>
      <c r="AE122" s="732" t="s">
        <v>20</v>
      </c>
      <c r="AF122" s="732" t="s">
        <v>12</v>
      </c>
      <c r="AG122" s="493">
        <v>21.5</v>
      </c>
      <c r="AH122" s="732" t="s">
        <v>331</v>
      </c>
      <c r="AI122" s="732" t="s">
        <v>855</v>
      </c>
      <c r="AJ122" s="732" t="s">
        <v>11</v>
      </c>
      <c r="AK122" s="732">
        <v>32.5</v>
      </c>
      <c r="AL122" s="492"/>
      <c r="AO122" s="493"/>
      <c r="AP122" s="492"/>
      <c r="AS122" s="493"/>
      <c r="AW122" s="493"/>
      <c r="BA122" s="494"/>
    </row>
    <row r="123" spans="1:53" s="732" customFormat="1">
      <c r="A123" s="732">
        <v>2017</v>
      </c>
      <c r="B123" s="852"/>
      <c r="C123" s="917" t="s">
        <v>1436</v>
      </c>
      <c r="D123" s="917"/>
      <c r="E123" s="732">
        <v>365</v>
      </c>
      <c r="F123" s="732">
        <v>1</v>
      </c>
      <c r="G123" s="498">
        <v>4</v>
      </c>
      <c r="H123" s="732">
        <v>1</v>
      </c>
      <c r="I123" s="732">
        <v>2</v>
      </c>
      <c r="J123" s="500">
        <v>7</v>
      </c>
      <c r="K123" s="496">
        <f t="shared" si="16"/>
        <v>57.142857142857139</v>
      </c>
      <c r="L123" s="496">
        <f t="shared" si="17"/>
        <v>14.285714285714285</v>
      </c>
      <c r="M123" s="496">
        <f t="shared" si="18"/>
        <v>28.571428571428569</v>
      </c>
      <c r="N123" s="499">
        <f t="shared" si="19"/>
        <v>99.999999999999986</v>
      </c>
      <c r="O123" s="495">
        <v>49</v>
      </c>
      <c r="P123" s="496">
        <v>14</v>
      </c>
      <c r="Q123" s="496">
        <v>28.6</v>
      </c>
      <c r="R123" s="497">
        <f t="shared" si="22"/>
        <v>91.6</v>
      </c>
      <c r="S123" s="732">
        <v>3</v>
      </c>
      <c r="T123" s="839"/>
      <c r="U123" s="852"/>
      <c r="V123" s="492" t="s">
        <v>132</v>
      </c>
      <c r="W123" s="732" t="s">
        <v>22</v>
      </c>
      <c r="X123" s="732" t="s">
        <v>11</v>
      </c>
      <c r="Y123" s="493">
        <v>16.5</v>
      </c>
      <c r="Z123" s="732" t="s">
        <v>81</v>
      </c>
      <c r="AA123" s="732" t="s">
        <v>17</v>
      </c>
      <c r="AB123" s="732" t="s">
        <v>18</v>
      </c>
      <c r="AC123" s="732">
        <v>14</v>
      </c>
      <c r="AD123" s="492" t="s">
        <v>457</v>
      </c>
      <c r="AE123" s="732" t="s">
        <v>20</v>
      </c>
      <c r="AF123" s="732" t="s">
        <v>12</v>
      </c>
      <c r="AG123" s="493">
        <v>21.5</v>
      </c>
      <c r="AH123" s="732" t="s">
        <v>331</v>
      </c>
      <c r="AI123" s="732" t="s">
        <v>855</v>
      </c>
      <c r="AJ123" s="732" t="s">
        <v>11</v>
      </c>
      <c r="AK123" s="732">
        <v>32.5</v>
      </c>
      <c r="AL123" s="492"/>
      <c r="AO123" s="493"/>
      <c r="AP123" s="492"/>
      <c r="AS123" s="493"/>
      <c r="AW123" s="493"/>
      <c r="BA123" s="494"/>
    </row>
    <row r="124" spans="1:53" s="771" customFormat="1">
      <c r="A124" s="771">
        <v>2018</v>
      </c>
      <c r="B124" s="852"/>
      <c r="C124" s="917" t="s">
        <v>1436</v>
      </c>
      <c r="D124" s="917"/>
      <c r="E124" s="771">
        <v>0</v>
      </c>
      <c r="G124" s="498">
        <v>4</v>
      </c>
      <c r="H124" s="771">
        <v>1</v>
      </c>
      <c r="I124" s="771">
        <v>2</v>
      </c>
      <c r="J124" s="500">
        <v>7</v>
      </c>
      <c r="K124" s="496">
        <f t="shared" ref="K124:K125" si="23">G124/J124*100</f>
        <v>57.142857142857139</v>
      </c>
      <c r="L124" s="496">
        <f t="shared" ref="L124:L125" si="24">H124/J124*100</f>
        <v>14.285714285714285</v>
      </c>
      <c r="M124" s="496">
        <f t="shared" ref="M124:M125" si="25">I124/J124*100</f>
        <v>28.571428571428569</v>
      </c>
      <c r="N124" s="499">
        <f t="shared" ref="N124:N125" si="26">K124+L124+M124</f>
        <v>99.999999999999986</v>
      </c>
      <c r="O124" s="495">
        <v>49</v>
      </c>
      <c r="P124" s="496">
        <v>14</v>
      </c>
      <c r="Q124" s="496">
        <v>28.6</v>
      </c>
      <c r="R124" s="497">
        <f t="shared" ref="R124:R125" si="27">O124+P124+Q124</f>
        <v>91.6</v>
      </c>
      <c r="S124" s="771">
        <v>3</v>
      </c>
      <c r="T124" s="839"/>
      <c r="U124" s="852"/>
      <c r="V124" s="492" t="s">
        <v>132</v>
      </c>
      <c r="W124" s="771" t="s">
        <v>22</v>
      </c>
      <c r="X124" s="771" t="s">
        <v>11</v>
      </c>
      <c r="Y124" s="493">
        <v>16.5</v>
      </c>
      <c r="Z124" s="771" t="s">
        <v>81</v>
      </c>
      <c r="AA124" s="771" t="s">
        <v>17</v>
      </c>
      <c r="AB124" s="771" t="s">
        <v>18</v>
      </c>
      <c r="AC124" s="771">
        <v>14</v>
      </c>
      <c r="AD124" s="492" t="s">
        <v>457</v>
      </c>
      <c r="AE124" s="771" t="s">
        <v>20</v>
      </c>
      <c r="AF124" s="771" t="s">
        <v>12</v>
      </c>
      <c r="AG124" s="493">
        <v>21.5</v>
      </c>
      <c r="AH124" s="771" t="s">
        <v>331</v>
      </c>
      <c r="AI124" s="771" t="s">
        <v>855</v>
      </c>
      <c r="AJ124" s="771" t="s">
        <v>11</v>
      </c>
      <c r="AK124" s="771">
        <v>32.5</v>
      </c>
      <c r="AL124" s="492"/>
      <c r="AO124" s="493"/>
      <c r="AP124" s="492"/>
      <c r="AS124" s="493"/>
      <c r="AW124" s="493"/>
      <c r="BA124" s="494"/>
    </row>
    <row r="125" spans="1:53" s="771" customFormat="1">
      <c r="A125" s="771">
        <v>2018</v>
      </c>
      <c r="B125" s="852"/>
      <c r="C125" s="917" t="s">
        <v>1437</v>
      </c>
      <c r="D125" s="917"/>
      <c r="E125" s="771">
        <v>365</v>
      </c>
      <c r="F125" s="771">
        <v>1</v>
      </c>
      <c r="G125" s="498">
        <v>4</v>
      </c>
      <c r="H125" s="771">
        <v>1</v>
      </c>
      <c r="I125" s="771">
        <v>2</v>
      </c>
      <c r="J125" s="500">
        <v>7</v>
      </c>
      <c r="K125" s="496">
        <f t="shared" si="23"/>
        <v>57.142857142857139</v>
      </c>
      <c r="L125" s="496">
        <f t="shared" si="24"/>
        <v>14.285714285714285</v>
      </c>
      <c r="M125" s="496">
        <f t="shared" si="25"/>
        <v>28.571428571428569</v>
      </c>
      <c r="N125" s="499">
        <f t="shared" si="26"/>
        <v>99.999999999999986</v>
      </c>
      <c r="O125" s="495">
        <v>49</v>
      </c>
      <c r="P125" s="496">
        <v>14</v>
      </c>
      <c r="Q125" s="496">
        <v>28.6</v>
      </c>
      <c r="R125" s="497">
        <f t="shared" si="27"/>
        <v>91.6</v>
      </c>
      <c r="S125" s="771">
        <v>3</v>
      </c>
      <c r="T125" s="839"/>
      <c r="U125" s="852"/>
      <c r="V125" s="492" t="s">
        <v>132</v>
      </c>
      <c r="W125" s="771" t="s">
        <v>22</v>
      </c>
      <c r="X125" s="771" t="s">
        <v>11</v>
      </c>
      <c r="Y125" s="493">
        <v>16.5</v>
      </c>
      <c r="Z125" s="771" t="s">
        <v>81</v>
      </c>
      <c r="AA125" s="771" t="s">
        <v>17</v>
      </c>
      <c r="AB125" s="771" t="s">
        <v>18</v>
      </c>
      <c r="AC125" s="771">
        <v>14</v>
      </c>
      <c r="AD125" s="492" t="s">
        <v>457</v>
      </c>
      <c r="AE125" s="771" t="s">
        <v>20</v>
      </c>
      <c r="AF125" s="771" t="s">
        <v>12</v>
      </c>
      <c r="AG125" s="493">
        <v>21.5</v>
      </c>
      <c r="AH125" s="771" t="s">
        <v>331</v>
      </c>
      <c r="AI125" s="771" t="s">
        <v>855</v>
      </c>
      <c r="AJ125" s="771" t="s">
        <v>11</v>
      </c>
      <c r="AK125" s="771">
        <v>32.5</v>
      </c>
      <c r="AL125" s="492"/>
      <c r="AO125" s="493"/>
      <c r="AP125" s="492"/>
      <c r="AS125" s="493"/>
      <c r="AW125" s="493"/>
      <c r="BA125" s="494"/>
    </row>
    <row r="126" spans="1:53" s="813" customFormat="1">
      <c r="A126" s="813">
        <v>2019</v>
      </c>
      <c r="B126" s="852"/>
      <c r="C126" s="917" t="s">
        <v>1437</v>
      </c>
      <c r="D126" s="917"/>
      <c r="E126" s="813">
        <v>336</v>
      </c>
      <c r="G126" s="498">
        <v>4</v>
      </c>
      <c r="H126" s="813">
        <v>1</v>
      </c>
      <c r="I126" s="813">
        <v>2</v>
      </c>
      <c r="J126" s="500">
        <v>7</v>
      </c>
      <c r="K126" s="496">
        <f t="shared" ref="K126:K127" si="28">G126/J126*100</f>
        <v>57.142857142857139</v>
      </c>
      <c r="L126" s="496">
        <f t="shared" ref="L126:L127" si="29">H126/J126*100</f>
        <v>14.285714285714285</v>
      </c>
      <c r="M126" s="496">
        <f t="shared" ref="M126:M127" si="30">I126/J126*100</f>
        <v>28.571428571428569</v>
      </c>
      <c r="N126" s="499">
        <f t="shared" ref="N126:N127" si="31">K126+L126+M126</f>
        <v>99.999999999999986</v>
      </c>
      <c r="O126" s="495">
        <v>49</v>
      </c>
      <c r="P126" s="496">
        <v>14</v>
      </c>
      <c r="Q126" s="496">
        <v>28.6</v>
      </c>
      <c r="R126" s="497">
        <f t="shared" ref="R126:R127" si="32">O126+P126+Q126</f>
        <v>91.6</v>
      </c>
      <c r="S126" s="813">
        <v>3</v>
      </c>
      <c r="T126" s="839"/>
      <c r="U126" s="852"/>
      <c r="V126" s="492" t="s">
        <v>132</v>
      </c>
      <c r="W126" s="813" t="s">
        <v>22</v>
      </c>
      <c r="X126" s="813" t="s">
        <v>11</v>
      </c>
      <c r="Y126" s="493">
        <v>16.5</v>
      </c>
      <c r="Z126" s="813" t="s">
        <v>81</v>
      </c>
      <c r="AA126" s="813" t="s">
        <v>17</v>
      </c>
      <c r="AB126" s="813" t="s">
        <v>18</v>
      </c>
      <c r="AC126" s="813">
        <v>14</v>
      </c>
      <c r="AD126" s="492" t="s">
        <v>457</v>
      </c>
      <c r="AE126" s="813" t="s">
        <v>20</v>
      </c>
      <c r="AF126" s="813" t="s">
        <v>12</v>
      </c>
      <c r="AG126" s="493">
        <v>21.5</v>
      </c>
      <c r="AH126" s="813" t="s">
        <v>331</v>
      </c>
      <c r="AI126" s="813" t="s">
        <v>855</v>
      </c>
      <c r="AJ126" s="813" t="s">
        <v>11</v>
      </c>
      <c r="AK126" s="813">
        <v>32.5</v>
      </c>
      <c r="AL126" s="492"/>
      <c r="AO126" s="493"/>
      <c r="AP126" s="492"/>
      <c r="AS126" s="493"/>
      <c r="AW126" s="493"/>
      <c r="BA126" s="494"/>
    </row>
    <row r="127" spans="1:53" s="814" customFormat="1">
      <c r="A127" s="814">
        <v>2019</v>
      </c>
      <c r="B127" s="836">
        <v>43801</v>
      </c>
      <c r="C127" s="916" t="s">
        <v>1438</v>
      </c>
      <c r="D127" s="916"/>
      <c r="E127" s="814">
        <v>29</v>
      </c>
      <c r="F127" s="814">
        <v>1</v>
      </c>
      <c r="G127" s="539">
        <v>4</v>
      </c>
      <c r="H127" s="814">
        <v>1</v>
      </c>
      <c r="I127" s="814">
        <v>2</v>
      </c>
      <c r="J127" s="541">
        <v>7</v>
      </c>
      <c r="K127" s="537">
        <f t="shared" si="28"/>
        <v>57.142857142857139</v>
      </c>
      <c r="L127" s="537">
        <f t="shared" si="29"/>
        <v>14.285714285714285</v>
      </c>
      <c r="M127" s="537">
        <f t="shared" si="30"/>
        <v>28.571428571428569</v>
      </c>
      <c r="N127" s="540">
        <f t="shared" si="31"/>
        <v>99.999999999999986</v>
      </c>
      <c r="O127" s="536">
        <v>40.6</v>
      </c>
      <c r="P127" s="537">
        <v>15.5</v>
      </c>
      <c r="Q127" s="537">
        <v>19.5</v>
      </c>
      <c r="R127" s="538">
        <f t="shared" si="32"/>
        <v>75.599999999999994</v>
      </c>
      <c r="S127" s="814">
        <v>3</v>
      </c>
      <c r="T127" s="838">
        <v>43758</v>
      </c>
      <c r="U127" s="836">
        <v>43801</v>
      </c>
      <c r="V127" s="532" t="s">
        <v>132</v>
      </c>
      <c r="W127" s="814" t="s">
        <v>22</v>
      </c>
      <c r="X127" s="814" t="s">
        <v>11</v>
      </c>
      <c r="Y127" s="533">
        <v>16.600000000000001</v>
      </c>
      <c r="Z127" s="814" t="s">
        <v>81</v>
      </c>
      <c r="AA127" s="814" t="s">
        <v>17</v>
      </c>
      <c r="AB127" s="814" t="s">
        <v>18</v>
      </c>
      <c r="AC127" s="814">
        <v>15.5</v>
      </c>
      <c r="AD127" s="532" t="s">
        <v>457</v>
      </c>
      <c r="AE127" s="814" t="s">
        <v>20</v>
      </c>
      <c r="AF127" s="814" t="s">
        <v>12</v>
      </c>
      <c r="AG127" s="533">
        <v>19.5</v>
      </c>
      <c r="AH127" s="814" t="s">
        <v>331</v>
      </c>
      <c r="AI127" s="814" t="s">
        <v>855</v>
      </c>
      <c r="AJ127" s="814" t="s">
        <v>11</v>
      </c>
      <c r="AK127" s="814">
        <v>24</v>
      </c>
      <c r="AL127" s="532"/>
      <c r="AO127" s="533"/>
      <c r="AP127" s="532"/>
      <c r="AS127" s="533"/>
      <c r="AW127" s="533"/>
      <c r="BA127" s="534"/>
    </row>
    <row r="130" spans="1:30" s="2" customFormat="1" ht="18" customHeight="1">
      <c r="B130" s="22" t="s">
        <v>1269</v>
      </c>
      <c r="H130" s="6"/>
    </row>
    <row r="131" spans="1:30" s="2" customFormat="1" ht="9" customHeight="1">
      <c r="H131" s="6"/>
    </row>
    <row r="132" spans="1:30" s="317" customFormat="1" ht="9" customHeight="1">
      <c r="A132" s="315"/>
      <c r="B132" s="316" t="s">
        <v>1220</v>
      </c>
      <c r="C132" s="316"/>
      <c r="D132" s="316"/>
      <c r="E132" s="316"/>
      <c r="F132" s="316"/>
      <c r="G132" s="316" t="s">
        <v>1221</v>
      </c>
      <c r="H132" s="316"/>
      <c r="I132" s="316"/>
      <c r="J132" s="316"/>
      <c r="K132" s="316"/>
      <c r="L132" s="316"/>
      <c r="M132" s="316"/>
      <c r="N132" s="316"/>
      <c r="R132" s="895" t="s">
        <v>1222</v>
      </c>
      <c r="S132" s="895"/>
      <c r="T132" s="895"/>
      <c r="U132" s="895"/>
      <c r="V132" s="895"/>
      <c r="W132" s="895"/>
      <c r="X132" s="318"/>
      <c r="Y132" s="318"/>
      <c r="AA132" s="318"/>
      <c r="AB132" s="318"/>
      <c r="AC132" s="318"/>
      <c r="AD132" s="318"/>
    </row>
    <row r="133" spans="1:30" s="322" customFormat="1" ht="9" customHeight="1">
      <c r="A133" s="319"/>
      <c r="B133" s="320" t="s">
        <v>1224</v>
      </c>
      <c r="C133" s="321"/>
      <c r="D133" s="321"/>
      <c r="E133" s="321"/>
      <c r="F133" s="321"/>
      <c r="G133" s="320" t="s">
        <v>1223</v>
      </c>
      <c r="H133" s="321"/>
      <c r="I133" s="321"/>
      <c r="J133" s="321"/>
      <c r="K133" s="321"/>
      <c r="L133" s="321"/>
      <c r="M133" s="321"/>
      <c r="N133" s="321"/>
      <c r="R133" s="323" t="s">
        <v>1225</v>
      </c>
      <c r="S133" s="324"/>
      <c r="T133" s="325"/>
      <c r="U133" s="325"/>
      <c r="V133" s="325"/>
      <c r="W133" s="323" t="s">
        <v>1226</v>
      </c>
      <c r="X133" s="325"/>
      <c r="Y133" s="325"/>
      <c r="AA133" s="325"/>
      <c r="AB133" s="325"/>
      <c r="AC133" s="325"/>
      <c r="AD133" s="325"/>
    </row>
    <row r="134" spans="1:30" s="307" customFormat="1" ht="12" customHeight="1">
      <c r="A134" s="326" t="s">
        <v>3</v>
      </c>
      <c r="B134" s="327" t="s">
        <v>8</v>
      </c>
      <c r="C134" s="327" t="s">
        <v>9</v>
      </c>
      <c r="D134" s="327" t="s">
        <v>10</v>
      </c>
      <c r="E134" s="328" t="s">
        <v>1200</v>
      </c>
      <c r="F134" s="327"/>
      <c r="G134" s="307" t="s">
        <v>3</v>
      </c>
      <c r="H134" s="896" t="s">
        <v>0</v>
      </c>
      <c r="I134" s="896"/>
      <c r="J134" s="896" t="s">
        <v>1</v>
      </c>
      <c r="K134" s="896"/>
      <c r="L134" s="896" t="s">
        <v>2</v>
      </c>
      <c r="M134" s="896"/>
      <c r="N134" s="897" t="s">
        <v>1200</v>
      </c>
      <c r="O134" s="897"/>
      <c r="P134" s="329"/>
      <c r="Q134" s="329"/>
      <c r="R134" s="330" t="s">
        <v>3</v>
      </c>
      <c r="S134" s="331" t="s">
        <v>136</v>
      </c>
      <c r="T134" s="329" t="s">
        <v>134</v>
      </c>
      <c r="U134" s="327" t="s">
        <v>135</v>
      </c>
      <c r="V134" s="329"/>
      <c r="W134" s="332" t="s">
        <v>26</v>
      </c>
    </row>
    <row r="135" spans="1:30" s="243" customFormat="1">
      <c r="A135" s="243">
        <v>1959</v>
      </c>
      <c r="B135" s="230">
        <f>(K6*($E6/365)) + (K7*($E7/365))</f>
        <v>56.55577299412915</v>
      </c>
      <c r="C135" s="230">
        <f>(L6*($E6/365)) + (L7*($E7/365))</f>
        <v>42.270058708414872</v>
      </c>
      <c r="D135" s="230">
        <f>(M6*($E6/365)) + (M7*($E7/365))</f>
        <v>1.1741682974559686</v>
      </c>
      <c r="E135" s="231">
        <f>B135+C135+D135</f>
        <v>99.999999999999986</v>
      </c>
      <c r="G135" s="243">
        <v>1959</v>
      </c>
      <c r="H135" s="927">
        <f>(O6/$R6*100*($E6/365))+(O7/$R7*100*($E7/365))</f>
        <v>59.743182497238152</v>
      </c>
      <c r="I135" s="927"/>
      <c r="J135" s="927">
        <f>(P6/$R6*100*($E6/365))+(P7/$R7*100*($E7/365))</f>
        <v>39.038467273930678</v>
      </c>
      <c r="K135" s="927"/>
      <c r="L135" s="927">
        <f>(Q6/$R6*100*($E6/365))+(Q7/$R7*100*($E7/365))</f>
        <v>1.2183502288311647</v>
      </c>
      <c r="M135" s="927"/>
      <c r="N135" s="926">
        <f>H135+J135+L135</f>
        <v>100</v>
      </c>
      <c r="O135" s="926"/>
      <c r="R135" s="243">
        <v>1959</v>
      </c>
      <c r="S135" s="230">
        <f>(O6*($E6/365)) + (O7*($E7/365))</f>
        <v>36.741095890410961</v>
      </c>
      <c r="T135" s="230">
        <f>(P6*($E6/365)) + (P7*($E7/365))</f>
        <v>24</v>
      </c>
      <c r="U135" s="230">
        <f>(Q6*($E6/365)) + (Q7*($E7/365))</f>
        <v>1.0684931506849313</v>
      </c>
      <c r="V135" s="244"/>
      <c r="W135" s="244">
        <f>S135+T135+U135</f>
        <v>61.80958904109589</v>
      </c>
    </row>
    <row r="136" spans="1:30">
      <c r="A136" s="1">
        <v>1960</v>
      </c>
      <c r="B136" s="8">
        <f>(K8*($E8/366))+(K9*($E9/366))</f>
        <v>42.857142857142854</v>
      </c>
      <c r="C136" s="8">
        <f>(L8*($E8/366))+(L9*($E9/366))</f>
        <v>28.571428571428569</v>
      </c>
      <c r="D136" s="8">
        <f>(M8*($E8/366))+(M9*($E9/366))</f>
        <v>28.571428571428569</v>
      </c>
      <c r="E136" s="50">
        <f>B136+C136+D136</f>
        <v>99.999999999999986</v>
      </c>
      <c r="G136" s="1">
        <v>1960</v>
      </c>
      <c r="H136" s="918">
        <f>(O8/$R8*100*($E8/366))+(O9/$R9*100*($E9/366))</f>
        <v>42.987457240592931</v>
      </c>
      <c r="I136" s="918"/>
      <c r="J136" s="918">
        <f>(P8/$R8*100*($E8/366))+(P9/$R9*100*($E9/366))</f>
        <v>27.366020524515395</v>
      </c>
      <c r="K136" s="918"/>
      <c r="L136" s="918">
        <f>(Q8/$R8*100*($E8/366))+(Q9/$R9*100*($E9/366))</f>
        <v>29.646522234891677</v>
      </c>
      <c r="M136" s="918"/>
      <c r="N136" s="919">
        <f t="shared" ref="N136:N167" si="33">H136+J136+L136</f>
        <v>100</v>
      </c>
      <c r="O136" s="919"/>
      <c r="P136" s="2"/>
      <c r="R136" s="1">
        <v>1960</v>
      </c>
      <c r="S136" s="8">
        <f>(O8*($E8/366))+(O9*($E9/366))</f>
        <v>37.700000000000003</v>
      </c>
      <c r="T136" s="8">
        <f>(P8*($E8/366))+(P9*($E9/366))</f>
        <v>24</v>
      </c>
      <c r="U136" s="8">
        <f>(Q8*($E8/366))+(Q9*($E9/366))</f>
        <v>26</v>
      </c>
      <c r="V136" s="7"/>
      <c r="W136" s="7">
        <f>S136+T136+U136</f>
        <v>87.7</v>
      </c>
    </row>
    <row r="137" spans="1:30">
      <c r="A137" s="1">
        <v>1961</v>
      </c>
      <c r="B137" s="8">
        <f>(K10*($E10/365))+(K11*($E11/365))</f>
        <v>42.857142857142854</v>
      </c>
      <c r="C137" s="8">
        <f>(L10*($E10/365))+(L11*($E11/365))</f>
        <v>28.571428571428569</v>
      </c>
      <c r="D137" s="8">
        <f>(M10*($E10/365))+(M11*($E11/365))</f>
        <v>28.571428571428569</v>
      </c>
      <c r="E137" s="50">
        <f t="shared" ref="E137:E189" si="34">B137+C137+D137</f>
        <v>99.999999999999986</v>
      </c>
      <c r="G137" s="1">
        <v>1961</v>
      </c>
      <c r="H137" s="918">
        <f>(O10/$R10*100*($E10/365))+(O11/$R11*100*($E11/365))</f>
        <v>42.987457240592931</v>
      </c>
      <c r="I137" s="918"/>
      <c r="J137" s="918">
        <f>(P10/$R10*100*($E10/365))+(P11/$R11*100*($E11/365))</f>
        <v>27.366020524515395</v>
      </c>
      <c r="K137" s="918"/>
      <c r="L137" s="918">
        <f>(Q10/$R10*100*($E10/365))+(Q11/$R11*100*($E11/365))</f>
        <v>29.646522234891677</v>
      </c>
      <c r="M137" s="918"/>
      <c r="N137" s="887">
        <f t="shared" si="33"/>
        <v>100</v>
      </c>
      <c r="O137" s="887"/>
      <c r="R137" s="1">
        <v>1961</v>
      </c>
      <c r="S137" s="8">
        <f>(O10*($E10/365))+(O11*($E11/365))</f>
        <v>37.700000000000003</v>
      </c>
      <c r="T137" s="8">
        <f>(P10*($E10/365))+(P11*($E11/365))</f>
        <v>24</v>
      </c>
      <c r="U137" s="8">
        <f>(Q10*($E10/365))+(Q11*($E11/365))</f>
        <v>26</v>
      </c>
      <c r="V137" s="7"/>
      <c r="W137" s="7">
        <f t="shared" ref="W137:W189" si="35">S137+T137+U137</f>
        <v>87.7</v>
      </c>
    </row>
    <row r="138" spans="1:30">
      <c r="A138" s="1">
        <v>1962</v>
      </c>
      <c r="B138" s="8">
        <f>(K12*($E12/365))+(K13*($E13/365))</f>
        <v>42.857142857142854</v>
      </c>
      <c r="C138" s="8">
        <f>(L12*($E12/365))+(L13*($E13/365))</f>
        <v>28.571428571428569</v>
      </c>
      <c r="D138" s="8">
        <f>(M12*($E12/365))+(M13*($E13/365))</f>
        <v>28.571428571428569</v>
      </c>
      <c r="E138" s="50">
        <f t="shared" si="34"/>
        <v>99.999999999999986</v>
      </c>
      <c r="G138" s="1">
        <v>1962</v>
      </c>
      <c r="H138" s="918">
        <f>(O12/$R12*100*($E12/365))+(O13/$R13*100*($E13/365))</f>
        <v>42.987457240592931</v>
      </c>
      <c r="I138" s="918"/>
      <c r="J138" s="918">
        <f>(P12/$R12*100*($E12/365))+(P13/$R13*100*($E13/365))</f>
        <v>27.366020524515395</v>
      </c>
      <c r="K138" s="918"/>
      <c r="L138" s="918">
        <f>(Q12/$R12*100*($E12/365))+(Q13/$R13*100*($E13/365))</f>
        <v>29.646522234891677</v>
      </c>
      <c r="M138" s="918"/>
      <c r="N138" s="887">
        <f t="shared" si="33"/>
        <v>100</v>
      </c>
      <c r="O138" s="887"/>
      <c r="R138" s="1">
        <v>1962</v>
      </c>
      <c r="S138" s="8">
        <f>(O12*($E12/365))+(O13*($E13/365))</f>
        <v>37.700000000000003</v>
      </c>
      <c r="T138" s="8">
        <f>(P12*($E12/365))+(P13*($E13/365))</f>
        <v>24</v>
      </c>
      <c r="U138" s="8">
        <f>(Q12*($E12/365))+(Q13*($E13/365))</f>
        <v>26</v>
      </c>
      <c r="V138" s="7"/>
      <c r="W138" s="7">
        <f t="shared" si="35"/>
        <v>87.7</v>
      </c>
    </row>
    <row r="139" spans="1:30">
      <c r="A139" s="1">
        <v>1963</v>
      </c>
      <c r="B139" s="8">
        <f>(K14*($E14/365))+(K15*($E15/365))</f>
        <v>42.857142857142854</v>
      </c>
      <c r="C139" s="8">
        <f>(L14*($E14/365))+(L15*($E15/365))</f>
        <v>28.571428571428569</v>
      </c>
      <c r="D139" s="8">
        <f>(M14*($E14/365))+(M15*($E15/365))</f>
        <v>28.571428571428569</v>
      </c>
      <c r="E139" s="50">
        <f t="shared" si="34"/>
        <v>99.999999999999986</v>
      </c>
      <c r="G139" s="1">
        <v>1963</v>
      </c>
      <c r="H139" s="918">
        <f>(O14/$R14*100*($E14/365))+(O15/$R15*100*($E15/365))</f>
        <v>42.930830706231994</v>
      </c>
      <c r="I139" s="918"/>
      <c r="J139" s="918">
        <f>(P14/$R14*100*($E14/365))+(P15/$R15*100*($E15/365))</f>
        <v>27.378085531202316</v>
      </c>
      <c r="K139" s="918"/>
      <c r="L139" s="918">
        <f>(Q14/$R14*100*($E14/365))+(Q15/$R15*100*($E15/365))</f>
        <v>29.691083762565697</v>
      </c>
      <c r="M139" s="918"/>
      <c r="N139" s="887">
        <f t="shared" si="33"/>
        <v>100.00000000000001</v>
      </c>
      <c r="O139" s="887"/>
      <c r="R139" s="1">
        <v>1963</v>
      </c>
      <c r="S139" s="8">
        <f>(O14*($E14/365))+(O15*($E15/365))</f>
        <v>37.634246575342466</v>
      </c>
      <c r="T139" s="8">
        <f>(P14*($E14/365))+(P15*($E15/365))</f>
        <v>24</v>
      </c>
      <c r="U139" s="8">
        <f>(Q14*($E14/365))+(Q15*($E15/365))</f>
        <v>26.027397260273975</v>
      </c>
      <c r="V139" s="7"/>
      <c r="W139" s="7">
        <f t="shared" si="35"/>
        <v>87.661643835616445</v>
      </c>
    </row>
    <row r="140" spans="1:30">
      <c r="A140" s="1">
        <v>1964</v>
      </c>
      <c r="B140" s="8">
        <f>(K16*($E16/366))+(K17*($E17/366))</f>
        <v>42.857142857142854</v>
      </c>
      <c r="C140" s="8">
        <f>(L16*($E16/366))+(L17*($E17/366))</f>
        <v>28.571428571428569</v>
      </c>
      <c r="D140" s="8">
        <f>(M16*($E16/366))+(M17*($E17/366))</f>
        <v>28.571428571428569</v>
      </c>
      <c r="E140" s="50">
        <f t="shared" si="34"/>
        <v>99.999999999999986</v>
      </c>
      <c r="G140" s="1">
        <v>1964</v>
      </c>
      <c r="H140" s="918">
        <f>(O16/$R16*100*($E16/366))+(O17/$R17*100*($E17/366))</f>
        <v>41.954022988505749</v>
      </c>
      <c r="I140" s="918"/>
      <c r="J140" s="918">
        <f>(P16/$R16*100*($E16/366))+(P17/$R17*100*($E17/366))</f>
        <v>27.586206896551722</v>
      </c>
      <c r="K140" s="918"/>
      <c r="L140" s="918">
        <f>(Q16/$R16*100*($E16/366))+(Q17/$R17*100*($E17/366))</f>
        <v>30.459770114942529</v>
      </c>
      <c r="M140" s="918"/>
      <c r="N140" s="887">
        <f t="shared" si="33"/>
        <v>100</v>
      </c>
      <c r="O140" s="887"/>
      <c r="R140" s="1">
        <v>1964</v>
      </c>
      <c r="S140" s="8">
        <f>(O16*($E16/366))+(O17*($E17/366))</f>
        <v>36.5</v>
      </c>
      <c r="T140" s="8">
        <f>(P16*($E16/366))+(P17*($E17/366))</f>
        <v>24</v>
      </c>
      <c r="U140" s="8">
        <f>(Q16*($E16/366))+(Q17*($E17/366))</f>
        <v>26.5</v>
      </c>
      <c r="V140" s="7"/>
      <c r="W140" s="7">
        <f t="shared" si="35"/>
        <v>87</v>
      </c>
    </row>
    <row r="141" spans="1:30">
      <c r="A141" s="1">
        <v>1965</v>
      </c>
      <c r="B141" s="8">
        <f>(K18*($E18/365))+(K19*($E19/365))</f>
        <v>42.857142857142854</v>
      </c>
      <c r="C141" s="8">
        <f>(L18*($E18/365))+(L19*($E19/365))</f>
        <v>28.571428571428569</v>
      </c>
      <c r="D141" s="8">
        <f>(M18*($E18/365))+(M19*($E19/365))</f>
        <v>28.571428571428569</v>
      </c>
      <c r="E141" s="50">
        <f t="shared" si="34"/>
        <v>99.999999999999986</v>
      </c>
      <c r="G141" s="1">
        <v>1965</v>
      </c>
      <c r="H141" s="918">
        <f>(O18/$R18*100*($E18/365))+(O19/$R19*100*($E19/365))</f>
        <v>41.954022988505749</v>
      </c>
      <c r="I141" s="918"/>
      <c r="J141" s="918">
        <f>(P18/$R18*100*($E18/365))+(P19/$R19*100*($E19/365))</f>
        <v>27.586206896551722</v>
      </c>
      <c r="K141" s="918"/>
      <c r="L141" s="918">
        <f>(Q18/$R18*100*($E18/365))+(Q19/$R19*100*($E19/365))</f>
        <v>30.459770114942529</v>
      </c>
      <c r="M141" s="918"/>
      <c r="N141" s="887">
        <f t="shared" si="33"/>
        <v>100</v>
      </c>
      <c r="O141" s="887"/>
      <c r="R141" s="1">
        <v>1965</v>
      </c>
      <c r="S141" s="8">
        <f>(O18*($E18/365))+(O19*($E19/365))</f>
        <v>36.5</v>
      </c>
      <c r="T141" s="8">
        <f>(P18*($E18/365))+(P19*($E19/365))</f>
        <v>24</v>
      </c>
      <c r="U141" s="8">
        <f>(Q18*($E18/365))+(Q19*($E19/365))</f>
        <v>26.5</v>
      </c>
      <c r="V141" s="7"/>
      <c r="W141" s="7">
        <f t="shared" si="35"/>
        <v>87</v>
      </c>
    </row>
    <row r="142" spans="1:30">
      <c r="A142" s="1">
        <v>1966</v>
      </c>
      <c r="B142" s="8">
        <f>(K20*($E20/365))+(K21*($E21/365))</f>
        <v>42.857142857142854</v>
      </c>
      <c r="C142" s="8">
        <f>(L20*($E20/365))+(L21*($E21/365))</f>
        <v>28.571428571428569</v>
      </c>
      <c r="D142" s="8">
        <f>(M20*($E20/365))+(M21*($E21/365))</f>
        <v>28.571428571428569</v>
      </c>
      <c r="E142" s="50">
        <f t="shared" si="34"/>
        <v>99.999999999999986</v>
      </c>
      <c r="G142" s="1">
        <v>1966</v>
      </c>
      <c r="H142" s="918">
        <f>(O20/$R20*100*($E20/365))+(O21/$R21*100*($E21/365))</f>
        <v>41.954022988505749</v>
      </c>
      <c r="I142" s="918"/>
      <c r="J142" s="918">
        <f>(P20/$R20*100*($E20/365))+(P21/$R21*100*($E21/365))</f>
        <v>27.586206896551722</v>
      </c>
      <c r="K142" s="918"/>
      <c r="L142" s="918">
        <f>(Q20/$R20*100*($E20/365))+(Q21/$R21*100*($E21/365))</f>
        <v>30.459770114942529</v>
      </c>
      <c r="M142" s="918"/>
      <c r="N142" s="887">
        <f t="shared" si="33"/>
        <v>100</v>
      </c>
      <c r="O142" s="887"/>
      <c r="R142" s="1">
        <v>1966</v>
      </c>
      <c r="S142" s="8">
        <f>(O20*($E20/365))+(O21*($E21/365))</f>
        <v>36.5</v>
      </c>
      <c r="T142" s="8">
        <f>(P20*($E20/365))+(P21*($E21/365))</f>
        <v>24</v>
      </c>
      <c r="U142" s="8">
        <f>(Q20*($E20/365))+(Q21*($E21/365))</f>
        <v>26.5</v>
      </c>
      <c r="V142" s="7"/>
      <c r="W142" s="7">
        <f t="shared" si="35"/>
        <v>87</v>
      </c>
    </row>
    <row r="143" spans="1:30">
      <c r="A143" s="1">
        <v>1967</v>
      </c>
      <c r="B143" s="8">
        <f>(K22*($E22/365))+(K23*($E23/365))</f>
        <v>42.857142857142854</v>
      </c>
      <c r="C143" s="8">
        <f>(L22*($E22/365))+(L23*($E23/365))</f>
        <v>28.571428571428569</v>
      </c>
      <c r="D143" s="8">
        <f>(M22*($E22/365))+(M23*($E23/365))</f>
        <v>28.571428571428569</v>
      </c>
      <c r="E143" s="50">
        <f t="shared" si="34"/>
        <v>99.999999999999986</v>
      </c>
      <c r="G143" s="1">
        <v>1967</v>
      </c>
      <c r="H143" s="918">
        <f>(O22/$R22*100*($E22/365))+(O23/$R23*100*($E23/365))</f>
        <v>41.955199162260762</v>
      </c>
      <c r="I143" s="918"/>
      <c r="J143" s="918">
        <f>(P22/$R22*100*($E22/365))+(P23/$R23*100*($E23/365))</f>
        <v>27.583588961419604</v>
      </c>
      <c r="K143" s="918"/>
      <c r="L143" s="918">
        <f>(Q22/$R22*100*($E22/365))+(Q23/$R23*100*($E23/365))</f>
        <v>30.461211876319638</v>
      </c>
      <c r="M143" s="918"/>
      <c r="N143" s="887">
        <f t="shared" si="33"/>
        <v>100</v>
      </c>
      <c r="O143" s="887"/>
      <c r="R143" s="1">
        <v>1967</v>
      </c>
      <c r="S143" s="8">
        <f>(O22*($E22/365))+(O23*($E23/365))</f>
        <v>36.491780821917814</v>
      </c>
      <c r="T143" s="8">
        <f>(P22*($E22/365))+(P23*($E23/365))</f>
        <v>23.991780821917811</v>
      </c>
      <c r="U143" s="8">
        <f>(Q22*($E22/365))+(Q23*($E23/365))</f>
        <v>26.494520547945204</v>
      </c>
      <c r="V143" s="7"/>
      <c r="W143" s="7">
        <f t="shared" si="35"/>
        <v>86.978082191780828</v>
      </c>
    </row>
    <row r="144" spans="1:30">
      <c r="A144" s="1">
        <v>1968</v>
      </c>
      <c r="B144" s="8">
        <f>(K24*($E24/366))+(K25*($E25/366))</f>
        <v>42.857142857142854</v>
      </c>
      <c r="C144" s="8">
        <f>(L24*($E24/366))+(L25*($E25/366))</f>
        <v>28.571428571428569</v>
      </c>
      <c r="D144" s="8">
        <f>(M24*($E24/366))+(M25*($E25/366))</f>
        <v>28.571428571428569</v>
      </c>
      <c r="E144" s="50">
        <f t="shared" si="34"/>
        <v>99.999999999999986</v>
      </c>
      <c r="G144" s="1">
        <v>1968</v>
      </c>
      <c r="H144" s="918">
        <f>(O24/$R24*100*($E24/366))+(O25/$R25*100*($E25/366))</f>
        <v>42.168674698795186</v>
      </c>
      <c r="I144" s="918"/>
      <c r="J144" s="918">
        <f>(P24/$R24*100*($E24/366))+(P25/$R25*100*($E25/366))</f>
        <v>27.108433734939759</v>
      </c>
      <c r="K144" s="918"/>
      <c r="L144" s="918">
        <f>(Q24/$R24*100*($E24/366))+(Q25/$R25*100*($E25/366))</f>
        <v>30.722891566265059</v>
      </c>
      <c r="M144" s="918"/>
      <c r="N144" s="887">
        <f t="shared" si="33"/>
        <v>100.00000000000001</v>
      </c>
      <c r="O144" s="887"/>
      <c r="R144" s="1">
        <v>1968</v>
      </c>
      <c r="S144" s="8">
        <f>(O24*($E24/366))+(O25*($E25/366))</f>
        <v>35</v>
      </c>
      <c r="T144" s="8">
        <f>(P24*($E24/366))+(P25*($E25/366))</f>
        <v>22.5</v>
      </c>
      <c r="U144" s="8">
        <f>(Q24*($E24/366))+(Q25*($E25/366))</f>
        <v>25.5</v>
      </c>
      <c r="V144" s="7"/>
      <c r="W144" s="7">
        <f t="shared" si="35"/>
        <v>83</v>
      </c>
    </row>
    <row r="145" spans="1:23">
      <c r="A145" s="1">
        <v>1969</v>
      </c>
      <c r="B145" s="8">
        <f>(K26*($E26/365))+(K27*($E27/365))</f>
        <v>42.857142857142854</v>
      </c>
      <c r="C145" s="8">
        <f>(L26*($E26/365))+(L27*($E27/365))</f>
        <v>28.571428571428569</v>
      </c>
      <c r="D145" s="8">
        <f>(M26*($E26/365))+(M27*($E27/365))</f>
        <v>28.571428571428569</v>
      </c>
      <c r="E145" s="50">
        <f t="shared" si="34"/>
        <v>99.999999999999986</v>
      </c>
      <c r="G145" s="1">
        <v>1969</v>
      </c>
      <c r="H145" s="918">
        <f>(O26/$R26*100*($E26/365))+(O27/$R27*100*($E27/365))</f>
        <v>42.168674698795186</v>
      </c>
      <c r="I145" s="918"/>
      <c r="J145" s="918">
        <f>(P26/$R26*100*($E26/365))+(P27/$R27*100*($E27/365))</f>
        <v>27.108433734939759</v>
      </c>
      <c r="K145" s="918"/>
      <c r="L145" s="918">
        <f>(Q26/$R26*100*($E26/365))+(Q27/$R27*100*($E27/365))</f>
        <v>30.722891566265059</v>
      </c>
      <c r="M145" s="918"/>
      <c r="N145" s="887">
        <f t="shared" si="33"/>
        <v>100.00000000000001</v>
      </c>
      <c r="O145" s="887"/>
      <c r="R145" s="1">
        <v>1969</v>
      </c>
      <c r="S145" s="8">
        <f>(O26*($E26/365))+(O27*($E27/365))</f>
        <v>35</v>
      </c>
      <c r="T145" s="8">
        <f>(P26*($E26/365))+(P27*($E27/365))</f>
        <v>22.5</v>
      </c>
      <c r="U145" s="8">
        <f>(Q26*($E26/365))+(Q27*($E27/365))</f>
        <v>25.5</v>
      </c>
      <c r="V145" s="7"/>
      <c r="W145" s="7">
        <f t="shared" si="35"/>
        <v>83</v>
      </c>
    </row>
    <row r="146" spans="1:23">
      <c r="A146" s="1">
        <v>1970</v>
      </c>
      <c r="B146" s="8">
        <f>(K28*($E28/365))+(K29*($E29/365))</f>
        <v>42.857142857142854</v>
      </c>
      <c r="C146" s="8">
        <f>(L28*($E28/365))+(L29*($E29/365))</f>
        <v>28.571428571428569</v>
      </c>
      <c r="D146" s="8">
        <f>(M28*($E28/365))+(M29*($E29/365))</f>
        <v>28.571428571428569</v>
      </c>
      <c r="E146" s="50">
        <f t="shared" si="34"/>
        <v>99.999999999999986</v>
      </c>
      <c r="G146" s="1">
        <v>1970</v>
      </c>
      <c r="H146" s="918">
        <f>(O28/$R28*100*($E28/365))+(O29/$R29*100*($E29/365))</f>
        <v>42.168674698795186</v>
      </c>
      <c r="I146" s="918"/>
      <c r="J146" s="918">
        <f>(P28/$R28*100*($E28/365))+(P29/$R29*100*($E29/365))</f>
        <v>27.108433734939759</v>
      </c>
      <c r="K146" s="918"/>
      <c r="L146" s="918">
        <f>(Q28/$R28*100*($E28/365))+(Q29/$R29*100*($E29/365))</f>
        <v>30.722891566265059</v>
      </c>
      <c r="M146" s="918"/>
      <c r="N146" s="887">
        <f t="shared" si="33"/>
        <v>100.00000000000001</v>
      </c>
      <c r="O146" s="887"/>
      <c r="R146" s="1">
        <v>1970</v>
      </c>
      <c r="S146" s="8">
        <f>(O28*($E28/365))+(O29*($E29/365))</f>
        <v>35</v>
      </c>
      <c r="T146" s="8">
        <f>(P28*($E28/365))+(P29*($E29/365))</f>
        <v>22.5</v>
      </c>
      <c r="U146" s="8">
        <f>(Q28*($E28/365))+(Q29*($E29/365))</f>
        <v>25.5</v>
      </c>
      <c r="V146" s="7"/>
      <c r="W146" s="7">
        <f t="shared" si="35"/>
        <v>83</v>
      </c>
    </row>
    <row r="147" spans="1:23">
      <c r="A147" s="1">
        <v>1971</v>
      </c>
      <c r="B147" s="8">
        <f>(K30*($E30/365))+(K31*($E31/365))</f>
        <v>42.857142857142854</v>
      </c>
      <c r="C147" s="8">
        <f>(L30*($E30/365))+(L31*($E31/365))</f>
        <v>28.571428571428569</v>
      </c>
      <c r="D147" s="8">
        <f>(M30*($E30/365))+(M31*($E31/365))</f>
        <v>28.571428571428569</v>
      </c>
      <c r="E147" s="50">
        <f t="shared" si="34"/>
        <v>99.999999999999986</v>
      </c>
      <c r="G147" s="1">
        <v>1971</v>
      </c>
      <c r="H147" s="918">
        <f>(O30/$R30*100*($E30/365))+(O31/$R31*100*($E31/365))</f>
        <v>42.318314353303634</v>
      </c>
      <c r="I147" s="918"/>
      <c r="J147" s="918">
        <f>(P30/$R30*100*($E30/365))+(P31/$R31*100*($E31/365))</f>
        <v>27.111856864291259</v>
      </c>
      <c r="K147" s="918"/>
      <c r="L147" s="918">
        <f>(Q30/$R30*100*($E30/365))+(Q31/$R31*100*($E31/365))</f>
        <v>30.569828782405114</v>
      </c>
      <c r="M147" s="918"/>
      <c r="N147" s="887">
        <f t="shared" si="33"/>
        <v>100</v>
      </c>
      <c r="O147" s="887"/>
      <c r="R147" s="1">
        <v>1971</v>
      </c>
      <c r="S147" s="8">
        <f>(O30*($E30/365))+(O31*($E31/365))</f>
        <v>35.065753424657537</v>
      </c>
      <c r="T147" s="8">
        <f>(P30*($E30/365))+(P31*($E31/365))</f>
        <v>22.467123287671232</v>
      </c>
      <c r="U147" s="8">
        <f>(Q30*($E30/365))+(Q31*($E31/365))</f>
        <v>25.335616438356166</v>
      </c>
      <c r="V147" s="7"/>
      <c r="W147" s="7">
        <f t="shared" si="35"/>
        <v>82.868493150684941</v>
      </c>
    </row>
    <row r="148" spans="1:23">
      <c r="A148" s="1">
        <v>1972</v>
      </c>
      <c r="B148" s="8">
        <f>(K32*($E32/366))+(K33*($E33/366))</f>
        <v>42.857142857142854</v>
      </c>
      <c r="C148" s="8">
        <f>(L32*($E32/366))+(L33*($E33/366))</f>
        <v>28.571428571428569</v>
      </c>
      <c r="D148" s="8">
        <f>(M32*($E32/366))+(M33*($E33/366))</f>
        <v>28.571428571428569</v>
      </c>
      <c r="E148" s="50">
        <f t="shared" si="34"/>
        <v>99.999999999999986</v>
      </c>
      <c r="G148" s="1">
        <v>1972</v>
      </c>
      <c r="H148" s="918">
        <f>(O32/$R32*100*($E32/366))+(O33/$R33*100*($E33/366))</f>
        <v>44.444444444444443</v>
      </c>
      <c r="I148" s="918"/>
      <c r="J148" s="918">
        <f>(P32/$R32*100*($E32/366))+(P33/$R33*100*($E33/366))</f>
        <v>27.160493827160494</v>
      </c>
      <c r="K148" s="918"/>
      <c r="L148" s="918">
        <f>(Q32/$R32*100*($E32/366))+(Q33/$R33*100*($E33/366))</f>
        <v>28.39506172839506</v>
      </c>
      <c r="M148" s="918"/>
      <c r="N148" s="887">
        <f t="shared" si="33"/>
        <v>100</v>
      </c>
      <c r="O148" s="887"/>
      <c r="R148" s="1">
        <v>1972</v>
      </c>
      <c r="S148" s="8">
        <f>(O32*($E32/366))+(O33*($E33/366))</f>
        <v>36</v>
      </c>
      <c r="T148" s="8">
        <f>(P32*($E32/366))+(P33*($E33/366))</f>
        <v>22</v>
      </c>
      <c r="U148" s="8">
        <f>(Q32*($E32/366))+(Q33*($E33/366))</f>
        <v>23</v>
      </c>
      <c r="V148" s="7"/>
      <c r="W148" s="7">
        <f t="shared" si="35"/>
        <v>81</v>
      </c>
    </row>
    <row r="149" spans="1:23">
      <c r="A149" s="1">
        <v>1973</v>
      </c>
      <c r="B149" s="8">
        <f>(K34*($E34/365))+(K35*($E35/365))</f>
        <v>42.857142857142854</v>
      </c>
      <c r="C149" s="8">
        <f>(L34*($E34/365))+(L35*($E35/365))</f>
        <v>28.571428571428569</v>
      </c>
      <c r="D149" s="8">
        <f>(M34*($E34/365))+(M35*($E35/365))</f>
        <v>28.571428571428569</v>
      </c>
      <c r="E149" s="50">
        <f t="shared" si="34"/>
        <v>99.999999999999986</v>
      </c>
      <c r="G149" s="1">
        <v>1973</v>
      </c>
      <c r="H149" s="918">
        <f>(O34/$R34*100*($E34/365))+(O35/$R35*100*($E35/365))</f>
        <v>44.444444444444443</v>
      </c>
      <c r="I149" s="918"/>
      <c r="J149" s="918">
        <f>(P34/$R34*100*($E34/365))+(P35/$R35*100*($E35/365))</f>
        <v>27.160493827160494</v>
      </c>
      <c r="K149" s="918"/>
      <c r="L149" s="918">
        <f>(Q34/$R34*100*($E34/365))+(Q35/$R35*100*($E35/365))</f>
        <v>28.39506172839506</v>
      </c>
      <c r="M149" s="918"/>
      <c r="N149" s="887">
        <f t="shared" si="33"/>
        <v>100</v>
      </c>
      <c r="O149" s="887"/>
      <c r="R149" s="1">
        <v>1973</v>
      </c>
      <c r="S149" s="8">
        <f>(O34*($E34/365))+(O35*($E35/365))</f>
        <v>36</v>
      </c>
      <c r="T149" s="8">
        <f>(P34*($E34/365))+(P35*($E35/365))</f>
        <v>22</v>
      </c>
      <c r="U149" s="8">
        <f>(Q34*($E34/365))+(Q35*($E35/365))</f>
        <v>23</v>
      </c>
      <c r="V149" s="7"/>
      <c r="W149" s="7">
        <f t="shared" si="35"/>
        <v>81</v>
      </c>
    </row>
    <row r="150" spans="1:23">
      <c r="A150" s="1">
        <v>1974</v>
      </c>
      <c r="B150" s="8">
        <f>(K36*($E36/365))+(K37*($E37/365))</f>
        <v>42.857142857142854</v>
      </c>
      <c r="C150" s="8">
        <f>(L36*($E36/365))+(L37*($E37/365))</f>
        <v>28.571428571428569</v>
      </c>
      <c r="D150" s="8">
        <f>(M36*($E36/365))+(M37*($E37/365))</f>
        <v>28.571428571428569</v>
      </c>
      <c r="E150" s="50">
        <f t="shared" si="34"/>
        <v>99.999999999999986</v>
      </c>
      <c r="G150" s="1">
        <v>1974</v>
      </c>
      <c r="H150" s="918">
        <f>(O36/$R36*100*($E36/365))+(O37/$R37*100*($E37/365))</f>
        <v>44.444444444444443</v>
      </c>
      <c r="I150" s="918"/>
      <c r="J150" s="918">
        <f>(P36/$R36*100*($E36/365))+(P37/$R37*100*($E37/365))</f>
        <v>27.160493827160494</v>
      </c>
      <c r="K150" s="918"/>
      <c r="L150" s="918">
        <f>(Q36/$R36*100*($E36/365))+(Q37/$R37*100*($E37/365))</f>
        <v>28.39506172839506</v>
      </c>
      <c r="M150" s="918"/>
      <c r="N150" s="887">
        <f t="shared" si="33"/>
        <v>100</v>
      </c>
      <c r="O150" s="887"/>
      <c r="R150" s="1">
        <v>1974</v>
      </c>
      <c r="S150" s="8">
        <f>(O36*($E36/365))+(O37*($E37/365))</f>
        <v>36</v>
      </c>
      <c r="T150" s="8">
        <f>(P36*($E36/365))+(P37*($E37/365))</f>
        <v>22</v>
      </c>
      <c r="U150" s="8">
        <f>(Q36*($E36/365))+(Q37*($E37/365))</f>
        <v>23</v>
      </c>
      <c r="V150" s="7"/>
      <c r="W150" s="7">
        <f t="shared" si="35"/>
        <v>81</v>
      </c>
    </row>
    <row r="151" spans="1:23">
      <c r="A151" s="1">
        <v>1975</v>
      </c>
      <c r="B151" s="8">
        <f>(K38*($E38/365))+(K39*($E39/365))</f>
        <v>42.857142857142854</v>
      </c>
      <c r="C151" s="8">
        <f>(L38*($E38/365))+(L39*($E39/365))</f>
        <v>28.571428571428569</v>
      </c>
      <c r="D151" s="8">
        <f>(M38*($E38/365))+(M39*($E39/365))</f>
        <v>28.571428571428569</v>
      </c>
      <c r="E151" s="50">
        <f t="shared" si="34"/>
        <v>99.999999999999986</v>
      </c>
      <c r="G151" s="1">
        <v>1975</v>
      </c>
      <c r="H151" s="918">
        <f>(O38/$R38*100*($E38/365))+(O39/$R39*100*($E39/365))</f>
        <v>44.190826150784005</v>
      </c>
      <c r="I151" s="918"/>
      <c r="J151" s="918">
        <f>(P38/$R38*100*($E38/365))+(P39/$R39*100*($E39/365))</f>
        <v>27.164016303461331</v>
      </c>
      <c r="K151" s="918"/>
      <c r="L151" s="918">
        <f>(Q38/$R38*100*($E38/365))+(Q39/$R39*100*($E39/365))</f>
        <v>28.645157545754664</v>
      </c>
      <c r="M151" s="918"/>
      <c r="N151" s="887">
        <f t="shared" si="33"/>
        <v>100</v>
      </c>
      <c r="O151" s="887"/>
      <c r="R151" s="1">
        <v>1975</v>
      </c>
      <c r="S151" s="8">
        <f>(O38*($E38/365))+(O39*($E39/365))</f>
        <v>35.87945205479452</v>
      </c>
      <c r="T151" s="8">
        <f>(P38*($E38/365))+(P39*($E39/365))</f>
        <v>22.06027397260274</v>
      </c>
      <c r="U151" s="8">
        <f>(Q38*($E38/365))+(Q39*($E39/365))</f>
        <v>23.271232876712329</v>
      </c>
      <c r="V151" s="7"/>
      <c r="W151" s="7">
        <f t="shared" si="35"/>
        <v>81.210958904109589</v>
      </c>
    </row>
    <row r="152" spans="1:23">
      <c r="A152" s="1">
        <v>1976</v>
      </c>
      <c r="B152" s="8">
        <f>(K40*($E40/366))+(K41*($E41/366))</f>
        <v>42.857142857142854</v>
      </c>
      <c r="C152" s="8">
        <f>(L40*($E40/366))+(L41*($E41/366))</f>
        <v>28.571428571428569</v>
      </c>
      <c r="D152" s="8">
        <f>(M40*($E40/366))+(M41*($E41/366))</f>
        <v>28.571428571428569</v>
      </c>
      <c r="E152" s="50">
        <f t="shared" si="34"/>
        <v>99.999999999999986</v>
      </c>
      <c r="G152" s="1">
        <v>1976</v>
      </c>
      <c r="H152" s="918">
        <f>(O40/$R40*100*($E40/366))+(O41/$R41*100*($E41/366))</f>
        <v>40.236686390532547</v>
      </c>
      <c r="I152" s="918"/>
      <c r="J152" s="918">
        <f>(P40/$R40*100*($E40/366))+(P41/$R41*100*($E41/366))</f>
        <v>27.218934911242602</v>
      </c>
      <c r="K152" s="918"/>
      <c r="L152" s="918">
        <f>(Q40/$R40*100*($E40/366))+(Q41/$R41*100*($E41/366))</f>
        <v>32.544378698224854</v>
      </c>
      <c r="M152" s="918"/>
      <c r="N152" s="887">
        <f t="shared" si="33"/>
        <v>100</v>
      </c>
      <c r="O152" s="887"/>
      <c r="R152" s="1">
        <v>1976</v>
      </c>
      <c r="S152" s="8">
        <f>(O40*($E40/366))+(O41*($E41/366))</f>
        <v>34</v>
      </c>
      <c r="T152" s="8">
        <f>(P40*($E40/366))+(P41*($E41/366))</f>
        <v>23</v>
      </c>
      <c r="U152" s="8">
        <f>(Q40*($E40/366))+(Q41*($E41/366))</f>
        <v>27.5</v>
      </c>
      <c r="V152" s="7"/>
      <c r="W152" s="7">
        <f t="shared" si="35"/>
        <v>84.5</v>
      </c>
    </row>
    <row r="153" spans="1:23">
      <c r="A153" s="1">
        <v>1977</v>
      </c>
      <c r="B153" s="8">
        <f>(K42*($E42/365))+(K43*($E43/365))</f>
        <v>42.857142857142854</v>
      </c>
      <c r="C153" s="8">
        <f>(L42*($E42/365))+(L43*($E43/365))</f>
        <v>28.571428571428569</v>
      </c>
      <c r="D153" s="8">
        <f>(M42*($E42/365))+(M43*($E43/365))</f>
        <v>28.571428571428569</v>
      </c>
      <c r="E153" s="50">
        <f t="shared" si="34"/>
        <v>99.999999999999986</v>
      </c>
      <c r="G153" s="1">
        <v>1977</v>
      </c>
      <c r="H153" s="918">
        <f>(O42/$R42*100*($E42/365))+(O43/$R43*100*($E43/365))</f>
        <v>40.236686390532547</v>
      </c>
      <c r="I153" s="918"/>
      <c r="J153" s="918">
        <f>(P42/$R42*100*($E42/365))+(P43/$R43*100*($E43/365))</f>
        <v>27.218934911242602</v>
      </c>
      <c r="K153" s="918"/>
      <c r="L153" s="918">
        <f>(Q42/$R42*100*($E42/365))+(Q43/$R43*100*($E43/365))</f>
        <v>32.544378698224854</v>
      </c>
      <c r="M153" s="918"/>
      <c r="N153" s="887">
        <f t="shared" si="33"/>
        <v>100</v>
      </c>
      <c r="O153" s="887"/>
      <c r="R153" s="1">
        <v>1977</v>
      </c>
      <c r="S153" s="8">
        <f>(O42*($E42/365))+(O43*($E43/365))</f>
        <v>34</v>
      </c>
      <c r="T153" s="8">
        <f>(P42*($E42/365))+(P43*($E43/365))</f>
        <v>23</v>
      </c>
      <c r="U153" s="8">
        <f>(Q42*($E42/365))+(Q43*($E43/365))</f>
        <v>27.5</v>
      </c>
      <c r="V153" s="7"/>
      <c r="W153" s="7">
        <f t="shared" si="35"/>
        <v>84.5</v>
      </c>
    </row>
    <row r="154" spans="1:23">
      <c r="A154" s="1">
        <v>1978</v>
      </c>
      <c r="B154" s="8">
        <f>(K44*($E44/365))+(K45*($E45/365))</f>
        <v>42.857142857142854</v>
      </c>
      <c r="C154" s="8">
        <f>(L44*($E44/365))+(L45*($E45/365))</f>
        <v>28.571428571428569</v>
      </c>
      <c r="D154" s="8">
        <f>(M44*($E44/365))+(M45*($E45/365))</f>
        <v>28.571428571428569</v>
      </c>
      <c r="E154" s="50">
        <f t="shared" si="34"/>
        <v>99.999999999999986</v>
      </c>
      <c r="G154" s="1">
        <v>1978</v>
      </c>
      <c r="H154" s="918">
        <f>(O44/$R44*100*($E44/365))+(O45/$R45*100*($E45/365))</f>
        <v>40.236686390532547</v>
      </c>
      <c r="I154" s="918"/>
      <c r="J154" s="918">
        <f>(P44/$R44*100*($E44/365))+(P45/$R45*100*($E45/365))</f>
        <v>27.218934911242602</v>
      </c>
      <c r="K154" s="918"/>
      <c r="L154" s="918">
        <f>(Q44/$R44*100*($E44/365))+(Q45/$R45*100*($E45/365))</f>
        <v>32.544378698224854</v>
      </c>
      <c r="M154" s="918"/>
      <c r="N154" s="887">
        <f t="shared" si="33"/>
        <v>100</v>
      </c>
      <c r="O154" s="887"/>
      <c r="R154" s="1">
        <v>1978</v>
      </c>
      <c r="S154" s="8">
        <f>(O44*($E44/365))+(O45*($E45/365))</f>
        <v>34</v>
      </c>
      <c r="T154" s="8">
        <f>(P44*($E44/365))+(P45*($E45/365))</f>
        <v>23</v>
      </c>
      <c r="U154" s="8">
        <f>(Q44*($E44/365))+(Q45*($E45/365))</f>
        <v>27.5</v>
      </c>
      <c r="V154" s="7"/>
      <c r="W154" s="7">
        <f t="shared" si="35"/>
        <v>84.5</v>
      </c>
    </row>
    <row r="155" spans="1:23">
      <c r="A155" s="1">
        <v>1979</v>
      </c>
      <c r="B155" s="8">
        <f>(K46*($E46/365))+(K47*($E47/365))</f>
        <v>42.857142857142847</v>
      </c>
      <c r="C155" s="8">
        <f>(L46*($E46/365))+(L47*($E47/365))</f>
        <v>28.571428571428566</v>
      </c>
      <c r="D155" s="8">
        <f>(M46*($E46/365))+(M47*($E47/365))</f>
        <v>28.571428571428566</v>
      </c>
      <c r="E155" s="50">
        <f t="shared" si="34"/>
        <v>99.999999999999986</v>
      </c>
      <c r="G155" s="1">
        <v>1979</v>
      </c>
      <c r="H155" s="918">
        <f>(O46/$R46*100*($E46/365))+(O47/$R47*100*($E47/365))</f>
        <v>40.285320580368001</v>
      </c>
      <c r="I155" s="918"/>
      <c r="J155" s="918">
        <f>(P46/$R46*100*($E46/365))+(P47/$R47*100*($E47/365))</f>
        <v>27.202723514630783</v>
      </c>
      <c r="K155" s="918"/>
      <c r="L155" s="918">
        <f>(Q46/$R46*100*($E46/365))+(Q47/$R47*100*($E47/365))</f>
        <v>32.511955905001216</v>
      </c>
      <c r="M155" s="918"/>
      <c r="N155" s="887">
        <f t="shared" si="33"/>
        <v>100</v>
      </c>
      <c r="O155" s="887"/>
      <c r="R155" s="1">
        <v>1979</v>
      </c>
      <c r="S155" s="8">
        <f>(O46*($E46/365))+(O47*($E47/365))</f>
        <v>34.041095890410958</v>
      </c>
      <c r="T155" s="8">
        <f>(P46*($E46/365))+(P47*($E47/365))</f>
        <v>22.986301369863011</v>
      </c>
      <c r="U155" s="8">
        <f>(Q46*($E46/365))+(Q47*($E47/365))</f>
        <v>27.472602739726028</v>
      </c>
      <c r="V155" s="7"/>
      <c r="W155" s="7">
        <f t="shared" si="35"/>
        <v>84.5</v>
      </c>
    </row>
    <row r="156" spans="1:23">
      <c r="A156" s="1">
        <v>1980</v>
      </c>
      <c r="B156" s="8">
        <f>(K48*($E48/366))+(K49*($E49/366))</f>
        <v>42.857142857142854</v>
      </c>
      <c r="C156" s="8">
        <f>(L48*($E48/366))+(L49*($E49/366))</f>
        <v>28.571428571428569</v>
      </c>
      <c r="D156" s="8">
        <f>(M48*($E48/366))+(M49*($E49/366))</f>
        <v>28.571428571428569</v>
      </c>
      <c r="E156" s="50">
        <f t="shared" si="34"/>
        <v>99.999999999999986</v>
      </c>
      <c r="G156" s="1">
        <v>1980</v>
      </c>
      <c r="H156" s="918">
        <f>(O48/$R48*100*($E48/366))+(O49/$R49*100*($E49/366))</f>
        <v>43.786982248520715</v>
      </c>
      <c r="I156" s="918"/>
      <c r="J156" s="918">
        <f>(P48/$R48*100*($E48/366))+(P49/$R49*100*($E49/366))</f>
        <v>26.035502958579883</v>
      </c>
      <c r="K156" s="918"/>
      <c r="L156" s="918">
        <f>(Q48/$R48*100*($E48/366))+(Q49/$R49*100*($E49/366))</f>
        <v>30.177514792899409</v>
      </c>
      <c r="M156" s="918"/>
      <c r="N156" s="887">
        <f t="shared" si="33"/>
        <v>100</v>
      </c>
      <c r="O156" s="887"/>
      <c r="R156" s="1">
        <v>1980</v>
      </c>
      <c r="S156" s="8">
        <f>(O48*($E48/366))+(O49*($E49/366))</f>
        <v>37</v>
      </c>
      <c r="T156" s="8">
        <f>(P48*($E48/366))+(P49*($E49/366))</f>
        <v>22</v>
      </c>
      <c r="U156" s="8">
        <f>(Q48*($E48/366))+(Q49*($E49/366))</f>
        <v>25.5</v>
      </c>
      <c r="V156" s="7"/>
      <c r="W156" s="7">
        <f t="shared" si="35"/>
        <v>84.5</v>
      </c>
    </row>
    <row r="157" spans="1:23">
      <c r="A157" s="1">
        <v>1981</v>
      </c>
      <c r="B157" s="8">
        <f>(K50*($E50/365))+(K51*($E51/365))</f>
        <v>42.857142857142854</v>
      </c>
      <c r="C157" s="8">
        <f>(L50*($E50/365))+(L51*($E51/365))</f>
        <v>28.571428571428569</v>
      </c>
      <c r="D157" s="8">
        <f>(M50*($E50/365))+(M51*($E51/365))</f>
        <v>28.571428571428569</v>
      </c>
      <c r="E157" s="50">
        <f t="shared" si="34"/>
        <v>99.999999999999986</v>
      </c>
      <c r="G157" s="1">
        <v>1981</v>
      </c>
      <c r="H157" s="918">
        <f>(O50/$R50*100*($E50/365))+(O51/$R51*100*($E51/365))</f>
        <v>43.786982248520715</v>
      </c>
      <c r="I157" s="918"/>
      <c r="J157" s="918">
        <f>(P50/$R50*100*($E50/365))+(P51/$R51*100*($E51/365))</f>
        <v>26.035502958579883</v>
      </c>
      <c r="K157" s="918"/>
      <c r="L157" s="918">
        <f>(Q50/$R50*100*($E50/365))+(Q51/$R51*100*($E51/365))</f>
        <v>30.177514792899409</v>
      </c>
      <c r="M157" s="918"/>
      <c r="N157" s="887">
        <f t="shared" si="33"/>
        <v>100</v>
      </c>
      <c r="O157" s="887"/>
      <c r="R157" s="1">
        <v>1981</v>
      </c>
      <c r="S157" s="8">
        <f>(O50*($E50/365))+(O51*($E51/365))</f>
        <v>37</v>
      </c>
      <c r="T157" s="8">
        <f>(P50*($E50/365))+(P51*($E51/365))</f>
        <v>22</v>
      </c>
      <c r="U157" s="8">
        <f>(Q50*($E50/365))+(Q51*($E51/365))</f>
        <v>25.5</v>
      </c>
      <c r="V157" s="7"/>
      <c r="W157" s="7">
        <f t="shared" si="35"/>
        <v>84.5</v>
      </c>
    </row>
    <row r="158" spans="1:23">
      <c r="A158" s="1">
        <v>1982</v>
      </c>
      <c r="B158" s="8">
        <f>(K52*($E52/365))+(K53*($E53/365))</f>
        <v>42.857142857142854</v>
      </c>
      <c r="C158" s="8">
        <f>(L52*($E52/365))+(L53*($E53/365))</f>
        <v>28.571428571428569</v>
      </c>
      <c r="D158" s="8">
        <f>(M52*($E52/365))+(M53*($E53/365))</f>
        <v>28.571428571428569</v>
      </c>
      <c r="E158" s="50">
        <f t="shared" si="34"/>
        <v>99.999999999999986</v>
      </c>
      <c r="G158" s="1">
        <v>1982</v>
      </c>
      <c r="H158" s="918">
        <f>(O52/$R52*100*($E52/365))+(O53/$R53*100*($E53/365))</f>
        <v>43.786982248520715</v>
      </c>
      <c r="I158" s="918"/>
      <c r="J158" s="918">
        <f>(P52/$R52*100*($E52/365))+(P53/$R53*100*($E53/365))</f>
        <v>26.035502958579883</v>
      </c>
      <c r="K158" s="918"/>
      <c r="L158" s="918">
        <f>(Q52/$R52*100*($E52/365))+(Q53/$R53*100*($E53/365))</f>
        <v>30.177514792899409</v>
      </c>
      <c r="M158" s="918"/>
      <c r="N158" s="887">
        <f t="shared" si="33"/>
        <v>100</v>
      </c>
      <c r="O158" s="887"/>
      <c r="R158" s="1">
        <v>1982</v>
      </c>
      <c r="S158" s="8">
        <f>(O52*($E52/365))+(O53*($E53/365))</f>
        <v>37</v>
      </c>
      <c r="T158" s="8">
        <f>(P52*($E52/365))+(P53*($E53/365))</f>
        <v>22</v>
      </c>
      <c r="U158" s="8">
        <f>(Q52*($E52/365))+(Q53*($E53/365))</f>
        <v>25.5</v>
      </c>
      <c r="V158" s="7"/>
      <c r="W158" s="7">
        <f t="shared" si="35"/>
        <v>84.5</v>
      </c>
    </row>
    <row r="159" spans="1:23">
      <c r="A159" s="1">
        <v>1983</v>
      </c>
      <c r="B159" s="8">
        <f>(K54*($E54/365))+(K55*($E55/365))</f>
        <v>42.857142857142854</v>
      </c>
      <c r="C159" s="8">
        <f>(L54*($E54/365))+(L55*($E55/365))</f>
        <v>28.571428571428569</v>
      </c>
      <c r="D159" s="8">
        <f>(M54*($E54/365))+(M55*($E55/365))</f>
        <v>28.571428571428569</v>
      </c>
      <c r="E159" s="50">
        <f t="shared" si="34"/>
        <v>99.999999999999986</v>
      </c>
      <c r="G159" s="1">
        <v>1983</v>
      </c>
      <c r="H159" s="918">
        <f>(O54/$R54*100*($E54/365))+(O55/$R55*100*($E55/365))</f>
        <v>43.879533697731681</v>
      </c>
      <c r="I159" s="918"/>
      <c r="J159" s="918">
        <f>(P54/$R54*100*($E54/365))+(P55/$R55*100*($E55/365))</f>
        <v>26.009349874166361</v>
      </c>
      <c r="K159" s="918"/>
      <c r="L159" s="918">
        <f>(Q54/$R54*100*($E54/365))+(Q55/$R55*100*($E55/365))</f>
        <v>30.111116428101969</v>
      </c>
      <c r="M159" s="918"/>
      <c r="N159" s="887">
        <f t="shared" si="33"/>
        <v>100.00000000000001</v>
      </c>
      <c r="O159" s="887"/>
      <c r="R159" s="1">
        <v>1983</v>
      </c>
      <c r="S159" s="8">
        <f>(O54*($E54/365))+(O55*($E55/365))</f>
        <v>37.053424657534244</v>
      </c>
      <c r="T159" s="8">
        <f>(P54*($E54/365))+(P55*($E55/365))</f>
        <v>21.964383561643839</v>
      </c>
      <c r="U159" s="8">
        <f>(Q54*($E54/365))+(Q55*($E55/365))</f>
        <v>25.42876712328767</v>
      </c>
      <c r="V159" s="7"/>
      <c r="W159" s="7">
        <f t="shared" si="35"/>
        <v>84.446575342465749</v>
      </c>
    </row>
    <row r="160" spans="1:23">
      <c r="A160" s="1">
        <v>1984</v>
      </c>
      <c r="B160" s="8">
        <f>(K56*($E56/366))+(K57*($E57/366))</f>
        <v>42.857142857142854</v>
      </c>
      <c r="C160" s="8">
        <f>(L56*($E56/366))+(L57*($E57/366))</f>
        <v>28.571428571428569</v>
      </c>
      <c r="D160" s="8">
        <f>(M56*($E56/366))+(M57*($E57/366))</f>
        <v>28.571428571428569</v>
      </c>
      <c r="E160" s="50">
        <f t="shared" si="34"/>
        <v>99.999999999999986</v>
      </c>
      <c r="G160" s="1">
        <v>1984</v>
      </c>
      <c r="H160" s="918">
        <f>(O56/$R56*100*($E56/366))+(O57/$R57*100*($E57/366))</f>
        <v>46.385542168674696</v>
      </c>
      <c r="I160" s="918"/>
      <c r="J160" s="918">
        <f>(P56/$R56*100*($E56/366))+(P57/$R57*100*($E57/366))</f>
        <v>25.301204819277107</v>
      </c>
      <c r="K160" s="918"/>
      <c r="L160" s="918">
        <f>(Q56/$R56*100*($E56/366))+(Q57/$R57*100*($E57/366))</f>
        <v>28.313253012048197</v>
      </c>
      <c r="M160" s="918"/>
      <c r="N160" s="887">
        <f t="shared" si="33"/>
        <v>100</v>
      </c>
      <c r="O160" s="887"/>
      <c r="R160" s="1">
        <v>1984</v>
      </c>
      <c r="S160" s="8">
        <f>(O56*($E56/366))+(O57*($E57/366))</f>
        <v>38.5</v>
      </c>
      <c r="T160" s="8">
        <f>(P56*($E56/366))+(P57*($E57/366))</f>
        <v>21</v>
      </c>
      <c r="U160" s="8">
        <f>(Q56*($E56/366))+(Q57*($E57/366))</f>
        <v>23.5</v>
      </c>
      <c r="V160" s="7"/>
      <c r="W160" s="7">
        <f t="shared" si="35"/>
        <v>83</v>
      </c>
    </row>
    <row r="161" spans="1:23">
      <c r="A161" s="1">
        <v>1985</v>
      </c>
      <c r="B161" s="8">
        <f>(K58*($E58/365))+(K59*($E59/365))</f>
        <v>42.857142857142854</v>
      </c>
      <c r="C161" s="8">
        <f>(L58*($E58/365))+(L59*($E59/365))</f>
        <v>28.571428571428569</v>
      </c>
      <c r="D161" s="8">
        <f>(M58*($E58/365))+(M59*($E59/365))</f>
        <v>28.571428571428569</v>
      </c>
      <c r="E161" s="50">
        <f t="shared" si="34"/>
        <v>99.999999999999986</v>
      </c>
      <c r="G161" s="1">
        <v>1985</v>
      </c>
      <c r="H161" s="918">
        <f>(O58/$R58*100*($E58/365))+(O59/$R59*100*($E59/365))</f>
        <v>46.385542168674696</v>
      </c>
      <c r="I161" s="918"/>
      <c r="J161" s="918">
        <f>(P58/$R58*100*($E58/365))+(P59/$R59*100*($E59/365))</f>
        <v>25.301204819277107</v>
      </c>
      <c r="K161" s="918"/>
      <c r="L161" s="918">
        <f>(Q58/$R58*100*($E58/365))+(Q59/$R59*100*($E59/365))</f>
        <v>28.313253012048197</v>
      </c>
      <c r="M161" s="918"/>
      <c r="N161" s="887">
        <f t="shared" si="33"/>
        <v>100</v>
      </c>
      <c r="O161" s="887"/>
      <c r="R161" s="1">
        <v>1985</v>
      </c>
      <c r="S161" s="8">
        <f>(O58*($E58/365))+(O59*($E59/365))</f>
        <v>38.5</v>
      </c>
      <c r="T161" s="8">
        <f>(P58*($E58/365))+(P59*($E59/365))</f>
        <v>21</v>
      </c>
      <c r="U161" s="8">
        <f>(Q58*($E58/365))+(Q59*($E59/365))</f>
        <v>23.5</v>
      </c>
      <c r="V161" s="7"/>
      <c r="W161" s="7">
        <f t="shared" si="35"/>
        <v>83</v>
      </c>
    </row>
    <row r="162" spans="1:23">
      <c r="A162" s="1">
        <v>1986</v>
      </c>
      <c r="B162" s="8">
        <f>(K60*($E60/365))+(K61*($E61/365))</f>
        <v>42.857142857142854</v>
      </c>
      <c r="C162" s="8">
        <f>(L60*($E60/365))+(L61*($E61/365))</f>
        <v>28.571428571428569</v>
      </c>
      <c r="D162" s="8">
        <f>(M60*($E60/365))+(M61*($E61/365))</f>
        <v>28.571428571428569</v>
      </c>
      <c r="E162" s="50">
        <f t="shared" si="34"/>
        <v>99.999999999999986</v>
      </c>
      <c r="G162" s="1">
        <v>1986</v>
      </c>
      <c r="H162" s="918">
        <f>(O60/$R60*100*($E60/365))+(O61/$R61*100*($E61/365))</f>
        <v>46.385542168674696</v>
      </c>
      <c r="I162" s="918"/>
      <c r="J162" s="918">
        <f>(P60/$R60*100*($E60/365))+(P61/$R61*100*($E61/365))</f>
        <v>25.301204819277107</v>
      </c>
      <c r="K162" s="918"/>
      <c r="L162" s="918">
        <f>(Q60/$R60*100*($E60/365))+(Q61/$R61*100*($E61/365))</f>
        <v>28.313253012048197</v>
      </c>
      <c r="M162" s="918"/>
      <c r="N162" s="887">
        <f t="shared" si="33"/>
        <v>100</v>
      </c>
      <c r="O162" s="887"/>
      <c r="R162" s="1">
        <v>1986</v>
      </c>
      <c r="S162" s="8">
        <f>(O60*($E60/365))+(O61*($E61/365))</f>
        <v>38.5</v>
      </c>
      <c r="T162" s="8">
        <f>(P60*($E60/365))+(P61*($E61/365))</f>
        <v>21</v>
      </c>
      <c r="U162" s="8">
        <f>(Q60*($E60/365))+(Q61*($E61/365))</f>
        <v>23.5</v>
      </c>
      <c r="V162" s="7"/>
      <c r="W162" s="7">
        <f t="shared" si="35"/>
        <v>83</v>
      </c>
    </row>
    <row r="163" spans="1:23">
      <c r="A163" s="1">
        <v>1987</v>
      </c>
      <c r="B163" s="8">
        <f>(K62*($E62/365))+(K63*($E63/365))</f>
        <v>42.857142857142854</v>
      </c>
      <c r="C163" s="8">
        <f>(L62*($E62/365))+(L63*($E63/365))</f>
        <v>28.571428571428569</v>
      </c>
      <c r="D163" s="8">
        <f>(M62*($E62/365))+(M63*($E63/365))</f>
        <v>28.571428571428569</v>
      </c>
      <c r="E163" s="50">
        <f t="shared" si="34"/>
        <v>99.999999999999986</v>
      </c>
      <c r="G163" s="1">
        <v>1987</v>
      </c>
      <c r="H163" s="918">
        <f>(O62/$R62*100*($E62/365))+(O63/$R63*100*($E63/365))</f>
        <v>46.474593125668868</v>
      </c>
      <c r="I163" s="918"/>
      <c r="J163" s="918">
        <f>(P62/$R62*100*($E62/365))+(P63/$R63*100*($E63/365))</f>
        <v>25.371395117819432</v>
      </c>
      <c r="K163" s="918"/>
      <c r="L163" s="918">
        <f>(Q62/$R62*100*($E62/365))+(Q63/$R63*100*($E63/365))</f>
        <v>28.154011756511707</v>
      </c>
      <c r="M163" s="918"/>
      <c r="N163" s="887">
        <f t="shared" si="33"/>
        <v>100.00000000000001</v>
      </c>
      <c r="O163" s="887"/>
      <c r="R163" s="1">
        <v>1987</v>
      </c>
      <c r="S163" s="8">
        <f>(O62*($E62/365))+(O63*($E63/365))</f>
        <v>38.468493150684935</v>
      </c>
      <c r="T163" s="8">
        <f>(P62*($E62/365))+(P63*($E63/365))</f>
        <v>21</v>
      </c>
      <c r="U163" s="8">
        <f>(Q62*($E62/365))+(Q63*($E63/365))</f>
        <v>23.31095890410959</v>
      </c>
      <c r="V163" s="7"/>
      <c r="W163" s="7">
        <f t="shared" si="35"/>
        <v>82.779452054794518</v>
      </c>
    </row>
    <row r="164" spans="1:23">
      <c r="A164" s="1">
        <v>1988</v>
      </c>
      <c r="B164" s="8">
        <f>(K64*($E64/366))+(K65*($E65/366))</f>
        <v>42.857142857142854</v>
      </c>
      <c r="C164" s="8">
        <f>(L64*($E64/366))+(L65*($E65/366))</f>
        <v>28.571428571428569</v>
      </c>
      <c r="D164" s="8">
        <f>(M64*($E64/366))+(M65*($E65/366))</f>
        <v>28.571428571428569</v>
      </c>
      <c r="E164" s="50">
        <f t="shared" si="34"/>
        <v>99.999999999999986</v>
      </c>
      <c r="G164" s="1">
        <v>1988</v>
      </c>
      <c r="H164" s="918">
        <f>(O64/$R64*100*($E64/366))+(O65/$R65*100*($E65/366))</f>
        <v>47.79874213836478</v>
      </c>
      <c r="I164" s="918"/>
      <c r="J164" s="918">
        <f>(P64/$R64*100*($E64/366))+(P65/$R65*100*($E65/366))</f>
        <v>26.415094339622641</v>
      </c>
      <c r="K164" s="918"/>
      <c r="L164" s="918">
        <f>(Q64/$R64*100*($E64/366))+(Q65/$R65*100*($E65/366))</f>
        <v>25.786163522012579</v>
      </c>
      <c r="M164" s="918"/>
      <c r="N164" s="887">
        <f t="shared" si="33"/>
        <v>100</v>
      </c>
      <c r="O164" s="887"/>
      <c r="R164" s="1">
        <v>1988</v>
      </c>
      <c r="S164" s="8">
        <f>(O64*($E64/366))+(O65*($E65/366))</f>
        <v>38</v>
      </c>
      <c r="T164" s="8">
        <f>(P64*($E64/366))+(P65*($E65/366))</f>
        <v>21</v>
      </c>
      <c r="U164" s="8">
        <f>(Q64*($E64/366))+(Q65*($E65/366))</f>
        <v>20.5</v>
      </c>
      <c r="V164" s="7"/>
      <c r="W164" s="7">
        <f t="shared" si="35"/>
        <v>79.5</v>
      </c>
    </row>
    <row r="165" spans="1:23">
      <c r="A165" s="1">
        <v>1989</v>
      </c>
      <c r="B165" s="8">
        <f>(K66*($E66/365))+(K67*($E67/365))</f>
        <v>42.857142857142854</v>
      </c>
      <c r="C165" s="8">
        <f>(L66*($E66/365))+(L67*($E67/365))</f>
        <v>28.571428571428569</v>
      </c>
      <c r="D165" s="8">
        <f>(M66*($E66/365))+(M67*($E67/365))</f>
        <v>28.571428571428569</v>
      </c>
      <c r="E165" s="50">
        <f t="shared" si="34"/>
        <v>99.999999999999986</v>
      </c>
      <c r="G165" s="1">
        <v>1989</v>
      </c>
      <c r="H165" s="918">
        <f>(O66/$R66*100*($E66/365))+(O67/$R67*100*($E67/365))</f>
        <v>47.79874213836478</v>
      </c>
      <c r="I165" s="918"/>
      <c r="J165" s="918">
        <f>(P66/$R66*100*($E66/365))+(P67/$R67*100*($E67/365))</f>
        <v>26.415094339622641</v>
      </c>
      <c r="K165" s="918"/>
      <c r="L165" s="918">
        <f>(Q66/$R66*100*($E66/365))+(Q67/$R67*100*($E67/365))</f>
        <v>25.786163522012579</v>
      </c>
      <c r="M165" s="918"/>
      <c r="N165" s="887">
        <f t="shared" si="33"/>
        <v>100</v>
      </c>
      <c r="O165" s="887"/>
      <c r="R165" s="1">
        <v>1989</v>
      </c>
      <c r="S165" s="8">
        <f>(O66*($E66/365))+(O67*($E67/365))</f>
        <v>38</v>
      </c>
      <c r="T165" s="8">
        <f>(P66*($E66/365))+(P67*($E67/365))</f>
        <v>21</v>
      </c>
      <c r="U165" s="8">
        <f>(Q66*($E66/365))+(Q67*($E67/365))</f>
        <v>20.5</v>
      </c>
      <c r="V165" s="7"/>
      <c r="W165" s="7">
        <f t="shared" si="35"/>
        <v>79.5</v>
      </c>
    </row>
    <row r="166" spans="1:23">
      <c r="A166" s="1">
        <v>1990</v>
      </c>
      <c r="B166" s="8">
        <f>(K68*($E68/365))+(K69*($E69/365))</f>
        <v>42.857142857142854</v>
      </c>
      <c r="C166" s="8">
        <f>(L68*($E68/365))+(L69*($E69/365))</f>
        <v>28.571428571428569</v>
      </c>
      <c r="D166" s="8">
        <f>(M68*($E68/365))+(M69*($E69/365))</f>
        <v>28.571428571428569</v>
      </c>
      <c r="E166" s="50">
        <f t="shared" si="34"/>
        <v>99.999999999999986</v>
      </c>
      <c r="G166" s="1">
        <v>1990</v>
      </c>
      <c r="H166" s="918">
        <f>(O68/$R68*100*($E68/365))+(O69/$R69*100*($E69/365))</f>
        <v>47.79874213836478</v>
      </c>
      <c r="I166" s="918"/>
      <c r="J166" s="918">
        <f>(P68/$R68*100*($E68/365))+(P69/$R69*100*($E69/365))</f>
        <v>26.415094339622641</v>
      </c>
      <c r="K166" s="918"/>
      <c r="L166" s="918">
        <f>(Q68/$R68*100*($E68/365))+(Q69/$R69*100*($E69/365))</f>
        <v>25.786163522012579</v>
      </c>
      <c r="M166" s="918"/>
      <c r="N166" s="887">
        <f t="shared" si="33"/>
        <v>100</v>
      </c>
      <c r="O166" s="887"/>
      <c r="R166" s="1">
        <v>1990</v>
      </c>
      <c r="S166" s="8">
        <f>(O68*($E68/365))+(O69*($E69/365))</f>
        <v>38</v>
      </c>
      <c r="T166" s="8">
        <f>(P68*($E68/365))+(P69*($E69/365))</f>
        <v>21</v>
      </c>
      <c r="U166" s="8">
        <f>(Q68*($E68/365))+(Q69*($E69/365))</f>
        <v>20.5</v>
      </c>
      <c r="V166" s="7"/>
      <c r="W166" s="7">
        <f t="shared" si="35"/>
        <v>79.5</v>
      </c>
    </row>
    <row r="167" spans="1:23">
      <c r="A167" s="1">
        <v>1991</v>
      </c>
      <c r="B167" s="8">
        <f>(K70*($E70/365))+(K71*($E71/365))</f>
        <v>42.857142857142854</v>
      </c>
      <c r="C167" s="8">
        <f>(L70*($E70/365))+(L71*($E71/365))</f>
        <v>28.571428571428569</v>
      </c>
      <c r="D167" s="8">
        <f>(M70*($E70/365))+(M71*($E71/365))</f>
        <v>28.571428571428569</v>
      </c>
      <c r="E167" s="50">
        <f t="shared" si="34"/>
        <v>99.999999999999986</v>
      </c>
      <c r="G167" s="1">
        <v>1991</v>
      </c>
      <c r="H167" s="918">
        <f>(O70/$R70*100*($E70/365))+(O71/$R71*100*($E71/365))</f>
        <v>47.757434991402214</v>
      </c>
      <c r="I167" s="918"/>
      <c r="J167" s="918">
        <f>(P70/$R70*100*($E70/365))+(P71/$R71*100*($E71/365))</f>
        <v>26.28026781193682</v>
      </c>
      <c r="K167" s="918"/>
      <c r="L167" s="918">
        <f>(Q70/$R70*100*($E70/365))+(Q71/$R71*100*($E71/365))</f>
        <v>25.962297196660966</v>
      </c>
      <c r="M167" s="918"/>
      <c r="N167" s="887">
        <f t="shared" si="33"/>
        <v>100</v>
      </c>
      <c r="O167" s="887"/>
      <c r="R167" s="1">
        <v>1991</v>
      </c>
      <c r="S167" s="8">
        <f>(O70*($E70/365))+(O71*($E71/365))</f>
        <v>37.731506849315068</v>
      </c>
      <c r="T167" s="8">
        <f>(P70*($E70/365))+(P71*($E71/365))</f>
        <v>20.769863013698629</v>
      </c>
      <c r="U167" s="8">
        <f>(Q70*($E70/365))+(Q71*($E71/365))</f>
        <v>20.5</v>
      </c>
      <c r="V167" s="7"/>
      <c r="W167" s="7">
        <f t="shared" si="35"/>
        <v>79.001369863013693</v>
      </c>
    </row>
    <row r="168" spans="1:23">
      <c r="A168" s="1">
        <v>1992</v>
      </c>
      <c r="B168" s="8">
        <f>(K72*($E72/366))+(K73*($E73/366))</f>
        <v>42.857142857142854</v>
      </c>
      <c r="C168" s="8">
        <f>(L72*($E72/366))+(L73*($E73/366))</f>
        <v>28.571428571428569</v>
      </c>
      <c r="D168" s="8">
        <f>(M72*($E72/366))+(M73*($E73/366))</f>
        <v>28.571428571428569</v>
      </c>
      <c r="E168" s="50">
        <f t="shared" si="34"/>
        <v>99.999999999999986</v>
      </c>
      <c r="G168" s="1">
        <v>1992</v>
      </c>
      <c r="H168" s="918">
        <f>(O72/$R72*100*($E72/366))+(O73/$R73*100*($E73/366))</f>
        <v>47.260273972602739</v>
      </c>
      <c r="I168" s="918"/>
      <c r="J168" s="918">
        <f>(P72/$R72*100*($E72/366))+(P73/$R73*100*($E73/366))</f>
        <v>24.657534246575342</v>
      </c>
      <c r="K168" s="918"/>
      <c r="L168" s="918">
        <f>(Q72/$R72*100*($E72/366))+(Q73/$R73*100*($E73/366))</f>
        <v>28.082191780821919</v>
      </c>
      <c r="M168" s="918"/>
      <c r="N168" s="887">
        <f t="shared" ref="N168:N188" si="36">H168+J168+L168</f>
        <v>100</v>
      </c>
      <c r="O168" s="887"/>
      <c r="R168" s="1">
        <v>1992</v>
      </c>
      <c r="S168" s="8">
        <f>(O72*($E72/366))+(O73*($E73/366))</f>
        <v>34.5</v>
      </c>
      <c r="T168" s="8">
        <f>(P72*($E72/366))+(P73*($E73/366))</f>
        <v>18</v>
      </c>
      <c r="U168" s="8">
        <f>(Q72*($E72/366))+(Q73*($E73/366))</f>
        <v>20.5</v>
      </c>
      <c r="V168" s="7"/>
      <c r="W168" s="7">
        <f t="shared" si="35"/>
        <v>73</v>
      </c>
    </row>
    <row r="169" spans="1:23">
      <c r="A169" s="1">
        <v>1993</v>
      </c>
      <c r="B169" s="8">
        <f>(K74*($E74/365))+(K75*($E75/365))</f>
        <v>42.857142857142854</v>
      </c>
      <c r="C169" s="8">
        <f>(L74*($E74/365))+(L75*($E75/365))</f>
        <v>28.571428571428569</v>
      </c>
      <c r="D169" s="8">
        <f>(M74*($E74/365))+(M75*($E75/365))</f>
        <v>28.571428571428569</v>
      </c>
      <c r="E169" s="50">
        <f t="shared" si="34"/>
        <v>99.999999999999986</v>
      </c>
      <c r="G169" s="1">
        <v>1993</v>
      </c>
      <c r="H169" s="918">
        <f>(O74/$R74*100*($E74/365))+(O75/$R75*100*($E75/365))</f>
        <v>47.260273972602739</v>
      </c>
      <c r="I169" s="918"/>
      <c r="J169" s="918">
        <f>(P74/$R74*100*($E74/365))+(P75/$R75*100*($E75/365))</f>
        <v>24.657534246575342</v>
      </c>
      <c r="K169" s="918"/>
      <c r="L169" s="918">
        <f>(Q74/$R74*100*($E74/365))+(Q75/$R75*100*($E75/365))</f>
        <v>28.082191780821919</v>
      </c>
      <c r="M169" s="918"/>
      <c r="N169" s="887">
        <f t="shared" si="36"/>
        <v>100</v>
      </c>
      <c r="O169" s="887"/>
      <c r="R169" s="1">
        <v>1993</v>
      </c>
      <c r="S169" s="8">
        <f>(O74*($E74/365))+(O75*($E75/365))</f>
        <v>34.5</v>
      </c>
      <c r="T169" s="8">
        <f>(P74*($E74/365))+(P75*($E75/365))</f>
        <v>18</v>
      </c>
      <c r="U169" s="8">
        <f>(Q74*($E74/365))+(Q75*($E75/365))</f>
        <v>20.5</v>
      </c>
      <c r="V169" s="7"/>
      <c r="W169" s="7">
        <f t="shared" si="35"/>
        <v>73</v>
      </c>
    </row>
    <row r="170" spans="1:23">
      <c r="A170" s="1">
        <v>1994</v>
      </c>
      <c r="B170" s="8">
        <f>(K76*($E76/365))+(K77*($E77/365))</f>
        <v>42.857142857142854</v>
      </c>
      <c r="C170" s="8">
        <f>(L76*($E76/365))+(L77*($E77/365))</f>
        <v>28.571428571428569</v>
      </c>
      <c r="D170" s="8">
        <f>(M76*($E76/365))+(M77*($E77/365))</f>
        <v>28.571428571428569</v>
      </c>
      <c r="E170" s="50">
        <f t="shared" si="34"/>
        <v>99.999999999999986</v>
      </c>
      <c r="G170" s="1">
        <v>1994</v>
      </c>
      <c r="H170" s="918">
        <f>(O76/$R76*100*($E76/365))+(O77/$R77*100*($E77/365))</f>
        <v>47.260273972602739</v>
      </c>
      <c r="I170" s="918"/>
      <c r="J170" s="918">
        <f>(P76/$R76*100*($E76/365))+(P77/$R77*100*($E77/365))</f>
        <v>24.657534246575342</v>
      </c>
      <c r="K170" s="918"/>
      <c r="L170" s="918">
        <f>(Q76/$R76*100*($E76/365))+(Q77/$R77*100*($E77/365))</f>
        <v>28.082191780821919</v>
      </c>
      <c r="M170" s="918"/>
      <c r="N170" s="887">
        <f t="shared" si="36"/>
        <v>100</v>
      </c>
      <c r="O170" s="887"/>
      <c r="R170" s="1">
        <v>1994</v>
      </c>
      <c r="S170" s="8">
        <f>(O76*($E76/365))+(O77*($E77/365))</f>
        <v>34.5</v>
      </c>
      <c r="T170" s="8">
        <f>(P76*($E76/365))+(P77*($E77/365))</f>
        <v>18</v>
      </c>
      <c r="U170" s="8">
        <f>(Q76*($E76/365))+(Q77*($E77/365))</f>
        <v>20.5</v>
      </c>
      <c r="V170" s="7"/>
      <c r="W170" s="7">
        <f t="shared" si="35"/>
        <v>73</v>
      </c>
    </row>
    <row r="171" spans="1:23">
      <c r="A171" s="1">
        <v>1995</v>
      </c>
      <c r="B171" s="8">
        <f>(K78*($E78/365))+(K79*($E79/365))</f>
        <v>42.857142857142854</v>
      </c>
      <c r="C171" s="8">
        <f>(L78*($E78/365))+(L79*($E79/365))</f>
        <v>28.571428571428569</v>
      </c>
      <c r="D171" s="8">
        <f>(M78*($E78/365))+(M79*($E79/365))</f>
        <v>28.571428571428569</v>
      </c>
      <c r="E171" s="50">
        <f t="shared" si="34"/>
        <v>99.999999999999986</v>
      </c>
      <c r="G171" s="1">
        <v>1995</v>
      </c>
      <c r="H171" s="918">
        <f>(O78/$R78*100*($E78/365))+(O79/$R79*100*($E79/365))</f>
        <v>47.177961723529997</v>
      </c>
      <c r="I171" s="918"/>
      <c r="J171" s="918">
        <f>(P78/$R78*100*($E78/365))+(P79/$R79*100*($E79/365))</f>
        <v>24.466499401133792</v>
      </c>
      <c r="K171" s="918"/>
      <c r="L171" s="918">
        <f>(Q78/$R78*100*($E78/365))+(Q79/$R79*100*($E79/365))</f>
        <v>28.355538875336212</v>
      </c>
      <c r="M171" s="918"/>
      <c r="N171" s="887">
        <f t="shared" si="36"/>
        <v>100</v>
      </c>
      <c r="O171" s="887"/>
      <c r="R171" s="1">
        <v>1995</v>
      </c>
      <c r="S171" s="8">
        <f>(O78*($E78/365))+(O79*($E79/365))</f>
        <v>34.630136986301366</v>
      </c>
      <c r="T171" s="8">
        <f>(P78*($E78/365))+(P79*($E79/365))</f>
        <v>17.947945205479453</v>
      </c>
      <c r="U171" s="8">
        <f>(Q78*($E78/365))+(Q79*($E79/365))</f>
        <v>20.838356164383562</v>
      </c>
      <c r="V171" s="7"/>
      <c r="W171" s="7">
        <f t="shared" si="35"/>
        <v>73.416438356164377</v>
      </c>
    </row>
    <row r="172" spans="1:23">
      <c r="A172" s="1">
        <v>1996</v>
      </c>
      <c r="B172" s="8">
        <f>(K80*($E80/366))+(K81*($E81/366))</f>
        <v>42.857142857142854</v>
      </c>
      <c r="C172" s="8">
        <f>(L80*($E80/366))+(L81*($E81/366))</f>
        <v>28.571428571428569</v>
      </c>
      <c r="D172" s="8">
        <f>(M80*($E80/366))+(M81*($E81/366))</f>
        <v>28.571428571428569</v>
      </c>
      <c r="E172" s="50">
        <f t="shared" si="34"/>
        <v>99.999999999999986</v>
      </c>
      <c r="G172" s="1">
        <v>1996</v>
      </c>
      <c r="H172" s="918">
        <f>(O80/$R80*100*($E80/366))+(O81/$R81*100*($E81/366))</f>
        <v>45.679012345679013</v>
      </c>
      <c r="I172" s="918"/>
      <c r="J172" s="918">
        <f>(P80/$R80*100*($E80/366))+(P81/$R81*100*($E81/366))</f>
        <v>20.987654320987652</v>
      </c>
      <c r="K172" s="918"/>
      <c r="L172" s="918">
        <f>(Q80/$R80*100*($E80/366))+(Q81/$R81*100*($E81/366))</f>
        <v>33.333333333333329</v>
      </c>
      <c r="M172" s="918"/>
      <c r="N172" s="887">
        <f t="shared" si="36"/>
        <v>99.999999999999986</v>
      </c>
      <c r="O172" s="887"/>
      <c r="R172" s="1">
        <v>1996</v>
      </c>
      <c r="S172" s="8">
        <f>(O80*($E80/366))+(O81*($E81/366))</f>
        <v>37</v>
      </c>
      <c r="T172" s="8">
        <f>(P80*($E80/366))+(P81*($E81/366))</f>
        <v>17</v>
      </c>
      <c r="U172" s="8">
        <f>(Q80*($E80/366))+(Q81*($E81/366))</f>
        <v>27</v>
      </c>
      <c r="V172" s="7"/>
      <c r="W172" s="7">
        <f t="shared" si="35"/>
        <v>81</v>
      </c>
    </row>
    <row r="173" spans="1:23">
      <c r="A173" s="1">
        <v>1997</v>
      </c>
      <c r="B173" s="8">
        <f>(K82*($E82/365))+(K83*($E83/365))</f>
        <v>42.857142857142854</v>
      </c>
      <c r="C173" s="8">
        <f>(L82*($E82/365))+(L83*($E83/365))</f>
        <v>28.571428571428569</v>
      </c>
      <c r="D173" s="8">
        <f>(M82*($E82/365))+(M83*($E83/365))</f>
        <v>28.571428571428569</v>
      </c>
      <c r="E173" s="50">
        <f t="shared" si="34"/>
        <v>99.999999999999986</v>
      </c>
      <c r="G173" s="1">
        <v>1997</v>
      </c>
      <c r="H173" s="918">
        <f>(O82/$R82*100*($E82/365))+(O83/$R83*100*($E83/365))</f>
        <v>45.679012345679013</v>
      </c>
      <c r="I173" s="918"/>
      <c r="J173" s="918">
        <f>(P82/$R82*100*($E82/365))+(P83/$R83*100*($E83/365))</f>
        <v>20.987654320987652</v>
      </c>
      <c r="K173" s="918"/>
      <c r="L173" s="918">
        <f>(Q82/$R82*100*($E82/365))+(Q83/$R83*100*($E83/365))</f>
        <v>33.333333333333329</v>
      </c>
      <c r="M173" s="918"/>
      <c r="N173" s="887">
        <f t="shared" si="36"/>
        <v>99.999999999999986</v>
      </c>
      <c r="O173" s="887"/>
      <c r="R173" s="1">
        <v>1997</v>
      </c>
      <c r="S173" s="8">
        <f>(O82*($E82/365))+(O83*($E83/365))</f>
        <v>37</v>
      </c>
      <c r="T173" s="8">
        <f>(P82*($E82/365))+(P83*($E83/365))</f>
        <v>17</v>
      </c>
      <c r="U173" s="8">
        <f>(Q82*($E82/365))+(Q83*($E83/365))</f>
        <v>27</v>
      </c>
      <c r="V173" s="7"/>
      <c r="W173" s="7">
        <f t="shared" si="35"/>
        <v>81</v>
      </c>
    </row>
    <row r="174" spans="1:23">
      <c r="A174" s="1">
        <v>1998</v>
      </c>
      <c r="B174" s="8">
        <f>(K84*($E84/365))+(K85*($E85/365))</f>
        <v>42.857142857142854</v>
      </c>
      <c r="C174" s="8">
        <f>(L84*($E84/365))+(L85*($E85/365))</f>
        <v>28.571428571428569</v>
      </c>
      <c r="D174" s="8">
        <f>(M84*($E84/365))+(M85*($E85/365))</f>
        <v>28.571428571428569</v>
      </c>
      <c r="E174" s="50">
        <f t="shared" si="34"/>
        <v>99.999999999999986</v>
      </c>
      <c r="G174" s="1">
        <v>1998</v>
      </c>
      <c r="H174" s="918">
        <f>(O84/$R84*100*($E84/365))+(O85/$R85*100*($E85/365))</f>
        <v>45.679012345679013</v>
      </c>
      <c r="I174" s="918"/>
      <c r="J174" s="918">
        <f>(P84/$R84*100*($E84/365))+(P85/$R85*100*($E85/365))</f>
        <v>20.987654320987652</v>
      </c>
      <c r="K174" s="918"/>
      <c r="L174" s="918">
        <f>(Q84/$R84*100*($E84/365))+(Q85/$R85*100*($E85/365))</f>
        <v>33.333333333333329</v>
      </c>
      <c r="M174" s="918"/>
      <c r="N174" s="887">
        <f t="shared" si="36"/>
        <v>99.999999999999986</v>
      </c>
      <c r="O174" s="887"/>
      <c r="R174" s="1">
        <v>1998</v>
      </c>
      <c r="S174" s="8">
        <f>(O84*($E84/365))+(O85*($E85/365))</f>
        <v>37</v>
      </c>
      <c r="T174" s="8">
        <f>(P84*($E84/365))+(P85*($E85/365))</f>
        <v>17</v>
      </c>
      <c r="U174" s="8">
        <f>(Q84*($E84/365))+(Q85*($E85/365))</f>
        <v>27</v>
      </c>
      <c r="V174" s="7"/>
      <c r="W174" s="7">
        <f t="shared" si="35"/>
        <v>81</v>
      </c>
    </row>
    <row r="175" spans="1:23">
      <c r="A175" s="1">
        <v>1999</v>
      </c>
      <c r="B175" s="8">
        <f>(K86*($E86/365))+(K87*($E87/365))</f>
        <v>42.857142857142854</v>
      </c>
      <c r="C175" s="8">
        <f>(L86*($E86/365))+(L87*($E87/365))</f>
        <v>28.571428571428569</v>
      </c>
      <c r="D175" s="8">
        <f>(M86*($E86/365))+(M87*($E87/365))</f>
        <v>28.571428571428569</v>
      </c>
      <c r="E175" s="50">
        <f t="shared" si="34"/>
        <v>99.999999999999986</v>
      </c>
      <c r="G175" s="1">
        <v>1999</v>
      </c>
      <c r="H175" s="918">
        <f>(O86/$R86*100*($E86/365))+(O87/$R87*100*($E87/365))</f>
        <v>45.893724907106801</v>
      </c>
      <c r="I175" s="918"/>
      <c r="J175" s="918">
        <f>(P86/$R86*100*($E86/365))+(P87/$R87*100*($E87/365))</f>
        <v>20.952422848059872</v>
      </c>
      <c r="K175" s="918"/>
      <c r="L175" s="918">
        <f>(Q86/$R86*100*($E86/365))+(Q87/$R87*100*($E87/365))</f>
        <v>33.153852244833317</v>
      </c>
      <c r="M175" s="918"/>
      <c r="N175" s="887">
        <f t="shared" si="36"/>
        <v>99.999999999999986</v>
      </c>
      <c r="O175" s="887"/>
      <c r="R175" s="1">
        <v>1999</v>
      </c>
      <c r="S175" s="8">
        <f>(O86*($E86/365))+(O87*($E87/365))</f>
        <v>37.302739726027397</v>
      </c>
      <c r="T175" s="8">
        <f>(P86*($E86/365))+(P87*($E87/365))</f>
        <v>17.023287671232879</v>
      </c>
      <c r="U175" s="8">
        <f>(Q86*($E86/365))+(Q87*($E87/365))</f>
        <v>26.93013698630137</v>
      </c>
      <c r="V175" s="7"/>
      <c r="W175" s="7">
        <f t="shared" si="35"/>
        <v>81.256164383561639</v>
      </c>
    </row>
    <row r="176" spans="1:23">
      <c r="A176" s="1">
        <v>2000</v>
      </c>
      <c r="B176" s="8">
        <f>(K88*($E88/366))+(K89*($E89/366))</f>
        <v>42.857142857142854</v>
      </c>
      <c r="C176" s="8">
        <f>(L88*($E88/366))+(L89*($E89/366))</f>
        <v>28.571428571428569</v>
      </c>
      <c r="D176" s="8">
        <f>(M88*($E88/366))+(M89*($E89/366))</f>
        <v>28.571428571428569</v>
      </c>
      <c r="E176" s="50">
        <f t="shared" si="34"/>
        <v>99.999999999999986</v>
      </c>
      <c r="G176" s="1">
        <v>2000</v>
      </c>
      <c r="H176" s="918">
        <f>(O88/$R88*100*($E88/366))+(O89/$R89*100*($E89/366))</f>
        <v>50.289017341040463</v>
      </c>
      <c r="I176" s="918"/>
      <c r="J176" s="918">
        <f>(P88/$R88*100*($E88/366))+(P89/$R89*100*($E89/366))</f>
        <v>20.23121387283237</v>
      </c>
      <c r="K176" s="918"/>
      <c r="L176" s="918">
        <f>(Q88/$R88*100*($E88/366))+(Q89/$R89*100*($E89/366))</f>
        <v>29.47976878612717</v>
      </c>
      <c r="M176" s="918"/>
      <c r="N176" s="887">
        <f t="shared" si="36"/>
        <v>100</v>
      </c>
      <c r="O176" s="887"/>
      <c r="R176" s="1">
        <v>2000</v>
      </c>
      <c r="S176" s="8">
        <f>(O88*($E88/366))+(O89*($E89/366))</f>
        <v>43.5</v>
      </c>
      <c r="T176" s="8">
        <f>(P88*($E88/366))+(P89*($E89/366))</f>
        <v>17.5</v>
      </c>
      <c r="U176" s="8">
        <f>(Q88*($E88/366))+(Q89*($E89/366))</f>
        <v>25.5</v>
      </c>
      <c r="V176" s="7"/>
      <c r="W176" s="7">
        <f t="shared" si="35"/>
        <v>86.5</v>
      </c>
    </row>
    <row r="177" spans="1:23">
      <c r="A177" s="1">
        <v>2001</v>
      </c>
      <c r="B177" s="8">
        <f>(K90*($E90/365))+(K91*($E91/365))</f>
        <v>42.857142857142854</v>
      </c>
      <c r="C177" s="8">
        <f>(L90*($E90/365))+(L91*($E91/365))</f>
        <v>28.571428571428569</v>
      </c>
      <c r="D177" s="8">
        <f>(M90*($E90/365))+(M91*($E91/365))</f>
        <v>28.571428571428569</v>
      </c>
      <c r="E177" s="50">
        <f t="shared" si="34"/>
        <v>99.999999999999986</v>
      </c>
      <c r="G177" s="1">
        <v>2001</v>
      </c>
      <c r="H177" s="918">
        <f>(O90/$R90*100*($E90/365))+(O91/$R91*100*($E91/365))</f>
        <v>50.289017341040463</v>
      </c>
      <c r="I177" s="918"/>
      <c r="J177" s="918">
        <f>(P90/$R90*100*($E90/365))+(P91/$R91*100*($E91/365))</f>
        <v>20.23121387283237</v>
      </c>
      <c r="K177" s="918"/>
      <c r="L177" s="918">
        <f>(Q90/$R90*100*($E90/365))+(Q91/$R91*100*($E91/365))</f>
        <v>29.47976878612717</v>
      </c>
      <c r="M177" s="918"/>
      <c r="N177" s="887">
        <f t="shared" si="36"/>
        <v>100</v>
      </c>
      <c r="O177" s="887"/>
      <c r="R177" s="1">
        <v>2001</v>
      </c>
      <c r="S177" s="8">
        <f>(O90*($E90/365))+(O91*($E91/365))</f>
        <v>43.5</v>
      </c>
      <c r="T177" s="8">
        <f>(P90*($E90/365))+(P91*($E91/365))</f>
        <v>17.5</v>
      </c>
      <c r="U177" s="8">
        <f>(Q90*($E90/365))+(Q91*($E91/365))</f>
        <v>25.5</v>
      </c>
      <c r="V177" s="7"/>
      <c r="W177" s="7">
        <f t="shared" si="35"/>
        <v>86.5</v>
      </c>
    </row>
    <row r="178" spans="1:23">
      <c r="A178" s="1">
        <v>2002</v>
      </c>
      <c r="B178" s="8">
        <f>(K92*($E92/365))+(K93*($E93/365))</f>
        <v>42.857142857142854</v>
      </c>
      <c r="C178" s="8">
        <f>(L92*($E92/365))+(L93*($E93/365))</f>
        <v>28.571428571428569</v>
      </c>
      <c r="D178" s="8">
        <f>(M92*($E92/365))+(M93*($E93/365))</f>
        <v>28.571428571428569</v>
      </c>
      <c r="E178" s="50">
        <f t="shared" si="34"/>
        <v>99.999999999999986</v>
      </c>
      <c r="G178" s="1">
        <v>2002</v>
      </c>
      <c r="H178" s="918">
        <f>(O92/$R92*100*($E92/365))+(O93/$R93*100*($E93/365))</f>
        <v>50.289017341040463</v>
      </c>
      <c r="I178" s="918"/>
      <c r="J178" s="918">
        <f>(P92/$R92*100*($E92/365))+(P93/$R93*100*($E93/365))</f>
        <v>20.23121387283237</v>
      </c>
      <c r="K178" s="918"/>
      <c r="L178" s="918">
        <f>(Q92/$R92*100*($E92/365))+(Q93/$R93*100*($E93/365))</f>
        <v>29.47976878612717</v>
      </c>
      <c r="M178" s="918"/>
      <c r="N178" s="887">
        <f t="shared" si="36"/>
        <v>100</v>
      </c>
      <c r="O178" s="887"/>
      <c r="R178" s="1">
        <v>2002</v>
      </c>
      <c r="S178" s="8">
        <f>(O92*($E92/365))+(O93*($E93/365))</f>
        <v>43.5</v>
      </c>
      <c r="T178" s="8">
        <f>(P92*($E92/365))+(P93*($E93/365))</f>
        <v>17.5</v>
      </c>
      <c r="U178" s="8">
        <f>(Q92*($E92/365))+(Q93*($E93/365))</f>
        <v>25.5</v>
      </c>
      <c r="V178" s="7"/>
      <c r="W178" s="7">
        <f t="shared" si="35"/>
        <v>86.5</v>
      </c>
    </row>
    <row r="179" spans="1:23">
      <c r="A179" s="1">
        <v>2003</v>
      </c>
      <c r="B179" s="8">
        <f>(K94*($E94/365))+(K95*($E95/365))</f>
        <v>42.857142857142854</v>
      </c>
      <c r="C179" s="8">
        <f>(L94*($E94/365))+(L95*($E95/365))</f>
        <v>28.571428571428569</v>
      </c>
      <c r="D179" s="8">
        <f>(M94*($E94/365))+(M95*($E95/365))</f>
        <v>28.571428571428569</v>
      </c>
      <c r="E179" s="50">
        <f t="shared" si="34"/>
        <v>99.999999999999986</v>
      </c>
      <c r="G179" s="1">
        <v>2003</v>
      </c>
      <c r="H179" s="918">
        <f>(O94/$R94*100*($E94/365))+(O95/$R95*100*($E95/365))</f>
        <v>50.46546077231509</v>
      </c>
      <c r="I179" s="918"/>
      <c r="J179" s="918">
        <f>(P94/$R94*100*($E94/365))+(P95/$R95*100*($E95/365))</f>
        <v>19.998740483589476</v>
      </c>
      <c r="K179" s="918"/>
      <c r="L179" s="918">
        <f>(Q94/$R94*100*($E94/365))+(Q95/$R95*100*($E95/365))</f>
        <v>29.535798744095445</v>
      </c>
      <c r="M179" s="918"/>
      <c r="N179" s="887">
        <f t="shared" si="36"/>
        <v>100.00000000000001</v>
      </c>
      <c r="O179" s="887"/>
      <c r="R179" s="1">
        <v>2003</v>
      </c>
      <c r="S179" s="8">
        <f>(O94*($E94/365))+(O95*($E95/365))</f>
        <v>43.62054794520548</v>
      </c>
      <c r="T179" s="8">
        <f>(P94*($E94/365))+(P95*($E95/365))</f>
        <v>17.289041095890411</v>
      </c>
      <c r="U179" s="8">
        <f>(Q94*($E94/365))+(Q95*($E95/365))</f>
        <v>25.530136986301372</v>
      </c>
      <c r="V179" s="7"/>
      <c r="W179" s="7">
        <f t="shared" si="35"/>
        <v>86.439726027397256</v>
      </c>
    </row>
    <row r="180" spans="1:23">
      <c r="A180" s="1">
        <v>2004</v>
      </c>
      <c r="B180" s="8">
        <f>(K96*($E96/366))+(K97*($E97/366))</f>
        <v>57.142857142857139</v>
      </c>
      <c r="C180" s="8">
        <f>(L96*($E96/366))+(L97*($E97/366))</f>
        <v>14.285714285714285</v>
      </c>
      <c r="D180" s="8">
        <f>(M96*($E96/366))+(M97*($E97/366))</f>
        <v>28.571428571428569</v>
      </c>
      <c r="E180" s="50">
        <f t="shared" si="34"/>
        <v>99.999999999999986</v>
      </c>
      <c r="G180" s="1">
        <v>2004</v>
      </c>
      <c r="H180" s="918">
        <f>(O96/$R96*100*($E96/366))+(O97/$R97*100*($E97/366))</f>
        <v>53.216374269005854</v>
      </c>
      <c r="I180" s="918"/>
      <c r="J180" s="918">
        <f>(P96/$R96*100*($E96/366))+(P97/$R97*100*($E97/366))</f>
        <v>16.374269005847953</v>
      </c>
      <c r="K180" s="918"/>
      <c r="L180" s="918">
        <f>(Q96/$R96*100*($E96/366))+(Q97/$R97*100*($E97/366))</f>
        <v>30.409356725146196</v>
      </c>
      <c r="M180" s="918"/>
      <c r="N180" s="887">
        <f t="shared" si="36"/>
        <v>100</v>
      </c>
      <c r="O180" s="887"/>
      <c r="R180" s="1">
        <v>2004</v>
      </c>
      <c r="S180" s="8">
        <f>(O96*($E96/366))+(O97*($E97/366))</f>
        <v>45.5</v>
      </c>
      <c r="T180" s="8">
        <f>(P96*($E96/366))+(P97*($E97/366))</f>
        <v>14</v>
      </c>
      <c r="U180" s="8">
        <f>(Q96*($E96/366))+(Q97*($E97/366))</f>
        <v>26</v>
      </c>
      <c r="V180" s="7"/>
      <c r="W180" s="7">
        <f t="shared" si="35"/>
        <v>85.5</v>
      </c>
    </row>
    <row r="181" spans="1:23">
      <c r="A181" s="1">
        <v>2005</v>
      </c>
      <c r="B181" s="8">
        <f>(K98*($E98/365))+(K99*($E99/365))</f>
        <v>57.142857142857139</v>
      </c>
      <c r="C181" s="8">
        <f>(L98*($E98/365))+(L99*($E99/365))</f>
        <v>14.285714285714285</v>
      </c>
      <c r="D181" s="8">
        <f>(M98*($E98/365))+(M99*($E99/365))</f>
        <v>28.571428571428569</v>
      </c>
      <c r="E181" s="50">
        <f t="shared" si="34"/>
        <v>99.999999999999986</v>
      </c>
      <c r="G181" s="1">
        <v>2005</v>
      </c>
      <c r="H181" s="918">
        <f>(O98/$R98*100*($E98/365))+(O99/$R99*100*($E99/365))</f>
        <v>53.216374269005854</v>
      </c>
      <c r="I181" s="918"/>
      <c r="J181" s="918">
        <f>(P98/$R98*100*($E98/365))+(P99/$R99*100*($E99/365))</f>
        <v>16.374269005847953</v>
      </c>
      <c r="K181" s="918"/>
      <c r="L181" s="918">
        <f>(Q98/$R98*100*($E98/365))+(Q99/$R99*100*($E99/365))</f>
        <v>30.409356725146196</v>
      </c>
      <c r="M181" s="918"/>
      <c r="N181" s="887">
        <f t="shared" si="36"/>
        <v>100</v>
      </c>
      <c r="O181" s="887"/>
      <c r="R181" s="1">
        <v>2005</v>
      </c>
      <c r="S181" s="8">
        <f>(O98*($E98/365))+(O99*($E99/365))</f>
        <v>45.5</v>
      </c>
      <c r="T181" s="8">
        <f>(P98*($E98/365))+(P99*($E99/365))</f>
        <v>14</v>
      </c>
      <c r="U181" s="8">
        <f>(Q98*($E98/365))+(Q99*($E99/365))</f>
        <v>26</v>
      </c>
      <c r="V181" s="7"/>
      <c r="W181" s="7">
        <f t="shared" si="35"/>
        <v>85.5</v>
      </c>
    </row>
    <row r="182" spans="1:23">
      <c r="A182" s="1">
        <v>2006</v>
      </c>
      <c r="B182" s="8">
        <f>(K100*($E100/365))+(K101*($E101/365))</f>
        <v>57.142857142857139</v>
      </c>
      <c r="C182" s="8">
        <f>(L100*($E100/365))+(L101*($E101/365))</f>
        <v>14.285714285714285</v>
      </c>
      <c r="D182" s="8">
        <f>(M100*($E100/365))+(M101*($E101/365))</f>
        <v>28.571428571428569</v>
      </c>
      <c r="E182" s="50">
        <f t="shared" si="34"/>
        <v>99.999999999999986</v>
      </c>
      <c r="G182" s="1">
        <v>2006</v>
      </c>
      <c r="H182" s="918">
        <f>(O100/$R100*100*($E100/365))+(O101/$R101*100*($E101/365))</f>
        <v>53.216374269005854</v>
      </c>
      <c r="I182" s="918"/>
      <c r="J182" s="918">
        <f>(P100/$R100*100*($E100/365))+(P101/$R101*100*($E101/365))</f>
        <v>16.374269005847953</v>
      </c>
      <c r="K182" s="918"/>
      <c r="L182" s="918">
        <f>(Q100/$R100*100*($E100/365))+(Q101/$R101*100*($E101/365))</f>
        <v>30.409356725146196</v>
      </c>
      <c r="M182" s="918"/>
      <c r="N182" s="887">
        <f t="shared" si="36"/>
        <v>100</v>
      </c>
      <c r="O182" s="887"/>
      <c r="R182" s="1">
        <v>2006</v>
      </c>
      <c r="S182" s="8">
        <f>(O100*($E100/365))+(O101*($E101/365))</f>
        <v>45.5</v>
      </c>
      <c r="T182" s="8">
        <f>(P100*($E100/365))+(P101*($E101/365))</f>
        <v>14</v>
      </c>
      <c r="U182" s="8">
        <f>(Q100*($E100/365))+(Q101*($E101/365))</f>
        <v>26</v>
      </c>
      <c r="V182" s="7"/>
      <c r="W182" s="7">
        <f t="shared" si="35"/>
        <v>85.5</v>
      </c>
    </row>
    <row r="183" spans="1:23">
      <c r="A183" s="1">
        <v>2007</v>
      </c>
      <c r="B183" s="8">
        <f>(K102*($E102/365))+(K103*($E103/365))</f>
        <v>57.142857142857139</v>
      </c>
      <c r="C183" s="8">
        <f>(L102*($E102/365))+(L103*($E103/365))</f>
        <v>14.285714285714285</v>
      </c>
      <c r="D183" s="8">
        <f>(M102*($E102/365))+(M103*($E103/365))</f>
        <v>28.571428571428569</v>
      </c>
      <c r="E183" s="50">
        <f t="shared" si="34"/>
        <v>99.999999999999986</v>
      </c>
      <c r="G183" s="1">
        <v>2007</v>
      </c>
      <c r="H183" s="918">
        <f>(O102/$R102*100*($E102/365))+(O103/$R103*100*($E103/365))</f>
        <v>53.351839939443394</v>
      </c>
      <c r="I183" s="918"/>
      <c r="J183" s="918">
        <f>(P102/$R102*100*($E102/365))+(P103/$R103*100*($E103/365))</f>
        <v>16.49419258095201</v>
      </c>
      <c r="K183" s="918"/>
      <c r="L183" s="918">
        <f>(Q102/$R102*100*($E102/365))+(Q103/$R103*100*($E103/365))</f>
        <v>30.153967479604596</v>
      </c>
      <c r="M183" s="918"/>
      <c r="N183" s="887">
        <f t="shared" si="36"/>
        <v>100</v>
      </c>
      <c r="O183" s="887"/>
      <c r="R183" s="1">
        <v>2007</v>
      </c>
      <c r="S183" s="8">
        <f>(O102*($E102/365))+(O103*($E103/365))</f>
        <v>45.554794520547944</v>
      </c>
      <c r="T183" s="8">
        <f>(P102*($E102/365))+(P103*($E103/365))</f>
        <v>14.082191780821919</v>
      </c>
      <c r="U183" s="8">
        <f>(Q102*($E102/365))+(Q103*($E103/365))</f>
        <v>25.753424657534246</v>
      </c>
      <c r="V183" s="7"/>
      <c r="W183" s="7">
        <f t="shared" si="35"/>
        <v>85.390410958904113</v>
      </c>
    </row>
    <row r="184" spans="1:23">
      <c r="A184" s="1">
        <v>2008</v>
      </c>
      <c r="B184" s="8">
        <f>(K104*($E104/366))+(K105*($E105/366))</f>
        <v>57.142857142857139</v>
      </c>
      <c r="C184" s="8">
        <f>(L104*($E104/366))+(L105*($E105/366))</f>
        <v>14.285714285714285</v>
      </c>
      <c r="D184" s="8">
        <f>(M104*($E104/366))+(M105*($E105/366))</f>
        <v>28.571428571428569</v>
      </c>
      <c r="E184" s="50">
        <f t="shared" si="34"/>
        <v>99.999999999999986</v>
      </c>
      <c r="G184" s="1">
        <v>2008</v>
      </c>
      <c r="H184" s="918">
        <f>(O104/$R104*100*($E104/366))+(O105/$R105*100*($E105/366))</f>
        <v>55.688622754491014</v>
      </c>
      <c r="I184" s="918"/>
      <c r="J184" s="918">
        <f>(P104/$R104*100*($E104/366))+(P105/$R105*100*($E105/366))</f>
        <v>18.562874251497004</v>
      </c>
      <c r="K184" s="918"/>
      <c r="L184" s="918">
        <f>(Q104/$R104*100*($E104/366))+(Q105/$R105*100*($E105/366))</f>
        <v>25.748502994011975</v>
      </c>
      <c r="M184" s="918"/>
      <c r="N184" s="887">
        <f t="shared" si="36"/>
        <v>99.999999999999986</v>
      </c>
      <c r="O184" s="887"/>
      <c r="R184" s="1">
        <v>2008</v>
      </c>
      <c r="S184" s="8">
        <f>(O104*($E104/366))+(O105*($E105/366))</f>
        <v>46.5</v>
      </c>
      <c r="T184" s="8">
        <f>(P104*($E104/366))+(P105*($E105/366))</f>
        <v>15.5</v>
      </c>
      <c r="U184" s="8">
        <f>(Q104*($E104/366))+(Q105*($E105/366))</f>
        <v>21.5</v>
      </c>
      <c r="V184" s="7"/>
      <c r="W184" s="7">
        <f t="shared" si="35"/>
        <v>83.5</v>
      </c>
    </row>
    <row r="185" spans="1:23">
      <c r="A185" s="1">
        <v>2009</v>
      </c>
      <c r="B185" s="8">
        <f>(K106*($E106/365))+(K107*($E107/365))</f>
        <v>57.142857142857139</v>
      </c>
      <c r="C185" s="8">
        <f>(L106*($E106/365))+(L107*($E107/365))</f>
        <v>14.285714285714285</v>
      </c>
      <c r="D185" s="8">
        <f>(M106*($E106/365))+(M107*($E107/365))</f>
        <v>28.571428571428569</v>
      </c>
      <c r="E185" s="50">
        <f t="shared" si="34"/>
        <v>99.999999999999986</v>
      </c>
      <c r="G185" s="1">
        <v>2009</v>
      </c>
      <c r="H185" s="918">
        <f>(O106/$R106*100*($E106/365))+(O107/$R107*100*($E107/365))</f>
        <v>55.688622754491014</v>
      </c>
      <c r="I185" s="918"/>
      <c r="J185" s="918">
        <f>(P106/$R106*100*($E106/365))+(P107/$R107*100*($E107/365))</f>
        <v>18.562874251497004</v>
      </c>
      <c r="K185" s="918"/>
      <c r="L185" s="918">
        <f>(Q106/$R106*100*($E106/365))+(Q107/$R107*100*($E107/365))</f>
        <v>25.748502994011975</v>
      </c>
      <c r="M185" s="918"/>
      <c r="N185" s="887">
        <f t="shared" si="36"/>
        <v>99.999999999999986</v>
      </c>
      <c r="O185" s="887"/>
      <c r="R185" s="1">
        <v>2009</v>
      </c>
      <c r="S185" s="8">
        <f>(O106*($E106/365))+(O107*($E107/365))</f>
        <v>46.5</v>
      </c>
      <c r="T185" s="8">
        <f>(P106*($E106/365))+(P107*($E107/365))</f>
        <v>15.5</v>
      </c>
      <c r="U185" s="8">
        <f>(Q106*($E106/365))+(Q107*($E107/365))</f>
        <v>21.5</v>
      </c>
      <c r="V185" s="7"/>
      <c r="W185" s="7">
        <f t="shared" si="35"/>
        <v>83.5</v>
      </c>
    </row>
    <row r="186" spans="1:23">
      <c r="A186" s="1">
        <v>2010</v>
      </c>
      <c r="B186" s="8">
        <f>(K108*($E108/365))+(K109*($E109/365))</f>
        <v>57.142857142857139</v>
      </c>
      <c r="C186" s="8">
        <f>(L108*($E108/365))+(L109*($E109/365))</f>
        <v>14.285714285714285</v>
      </c>
      <c r="D186" s="8">
        <f>(M108*($E108/365))+(M109*($E109/365))</f>
        <v>28.571428571428569</v>
      </c>
      <c r="E186" s="50">
        <f t="shared" si="34"/>
        <v>99.999999999999986</v>
      </c>
      <c r="G186" s="1">
        <v>2010</v>
      </c>
      <c r="H186" s="918">
        <f>(O108/$R108*100*($E108/365))+(O109/$R109*100*($E109/365))</f>
        <v>55.688622754491014</v>
      </c>
      <c r="I186" s="918"/>
      <c r="J186" s="918">
        <f>(P108/$R108*100*($E108/365))+(P109/$R109*100*($E109/365))</f>
        <v>18.562874251497004</v>
      </c>
      <c r="K186" s="918"/>
      <c r="L186" s="918">
        <f>(Q108/$R108*100*($E108/365))+(Q109/$R109*100*($E109/365))</f>
        <v>25.748502994011975</v>
      </c>
      <c r="M186" s="918"/>
      <c r="N186" s="887">
        <f t="shared" si="36"/>
        <v>99.999999999999986</v>
      </c>
      <c r="O186" s="887"/>
      <c r="R186" s="1">
        <v>2010</v>
      </c>
      <c r="S186" s="8">
        <f>(O108*($E108/365))+(O109*($E109/365))</f>
        <v>46.5</v>
      </c>
      <c r="T186" s="8">
        <f>(P108*($E108/365))+(P109*($E109/365))</f>
        <v>15.5</v>
      </c>
      <c r="U186" s="8">
        <f>(Q108*($E108/365))+(Q109*($E109/365))</f>
        <v>21.5</v>
      </c>
      <c r="V186" s="7"/>
      <c r="W186" s="7">
        <f t="shared" si="35"/>
        <v>83.5</v>
      </c>
    </row>
    <row r="187" spans="1:23">
      <c r="A187" s="1">
        <v>2011</v>
      </c>
      <c r="B187" s="8">
        <f>(K110*($E110/365))+(K111*($E111/365))</f>
        <v>57.142857142857139</v>
      </c>
      <c r="C187" s="8">
        <f>(L110*($E110/365))+(L111*($E111/365))</f>
        <v>14.285714285714285</v>
      </c>
      <c r="D187" s="8">
        <f>(M110*($E110/365))+(M111*($E111/365))</f>
        <v>28.571428571428569</v>
      </c>
      <c r="E187" s="50">
        <f t="shared" si="34"/>
        <v>99.999999999999986</v>
      </c>
      <c r="G187" s="1">
        <v>2011</v>
      </c>
      <c r="H187" s="918">
        <f>(O110/$R110*100*($E110/365))+(O111/$R111*100*($E111/365))</f>
        <v>55.688622754491014</v>
      </c>
      <c r="I187" s="918"/>
      <c r="J187" s="918">
        <f>(P110/$R110*100*($E110/365))+(P111/$R111*100*($E111/365))</f>
        <v>18.474284308096134</v>
      </c>
      <c r="K187" s="918"/>
      <c r="L187" s="918">
        <f>(Q110/$R110*100*($E110/365))+(Q111/$R111*100*($E111/365))</f>
        <v>25.837092937412844</v>
      </c>
      <c r="M187" s="918"/>
      <c r="N187" s="887">
        <f t="shared" si="36"/>
        <v>100</v>
      </c>
      <c r="O187" s="887"/>
      <c r="R187" s="1">
        <v>2011</v>
      </c>
      <c r="S187" s="8">
        <f>(O110*($E110/365))+(O111*($E111/365))</f>
        <v>46.5</v>
      </c>
      <c r="T187" s="8">
        <f>(P110*($E110/365))+(P111*($E111/365))</f>
        <v>15.426027397260274</v>
      </c>
      <c r="U187" s="8">
        <f>(Q110*($E110/365))+(Q111*($E111/365))</f>
        <v>21.573972602739726</v>
      </c>
      <c r="V187" s="7"/>
      <c r="W187" s="7">
        <f t="shared" si="35"/>
        <v>83.5</v>
      </c>
    </row>
    <row r="188" spans="1:23">
      <c r="A188" s="1">
        <v>2012</v>
      </c>
      <c r="B188" s="8">
        <f>(K112*($E112/366))+(K113*($E113/366))</f>
        <v>57.142857142857139</v>
      </c>
      <c r="C188" s="8">
        <f>(L112*($E112/366))+(L113*($E113/366))</f>
        <v>14.285714285714285</v>
      </c>
      <c r="D188" s="8">
        <f>(M112*($E112/366))+(M113*($E113/366))</f>
        <v>28.571428571428569</v>
      </c>
      <c r="E188" s="50">
        <f t="shared" si="34"/>
        <v>99.999999999999986</v>
      </c>
      <c r="G188" s="1">
        <v>2012</v>
      </c>
      <c r="H188" s="918">
        <f>(O112/$R112*100*($E112/366))+(O113/$R113*100*($E113/366))</f>
        <v>55.688622754491014</v>
      </c>
      <c r="I188" s="918"/>
      <c r="J188" s="918">
        <f>(P112/$R112*100*($E112/366))+(P113/$R113*100*($E113/366))</f>
        <v>16.766467065868262</v>
      </c>
      <c r="K188" s="918"/>
      <c r="L188" s="918">
        <f>(Q112/$R112*100*($E112/366))+(Q113/$R113*100*($E113/366))</f>
        <v>27.54491017964072</v>
      </c>
      <c r="M188" s="918"/>
      <c r="N188" s="887">
        <f t="shared" si="36"/>
        <v>100</v>
      </c>
      <c r="O188" s="887"/>
      <c r="R188" s="1">
        <v>2012</v>
      </c>
      <c r="S188" s="8">
        <f>(O112*($E112/366))+(O113*($E113/366))</f>
        <v>46.5</v>
      </c>
      <c r="T188" s="8">
        <f>(P112*($E112/366))+(P113*($E113/366))</f>
        <v>14</v>
      </c>
      <c r="U188" s="8">
        <f>(Q112*($E112/366))+(Q113*($E113/366))</f>
        <v>23</v>
      </c>
      <c r="V188" s="7"/>
      <c r="W188" s="7">
        <f t="shared" si="35"/>
        <v>83.5</v>
      </c>
    </row>
    <row r="189" spans="1:23">
      <c r="A189" s="1">
        <v>2013</v>
      </c>
      <c r="B189" s="8">
        <f>(K114*($E114/365))+(K115*($E115/365))</f>
        <v>57.142857142857139</v>
      </c>
      <c r="C189" s="8">
        <f>(L114*($E114/365))+(L115*($E115/365))</f>
        <v>14.285714285714285</v>
      </c>
      <c r="D189" s="8">
        <f>(M114*($E114/365))+(M115*($E115/365))</f>
        <v>28.571428571428569</v>
      </c>
      <c r="E189" s="273">
        <f t="shared" si="34"/>
        <v>99.999999999999986</v>
      </c>
      <c r="G189" s="1">
        <v>2013</v>
      </c>
      <c r="H189" s="918">
        <f>(O114/$R114*100*($E114/365))+(O115/$R115*100*($E115/365))</f>
        <v>55.688622754491014</v>
      </c>
      <c r="I189" s="918"/>
      <c r="J189" s="918">
        <f>(P114/$R114*100*($E114/365))+(P115/$R115*100*($E115/365))</f>
        <v>16.766467065868262</v>
      </c>
      <c r="K189" s="918"/>
      <c r="L189" s="918">
        <f>(Q114/$R114*100*($E114/365))+(Q115/$R115*100*($E115/365))</f>
        <v>27.54491017964072</v>
      </c>
      <c r="M189" s="918"/>
      <c r="N189" s="887">
        <f>H189+J189+L189</f>
        <v>100</v>
      </c>
      <c r="O189" s="887"/>
      <c r="R189" s="1">
        <v>2013</v>
      </c>
      <c r="S189" s="8">
        <f>(O114*($E114/365))+(O115*($E115/365))</f>
        <v>46.5</v>
      </c>
      <c r="T189" s="8">
        <f>(P114*($E114/365))+(P115*($E115/365))</f>
        <v>14</v>
      </c>
      <c r="U189" s="8">
        <f>(Q114*($E114/365))+(Q115*($E115/365))</f>
        <v>23</v>
      </c>
      <c r="W189" s="7">
        <f t="shared" si="35"/>
        <v>83.5</v>
      </c>
    </row>
    <row r="190" spans="1:23">
      <c r="A190" s="1">
        <v>2014</v>
      </c>
      <c r="B190" s="8">
        <f>(K116*($E116/365))+(K117*($E117/365))</f>
        <v>57.142857142857139</v>
      </c>
      <c r="C190" s="8">
        <f>(L116*($E116/365))+(L117*($E117/365))</f>
        <v>14.285714285714285</v>
      </c>
      <c r="D190" s="8">
        <f>(M116*($E116/365))+(M117*($E117/365))</f>
        <v>28.571428571428569</v>
      </c>
      <c r="E190" s="530">
        <f>B190+C190+D190</f>
        <v>99.999999999999986</v>
      </c>
      <c r="G190" s="1">
        <v>2014</v>
      </c>
      <c r="H190" s="918">
        <f>(O116/$R116*100*($E116/365))+(O117/$R117*100*($E117/365))</f>
        <v>55.688622754491014</v>
      </c>
      <c r="I190" s="918"/>
      <c r="J190" s="918">
        <f>(P116/$R116*100*($E116/365))+(P117/$R117*100*($E117/365))</f>
        <v>16.766467065868262</v>
      </c>
      <c r="K190" s="918"/>
      <c r="L190" s="918">
        <f>(Q116/$R116*100*($E116/365))+(Q117/$R117*100*($E117/365))</f>
        <v>27.54491017964072</v>
      </c>
      <c r="M190" s="918"/>
      <c r="N190" s="887">
        <f>H190+J190+L190</f>
        <v>100</v>
      </c>
      <c r="O190" s="887"/>
      <c r="R190" s="1">
        <v>2014</v>
      </c>
      <c r="S190" s="8">
        <f>(O116*($E116/365))+(O117*($E117/365))</f>
        <v>46.5</v>
      </c>
      <c r="T190" s="8">
        <f>(P116*($E116/365))+(P117*($E117/365))</f>
        <v>14</v>
      </c>
      <c r="U190" s="8">
        <f>(Q116*($E116/365))+(Q117*($E117/365))</f>
        <v>23</v>
      </c>
      <c r="W190" s="7">
        <f>S190+T190+U190</f>
        <v>83.5</v>
      </c>
    </row>
    <row r="191" spans="1:23">
      <c r="A191" s="1">
        <v>2015</v>
      </c>
      <c r="B191" s="627">
        <f>(K118*($E118/365))+(K119*($E119/365))</f>
        <v>57.142857142857139</v>
      </c>
      <c r="C191" s="627">
        <f>(L118*($E118/365))+(L119*($E119/365))</f>
        <v>14.285714285714285</v>
      </c>
      <c r="D191" s="627">
        <f>(M118*($E118/365))+(M119*($E119/365))</f>
        <v>28.571428571428569</v>
      </c>
      <c r="E191" s="628">
        <f>B191+C191+D191</f>
        <v>99.999999999999986</v>
      </c>
      <c r="F191" s="632"/>
      <c r="G191" s="632">
        <v>2015</v>
      </c>
      <c r="H191" s="918">
        <f>(O118/$R118*100*($E118/365))+(O119/$R119*100*($E119/365))</f>
        <v>55.550296786339985</v>
      </c>
      <c r="I191" s="918"/>
      <c r="J191" s="918">
        <f>(P118/$R118*100*($E118/365))+(P119/$R119*100*($E119/365))</f>
        <v>16.673041426866909</v>
      </c>
      <c r="K191" s="918"/>
      <c r="L191" s="918">
        <f>(Q118/$R118*100*($E118/365))+(Q119/$R119*100*($E119/365))</f>
        <v>27.77666178679311</v>
      </c>
      <c r="M191" s="918"/>
      <c r="N191" s="887">
        <f>H191+J191+L191</f>
        <v>100</v>
      </c>
      <c r="O191" s="887"/>
      <c r="P191" s="632"/>
      <c r="Q191" s="632"/>
      <c r="R191" s="632">
        <v>2015</v>
      </c>
      <c r="S191" s="627">
        <f>(O118*($E118/365))+(O119*($E119/365))</f>
        <v>46.657534246575345</v>
      </c>
      <c r="T191" s="627">
        <f>(P118*($E118/365))+(P119*($E119/365))</f>
        <v>14</v>
      </c>
      <c r="U191" s="627">
        <f>(Q118*($E118/365))+(Q119*($E119/365))</f>
        <v>23.352876712328769</v>
      </c>
      <c r="V191" s="632"/>
      <c r="W191" s="631">
        <f>S191+T191+U191</f>
        <v>84.010410958904117</v>
      </c>
    </row>
    <row r="192" spans="1:23">
      <c r="A192" s="697">
        <v>2016</v>
      </c>
      <c r="B192" s="694">
        <f>(K120*($E120/366))+(K121*($E121/366))</f>
        <v>57.142857142857139</v>
      </c>
      <c r="C192" s="694">
        <f>(L120*($E120/366))+(L121*($E121/366))</f>
        <v>14.285714285714285</v>
      </c>
      <c r="D192" s="694">
        <f>(M120*($E120/366))+(M121*($E121/366))</f>
        <v>28.571428571428569</v>
      </c>
      <c r="E192" s="695">
        <f t="shared" ref="E192" si="37">B192+C192+D192</f>
        <v>99.999999999999986</v>
      </c>
      <c r="F192" s="697"/>
      <c r="G192" s="697">
        <v>2016</v>
      </c>
      <c r="H192" s="918">
        <f>(O120/$R120*100*($E120/366))+(O121/$R121*100*($E121/366))</f>
        <v>53.493449781659393</v>
      </c>
      <c r="I192" s="918"/>
      <c r="J192" s="918">
        <f>(P120/$R120*100*($E120/366))+(P121/$R121*100*($E121/366))</f>
        <v>15.283842794759828</v>
      </c>
      <c r="K192" s="918"/>
      <c r="L192" s="918">
        <f>(Q120/$R120*100*($E120/366))+(Q121/$R121*100*($E121/366))</f>
        <v>31.222707423580793</v>
      </c>
      <c r="M192" s="918"/>
      <c r="N192" s="887">
        <f t="shared" ref="N192" si="38">H192+J192+L192</f>
        <v>100.00000000000003</v>
      </c>
      <c r="O192" s="887"/>
      <c r="P192" s="697"/>
      <c r="Q192" s="697"/>
      <c r="R192" s="697">
        <v>2016</v>
      </c>
      <c r="S192" s="694">
        <f>(O120*($E120/366))+(O121*($E121/366))</f>
        <v>49</v>
      </c>
      <c r="T192" s="694">
        <f>(P120*($E120/366))+(P121*($E121/366))</f>
        <v>14</v>
      </c>
      <c r="U192" s="694">
        <f>(Q120*($E120/366))+(Q121*($E121/366))</f>
        <v>28.6</v>
      </c>
      <c r="V192" s="697"/>
      <c r="W192" s="696">
        <f t="shared" ref="W192" si="39">S192+T192+U192</f>
        <v>91.6</v>
      </c>
    </row>
    <row r="193" spans="1:23">
      <c r="A193" s="749">
        <v>2017</v>
      </c>
      <c r="B193" s="744">
        <f>(K122*($E122/365))+(K123*($E123/365))</f>
        <v>57.142857142857139</v>
      </c>
      <c r="C193" s="744">
        <f t="shared" ref="C193:D193" si="40">(L122*($E122/365))+(L123*($E123/365))</f>
        <v>14.285714285714285</v>
      </c>
      <c r="D193" s="744">
        <f t="shared" si="40"/>
        <v>28.571428571428569</v>
      </c>
      <c r="E193" s="745">
        <f t="shared" ref="E193" si="41">B193+C193+D193</f>
        <v>99.999999999999986</v>
      </c>
      <c r="F193" s="749"/>
      <c r="G193" s="749">
        <v>2017</v>
      </c>
      <c r="H193" s="918">
        <f>(O122/$R122*100*($E122/365))+(O123/$R123*100*($E123/365))</f>
        <v>53.493449781659393</v>
      </c>
      <c r="I193" s="918"/>
      <c r="J193" s="918">
        <f>(P122/$R122*100*($E122/365))+(P123/$R123*100*($E123/365))</f>
        <v>15.283842794759828</v>
      </c>
      <c r="K193" s="918"/>
      <c r="L193" s="918">
        <f>(Q122/$R122*100*($E122/365))+(Q123/$R123*100*($E123/365))</f>
        <v>31.222707423580793</v>
      </c>
      <c r="M193" s="918"/>
      <c r="N193" s="887">
        <f t="shared" ref="N193" si="42">H193+J193+L193</f>
        <v>100.00000000000003</v>
      </c>
      <c r="O193" s="887"/>
      <c r="P193" s="749"/>
      <c r="Q193" s="749"/>
      <c r="R193" s="749">
        <v>2017</v>
      </c>
      <c r="S193" s="744">
        <f>(O122*($E122/365))+(O123*($E123/365))</f>
        <v>49</v>
      </c>
      <c r="T193" s="744">
        <f t="shared" ref="T193:U193" si="43">(P122*($E122/365))+(P123*($E123/365))</f>
        <v>14</v>
      </c>
      <c r="U193" s="744">
        <f t="shared" si="43"/>
        <v>28.6</v>
      </c>
      <c r="V193" s="749"/>
      <c r="W193" s="746">
        <f t="shared" ref="W193" si="44">S193+T193+U193</f>
        <v>91.6</v>
      </c>
    </row>
    <row r="194" spans="1:23">
      <c r="A194" s="775">
        <v>2018</v>
      </c>
      <c r="B194" s="772">
        <f>(K124*($E124/365))+(K125*($E125/365))</f>
        <v>57.142857142857139</v>
      </c>
      <c r="C194" s="772">
        <f>(L124*($E124/365))+(L125*($E125/365))</f>
        <v>14.285714285714285</v>
      </c>
      <c r="D194" s="772">
        <f>(M124*($E124/365))+(M125*($E125/365))</f>
        <v>28.571428571428569</v>
      </c>
      <c r="E194" s="773">
        <f t="shared" ref="E194" si="45">B194+C194+D194</f>
        <v>99.999999999999986</v>
      </c>
      <c r="F194" s="775"/>
      <c r="G194" s="775">
        <v>2018</v>
      </c>
      <c r="H194" s="918">
        <f>(O124/$R124*100*($E124/365))+(O125/$R125*100*($E125/365))</f>
        <v>53.493449781659393</v>
      </c>
      <c r="I194" s="918"/>
      <c r="J194" s="918">
        <f>(P124/$R124*100*($E124/365))+(P125/$R125*100*($E125/365))</f>
        <v>15.283842794759828</v>
      </c>
      <c r="K194" s="918"/>
      <c r="L194" s="918">
        <f>(Q124/$R124*100*($E124/365))+(Q125/$R125*100*($E125/365))</f>
        <v>31.222707423580793</v>
      </c>
      <c r="M194" s="918"/>
      <c r="N194" s="887">
        <f t="shared" ref="N194" si="46">H194+J194+L194</f>
        <v>100.00000000000003</v>
      </c>
      <c r="O194" s="887"/>
      <c r="P194" s="775"/>
      <c r="Q194" s="775"/>
      <c r="R194" s="775">
        <v>2018</v>
      </c>
      <c r="S194" s="772">
        <f>(O124*($E124/365))+(O125*($E125/365))</f>
        <v>49</v>
      </c>
      <c r="T194" s="772">
        <f>(P124*($E124/365))+(P125*($E125/365))</f>
        <v>14</v>
      </c>
      <c r="U194" s="772">
        <f>(Q124*($E124/365))+(Q125*($E125/365))</f>
        <v>28.6</v>
      </c>
      <c r="V194" s="775"/>
      <c r="W194" s="774">
        <f t="shared" ref="W194" si="47">S194+T194+U194</f>
        <v>91.6</v>
      </c>
    </row>
    <row r="195" spans="1:23">
      <c r="A195" s="816">
        <v>2019</v>
      </c>
      <c r="B195" s="812">
        <f>(K126*($E126/365))+(K127*($E127/365))</f>
        <v>57.142857142857139</v>
      </c>
      <c r="C195" s="812">
        <f>(L126*($E126/365))+(L127*($E127/365))</f>
        <v>14.285714285714285</v>
      </c>
      <c r="D195" s="812">
        <f>(M126*($E126/365))+(M127*($E127/365))</f>
        <v>28.571428571428569</v>
      </c>
      <c r="E195" s="811">
        <f t="shared" ref="E195" si="48">B195+C195+D195</f>
        <v>99.999999999999986</v>
      </c>
      <c r="F195" s="816"/>
      <c r="G195" s="816">
        <v>2019</v>
      </c>
      <c r="H195" s="918">
        <f>(O126/$R126*100*($E126/365))+(O127/$R127*100*($E127/365))</f>
        <v>53.510154887794421</v>
      </c>
      <c r="I195" s="918"/>
      <c r="J195" s="918">
        <f>(P126/$R126*100*($E126/365))+(P127/$R127*100*($E127/365))</f>
        <v>15.698487393468554</v>
      </c>
      <c r="K195" s="918"/>
      <c r="L195" s="918">
        <f>(Q126/$R126*100*($E126/365))+(Q127/$R127*100*($E127/365))</f>
        <v>30.791357718737039</v>
      </c>
      <c r="M195" s="918"/>
      <c r="N195" s="887">
        <f t="shared" ref="N195" si="49">H195+J195+L195</f>
        <v>100</v>
      </c>
      <c r="O195" s="887"/>
      <c r="P195" s="816"/>
      <c r="Q195" s="816"/>
      <c r="R195" s="816">
        <v>2019</v>
      </c>
      <c r="S195" s="812">
        <f>(O126*($E126/365))+(O127*($E127/365))</f>
        <v>48.332602739726028</v>
      </c>
      <c r="T195" s="812">
        <f>(P126*($E126/365))+(P127*($E127/365))</f>
        <v>14.11917808219178</v>
      </c>
      <c r="U195" s="812">
        <f>(Q126*($E126/365))+(Q127*($E127/365))</f>
        <v>27.876986301369865</v>
      </c>
      <c r="V195" s="816"/>
      <c r="W195" s="815">
        <f t="shared" ref="W195" si="50">S195+T195+U195</f>
        <v>90.328767123287676</v>
      </c>
    </row>
    <row r="196" spans="1:23">
      <c r="A196" s="816"/>
      <c r="G196" s="816"/>
      <c r="Q196" s="816"/>
      <c r="R196" s="816"/>
    </row>
  </sheetData>
  <mergeCells count="392">
    <mergeCell ref="C126:D126"/>
    <mergeCell ref="C127:D127"/>
    <mergeCell ref="H195:I195"/>
    <mergeCell ref="J195:K195"/>
    <mergeCell ref="L195:M195"/>
    <mergeCell ref="N195:O195"/>
    <mergeCell ref="H193:I193"/>
    <mergeCell ref="J193:K193"/>
    <mergeCell ref="L193:M193"/>
    <mergeCell ref="N193:O193"/>
    <mergeCell ref="H138:I138"/>
    <mergeCell ref="J138:K138"/>
    <mergeCell ref="L138:M138"/>
    <mergeCell ref="N138:O138"/>
    <mergeCell ref="H139:I139"/>
    <mergeCell ref="J139:K139"/>
    <mergeCell ref="L139:M139"/>
    <mergeCell ref="N139:O139"/>
    <mergeCell ref="L136:M136"/>
    <mergeCell ref="N136:O136"/>
    <mergeCell ref="H137:I137"/>
    <mergeCell ref="J137:K137"/>
    <mergeCell ref="L137:M137"/>
    <mergeCell ref="N137:O137"/>
    <mergeCell ref="C94:D94"/>
    <mergeCell ref="C95:D95"/>
    <mergeCell ref="C82:D82"/>
    <mergeCell ref="C83:D83"/>
    <mergeCell ref="C84:D84"/>
    <mergeCell ref="C88:D88"/>
    <mergeCell ref="C89:D89"/>
    <mergeCell ref="C90:D90"/>
    <mergeCell ref="H135:I135"/>
    <mergeCell ref="C102:D102"/>
    <mergeCell ref="C91:D91"/>
    <mergeCell ref="C92:D92"/>
    <mergeCell ref="C93:D93"/>
    <mergeCell ref="C97:D97"/>
    <mergeCell ref="C98:D98"/>
    <mergeCell ref="C99:D99"/>
    <mergeCell ref="C100:D100"/>
    <mergeCell ref="C101:D101"/>
    <mergeCell ref="C85:D85"/>
    <mergeCell ref="C86:D86"/>
    <mergeCell ref="C87:D87"/>
    <mergeCell ref="C96:D96"/>
    <mergeCell ref="C110:D110"/>
    <mergeCell ref="C103:D103"/>
    <mergeCell ref="C104:D104"/>
    <mergeCell ref="C111:D111"/>
    <mergeCell ref="C112:D112"/>
    <mergeCell ref="C113:D113"/>
    <mergeCell ref="C105:D105"/>
    <mergeCell ref="C106:D106"/>
    <mergeCell ref="C107:D107"/>
    <mergeCell ref="C108:D108"/>
    <mergeCell ref="C109:D109"/>
    <mergeCell ref="C79:D79"/>
    <mergeCell ref="C80:D80"/>
    <mergeCell ref="C81:D81"/>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52:D52"/>
    <mergeCell ref="C53:D53"/>
    <mergeCell ref="C54:D54"/>
    <mergeCell ref="C55:D55"/>
    <mergeCell ref="C56:D56"/>
    <mergeCell ref="C57:D57"/>
    <mergeCell ref="C76:D76"/>
    <mergeCell ref="C77:D77"/>
    <mergeCell ref="C78:D78"/>
    <mergeCell ref="C43:D43"/>
    <mergeCell ref="C44:D44"/>
    <mergeCell ref="C45:D45"/>
    <mergeCell ref="C46:D46"/>
    <mergeCell ref="C47:D47"/>
    <mergeCell ref="C48:D48"/>
    <mergeCell ref="C49:D49"/>
    <mergeCell ref="C50:D50"/>
    <mergeCell ref="C51:D51"/>
    <mergeCell ref="C34:D34"/>
    <mergeCell ref="C35:D35"/>
    <mergeCell ref="C36:D36"/>
    <mergeCell ref="C37:D37"/>
    <mergeCell ref="C38:D38"/>
    <mergeCell ref="C39:D39"/>
    <mergeCell ref="C40:D40"/>
    <mergeCell ref="C41:D41"/>
    <mergeCell ref="C42:D42"/>
    <mergeCell ref="C25:D25"/>
    <mergeCell ref="C26:D26"/>
    <mergeCell ref="C27:D27"/>
    <mergeCell ref="C28:D28"/>
    <mergeCell ref="C29:D29"/>
    <mergeCell ref="C30:D30"/>
    <mergeCell ref="C31:D31"/>
    <mergeCell ref="C32:D32"/>
    <mergeCell ref="C33:D33"/>
    <mergeCell ref="AL4:AO4"/>
    <mergeCell ref="U4:U5"/>
    <mergeCell ref="V4:Y4"/>
    <mergeCell ref="AP4:AS4"/>
    <mergeCell ref="C8:D8"/>
    <mergeCell ref="K4:N4"/>
    <mergeCell ref="O4:R4"/>
    <mergeCell ref="S4:S5"/>
    <mergeCell ref="T4:T5"/>
    <mergeCell ref="C7:D7"/>
    <mergeCell ref="C6:D6"/>
    <mergeCell ref="C19:D19"/>
    <mergeCell ref="C20:D20"/>
    <mergeCell ref="C21:D21"/>
    <mergeCell ref="C22:D22"/>
    <mergeCell ref="C23:D23"/>
    <mergeCell ref="C24:D24"/>
    <mergeCell ref="Z4:AC4"/>
    <mergeCell ref="AD4:AG4"/>
    <mergeCell ref="AH4:AK4"/>
    <mergeCell ref="G3:M3"/>
    <mergeCell ref="O3:Q3"/>
    <mergeCell ref="N135:O135"/>
    <mergeCell ref="L134:M134"/>
    <mergeCell ref="N134:O134"/>
    <mergeCell ref="J135:K135"/>
    <mergeCell ref="L135:M135"/>
    <mergeCell ref="J134:K134"/>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H136:I136"/>
    <mergeCell ref="J136:K136"/>
    <mergeCell ref="H142:I142"/>
    <mergeCell ref="J142:K142"/>
    <mergeCell ref="L142:M142"/>
    <mergeCell ref="N142:O142"/>
    <mergeCell ref="H143:I143"/>
    <mergeCell ref="J143:K143"/>
    <mergeCell ref="L143:M143"/>
    <mergeCell ref="N143:O143"/>
    <mergeCell ref="H140:I140"/>
    <mergeCell ref="J140:K140"/>
    <mergeCell ref="L140:M140"/>
    <mergeCell ref="N140:O140"/>
    <mergeCell ref="H141:I141"/>
    <mergeCell ref="J141:K141"/>
    <mergeCell ref="L141:M141"/>
    <mergeCell ref="N141:O141"/>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H150:I150"/>
    <mergeCell ref="J150:K150"/>
    <mergeCell ref="L150:M150"/>
    <mergeCell ref="N150:O150"/>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90:I190"/>
    <mergeCell ref="J190:K190"/>
    <mergeCell ref="H164:I164"/>
    <mergeCell ref="J164:K164"/>
    <mergeCell ref="L164:M164"/>
    <mergeCell ref="N164:O164"/>
    <mergeCell ref="H175:I175"/>
    <mergeCell ref="H176:I176"/>
    <mergeCell ref="H160:I160"/>
    <mergeCell ref="J160:K160"/>
    <mergeCell ref="L160:M160"/>
    <mergeCell ref="N160:O160"/>
    <mergeCell ref="L190:M190"/>
    <mergeCell ref="N190:O190"/>
    <mergeCell ref="L161:M161"/>
    <mergeCell ref="N161:O161"/>
    <mergeCell ref="H162:I162"/>
    <mergeCell ref="J162:K162"/>
    <mergeCell ref="H183:I183"/>
    <mergeCell ref="H184:I184"/>
    <mergeCell ref="H171:I171"/>
    <mergeCell ref="H172:I172"/>
    <mergeCell ref="H173:I173"/>
    <mergeCell ref="H174:I174"/>
    <mergeCell ref="L188:M188"/>
    <mergeCell ref="L177:M177"/>
    <mergeCell ref="L178:M178"/>
    <mergeCell ref="L179:M179"/>
    <mergeCell ref="L180:M180"/>
    <mergeCell ref="L181:M181"/>
    <mergeCell ref="H186:I186"/>
    <mergeCell ref="H187:I187"/>
    <mergeCell ref="H188:I188"/>
    <mergeCell ref="H177:I177"/>
    <mergeCell ref="H178:I178"/>
    <mergeCell ref="H179:I179"/>
    <mergeCell ref="H180:I180"/>
    <mergeCell ref="H181:I181"/>
    <mergeCell ref="H182:I182"/>
    <mergeCell ref="H185:I185"/>
    <mergeCell ref="AT4:AW4"/>
    <mergeCell ref="H165:I165"/>
    <mergeCell ref="J163:K163"/>
    <mergeCell ref="L163:M163"/>
    <mergeCell ref="N163:O163"/>
    <mergeCell ref="H163:I163"/>
    <mergeCell ref="H161:I161"/>
    <mergeCell ref="J161:K161"/>
    <mergeCell ref="L162:M162"/>
    <mergeCell ref="N162:O162"/>
    <mergeCell ref="H158:I158"/>
    <mergeCell ref="J158:K158"/>
    <mergeCell ref="L158:M158"/>
    <mergeCell ref="N158:O158"/>
    <mergeCell ref="H159:I159"/>
    <mergeCell ref="J159:K159"/>
    <mergeCell ref="L159:M159"/>
    <mergeCell ref="N159:O159"/>
    <mergeCell ref="J155:K155"/>
    <mergeCell ref="L155:M155"/>
    <mergeCell ref="N155:O155"/>
    <mergeCell ref="H156:I156"/>
    <mergeCell ref="J156:K156"/>
    <mergeCell ref="L156:M156"/>
    <mergeCell ref="AX4:BA4"/>
    <mergeCell ref="C114:D114"/>
    <mergeCell ref="C115:D115"/>
    <mergeCell ref="H189:I189"/>
    <mergeCell ref="J189:K189"/>
    <mergeCell ref="L189:M189"/>
    <mergeCell ref="N171:O171"/>
    <mergeCell ref="N172:O172"/>
    <mergeCell ref="N187:O187"/>
    <mergeCell ref="C116:D116"/>
    <mergeCell ref="C117:D117"/>
    <mergeCell ref="N188:O188"/>
    <mergeCell ref="N186:O186"/>
    <mergeCell ref="N174:O174"/>
    <mergeCell ref="N175:O175"/>
    <mergeCell ref="N176:O176"/>
    <mergeCell ref="N177:O177"/>
    <mergeCell ref="H134:I134"/>
    <mergeCell ref="N189:O189"/>
    <mergeCell ref="J186:K186"/>
    <mergeCell ref="J187:K187"/>
    <mergeCell ref="J183:K183"/>
    <mergeCell ref="J184:K184"/>
    <mergeCell ref="J185:K185"/>
    <mergeCell ref="C119:D119"/>
    <mergeCell ref="H154:I154"/>
    <mergeCell ref="J154:K154"/>
    <mergeCell ref="L154:M154"/>
    <mergeCell ref="N154:O154"/>
    <mergeCell ref="H155:I155"/>
    <mergeCell ref="J174:K174"/>
    <mergeCell ref="L186:M186"/>
    <mergeCell ref="L187:M187"/>
    <mergeCell ref="N178:O178"/>
    <mergeCell ref="N179:O179"/>
    <mergeCell ref="N180:O180"/>
    <mergeCell ref="N181:O181"/>
    <mergeCell ref="L171:M171"/>
    <mergeCell ref="L172:M172"/>
    <mergeCell ref="L173:M173"/>
    <mergeCell ref="L182:M182"/>
    <mergeCell ref="L183:M183"/>
    <mergeCell ref="L184:M184"/>
    <mergeCell ref="L185:M185"/>
    <mergeCell ref="H170:I170"/>
    <mergeCell ref="N166:O166"/>
    <mergeCell ref="N167:O167"/>
    <mergeCell ref="N168:O168"/>
    <mergeCell ref="C120:D120"/>
    <mergeCell ref="C121:D121"/>
    <mergeCell ref="H192:I192"/>
    <mergeCell ref="J192:K192"/>
    <mergeCell ref="L192:M192"/>
    <mergeCell ref="N192:O192"/>
    <mergeCell ref="N169:O169"/>
    <mergeCell ref="J188:K188"/>
    <mergeCell ref="L165:M165"/>
    <mergeCell ref="L166:M166"/>
    <mergeCell ref="L167:M167"/>
    <mergeCell ref="L168:M168"/>
    <mergeCell ref="L169:M169"/>
    <mergeCell ref="L170:M170"/>
    <mergeCell ref="J180:K180"/>
    <mergeCell ref="J181:K181"/>
    <mergeCell ref="J182:K182"/>
    <mergeCell ref="J175:K175"/>
    <mergeCell ref="J176:K176"/>
    <mergeCell ref="J177:K177"/>
    <mergeCell ref="J178:K178"/>
    <mergeCell ref="J179:K179"/>
    <mergeCell ref="J165:K165"/>
    <mergeCell ref="J166:K166"/>
    <mergeCell ref="H169:I169"/>
    <mergeCell ref="L174:M174"/>
    <mergeCell ref="L175:M175"/>
    <mergeCell ref="L176:M176"/>
    <mergeCell ref="N185:O185"/>
    <mergeCell ref="N182:O182"/>
    <mergeCell ref="N183:O183"/>
    <mergeCell ref="N184:O184"/>
    <mergeCell ref="R132:W132"/>
    <mergeCell ref="N165:O165"/>
    <mergeCell ref="J167:K167"/>
    <mergeCell ref="N156:O156"/>
    <mergeCell ref="H157:I157"/>
    <mergeCell ref="J157:K157"/>
    <mergeCell ref="L157:M157"/>
    <mergeCell ref="N157:O157"/>
    <mergeCell ref="H152:I152"/>
    <mergeCell ref="J152:K152"/>
    <mergeCell ref="L152:M152"/>
    <mergeCell ref="N152:O152"/>
    <mergeCell ref="H153:I153"/>
    <mergeCell ref="J153:K153"/>
    <mergeCell ref="L153:M153"/>
    <mergeCell ref="N153:O153"/>
    <mergeCell ref="C124:D124"/>
    <mergeCell ref="C125:D125"/>
    <mergeCell ref="H194:I194"/>
    <mergeCell ref="J194:K194"/>
    <mergeCell ref="L194:M194"/>
    <mergeCell ref="N194:O194"/>
    <mergeCell ref="C122:D122"/>
    <mergeCell ref="C123:D123"/>
    <mergeCell ref="C118:D118"/>
    <mergeCell ref="H191:I191"/>
    <mergeCell ref="J191:K191"/>
    <mergeCell ref="L191:M191"/>
    <mergeCell ref="N191:O191"/>
    <mergeCell ref="N170:O170"/>
    <mergeCell ref="N173:O173"/>
    <mergeCell ref="J168:K168"/>
    <mergeCell ref="J169:K169"/>
    <mergeCell ref="J170:K170"/>
    <mergeCell ref="J171:K171"/>
    <mergeCell ref="J172:K172"/>
    <mergeCell ref="J173:K173"/>
    <mergeCell ref="H166:I166"/>
    <mergeCell ref="H167:I167"/>
    <mergeCell ref="H168:I16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A198"/>
  <sheetViews>
    <sheetView zoomScale="172" zoomScaleNormal="120" workbookViewId="0">
      <pane xSplit="1" ySplit="5" topLeftCell="B90" activePane="bottomRight" state="frozen"/>
      <selection pane="topRight" activeCell="B1" sqref="B1"/>
      <selection pane="bottomLeft" activeCell="A6" sqref="A6"/>
      <selection pane="bottomRight" activeCell="T6" sqref="T6:U129"/>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70</v>
      </c>
    </row>
    <row r="3" spans="1:53" s="2" customFormat="1">
      <c r="G3" s="924"/>
      <c r="H3" s="924"/>
      <c r="I3" s="924"/>
      <c r="J3" s="924"/>
      <c r="K3" s="924"/>
      <c r="L3" s="924"/>
      <c r="M3" s="924"/>
      <c r="O3" s="924"/>
      <c r="P3" s="924"/>
      <c r="Q3" s="924"/>
    </row>
    <row r="4" spans="1:53" s="302" customFormat="1" ht="12.75" customHeight="1">
      <c r="A4" s="889" t="s">
        <v>3</v>
      </c>
      <c r="B4" s="903" t="s">
        <v>4</v>
      </c>
      <c r="C4" s="889" t="s">
        <v>6</v>
      </c>
      <c r="D4" s="889"/>
      <c r="E4" s="903" t="s">
        <v>5</v>
      </c>
      <c r="F4" s="903" t="s">
        <v>7</v>
      </c>
      <c r="G4" s="906" t="s">
        <v>1203</v>
      </c>
      <c r="H4" s="889"/>
      <c r="I4" s="889"/>
      <c r="J4" s="891"/>
      <c r="K4" s="906" t="s">
        <v>1204</v>
      </c>
      <c r="L4" s="889"/>
      <c r="M4" s="889"/>
      <c r="N4" s="891"/>
      <c r="O4" s="906" t="s">
        <v>1201</v>
      </c>
      <c r="P4" s="889"/>
      <c r="Q4" s="889"/>
      <c r="R4" s="889"/>
      <c r="S4" s="907" t="s">
        <v>13</v>
      </c>
      <c r="T4" s="903" t="s">
        <v>780</v>
      </c>
      <c r="U4" s="910" t="s">
        <v>4</v>
      </c>
      <c r="V4" s="888" t="s">
        <v>1191</v>
      </c>
      <c r="W4" s="889"/>
      <c r="X4" s="889"/>
      <c r="Y4" s="890"/>
      <c r="Z4" s="888" t="s">
        <v>1192</v>
      </c>
      <c r="AA4" s="889"/>
      <c r="AB4" s="889"/>
      <c r="AC4" s="890"/>
      <c r="AD4" s="888" t="s">
        <v>1193</v>
      </c>
      <c r="AE4" s="889"/>
      <c r="AF4" s="889"/>
      <c r="AG4" s="890"/>
      <c r="AH4" s="889" t="s">
        <v>1194</v>
      </c>
      <c r="AI4" s="889"/>
      <c r="AJ4" s="889"/>
      <c r="AK4" s="889"/>
      <c r="AL4" s="888" t="s">
        <v>1195</v>
      </c>
      <c r="AM4" s="889"/>
      <c r="AN4" s="889"/>
      <c r="AO4" s="890"/>
      <c r="AP4" s="888" t="s">
        <v>1196</v>
      </c>
      <c r="AQ4" s="889"/>
      <c r="AR4" s="889"/>
      <c r="AS4" s="890"/>
      <c r="AT4" s="888" t="s">
        <v>1265</v>
      </c>
      <c r="AU4" s="889"/>
      <c r="AV4" s="889"/>
      <c r="AW4" s="890"/>
      <c r="AX4" s="889" t="s">
        <v>1266</v>
      </c>
      <c r="AY4" s="889"/>
      <c r="AZ4" s="889"/>
      <c r="BA4" s="891"/>
    </row>
    <row r="5" spans="1:53" s="307" customFormat="1">
      <c r="A5" s="902"/>
      <c r="B5" s="904"/>
      <c r="C5" s="905"/>
      <c r="D5" s="905"/>
      <c r="E5" s="904"/>
      <c r="F5" s="90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04"/>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1240</v>
      </c>
      <c r="D6" s="925"/>
      <c r="E6" s="227">
        <v>287</v>
      </c>
      <c r="G6" s="235">
        <v>18</v>
      </c>
      <c r="J6" s="242">
        <v>18</v>
      </c>
      <c r="K6" s="218">
        <f t="shared" ref="K6:M8" si="0">G6/$J6*100</f>
        <v>100</v>
      </c>
      <c r="L6" s="218">
        <f t="shared" si="0"/>
        <v>0</v>
      </c>
      <c r="M6" s="218">
        <f t="shared" si="0"/>
        <v>0</v>
      </c>
      <c r="N6" s="237">
        <f>K6+L6+M6</f>
        <v>100</v>
      </c>
      <c r="O6" s="217">
        <v>51.4</v>
      </c>
      <c r="P6" s="218"/>
      <c r="Q6" s="218"/>
      <c r="R6" s="219">
        <f>O6+P6+Q6</f>
        <v>51.4</v>
      </c>
      <c r="S6" s="227">
        <v>1</v>
      </c>
      <c r="T6" s="870"/>
      <c r="U6" s="853"/>
      <c r="V6" s="226" t="s">
        <v>791</v>
      </c>
      <c r="W6" s="227" t="s">
        <v>74</v>
      </c>
      <c r="X6" s="227" t="s">
        <v>11</v>
      </c>
      <c r="Y6" s="228">
        <v>51.4</v>
      </c>
      <c r="AD6" s="226"/>
      <c r="AG6" s="228"/>
      <c r="AL6" s="226"/>
      <c r="AO6" s="228"/>
      <c r="AP6" s="226"/>
      <c r="AS6" s="228"/>
      <c r="AW6" s="228"/>
      <c r="BA6" s="229"/>
    </row>
    <row r="7" spans="1:53" s="227" customFormat="1">
      <c r="A7" s="233">
        <v>1959</v>
      </c>
      <c r="B7" s="853">
        <v>21838</v>
      </c>
      <c r="C7" s="925" t="s">
        <v>856</v>
      </c>
      <c r="D7" s="925"/>
      <c r="E7" s="227">
        <f xml:space="preserve"> 365-E6</f>
        <v>78</v>
      </c>
      <c r="F7" s="227">
        <v>1</v>
      </c>
      <c r="G7" s="235">
        <v>19</v>
      </c>
      <c r="J7" s="242">
        <v>19</v>
      </c>
      <c r="K7" s="218">
        <f t="shared" si="0"/>
        <v>100</v>
      </c>
      <c r="L7" s="218">
        <f t="shared" si="0"/>
        <v>0</v>
      </c>
      <c r="M7" s="218">
        <f t="shared" si="0"/>
        <v>0</v>
      </c>
      <c r="N7" s="237">
        <f>K7+L7+M7</f>
        <v>100</v>
      </c>
      <c r="O7" s="217">
        <v>57.9</v>
      </c>
      <c r="P7" s="218"/>
      <c r="Q7" s="218"/>
      <c r="R7" s="219">
        <f>O7+P7+Q7</f>
        <v>57.9</v>
      </c>
      <c r="S7" s="227">
        <v>1</v>
      </c>
      <c r="T7" s="870">
        <v>21831</v>
      </c>
      <c r="U7" s="853">
        <v>21838</v>
      </c>
      <c r="V7" s="226" t="s">
        <v>791</v>
      </c>
      <c r="W7" s="227" t="s">
        <v>74</v>
      </c>
      <c r="X7" s="227" t="s">
        <v>11</v>
      </c>
      <c r="Y7" s="228">
        <v>57.9</v>
      </c>
      <c r="AD7" s="226"/>
      <c r="AG7" s="228"/>
      <c r="AL7" s="226"/>
      <c r="AO7" s="228"/>
      <c r="AP7" s="226"/>
      <c r="AS7" s="228"/>
      <c r="AW7" s="228"/>
      <c r="BA7" s="229"/>
    </row>
    <row r="8" spans="1:53" s="185" customFormat="1">
      <c r="A8" s="101">
        <v>1960</v>
      </c>
      <c r="B8" s="852"/>
      <c r="C8" s="917" t="s">
        <v>856</v>
      </c>
      <c r="D8" s="917"/>
      <c r="E8" s="185">
        <v>0</v>
      </c>
      <c r="G8" s="119">
        <v>19</v>
      </c>
      <c r="J8" s="126">
        <v>19</v>
      </c>
      <c r="K8" s="92">
        <f t="shared" si="0"/>
        <v>100</v>
      </c>
      <c r="L8" s="92">
        <f t="shared" si="0"/>
        <v>0</v>
      </c>
      <c r="M8" s="92">
        <f t="shared" si="0"/>
        <v>0</v>
      </c>
      <c r="N8" s="121">
        <f>K8+L8+M8</f>
        <v>100</v>
      </c>
      <c r="O8" s="91">
        <v>57.9</v>
      </c>
      <c r="P8" s="92"/>
      <c r="Q8" s="92"/>
      <c r="R8" s="93">
        <f>O8+P8+Q8</f>
        <v>57.9</v>
      </c>
      <c r="S8" s="185">
        <v>1</v>
      </c>
      <c r="T8" s="839"/>
      <c r="U8" s="852"/>
      <c r="V8" s="82" t="s">
        <v>791</v>
      </c>
      <c r="W8" s="185" t="s">
        <v>74</v>
      </c>
      <c r="X8" s="185" t="s">
        <v>11</v>
      </c>
      <c r="Y8" s="83">
        <v>57.9</v>
      </c>
      <c r="AD8" s="82"/>
      <c r="AG8" s="83"/>
      <c r="AL8" s="82"/>
      <c r="AO8" s="83"/>
      <c r="AP8" s="82"/>
      <c r="AS8" s="83"/>
      <c r="AW8" s="83"/>
      <c r="BA8" s="84"/>
    </row>
    <row r="9" spans="1:53" s="185" customFormat="1">
      <c r="A9" s="101">
        <v>1960</v>
      </c>
      <c r="B9" s="852"/>
      <c r="C9" s="917" t="s">
        <v>856</v>
      </c>
      <c r="D9" s="917"/>
      <c r="E9" s="185">
        <v>366</v>
      </c>
      <c r="G9" s="119">
        <v>19</v>
      </c>
      <c r="J9" s="126">
        <v>19</v>
      </c>
      <c r="K9" s="92">
        <f t="shared" ref="K9:M72" si="1">G9/$J9*100</f>
        <v>100</v>
      </c>
      <c r="L9" s="92">
        <f t="shared" si="1"/>
        <v>0</v>
      </c>
      <c r="M9" s="92">
        <f t="shared" si="1"/>
        <v>0</v>
      </c>
      <c r="N9" s="121">
        <f t="shared" ref="N9:N72" si="2">K9+L9+M9</f>
        <v>100</v>
      </c>
      <c r="O9" s="91">
        <v>57.9</v>
      </c>
      <c r="P9" s="92"/>
      <c r="Q9" s="92"/>
      <c r="R9" s="93">
        <f t="shared" ref="R9:R72" si="3">O9+P9+Q9</f>
        <v>57.9</v>
      </c>
      <c r="S9" s="185">
        <v>1</v>
      </c>
      <c r="T9" s="839"/>
      <c r="U9" s="852"/>
      <c r="V9" s="82" t="s">
        <v>791</v>
      </c>
      <c r="W9" s="185" t="s">
        <v>74</v>
      </c>
      <c r="X9" s="185" t="s">
        <v>11</v>
      </c>
      <c r="Y9" s="83">
        <v>57.9</v>
      </c>
      <c r="AD9" s="82"/>
      <c r="AG9" s="83"/>
      <c r="AL9" s="82"/>
      <c r="AO9" s="83"/>
      <c r="AP9" s="82"/>
      <c r="AS9" s="83"/>
      <c r="AW9" s="83"/>
      <c r="BA9" s="84"/>
    </row>
    <row r="10" spans="1:53" s="185" customFormat="1">
      <c r="A10" s="101">
        <v>1961</v>
      </c>
      <c r="B10" s="852"/>
      <c r="C10" s="917" t="s">
        <v>856</v>
      </c>
      <c r="D10" s="917"/>
      <c r="E10" s="185">
        <v>0</v>
      </c>
      <c r="G10" s="119">
        <v>19</v>
      </c>
      <c r="J10" s="126">
        <v>19</v>
      </c>
      <c r="K10" s="92">
        <f t="shared" si="1"/>
        <v>100</v>
      </c>
      <c r="L10" s="92">
        <f t="shared" si="1"/>
        <v>0</v>
      </c>
      <c r="M10" s="92">
        <f t="shared" si="1"/>
        <v>0</v>
      </c>
      <c r="N10" s="121">
        <f t="shared" si="2"/>
        <v>100</v>
      </c>
      <c r="O10" s="91">
        <v>57.9</v>
      </c>
      <c r="P10" s="92"/>
      <c r="Q10" s="92"/>
      <c r="R10" s="93">
        <f t="shared" si="3"/>
        <v>57.9</v>
      </c>
      <c r="S10" s="185">
        <v>1</v>
      </c>
      <c r="T10" s="839"/>
      <c r="U10" s="852"/>
      <c r="V10" s="82" t="s">
        <v>791</v>
      </c>
      <c r="W10" s="185" t="s">
        <v>74</v>
      </c>
      <c r="X10" s="185" t="s">
        <v>11</v>
      </c>
      <c r="Y10" s="83">
        <v>57.9</v>
      </c>
      <c r="AD10" s="82"/>
      <c r="AG10" s="83"/>
      <c r="AL10" s="82"/>
      <c r="AO10" s="83"/>
      <c r="AP10" s="82"/>
      <c r="AS10" s="83"/>
      <c r="AW10" s="83"/>
      <c r="BA10" s="84"/>
    </row>
    <row r="11" spans="1:53" s="185" customFormat="1">
      <c r="A11" s="101">
        <v>1961</v>
      </c>
      <c r="B11" s="852"/>
      <c r="C11" s="917" t="s">
        <v>856</v>
      </c>
      <c r="D11" s="917"/>
      <c r="E11" s="185">
        <v>365</v>
      </c>
      <c r="G11" s="119">
        <v>19</v>
      </c>
      <c r="J11" s="126">
        <v>19</v>
      </c>
      <c r="K11" s="92">
        <f t="shared" si="1"/>
        <v>100</v>
      </c>
      <c r="L11" s="92">
        <f t="shared" si="1"/>
        <v>0</v>
      </c>
      <c r="M11" s="92">
        <f t="shared" si="1"/>
        <v>0</v>
      </c>
      <c r="N11" s="121">
        <f t="shared" si="2"/>
        <v>100</v>
      </c>
      <c r="O11" s="91">
        <v>57.9</v>
      </c>
      <c r="P11" s="92"/>
      <c r="Q11" s="92"/>
      <c r="R11" s="93">
        <f t="shared" si="3"/>
        <v>57.9</v>
      </c>
      <c r="S11" s="185">
        <v>1</v>
      </c>
      <c r="T11" s="839"/>
      <c r="U11" s="852"/>
      <c r="V11" s="82" t="s">
        <v>791</v>
      </c>
      <c r="W11" s="185" t="s">
        <v>74</v>
      </c>
      <c r="X11" s="185" t="s">
        <v>11</v>
      </c>
      <c r="Y11" s="83">
        <v>57.9</v>
      </c>
      <c r="AD11" s="82"/>
      <c r="AG11" s="83"/>
      <c r="AL11" s="82"/>
      <c r="AO11" s="83"/>
      <c r="AP11" s="82"/>
      <c r="AS11" s="83"/>
      <c r="AW11" s="83"/>
      <c r="BA11" s="84"/>
    </row>
    <row r="12" spans="1:53" s="185" customFormat="1">
      <c r="A12" s="101">
        <v>1962</v>
      </c>
      <c r="B12" s="852"/>
      <c r="C12" s="917" t="s">
        <v>856</v>
      </c>
      <c r="D12" s="917"/>
      <c r="E12" s="185">
        <v>0</v>
      </c>
      <c r="G12" s="119">
        <v>19</v>
      </c>
      <c r="J12" s="126">
        <v>19</v>
      </c>
      <c r="K12" s="92">
        <f t="shared" si="1"/>
        <v>100</v>
      </c>
      <c r="L12" s="92">
        <f t="shared" si="1"/>
        <v>0</v>
      </c>
      <c r="M12" s="92">
        <f t="shared" si="1"/>
        <v>0</v>
      </c>
      <c r="N12" s="121">
        <f t="shared" si="2"/>
        <v>100</v>
      </c>
      <c r="O12" s="91">
        <v>57.9</v>
      </c>
      <c r="P12" s="92"/>
      <c r="Q12" s="92"/>
      <c r="R12" s="93">
        <f t="shared" si="3"/>
        <v>57.9</v>
      </c>
      <c r="S12" s="185">
        <v>1</v>
      </c>
      <c r="T12" s="839"/>
      <c r="U12" s="852"/>
      <c r="V12" s="82" t="s">
        <v>791</v>
      </c>
      <c r="W12" s="185" t="s">
        <v>74</v>
      </c>
      <c r="X12" s="185" t="s">
        <v>11</v>
      </c>
      <c r="Y12" s="83">
        <v>57.9</v>
      </c>
      <c r="AD12" s="82"/>
      <c r="AG12" s="83"/>
      <c r="AL12" s="82"/>
      <c r="AO12" s="83"/>
      <c r="AP12" s="82"/>
      <c r="AS12" s="83"/>
      <c r="AW12" s="83"/>
      <c r="BA12" s="84"/>
    </row>
    <row r="13" spans="1:53" s="185" customFormat="1">
      <c r="A13" s="101">
        <v>1962</v>
      </c>
      <c r="B13" s="852"/>
      <c r="C13" s="917" t="s">
        <v>856</v>
      </c>
      <c r="D13" s="917"/>
      <c r="E13" s="185">
        <v>365</v>
      </c>
      <c r="G13" s="119">
        <v>19</v>
      </c>
      <c r="J13" s="126">
        <v>19</v>
      </c>
      <c r="K13" s="92">
        <f t="shared" si="1"/>
        <v>100</v>
      </c>
      <c r="L13" s="92">
        <f t="shared" si="1"/>
        <v>0</v>
      </c>
      <c r="M13" s="92">
        <f t="shared" si="1"/>
        <v>0</v>
      </c>
      <c r="N13" s="121">
        <f t="shared" si="2"/>
        <v>100</v>
      </c>
      <c r="O13" s="91">
        <v>57.9</v>
      </c>
      <c r="P13" s="92"/>
      <c r="Q13" s="92"/>
      <c r="R13" s="93">
        <f t="shared" si="3"/>
        <v>57.9</v>
      </c>
      <c r="S13" s="185">
        <v>1</v>
      </c>
      <c r="T13" s="839"/>
      <c r="U13" s="852"/>
      <c r="V13" s="82" t="s">
        <v>791</v>
      </c>
      <c r="W13" s="185" t="s">
        <v>74</v>
      </c>
      <c r="X13" s="185" t="s">
        <v>11</v>
      </c>
      <c r="Y13" s="83">
        <v>57.9</v>
      </c>
      <c r="AD13" s="82"/>
      <c r="AG13" s="83"/>
      <c r="AL13" s="82"/>
      <c r="AO13" s="83"/>
      <c r="AP13" s="82"/>
      <c r="AS13" s="83"/>
      <c r="AW13" s="83"/>
      <c r="BA13" s="84"/>
    </row>
    <row r="14" spans="1:53" s="185" customFormat="1">
      <c r="A14" s="101">
        <v>1962.6</v>
      </c>
      <c r="B14" s="852"/>
      <c r="C14" s="917" t="s">
        <v>856</v>
      </c>
      <c r="D14" s="917"/>
      <c r="E14" s="185">
        <v>291</v>
      </c>
      <c r="G14" s="119">
        <v>19</v>
      </c>
      <c r="J14" s="126">
        <v>19</v>
      </c>
      <c r="K14" s="92">
        <f t="shared" si="1"/>
        <v>100</v>
      </c>
      <c r="L14" s="92">
        <f t="shared" si="1"/>
        <v>0</v>
      </c>
      <c r="M14" s="92">
        <f t="shared" si="1"/>
        <v>0</v>
      </c>
      <c r="N14" s="121">
        <f t="shared" si="2"/>
        <v>100</v>
      </c>
      <c r="O14" s="91">
        <v>57.9</v>
      </c>
      <c r="P14" s="92"/>
      <c r="Q14" s="92"/>
      <c r="R14" s="93">
        <f t="shared" si="3"/>
        <v>57.9</v>
      </c>
      <c r="S14" s="185">
        <v>1</v>
      </c>
      <c r="T14" s="839"/>
      <c r="U14" s="852"/>
      <c r="V14" s="82" t="s">
        <v>791</v>
      </c>
      <c r="W14" s="185" t="s">
        <v>74</v>
      </c>
      <c r="X14" s="185" t="s">
        <v>11</v>
      </c>
      <c r="Y14" s="83">
        <v>57.9</v>
      </c>
      <c r="AD14" s="82"/>
      <c r="AG14" s="83"/>
      <c r="AL14" s="82"/>
      <c r="AO14" s="83"/>
      <c r="AP14" s="82"/>
      <c r="AS14" s="83"/>
      <c r="AW14" s="83"/>
      <c r="BA14" s="84"/>
    </row>
    <row r="15" spans="1:53" s="292" customFormat="1">
      <c r="A15" s="338">
        <v>1963.05714285714</v>
      </c>
      <c r="B15" s="836">
        <v>23303</v>
      </c>
      <c r="C15" s="916" t="s">
        <v>792</v>
      </c>
      <c r="D15" s="916"/>
      <c r="E15" s="292">
        <f xml:space="preserve"> 365-E14</f>
        <v>74</v>
      </c>
      <c r="F15" s="292">
        <v>3</v>
      </c>
      <c r="G15" s="366">
        <v>23</v>
      </c>
      <c r="J15" s="377">
        <v>23</v>
      </c>
      <c r="K15" s="336">
        <f t="shared" si="1"/>
        <v>100</v>
      </c>
      <c r="L15" s="336">
        <f t="shared" si="1"/>
        <v>0</v>
      </c>
      <c r="M15" s="336">
        <f t="shared" si="1"/>
        <v>0</v>
      </c>
      <c r="N15" s="368">
        <f t="shared" si="2"/>
        <v>100</v>
      </c>
      <c r="O15" s="335">
        <v>57.9</v>
      </c>
      <c r="P15" s="336"/>
      <c r="Q15" s="336"/>
      <c r="R15" s="337">
        <f t="shared" si="3"/>
        <v>57.9</v>
      </c>
      <c r="S15" s="292">
        <v>1</v>
      </c>
      <c r="T15" s="838"/>
      <c r="U15" s="836">
        <v>23303</v>
      </c>
      <c r="V15" s="299" t="s">
        <v>791</v>
      </c>
      <c r="W15" s="292" t="s">
        <v>74</v>
      </c>
      <c r="X15" s="292" t="s">
        <v>11</v>
      </c>
      <c r="Y15" s="300">
        <v>57.9</v>
      </c>
      <c r="AD15" s="299"/>
      <c r="AG15" s="300"/>
      <c r="AL15" s="299"/>
      <c r="AO15" s="300"/>
      <c r="AP15" s="299"/>
      <c r="AS15" s="300"/>
      <c r="AW15" s="300"/>
      <c r="BA15" s="301"/>
    </row>
    <row r="16" spans="1:53" s="292" customFormat="1">
      <c r="A16" s="338">
        <v>1963.5142857142901</v>
      </c>
      <c r="B16" s="836"/>
      <c r="C16" s="916" t="s">
        <v>792</v>
      </c>
      <c r="D16" s="916"/>
      <c r="E16" s="292">
        <v>290</v>
      </c>
      <c r="G16" s="366">
        <v>23</v>
      </c>
      <c r="J16" s="377">
        <v>23</v>
      </c>
      <c r="K16" s="336">
        <f t="shared" si="1"/>
        <v>100</v>
      </c>
      <c r="L16" s="336">
        <f t="shared" si="1"/>
        <v>0</v>
      </c>
      <c r="M16" s="336">
        <f t="shared" si="1"/>
        <v>0</v>
      </c>
      <c r="N16" s="368">
        <f t="shared" si="2"/>
        <v>100</v>
      </c>
      <c r="O16" s="335">
        <v>57.9</v>
      </c>
      <c r="P16" s="336"/>
      <c r="Q16" s="336"/>
      <c r="R16" s="337">
        <f t="shared" si="3"/>
        <v>57.9</v>
      </c>
      <c r="S16" s="292">
        <v>1</v>
      </c>
      <c r="T16" s="838"/>
      <c r="U16" s="836"/>
      <c r="V16" s="299" t="s">
        <v>791</v>
      </c>
      <c r="W16" s="292" t="s">
        <v>74</v>
      </c>
      <c r="X16" s="292" t="s">
        <v>11</v>
      </c>
      <c r="Y16" s="300">
        <v>57.9</v>
      </c>
      <c r="AD16" s="299"/>
      <c r="AG16" s="300"/>
      <c r="AL16" s="299"/>
      <c r="AO16" s="300"/>
      <c r="AP16" s="299"/>
      <c r="AS16" s="300"/>
      <c r="AW16" s="300"/>
      <c r="BA16" s="301"/>
    </row>
    <row r="17" spans="1:53" s="185" customFormat="1">
      <c r="A17" s="101">
        <v>1963.9714285714299</v>
      </c>
      <c r="B17" s="852">
        <v>23667</v>
      </c>
      <c r="C17" s="917" t="s">
        <v>782</v>
      </c>
      <c r="D17" s="917"/>
      <c r="E17" s="185">
        <f xml:space="preserve"> 366-E16</f>
        <v>76</v>
      </c>
      <c r="F17" s="185">
        <v>1</v>
      </c>
      <c r="G17" s="119"/>
      <c r="I17" s="185">
        <v>23</v>
      </c>
      <c r="J17" s="126">
        <v>23</v>
      </c>
      <c r="K17" s="92">
        <f t="shared" si="1"/>
        <v>0</v>
      </c>
      <c r="L17" s="92">
        <f t="shared" si="1"/>
        <v>0</v>
      </c>
      <c r="M17" s="92">
        <f t="shared" si="1"/>
        <v>100</v>
      </c>
      <c r="N17" s="121">
        <f t="shared" si="2"/>
        <v>100</v>
      </c>
      <c r="O17" s="91"/>
      <c r="P17" s="92"/>
      <c r="Q17" s="92">
        <v>50.3</v>
      </c>
      <c r="R17" s="93">
        <f t="shared" si="3"/>
        <v>50.3</v>
      </c>
      <c r="S17" s="185">
        <v>1</v>
      </c>
      <c r="T17" s="839">
        <v>23665</v>
      </c>
      <c r="U17" s="852">
        <v>23667</v>
      </c>
      <c r="V17" s="82" t="s">
        <v>454</v>
      </c>
      <c r="W17" s="185" t="s">
        <v>20</v>
      </c>
      <c r="X17" s="185" t="s">
        <v>12</v>
      </c>
      <c r="Y17" s="83">
        <v>50.3</v>
      </c>
      <c r="AD17" s="82"/>
      <c r="AG17" s="83"/>
      <c r="AL17" s="82"/>
      <c r="AO17" s="83"/>
      <c r="AP17" s="82"/>
      <c r="AS17" s="83"/>
      <c r="AW17" s="83"/>
      <c r="BA17" s="84"/>
    </row>
    <row r="18" spans="1:53" s="185" customFormat="1">
      <c r="A18" s="101">
        <v>1965</v>
      </c>
      <c r="B18" s="852"/>
      <c r="C18" s="917" t="s">
        <v>782</v>
      </c>
      <c r="D18" s="917"/>
      <c r="E18" s="185">
        <v>0</v>
      </c>
      <c r="G18" s="119"/>
      <c r="I18" s="185">
        <v>23</v>
      </c>
      <c r="J18" s="126">
        <v>23</v>
      </c>
      <c r="K18" s="92">
        <f t="shared" si="1"/>
        <v>0</v>
      </c>
      <c r="L18" s="92">
        <f t="shared" si="1"/>
        <v>0</v>
      </c>
      <c r="M18" s="92">
        <f t="shared" si="1"/>
        <v>100</v>
      </c>
      <c r="N18" s="121">
        <f t="shared" si="2"/>
        <v>100</v>
      </c>
      <c r="O18" s="91"/>
      <c r="P18" s="92"/>
      <c r="Q18" s="92">
        <v>50.3</v>
      </c>
      <c r="R18" s="93">
        <f t="shared" si="3"/>
        <v>50.3</v>
      </c>
      <c r="S18" s="185">
        <v>1</v>
      </c>
      <c r="T18" s="839"/>
      <c r="U18" s="852"/>
      <c r="V18" s="82" t="s">
        <v>454</v>
      </c>
      <c r="W18" s="185" t="s">
        <v>20</v>
      </c>
      <c r="X18" s="185" t="s">
        <v>12</v>
      </c>
      <c r="Y18" s="83">
        <v>50.3</v>
      </c>
      <c r="AD18" s="82"/>
      <c r="AG18" s="83"/>
      <c r="AL18" s="82"/>
      <c r="AO18" s="83"/>
      <c r="AP18" s="82"/>
      <c r="AS18" s="83"/>
      <c r="AW18" s="83"/>
      <c r="BA18" s="84"/>
    </row>
    <row r="19" spans="1:53" s="185" customFormat="1">
      <c r="A19" s="101">
        <v>1964.88571428572</v>
      </c>
      <c r="B19" s="852"/>
      <c r="C19" s="917" t="s">
        <v>782</v>
      </c>
      <c r="D19" s="917"/>
      <c r="E19" s="185">
        <v>365</v>
      </c>
      <c r="G19" s="119"/>
      <c r="I19" s="185">
        <v>23</v>
      </c>
      <c r="J19" s="126">
        <v>23</v>
      </c>
      <c r="K19" s="92">
        <f t="shared" si="1"/>
        <v>0</v>
      </c>
      <c r="L19" s="92">
        <f t="shared" si="1"/>
        <v>0</v>
      </c>
      <c r="M19" s="92">
        <f t="shared" si="1"/>
        <v>100</v>
      </c>
      <c r="N19" s="121">
        <f t="shared" si="2"/>
        <v>100</v>
      </c>
      <c r="O19" s="91"/>
      <c r="P19" s="92"/>
      <c r="Q19" s="92">
        <v>50.3</v>
      </c>
      <c r="R19" s="93">
        <f t="shared" si="3"/>
        <v>50.3</v>
      </c>
      <c r="S19" s="185">
        <v>1</v>
      </c>
      <c r="T19" s="839"/>
      <c r="U19" s="852"/>
      <c r="V19" s="82" t="s">
        <v>454</v>
      </c>
      <c r="W19" s="185" t="s">
        <v>20</v>
      </c>
      <c r="X19" s="185" t="s">
        <v>12</v>
      </c>
      <c r="Y19" s="83">
        <v>50.3</v>
      </c>
      <c r="AD19" s="82"/>
      <c r="AG19" s="83"/>
      <c r="AL19" s="82"/>
      <c r="AO19" s="83"/>
      <c r="AP19" s="82"/>
      <c r="AS19" s="83"/>
      <c r="AW19" s="83"/>
      <c r="BA19" s="84"/>
    </row>
    <row r="20" spans="1:53" s="185" customFormat="1">
      <c r="A20" s="101">
        <v>1966</v>
      </c>
      <c r="B20" s="852"/>
      <c r="C20" s="917" t="s">
        <v>782</v>
      </c>
      <c r="D20" s="917"/>
      <c r="E20" s="185">
        <v>95</v>
      </c>
      <c r="G20" s="119"/>
      <c r="I20" s="185">
        <v>23</v>
      </c>
      <c r="J20" s="126">
        <v>23</v>
      </c>
      <c r="K20" s="92">
        <f t="shared" si="1"/>
        <v>0</v>
      </c>
      <c r="L20" s="92">
        <f t="shared" si="1"/>
        <v>0</v>
      </c>
      <c r="M20" s="92">
        <f t="shared" si="1"/>
        <v>100</v>
      </c>
      <c r="N20" s="121">
        <f t="shared" si="2"/>
        <v>100</v>
      </c>
      <c r="O20" s="91"/>
      <c r="P20" s="92"/>
      <c r="Q20" s="92">
        <v>50.3</v>
      </c>
      <c r="R20" s="93">
        <f t="shared" si="3"/>
        <v>50.3</v>
      </c>
      <c r="S20" s="185">
        <v>1</v>
      </c>
      <c r="T20" s="839"/>
      <c r="U20" s="852"/>
      <c r="V20" s="82" t="s">
        <v>454</v>
      </c>
      <c r="W20" s="185" t="s">
        <v>20</v>
      </c>
      <c r="X20" s="185" t="s">
        <v>12</v>
      </c>
      <c r="Y20" s="83">
        <v>50.3</v>
      </c>
      <c r="AD20" s="82"/>
      <c r="AG20" s="83"/>
      <c r="AL20" s="82"/>
      <c r="AO20" s="83"/>
      <c r="AP20" s="82"/>
      <c r="AS20" s="83"/>
      <c r="AW20" s="83"/>
      <c r="BA20" s="84"/>
    </row>
    <row r="21" spans="1:53" s="292" customFormat="1">
      <c r="A21" s="338">
        <v>1965.8</v>
      </c>
      <c r="B21" s="836">
        <v>24203</v>
      </c>
      <c r="C21" s="916" t="s">
        <v>783</v>
      </c>
      <c r="D21" s="916"/>
      <c r="E21" s="292">
        <f>365-E20</f>
        <v>270</v>
      </c>
      <c r="F21" s="292">
        <v>1</v>
      </c>
      <c r="G21" s="366"/>
      <c r="I21" s="292">
        <v>23</v>
      </c>
      <c r="J21" s="377">
        <v>23</v>
      </c>
      <c r="K21" s="336">
        <f t="shared" si="1"/>
        <v>0</v>
      </c>
      <c r="L21" s="336">
        <f t="shared" si="1"/>
        <v>0</v>
      </c>
      <c r="M21" s="336">
        <f t="shared" si="1"/>
        <v>100</v>
      </c>
      <c r="N21" s="368">
        <f t="shared" si="2"/>
        <v>100</v>
      </c>
      <c r="O21" s="335"/>
      <c r="P21" s="336"/>
      <c r="Q21" s="336">
        <v>57.8</v>
      </c>
      <c r="R21" s="337">
        <f t="shared" si="3"/>
        <v>57.8</v>
      </c>
      <c r="S21" s="292">
        <v>1</v>
      </c>
      <c r="T21" s="838">
        <v>24197</v>
      </c>
      <c r="U21" s="836">
        <v>24203</v>
      </c>
      <c r="V21" s="299" t="s">
        <v>454</v>
      </c>
      <c r="W21" s="292" t="s">
        <v>20</v>
      </c>
      <c r="X21" s="292" t="s">
        <v>12</v>
      </c>
      <c r="Y21" s="300">
        <v>57.8</v>
      </c>
      <c r="AD21" s="299"/>
      <c r="AG21" s="300"/>
      <c r="AL21" s="299"/>
      <c r="AO21" s="300"/>
      <c r="AP21" s="299"/>
      <c r="AS21" s="300"/>
      <c r="AW21" s="300"/>
      <c r="BA21" s="301"/>
    </row>
    <row r="22" spans="1:53" s="292" customFormat="1">
      <c r="A22" s="338">
        <v>1967</v>
      </c>
      <c r="B22" s="836"/>
      <c r="C22" s="916" t="s">
        <v>783</v>
      </c>
      <c r="D22" s="916"/>
      <c r="E22" s="292">
        <v>0</v>
      </c>
      <c r="G22" s="366"/>
      <c r="I22" s="292">
        <v>23</v>
      </c>
      <c r="J22" s="377">
        <v>23</v>
      </c>
      <c r="K22" s="336">
        <f t="shared" si="1"/>
        <v>0</v>
      </c>
      <c r="L22" s="336">
        <f t="shared" si="1"/>
        <v>0</v>
      </c>
      <c r="M22" s="336">
        <f t="shared" si="1"/>
        <v>100</v>
      </c>
      <c r="N22" s="368">
        <f t="shared" si="2"/>
        <v>100</v>
      </c>
      <c r="O22" s="335"/>
      <c r="P22" s="336"/>
      <c r="Q22" s="336">
        <v>57.8</v>
      </c>
      <c r="R22" s="337">
        <f t="shared" si="3"/>
        <v>57.8</v>
      </c>
      <c r="S22" s="292">
        <v>1</v>
      </c>
      <c r="T22" s="838"/>
      <c r="U22" s="836"/>
      <c r="V22" s="299" t="s">
        <v>454</v>
      </c>
      <c r="W22" s="292" t="s">
        <v>20</v>
      </c>
      <c r="X22" s="292" t="s">
        <v>12</v>
      </c>
      <c r="Y22" s="300">
        <v>57.8</v>
      </c>
      <c r="AD22" s="299"/>
      <c r="AG22" s="300"/>
      <c r="AL22" s="299"/>
      <c r="AO22" s="300"/>
      <c r="AP22" s="299"/>
      <c r="AS22" s="300"/>
      <c r="AW22" s="300"/>
      <c r="BA22" s="301"/>
    </row>
    <row r="23" spans="1:53" s="292" customFormat="1">
      <c r="A23" s="338">
        <v>1966.7142857142901</v>
      </c>
      <c r="B23" s="836"/>
      <c r="C23" s="916" t="s">
        <v>783</v>
      </c>
      <c r="D23" s="916"/>
      <c r="E23" s="292">
        <v>365</v>
      </c>
      <c r="G23" s="366"/>
      <c r="I23" s="292">
        <v>23</v>
      </c>
      <c r="J23" s="377">
        <v>23</v>
      </c>
      <c r="K23" s="336">
        <f t="shared" si="1"/>
        <v>0</v>
      </c>
      <c r="L23" s="336">
        <f t="shared" si="1"/>
        <v>0</v>
      </c>
      <c r="M23" s="336">
        <f t="shared" si="1"/>
        <v>100</v>
      </c>
      <c r="N23" s="368">
        <f t="shared" si="2"/>
        <v>100</v>
      </c>
      <c r="O23" s="335"/>
      <c r="P23" s="336"/>
      <c r="Q23" s="336">
        <v>57.8</v>
      </c>
      <c r="R23" s="337">
        <f t="shared" si="3"/>
        <v>57.8</v>
      </c>
      <c r="S23" s="292">
        <v>1</v>
      </c>
      <c r="T23" s="838"/>
      <c r="U23" s="836"/>
      <c r="V23" s="299" t="s">
        <v>454</v>
      </c>
      <c r="W23" s="292" t="s">
        <v>20</v>
      </c>
      <c r="X23" s="292" t="s">
        <v>12</v>
      </c>
      <c r="Y23" s="300">
        <v>57.8</v>
      </c>
      <c r="AD23" s="299"/>
      <c r="AG23" s="300"/>
      <c r="AL23" s="299"/>
      <c r="AO23" s="300"/>
      <c r="AP23" s="299"/>
      <c r="AS23" s="300"/>
      <c r="AW23" s="300"/>
      <c r="BA23" s="301"/>
    </row>
    <row r="24" spans="1:53" s="292" customFormat="1">
      <c r="A24" s="338">
        <v>1968</v>
      </c>
      <c r="B24" s="836"/>
      <c r="C24" s="916" t="s">
        <v>783</v>
      </c>
      <c r="D24" s="916"/>
      <c r="E24" s="292">
        <v>0</v>
      </c>
      <c r="G24" s="366"/>
      <c r="I24" s="292">
        <v>23</v>
      </c>
      <c r="J24" s="377">
        <v>23</v>
      </c>
      <c r="K24" s="336">
        <f t="shared" si="1"/>
        <v>0</v>
      </c>
      <c r="L24" s="336">
        <f t="shared" si="1"/>
        <v>0</v>
      </c>
      <c r="M24" s="336">
        <f t="shared" si="1"/>
        <v>100</v>
      </c>
      <c r="N24" s="368">
        <f t="shared" si="2"/>
        <v>100</v>
      </c>
      <c r="O24" s="335"/>
      <c r="P24" s="336"/>
      <c r="Q24" s="336">
        <v>57.8</v>
      </c>
      <c r="R24" s="337">
        <f t="shared" si="3"/>
        <v>57.8</v>
      </c>
      <c r="S24" s="292">
        <v>1</v>
      </c>
      <c r="T24" s="838"/>
      <c r="U24" s="836"/>
      <c r="V24" s="299" t="s">
        <v>454</v>
      </c>
      <c r="W24" s="292" t="s">
        <v>20</v>
      </c>
      <c r="X24" s="292" t="s">
        <v>12</v>
      </c>
      <c r="Y24" s="300">
        <v>57.8</v>
      </c>
      <c r="AD24" s="299"/>
      <c r="AG24" s="300"/>
      <c r="AL24" s="299"/>
      <c r="AO24" s="300"/>
      <c r="AP24" s="299"/>
      <c r="AS24" s="300"/>
      <c r="AW24" s="300"/>
      <c r="BA24" s="301"/>
    </row>
    <row r="25" spans="1:53" s="292" customFormat="1">
      <c r="A25" s="338">
        <v>1967.62857142857</v>
      </c>
      <c r="B25" s="836"/>
      <c r="C25" s="916" t="s">
        <v>783</v>
      </c>
      <c r="D25" s="916"/>
      <c r="E25" s="292">
        <v>366</v>
      </c>
      <c r="G25" s="366"/>
      <c r="I25" s="292">
        <v>23</v>
      </c>
      <c r="J25" s="377">
        <v>23</v>
      </c>
      <c r="K25" s="336">
        <f t="shared" si="1"/>
        <v>0</v>
      </c>
      <c r="L25" s="336">
        <f t="shared" si="1"/>
        <v>0</v>
      </c>
      <c r="M25" s="336">
        <f t="shared" si="1"/>
        <v>100</v>
      </c>
      <c r="N25" s="368">
        <f t="shared" si="2"/>
        <v>100</v>
      </c>
      <c r="O25" s="335"/>
      <c r="P25" s="336"/>
      <c r="Q25" s="336">
        <v>57.8</v>
      </c>
      <c r="R25" s="337">
        <f t="shared" si="3"/>
        <v>57.8</v>
      </c>
      <c r="S25" s="292">
        <v>1</v>
      </c>
      <c r="T25" s="838"/>
      <c r="U25" s="836"/>
      <c r="V25" s="299" t="s">
        <v>454</v>
      </c>
      <c r="W25" s="292" t="s">
        <v>20</v>
      </c>
      <c r="X25" s="292" t="s">
        <v>12</v>
      </c>
      <c r="Y25" s="300">
        <v>57.8</v>
      </c>
      <c r="AD25" s="299"/>
      <c r="AG25" s="300"/>
      <c r="AL25" s="299"/>
      <c r="AO25" s="300"/>
      <c r="AP25" s="299"/>
      <c r="AS25" s="300"/>
      <c r="AW25" s="300"/>
      <c r="BA25" s="301"/>
    </row>
    <row r="26" spans="1:53" s="292" customFormat="1">
      <c r="A26" s="338">
        <v>1969</v>
      </c>
      <c r="B26" s="836"/>
      <c r="C26" s="916" t="s">
        <v>783</v>
      </c>
      <c r="D26" s="916"/>
      <c r="E26" s="292">
        <v>0</v>
      </c>
      <c r="G26" s="366"/>
      <c r="I26" s="292">
        <v>23</v>
      </c>
      <c r="J26" s="377">
        <v>23</v>
      </c>
      <c r="K26" s="336">
        <f t="shared" si="1"/>
        <v>0</v>
      </c>
      <c r="L26" s="336">
        <f t="shared" si="1"/>
        <v>0</v>
      </c>
      <c r="M26" s="336">
        <f t="shared" si="1"/>
        <v>100</v>
      </c>
      <c r="N26" s="368">
        <f t="shared" si="2"/>
        <v>100</v>
      </c>
      <c r="O26" s="335"/>
      <c r="P26" s="336"/>
      <c r="Q26" s="336">
        <v>57.8</v>
      </c>
      <c r="R26" s="337">
        <f t="shared" si="3"/>
        <v>57.8</v>
      </c>
      <c r="S26" s="292">
        <v>1</v>
      </c>
      <c r="T26" s="838"/>
      <c r="U26" s="836"/>
      <c r="V26" s="299" t="s">
        <v>454</v>
      </c>
      <c r="W26" s="292" t="s">
        <v>20</v>
      </c>
      <c r="X26" s="292" t="s">
        <v>12</v>
      </c>
      <c r="Y26" s="300">
        <v>57.8</v>
      </c>
      <c r="AD26" s="299"/>
      <c r="AG26" s="300"/>
      <c r="AL26" s="299"/>
      <c r="AO26" s="300"/>
      <c r="AP26" s="299"/>
      <c r="AS26" s="300"/>
      <c r="AW26" s="300"/>
      <c r="BA26" s="301"/>
    </row>
    <row r="27" spans="1:53" s="292" customFormat="1">
      <c r="A27" s="338">
        <v>1968.5428571428599</v>
      </c>
      <c r="B27" s="836"/>
      <c r="C27" s="916" t="s">
        <v>783</v>
      </c>
      <c r="D27" s="916"/>
      <c r="E27" s="292">
        <v>365</v>
      </c>
      <c r="G27" s="366"/>
      <c r="I27" s="292">
        <v>23</v>
      </c>
      <c r="J27" s="377">
        <v>23</v>
      </c>
      <c r="K27" s="336">
        <f t="shared" si="1"/>
        <v>0</v>
      </c>
      <c r="L27" s="336">
        <f t="shared" si="1"/>
        <v>0</v>
      </c>
      <c r="M27" s="336">
        <f t="shared" si="1"/>
        <v>100</v>
      </c>
      <c r="N27" s="368">
        <f t="shared" si="2"/>
        <v>100</v>
      </c>
      <c r="O27" s="335"/>
      <c r="P27" s="336"/>
      <c r="Q27" s="336">
        <v>57.8</v>
      </c>
      <c r="R27" s="337">
        <f t="shared" si="3"/>
        <v>57.8</v>
      </c>
      <c r="S27" s="292">
        <v>1</v>
      </c>
      <c r="T27" s="838"/>
      <c r="U27" s="836"/>
      <c r="V27" s="299" t="s">
        <v>454</v>
      </c>
      <c r="W27" s="292" t="s">
        <v>20</v>
      </c>
      <c r="X27" s="292" t="s">
        <v>12</v>
      </c>
      <c r="Y27" s="300">
        <v>57.8</v>
      </c>
      <c r="AD27" s="299"/>
      <c r="AG27" s="300"/>
      <c r="AL27" s="299"/>
      <c r="AO27" s="300"/>
      <c r="AP27" s="299"/>
      <c r="AS27" s="300"/>
      <c r="AW27" s="300"/>
      <c r="BA27" s="301"/>
    </row>
    <row r="28" spans="1:53" s="292" customFormat="1">
      <c r="A28" s="338">
        <v>1970</v>
      </c>
      <c r="B28" s="836"/>
      <c r="C28" s="916" t="s">
        <v>783</v>
      </c>
      <c r="D28" s="916"/>
      <c r="E28" s="292">
        <v>170</v>
      </c>
      <c r="G28" s="366"/>
      <c r="I28" s="292">
        <v>23</v>
      </c>
      <c r="J28" s="377">
        <v>23</v>
      </c>
      <c r="K28" s="336">
        <f t="shared" si="1"/>
        <v>0</v>
      </c>
      <c r="L28" s="336">
        <f t="shared" si="1"/>
        <v>0</v>
      </c>
      <c r="M28" s="336">
        <f t="shared" si="1"/>
        <v>100</v>
      </c>
      <c r="N28" s="368">
        <f t="shared" si="2"/>
        <v>100</v>
      </c>
      <c r="O28" s="335"/>
      <c r="P28" s="336"/>
      <c r="Q28" s="336">
        <v>57.8</v>
      </c>
      <c r="R28" s="337">
        <f t="shared" si="3"/>
        <v>57.8</v>
      </c>
      <c r="S28" s="292">
        <v>1</v>
      </c>
      <c r="T28" s="838"/>
      <c r="U28" s="836"/>
      <c r="V28" s="299" t="s">
        <v>454</v>
      </c>
      <c r="W28" s="292" t="s">
        <v>20</v>
      </c>
      <c r="X28" s="292" t="s">
        <v>12</v>
      </c>
      <c r="Y28" s="300">
        <v>57.8</v>
      </c>
      <c r="AD28" s="299"/>
      <c r="AG28" s="300"/>
      <c r="AL28" s="299"/>
      <c r="AO28" s="300"/>
      <c r="AP28" s="299"/>
      <c r="AS28" s="300"/>
      <c r="AW28" s="300"/>
      <c r="BA28" s="301"/>
    </row>
    <row r="29" spans="1:53" s="185" customFormat="1">
      <c r="A29" s="101">
        <v>1970</v>
      </c>
      <c r="B29" s="852">
        <v>25739</v>
      </c>
      <c r="C29" s="917" t="s">
        <v>793</v>
      </c>
      <c r="D29" s="917"/>
      <c r="E29" s="185">
        <f xml:space="preserve"> 365-E28</f>
        <v>195</v>
      </c>
      <c r="F29" s="185">
        <v>1</v>
      </c>
      <c r="G29" s="119">
        <v>18</v>
      </c>
      <c r="J29" s="126">
        <v>18</v>
      </c>
      <c r="K29" s="92">
        <f t="shared" si="1"/>
        <v>100</v>
      </c>
      <c r="L29" s="92">
        <f t="shared" si="1"/>
        <v>0</v>
      </c>
      <c r="M29" s="92">
        <f t="shared" si="1"/>
        <v>0</v>
      </c>
      <c r="N29" s="121">
        <f t="shared" si="2"/>
        <v>100</v>
      </c>
      <c r="O29" s="91">
        <v>52.4</v>
      </c>
      <c r="P29" s="92"/>
      <c r="Q29" s="92"/>
      <c r="R29" s="93">
        <f t="shared" si="3"/>
        <v>52.4</v>
      </c>
      <c r="S29" s="185">
        <v>1</v>
      </c>
      <c r="T29" s="839">
        <v>25737</v>
      </c>
      <c r="U29" s="852">
        <v>25739</v>
      </c>
      <c r="V29" s="82" t="s">
        <v>791</v>
      </c>
      <c r="W29" s="185" t="s">
        <v>74</v>
      </c>
      <c r="X29" s="185" t="s">
        <v>11</v>
      </c>
      <c r="Y29" s="83">
        <v>52.4</v>
      </c>
      <c r="AD29" s="82"/>
      <c r="AG29" s="83"/>
      <c r="AL29" s="82"/>
      <c r="AO29" s="83"/>
      <c r="AP29" s="82"/>
      <c r="AS29" s="83"/>
      <c r="AW29" s="83"/>
      <c r="BA29" s="84"/>
    </row>
    <row r="30" spans="1:53" s="185" customFormat="1">
      <c r="A30" s="101">
        <v>1971</v>
      </c>
      <c r="B30" s="852"/>
      <c r="C30" s="917" t="s">
        <v>793</v>
      </c>
      <c r="D30" s="917"/>
      <c r="E30" s="185">
        <v>0</v>
      </c>
      <c r="G30" s="119">
        <v>18</v>
      </c>
      <c r="J30" s="126">
        <v>18</v>
      </c>
      <c r="K30" s="92">
        <f t="shared" si="1"/>
        <v>100</v>
      </c>
      <c r="L30" s="92">
        <f t="shared" si="1"/>
        <v>0</v>
      </c>
      <c r="M30" s="92">
        <f t="shared" si="1"/>
        <v>0</v>
      </c>
      <c r="N30" s="121">
        <f t="shared" si="2"/>
        <v>100</v>
      </c>
      <c r="O30" s="91">
        <v>52.4</v>
      </c>
      <c r="P30" s="92"/>
      <c r="Q30" s="92"/>
      <c r="R30" s="93">
        <f t="shared" si="3"/>
        <v>52.4</v>
      </c>
      <c r="S30" s="185">
        <v>1</v>
      </c>
      <c r="T30" s="839"/>
      <c r="U30" s="852"/>
      <c r="V30" s="82" t="s">
        <v>791</v>
      </c>
      <c r="W30" s="185" t="s">
        <v>74</v>
      </c>
      <c r="X30" s="185" t="s">
        <v>11</v>
      </c>
      <c r="Y30" s="83">
        <v>52.4</v>
      </c>
      <c r="AD30" s="82"/>
      <c r="AG30" s="83"/>
      <c r="AL30" s="82"/>
      <c r="AO30" s="83"/>
      <c r="AP30" s="82"/>
      <c r="AS30" s="83"/>
      <c r="AW30" s="83"/>
      <c r="BA30" s="84"/>
    </row>
    <row r="31" spans="1:53" s="185" customFormat="1">
      <c r="A31" s="101">
        <v>1971</v>
      </c>
      <c r="B31" s="852"/>
      <c r="C31" s="917" t="s">
        <v>793</v>
      </c>
      <c r="D31" s="917"/>
      <c r="E31" s="185">
        <v>365</v>
      </c>
      <c r="G31" s="119">
        <v>18</v>
      </c>
      <c r="J31" s="126">
        <v>18</v>
      </c>
      <c r="K31" s="92">
        <f t="shared" si="1"/>
        <v>100</v>
      </c>
      <c r="L31" s="92">
        <f t="shared" si="1"/>
        <v>0</v>
      </c>
      <c r="M31" s="92">
        <f t="shared" si="1"/>
        <v>0</v>
      </c>
      <c r="N31" s="121">
        <f t="shared" si="2"/>
        <v>100</v>
      </c>
      <c r="O31" s="91">
        <v>52.4</v>
      </c>
      <c r="P31" s="92"/>
      <c r="Q31" s="92"/>
      <c r="R31" s="93">
        <f t="shared" si="3"/>
        <v>52.4</v>
      </c>
      <c r="S31" s="185">
        <v>1</v>
      </c>
      <c r="T31" s="839"/>
      <c r="U31" s="852"/>
      <c r="V31" s="82" t="s">
        <v>791</v>
      </c>
      <c r="W31" s="185" t="s">
        <v>74</v>
      </c>
      <c r="X31" s="185" t="s">
        <v>11</v>
      </c>
      <c r="Y31" s="83">
        <v>52.4</v>
      </c>
      <c r="AD31" s="82"/>
      <c r="AG31" s="83"/>
      <c r="AL31" s="82"/>
      <c r="AO31" s="83"/>
      <c r="AP31" s="82"/>
      <c r="AS31" s="83"/>
      <c r="AW31" s="83"/>
      <c r="BA31" s="84"/>
    </row>
    <row r="32" spans="1:53" s="185" customFormat="1">
      <c r="A32" s="101">
        <v>1972</v>
      </c>
      <c r="B32" s="852"/>
      <c r="C32" s="917" t="s">
        <v>793</v>
      </c>
      <c r="D32" s="917"/>
      <c r="E32" s="185">
        <v>0</v>
      </c>
      <c r="G32" s="119">
        <v>18</v>
      </c>
      <c r="J32" s="126">
        <v>18</v>
      </c>
      <c r="K32" s="92">
        <f t="shared" si="1"/>
        <v>100</v>
      </c>
      <c r="L32" s="92">
        <f t="shared" si="1"/>
        <v>0</v>
      </c>
      <c r="M32" s="92">
        <f t="shared" si="1"/>
        <v>0</v>
      </c>
      <c r="N32" s="121">
        <f t="shared" si="2"/>
        <v>100</v>
      </c>
      <c r="O32" s="91">
        <v>52.4</v>
      </c>
      <c r="P32" s="92"/>
      <c r="Q32" s="92"/>
      <c r="R32" s="93">
        <f t="shared" si="3"/>
        <v>52.4</v>
      </c>
      <c r="S32" s="185">
        <v>1</v>
      </c>
      <c r="T32" s="839"/>
      <c r="U32" s="852"/>
      <c r="V32" s="82" t="s">
        <v>791</v>
      </c>
      <c r="W32" s="185" t="s">
        <v>74</v>
      </c>
      <c r="X32" s="185" t="s">
        <v>11</v>
      </c>
      <c r="Y32" s="83">
        <v>52.4</v>
      </c>
      <c r="AD32" s="82"/>
      <c r="AG32" s="83"/>
      <c r="AL32" s="82"/>
      <c r="AO32" s="83"/>
      <c r="AP32" s="82"/>
      <c r="AS32" s="83"/>
      <c r="AW32" s="83"/>
      <c r="BA32" s="84"/>
    </row>
    <row r="33" spans="1:53" s="185" customFormat="1">
      <c r="A33" s="101">
        <v>1972</v>
      </c>
      <c r="B33" s="852"/>
      <c r="C33" s="917" t="s">
        <v>793</v>
      </c>
      <c r="D33" s="917"/>
      <c r="E33" s="185">
        <v>366</v>
      </c>
      <c r="G33" s="119">
        <v>18</v>
      </c>
      <c r="J33" s="126">
        <v>18</v>
      </c>
      <c r="K33" s="92">
        <f t="shared" si="1"/>
        <v>100</v>
      </c>
      <c r="L33" s="92">
        <f t="shared" si="1"/>
        <v>0</v>
      </c>
      <c r="M33" s="92">
        <f t="shared" si="1"/>
        <v>0</v>
      </c>
      <c r="N33" s="121">
        <f t="shared" si="2"/>
        <v>100</v>
      </c>
      <c r="O33" s="91">
        <v>52.4</v>
      </c>
      <c r="P33" s="92"/>
      <c r="Q33" s="92"/>
      <c r="R33" s="93">
        <f t="shared" si="3"/>
        <v>52.4</v>
      </c>
      <c r="S33" s="185">
        <v>1</v>
      </c>
      <c r="T33" s="839"/>
      <c r="U33" s="852"/>
      <c r="V33" s="82" t="s">
        <v>791</v>
      </c>
      <c r="W33" s="185" t="s">
        <v>74</v>
      </c>
      <c r="X33" s="185" t="s">
        <v>11</v>
      </c>
      <c r="Y33" s="83">
        <v>52.4</v>
      </c>
      <c r="AD33" s="82"/>
      <c r="AG33" s="83"/>
      <c r="AL33" s="82"/>
      <c r="AO33" s="83"/>
      <c r="AP33" s="82"/>
      <c r="AS33" s="83"/>
      <c r="AW33" s="83"/>
      <c r="BA33" s="84"/>
    </row>
    <row r="34" spans="1:53" s="185" customFormat="1">
      <c r="A34" s="101">
        <v>1973</v>
      </c>
      <c r="B34" s="852"/>
      <c r="C34" s="917" t="s">
        <v>793</v>
      </c>
      <c r="D34" s="917"/>
      <c r="E34" s="185">
        <v>0</v>
      </c>
      <c r="G34" s="119">
        <v>18</v>
      </c>
      <c r="J34" s="126">
        <v>18</v>
      </c>
      <c r="K34" s="92">
        <f t="shared" si="1"/>
        <v>100</v>
      </c>
      <c r="L34" s="92">
        <f t="shared" si="1"/>
        <v>0</v>
      </c>
      <c r="M34" s="92">
        <f t="shared" si="1"/>
        <v>0</v>
      </c>
      <c r="N34" s="121">
        <f t="shared" si="2"/>
        <v>100</v>
      </c>
      <c r="O34" s="91">
        <v>52.4</v>
      </c>
      <c r="P34" s="92"/>
      <c r="Q34" s="92"/>
      <c r="R34" s="93">
        <f t="shared" si="3"/>
        <v>52.4</v>
      </c>
      <c r="S34" s="185">
        <v>1</v>
      </c>
      <c r="T34" s="839"/>
      <c r="U34" s="852"/>
      <c r="V34" s="82" t="s">
        <v>791</v>
      </c>
      <c r="W34" s="185" t="s">
        <v>74</v>
      </c>
      <c r="X34" s="185" t="s">
        <v>11</v>
      </c>
      <c r="Y34" s="83">
        <v>52.4</v>
      </c>
      <c r="AD34" s="82"/>
      <c r="AG34" s="83"/>
      <c r="AL34" s="82"/>
      <c r="AO34" s="83"/>
      <c r="AP34" s="82"/>
      <c r="AS34" s="83"/>
      <c r="AW34" s="83"/>
      <c r="BA34" s="84"/>
    </row>
    <row r="35" spans="1:53" s="185" customFormat="1">
      <c r="A35" s="101">
        <v>1973</v>
      </c>
      <c r="B35" s="852"/>
      <c r="C35" s="917" t="s">
        <v>793</v>
      </c>
      <c r="D35" s="917"/>
      <c r="E35" s="185">
        <v>365</v>
      </c>
      <c r="G35" s="119">
        <v>18</v>
      </c>
      <c r="J35" s="126">
        <v>18</v>
      </c>
      <c r="K35" s="92">
        <f t="shared" si="1"/>
        <v>100</v>
      </c>
      <c r="L35" s="92">
        <f t="shared" si="1"/>
        <v>0</v>
      </c>
      <c r="M35" s="92">
        <f t="shared" si="1"/>
        <v>0</v>
      </c>
      <c r="N35" s="121">
        <f t="shared" si="2"/>
        <v>100</v>
      </c>
      <c r="O35" s="91">
        <v>52.4</v>
      </c>
      <c r="P35" s="92"/>
      <c r="Q35" s="92"/>
      <c r="R35" s="93">
        <f t="shared" si="3"/>
        <v>52.4</v>
      </c>
      <c r="S35" s="185">
        <v>1</v>
      </c>
      <c r="T35" s="839"/>
      <c r="U35" s="852"/>
      <c r="V35" s="82" t="s">
        <v>791</v>
      </c>
      <c r="W35" s="185" t="s">
        <v>74</v>
      </c>
      <c r="X35" s="185" t="s">
        <v>11</v>
      </c>
      <c r="Y35" s="83">
        <v>52.4</v>
      </c>
      <c r="AD35" s="82"/>
      <c r="AG35" s="83"/>
      <c r="AL35" s="82"/>
      <c r="AO35" s="83"/>
      <c r="AP35" s="82"/>
      <c r="AS35" s="83"/>
      <c r="AW35" s="83"/>
      <c r="BA35" s="84"/>
    </row>
    <row r="36" spans="1:53" s="185" customFormat="1">
      <c r="A36" s="101">
        <v>1974</v>
      </c>
      <c r="B36" s="852"/>
      <c r="C36" s="917" t="s">
        <v>793</v>
      </c>
      <c r="D36" s="917"/>
      <c r="E36" s="185">
        <v>63</v>
      </c>
      <c r="G36" s="119">
        <v>18</v>
      </c>
      <c r="J36" s="126">
        <v>18</v>
      </c>
      <c r="K36" s="92">
        <f t="shared" si="1"/>
        <v>100</v>
      </c>
      <c r="L36" s="92">
        <f t="shared" si="1"/>
        <v>0</v>
      </c>
      <c r="M36" s="92">
        <f t="shared" si="1"/>
        <v>0</v>
      </c>
      <c r="N36" s="121">
        <f t="shared" si="2"/>
        <v>100</v>
      </c>
      <c r="O36" s="91">
        <v>52.4</v>
      </c>
      <c r="P36" s="92"/>
      <c r="Q36" s="92"/>
      <c r="R36" s="93">
        <f t="shared" si="3"/>
        <v>52.4</v>
      </c>
      <c r="S36" s="185">
        <v>1</v>
      </c>
      <c r="T36" s="839"/>
      <c r="U36" s="852"/>
      <c r="V36" s="82" t="s">
        <v>791</v>
      </c>
      <c r="W36" s="185" t="s">
        <v>74</v>
      </c>
      <c r="X36" s="185" t="s">
        <v>11</v>
      </c>
      <c r="Y36" s="83">
        <v>52.4</v>
      </c>
      <c r="AD36" s="82"/>
      <c r="AG36" s="83"/>
      <c r="AL36" s="82"/>
      <c r="AO36" s="83"/>
      <c r="AP36" s="82"/>
      <c r="AS36" s="83"/>
      <c r="AW36" s="83"/>
      <c r="BA36" s="84"/>
    </row>
    <row r="37" spans="1:53" s="292" customFormat="1">
      <c r="A37" s="338">
        <v>1974</v>
      </c>
      <c r="B37" s="836">
        <v>27093</v>
      </c>
      <c r="C37" s="916" t="s">
        <v>784</v>
      </c>
      <c r="D37" s="916"/>
      <c r="E37" s="292">
        <v>227</v>
      </c>
      <c r="F37" s="292">
        <v>1</v>
      </c>
      <c r="G37" s="366"/>
      <c r="I37" s="292">
        <v>20</v>
      </c>
      <c r="J37" s="377">
        <v>20</v>
      </c>
      <c r="K37" s="336">
        <f t="shared" si="1"/>
        <v>0</v>
      </c>
      <c r="L37" s="336">
        <f t="shared" si="1"/>
        <v>0</v>
      </c>
      <c r="M37" s="336">
        <f t="shared" si="1"/>
        <v>100</v>
      </c>
      <c r="N37" s="368">
        <f t="shared" si="2"/>
        <v>100</v>
      </c>
      <c r="O37" s="335"/>
      <c r="P37" s="336"/>
      <c r="Q37" s="336">
        <v>45.7</v>
      </c>
      <c r="R37" s="337">
        <f t="shared" si="3"/>
        <v>45.7</v>
      </c>
      <c r="S37" s="292">
        <v>4</v>
      </c>
      <c r="T37" s="838"/>
      <c r="U37" s="836">
        <v>27093</v>
      </c>
      <c r="V37" s="299" t="s">
        <v>454</v>
      </c>
      <c r="W37" s="292" t="s">
        <v>20</v>
      </c>
      <c r="X37" s="292" t="s">
        <v>12</v>
      </c>
      <c r="Y37" s="300">
        <v>45.7</v>
      </c>
      <c r="AD37" s="299"/>
      <c r="AG37" s="300"/>
      <c r="AL37" s="299"/>
      <c r="AO37" s="300"/>
      <c r="AP37" s="299"/>
      <c r="AS37" s="300"/>
      <c r="AW37" s="300"/>
      <c r="BA37" s="301"/>
    </row>
    <row r="38" spans="1:53" s="185" customFormat="1">
      <c r="A38" s="101">
        <v>1974</v>
      </c>
      <c r="B38" s="852">
        <v>27320</v>
      </c>
      <c r="C38" s="917" t="s">
        <v>785</v>
      </c>
      <c r="D38" s="917"/>
      <c r="E38" s="185">
        <f xml:space="preserve"> 365-E37-E36</f>
        <v>75</v>
      </c>
      <c r="F38" s="185">
        <v>1</v>
      </c>
      <c r="G38" s="119"/>
      <c r="I38" s="185">
        <v>23</v>
      </c>
      <c r="J38" s="126">
        <v>23</v>
      </c>
      <c r="K38" s="92">
        <f t="shared" si="1"/>
        <v>0</v>
      </c>
      <c r="L38" s="92">
        <f t="shared" si="1"/>
        <v>0</v>
      </c>
      <c r="M38" s="92">
        <f t="shared" si="1"/>
        <v>100</v>
      </c>
      <c r="N38" s="121">
        <f t="shared" si="2"/>
        <v>100</v>
      </c>
      <c r="O38" s="91"/>
      <c r="P38" s="92"/>
      <c r="Q38" s="92">
        <v>50.2</v>
      </c>
      <c r="R38" s="93">
        <f t="shared" si="3"/>
        <v>50.2</v>
      </c>
      <c r="S38" s="185">
        <v>1</v>
      </c>
      <c r="T38" s="839">
        <v>27312</v>
      </c>
      <c r="U38" s="852">
        <v>27320</v>
      </c>
      <c r="V38" s="82" t="s">
        <v>454</v>
      </c>
      <c r="W38" s="185" t="s">
        <v>20</v>
      </c>
      <c r="X38" s="185" t="s">
        <v>12</v>
      </c>
      <c r="Y38" s="83">
        <v>50.2</v>
      </c>
      <c r="AD38" s="82"/>
      <c r="AG38" s="83"/>
      <c r="AL38" s="82"/>
      <c r="AO38" s="83"/>
      <c r="AP38" s="82"/>
      <c r="AS38" s="83"/>
      <c r="AW38" s="83"/>
      <c r="BA38" s="84"/>
    </row>
    <row r="39" spans="1:53" s="185" customFormat="1">
      <c r="A39" s="101">
        <v>1975</v>
      </c>
      <c r="B39" s="852"/>
      <c r="C39" s="917" t="s">
        <v>785</v>
      </c>
      <c r="D39" s="917"/>
      <c r="E39" s="185">
        <v>0</v>
      </c>
      <c r="G39" s="119"/>
      <c r="I39" s="185">
        <v>23</v>
      </c>
      <c r="J39" s="126">
        <v>23</v>
      </c>
      <c r="K39" s="92">
        <f t="shared" si="1"/>
        <v>0</v>
      </c>
      <c r="L39" s="92">
        <f t="shared" si="1"/>
        <v>0</v>
      </c>
      <c r="M39" s="92">
        <f t="shared" si="1"/>
        <v>100</v>
      </c>
      <c r="N39" s="121">
        <f t="shared" si="2"/>
        <v>100</v>
      </c>
      <c r="O39" s="91"/>
      <c r="P39" s="92"/>
      <c r="Q39" s="92">
        <v>50.2</v>
      </c>
      <c r="R39" s="93">
        <f t="shared" si="3"/>
        <v>50.2</v>
      </c>
      <c r="S39" s="185">
        <v>1</v>
      </c>
      <c r="T39" s="839"/>
      <c r="U39" s="852"/>
      <c r="V39" s="82" t="s">
        <v>454</v>
      </c>
      <c r="W39" s="185" t="s">
        <v>20</v>
      </c>
      <c r="X39" s="185" t="s">
        <v>12</v>
      </c>
      <c r="Y39" s="83">
        <v>50.2</v>
      </c>
      <c r="AD39" s="82"/>
      <c r="AG39" s="83"/>
      <c r="AL39" s="82"/>
      <c r="AO39" s="83"/>
      <c r="AP39" s="82"/>
      <c r="AS39" s="83"/>
      <c r="AW39" s="83"/>
      <c r="BA39" s="84"/>
    </row>
    <row r="40" spans="1:53" s="185" customFormat="1">
      <c r="A40" s="101">
        <v>1975</v>
      </c>
      <c r="B40" s="852"/>
      <c r="C40" s="917" t="s">
        <v>785</v>
      </c>
      <c r="D40" s="917"/>
      <c r="E40" s="185">
        <v>365</v>
      </c>
      <c r="G40" s="119"/>
      <c r="I40" s="185">
        <v>23</v>
      </c>
      <c r="J40" s="126">
        <v>23</v>
      </c>
      <c r="K40" s="92">
        <f t="shared" si="1"/>
        <v>0</v>
      </c>
      <c r="L40" s="92">
        <f t="shared" si="1"/>
        <v>0</v>
      </c>
      <c r="M40" s="92">
        <f t="shared" si="1"/>
        <v>100</v>
      </c>
      <c r="N40" s="121">
        <f t="shared" si="2"/>
        <v>100</v>
      </c>
      <c r="O40" s="91"/>
      <c r="P40" s="92"/>
      <c r="Q40" s="92">
        <v>50.2</v>
      </c>
      <c r="R40" s="93">
        <f t="shared" si="3"/>
        <v>50.2</v>
      </c>
      <c r="S40" s="185">
        <v>1</v>
      </c>
      <c r="T40" s="839"/>
      <c r="U40" s="852"/>
      <c r="V40" s="82" t="s">
        <v>454</v>
      </c>
      <c r="W40" s="185" t="s">
        <v>20</v>
      </c>
      <c r="X40" s="185" t="s">
        <v>12</v>
      </c>
      <c r="Y40" s="83">
        <v>50.2</v>
      </c>
      <c r="AD40" s="82"/>
      <c r="AG40" s="83"/>
      <c r="AL40" s="82"/>
      <c r="AO40" s="83"/>
      <c r="AP40" s="82"/>
      <c r="AS40" s="83"/>
      <c r="AW40" s="83"/>
      <c r="BA40" s="84"/>
    </row>
    <row r="41" spans="1:53" s="185" customFormat="1">
      <c r="A41" s="101">
        <v>1976</v>
      </c>
      <c r="B41" s="852"/>
      <c r="C41" s="917" t="s">
        <v>785</v>
      </c>
      <c r="D41" s="917"/>
      <c r="E41" s="185">
        <v>96</v>
      </c>
      <c r="G41" s="119"/>
      <c r="I41" s="185">
        <v>23</v>
      </c>
      <c r="J41" s="126">
        <v>23</v>
      </c>
      <c r="K41" s="92">
        <f t="shared" si="1"/>
        <v>0</v>
      </c>
      <c r="L41" s="92">
        <f t="shared" si="1"/>
        <v>0</v>
      </c>
      <c r="M41" s="92">
        <f t="shared" si="1"/>
        <v>100</v>
      </c>
      <c r="N41" s="121">
        <f t="shared" si="2"/>
        <v>100</v>
      </c>
      <c r="O41" s="91"/>
      <c r="P41" s="92"/>
      <c r="Q41" s="92">
        <v>50.2</v>
      </c>
      <c r="R41" s="93">
        <f t="shared" si="3"/>
        <v>50.2</v>
      </c>
      <c r="S41" s="185">
        <v>1</v>
      </c>
      <c r="T41" s="839"/>
      <c r="U41" s="852"/>
      <c r="V41" s="82" t="s">
        <v>454</v>
      </c>
      <c r="W41" s="185" t="s">
        <v>20</v>
      </c>
      <c r="X41" s="185" t="s">
        <v>12</v>
      </c>
      <c r="Y41" s="83">
        <v>50.2</v>
      </c>
      <c r="AD41" s="82"/>
      <c r="AG41" s="83"/>
      <c r="AL41" s="82"/>
      <c r="AO41" s="83"/>
      <c r="AP41" s="82"/>
      <c r="AS41" s="83"/>
      <c r="AW41" s="83"/>
      <c r="BA41" s="84"/>
    </row>
    <row r="42" spans="1:53" s="292" customFormat="1">
      <c r="A42" s="338">
        <v>1976</v>
      </c>
      <c r="B42" s="836">
        <v>27856</v>
      </c>
      <c r="C42" s="916" t="s">
        <v>786</v>
      </c>
      <c r="D42" s="916"/>
      <c r="E42" s="292">
        <f>366-E41</f>
        <v>270</v>
      </c>
      <c r="F42" s="292">
        <v>2</v>
      </c>
      <c r="G42" s="366"/>
      <c r="I42" s="292">
        <v>16</v>
      </c>
      <c r="J42" s="377">
        <v>16</v>
      </c>
      <c r="K42" s="336">
        <f t="shared" si="1"/>
        <v>0</v>
      </c>
      <c r="L42" s="336">
        <f t="shared" si="1"/>
        <v>0</v>
      </c>
      <c r="M42" s="336">
        <f t="shared" si="1"/>
        <v>100</v>
      </c>
      <c r="N42" s="368">
        <f t="shared" si="2"/>
        <v>100</v>
      </c>
      <c r="O42" s="335"/>
      <c r="P42" s="336"/>
      <c r="Q42" s="336">
        <v>50.2</v>
      </c>
      <c r="R42" s="337">
        <f t="shared" si="3"/>
        <v>50.2</v>
      </c>
      <c r="S42" s="292">
        <v>1</v>
      </c>
      <c r="T42" s="838"/>
      <c r="U42" s="836">
        <v>27856</v>
      </c>
      <c r="V42" s="299" t="s">
        <v>454</v>
      </c>
      <c r="W42" s="292" t="s">
        <v>20</v>
      </c>
      <c r="X42" s="292" t="s">
        <v>12</v>
      </c>
      <c r="Y42" s="300">
        <v>50.2</v>
      </c>
      <c r="AD42" s="299"/>
      <c r="AG42" s="300"/>
      <c r="AL42" s="299"/>
      <c r="AO42" s="300"/>
      <c r="AP42" s="299"/>
      <c r="AS42" s="300"/>
      <c r="AW42" s="300"/>
      <c r="BA42" s="301"/>
    </row>
    <row r="43" spans="1:53" s="292" customFormat="1">
      <c r="A43" s="338">
        <v>1977</v>
      </c>
      <c r="B43" s="836"/>
      <c r="C43" s="916" t="s">
        <v>786</v>
      </c>
      <c r="D43" s="916"/>
      <c r="E43" s="292">
        <v>0</v>
      </c>
      <c r="G43" s="366"/>
      <c r="I43" s="292">
        <v>16</v>
      </c>
      <c r="J43" s="377">
        <v>16</v>
      </c>
      <c r="K43" s="336">
        <f t="shared" si="1"/>
        <v>0</v>
      </c>
      <c r="L43" s="336">
        <f t="shared" si="1"/>
        <v>0</v>
      </c>
      <c r="M43" s="336">
        <f t="shared" si="1"/>
        <v>100</v>
      </c>
      <c r="N43" s="368">
        <f t="shared" si="2"/>
        <v>100</v>
      </c>
      <c r="O43" s="335"/>
      <c r="P43" s="336"/>
      <c r="Q43" s="336">
        <v>50.2</v>
      </c>
      <c r="R43" s="337">
        <f t="shared" si="3"/>
        <v>50.2</v>
      </c>
      <c r="S43" s="292">
        <v>1</v>
      </c>
      <c r="T43" s="838"/>
      <c r="U43" s="836"/>
      <c r="V43" s="299" t="s">
        <v>454</v>
      </c>
      <c r="W43" s="292" t="s">
        <v>20</v>
      </c>
      <c r="X43" s="292" t="s">
        <v>12</v>
      </c>
      <c r="Y43" s="300">
        <v>50.2</v>
      </c>
      <c r="AD43" s="299"/>
      <c r="AG43" s="300"/>
      <c r="AL43" s="299"/>
      <c r="AO43" s="300"/>
      <c r="AP43" s="299"/>
      <c r="AS43" s="300"/>
      <c r="AW43" s="300"/>
      <c r="BA43" s="301"/>
    </row>
    <row r="44" spans="1:53" s="292" customFormat="1">
      <c r="A44" s="338">
        <v>1977</v>
      </c>
      <c r="B44" s="836"/>
      <c r="C44" s="916" t="s">
        <v>786</v>
      </c>
      <c r="D44" s="916"/>
      <c r="E44" s="292">
        <v>365</v>
      </c>
      <c r="G44" s="366"/>
      <c r="I44" s="292">
        <v>16</v>
      </c>
      <c r="J44" s="377">
        <v>16</v>
      </c>
      <c r="K44" s="336">
        <f t="shared" si="1"/>
        <v>0</v>
      </c>
      <c r="L44" s="336">
        <f t="shared" si="1"/>
        <v>0</v>
      </c>
      <c r="M44" s="336">
        <f t="shared" si="1"/>
        <v>100</v>
      </c>
      <c r="N44" s="368">
        <f t="shared" si="2"/>
        <v>100</v>
      </c>
      <c r="O44" s="335"/>
      <c r="P44" s="336"/>
      <c r="Q44" s="336">
        <v>50.2</v>
      </c>
      <c r="R44" s="337">
        <f t="shared" si="3"/>
        <v>50.2</v>
      </c>
      <c r="S44" s="292">
        <v>1</v>
      </c>
      <c r="T44" s="838"/>
      <c r="U44" s="836"/>
      <c r="V44" s="299" t="s">
        <v>454</v>
      </c>
      <c r="W44" s="292" t="s">
        <v>20</v>
      </c>
      <c r="X44" s="292" t="s">
        <v>12</v>
      </c>
      <c r="Y44" s="300">
        <v>50.2</v>
      </c>
      <c r="AD44" s="299"/>
      <c r="AG44" s="300"/>
      <c r="AL44" s="299"/>
      <c r="AO44" s="300"/>
      <c r="AP44" s="299"/>
      <c r="AS44" s="300"/>
      <c r="AW44" s="300"/>
      <c r="BA44" s="301"/>
    </row>
    <row r="45" spans="1:53" s="292" customFormat="1">
      <c r="A45" s="338">
        <v>1978</v>
      </c>
      <c r="B45" s="836"/>
      <c r="C45" s="916" t="s">
        <v>786</v>
      </c>
      <c r="D45" s="916"/>
      <c r="E45" s="292">
        <v>0</v>
      </c>
      <c r="G45" s="366"/>
      <c r="I45" s="292">
        <v>16</v>
      </c>
      <c r="J45" s="377">
        <v>16</v>
      </c>
      <c r="K45" s="336">
        <f t="shared" si="1"/>
        <v>0</v>
      </c>
      <c r="L45" s="336">
        <f t="shared" si="1"/>
        <v>0</v>
      </c>
      <c r="M45" s="336">
        <f t="shared" si="1"/>
        <v>100</v>
      </c>
      <c r="N45" s="368">
        <f t="shared" si="2"/>
        <v>100</v>
      </c>
      <c r="O45" s="335"/>
      <c r="P45" s="336"/>
      <c r="Q45" s="336">
        <v>50.2</v>
      </c>
      <c r="R45" s="337">
        <f t="shared" si="3"/>
        <v>50.2</v>
      </c>
      <c r="S45" s="292">
        <v>1</v>
      </c>
      <c r="T45" s="838"/>
      <c r="U45" s="836"/>
      <c r="V45" s="299" t="s">
        <v>454</v>
      </c>
      <c r="W45" s="292" t="s">
        <v>20</v>
      </c>
      <c r="X45" s="292" t="s">
        <v>12</v>
      </c>
      <c r="Y45" s="300">
        <v>50.2</v>
      </c>
      <c r="AD45" s="299"/>
      <c r="AG45" s="300"/>
      <c r="AL45" s="299"/>
      <c r="AO45" s="300"/>
      <c r="AP45" s="299"/>
      <c r="AS45" s="300"/>
      <c r="AW45" s="300"/>
      <c r="BA45" s="301"/>
    </row>
    <row r="46" spans="1:53" s="292" customFormat="1">
      <c r="A46" s="338">
        <v>1978</v>
      </c>
      <c r="B46" s="836"/>
      <c r="C46" s="916" t="s">
        <v>786</v>
      </c>
      <c r="D46" s="916"/>
      <c r="E46" s="292">
        <v>365</v>
      </c>
      <c r="G46" s="366"/>
      <c r="I46" s="292">
        <v>16</v>
      </c>
      <c r="J46" s="377">
        <v>16</v>
      </c>
      <c r="K46" s="336">
        <f t="shared" si="1"/>
        <v>0</v>
      </c>
      <c r="L46" s="336">
        <f t="shared" si="1"/>
        <v>0</v>
      </c>
      <c r="M46" s="336">
        <f t="shared" si="1"/>
        <v>100</v>
      </c>
      <c r="N46" s="368">
        <f t="shared" si="2"/>
        <v>100</v>
      </c>
      <c r="O46" s="335"/>
      <c r="P46" s="336"/>
      <c r="Q46" s="336">
        <v>50.2</v>
      </c>
      <c r="R46" s="337">
        <f t="shared" si="3"/>
        <v>50.2</v>
      </c>
      <c r="S46" s="292">
        <v>1</v>
      </c>
      <c r="T46" s="838"/>
      <c r="U46" s="836"/>
      <c r="V46" s="299" t="s">
        <v>454</v>
      </c>
      <c r="W46" s="292" t="s">
        <v>20</v>
      </c>
      <c r="X46" s="292" t="s">
        <v>12</v>
      </c>
      <c r="Y46" s="300">
        <v>50.2</v>
      </c>
      <c r="AD46" s="299"/>
      <c r="AG46" s="300"/>
      <c r="AL46" s="299"/>
      <c r="AO46" s="300"/>
      <c r="AP46" s="299"/>
      <c r="AS46" s="300"/>
      <c r="AW46" s="300"/>
      <c r="BA46" s="301"/>
    </row>
    <row r="47" spans="1:53" s="292" customFormat="1">
      <c r="A47" s="338">
        <v>1979</v>
      </c>
      <c r="B47" s="836"/>
      <c r="C47" s="916" t="s">
        <v>786</v>
      </c>
      <c r="D47" s="916"/>
      <c r="E47" s="292">
        <v>124</v>
      </c>
      <c r="G47" s="366"/>
      <c r="I47" s="292">
        <v>16</v>
      </c>
      <c r="J47" s="377">
        <v>16</v>
      </c>
      <c r="K47" s="336">
        <f t="shared" si="1"/>
        <v>0</v>
      </c>
      <c r="L47" s="336">
        <f t="shared" si="1"/>
        <v>0</v>
      </c>
      <c r="M47" s="336">
        <f t="shared" si="1"/>
        <v>100</v>
      </c>
      <c r="N47" s="368">
        <f t="shared" si="2"/>
        <v>100</v>
      </c>
      <c r="O47" s="335"/>
      <c r="P47" s="336"/>
      <c r="Q47" s="336">
        <v>50.2</v>
      </c>
      <c r="R47" s="337">
        <f t="shared" si="3"/>
        <v>50.2</v>
      </c>
      <c r="S47" s="292">
        <v>1</v>
      </c>
      <c r="T47" s="838"/>
      <c r="U47" s="836"/>
      <c r="V47" s="299" t="s">
        <v>454</v>
      </c>
      <c r="W47" s="292" t="s">
        <v>20</v>
      </c>
      <c r="X47" s="292" t="s">
        <v>12</v>
      </c>
      <c r="Y47" s="300">
        <v>50.2</v>
      </c>
      <c r="AD47" s="299"/>
      <c r="AG47" s="300"/>
      <c r="AL47" s="299"/>
      <c r="AO47" s="300"/>
      <c r="AP47" s="299"/>
      <c r="AS47" s="300"/>
      <c r="AW47" s="300"/>
      <c r="BA47" s="301"/>
    </row>
    <row r="48" spans="1:53" s="185" customFormat="1">
      <c r="A48" s="101">
        <v>1979</v>
      </c>
      <c r="B48" s="852">
        <v>28980</v>
      </c>
      <c r="C48" s="917" t="s">
        <v>794</v>
      </c>
      <c r="D48" s="917"/>
      <c r="E48" s="185">
        <f>365-E47</f>
        <v>241</v>
      </c>
      <c r="F48" s="185">
        <v>1</v>
      </c>
      <c r="G48" s="119">
        <v>22</v>
      </c>
      <c r="J48" s="126">
        <v>22</v>
      </c>
      <c r="K48" s="92">
        <f t="shared" si="1"/>
        <v>100</v>
      </c>
      <c r="L48" s="92">
        <f t="shared" si="1"/>
        <v>0</v>
      </c>
      <c r="M48" s="92">
        <f t="shared" si="1"/>
        <v>0</v>
      </c>
      <c r="N48" s="121">
        <f t="shared" si="2"/>
        <v>100</v>
      </c>
      <c r="O48" s="91">
        <v>53.4</v>
      </c>
      <c r="P48" s="92"/>
      <c r="Q48" s="92"/>
      <c r="R48" s="93">
        <f t="shared" si="3"/>
        <v>53.4</v>
      </c>
      <c r="S48" s="185">
        <v>1</v>
      </c>
      <c r="T48" s="839">
        <v>28978</v>
      </c>
      <c r="U48" s="852">
        <v>28980</v>
      </c>
      <c r="V48" s="82" t="s">
        <v>791</v>
      </c>
      <c r="W48" s="185" t="s">
        <v>74</v>
      </c>
      <c r="X48" s="185" t="s">
        <v>11</v>
      </c>
      <c r="Y48" s="83">
        <v>53.4</v>
      </c>
      <c r="AD48" s="82"/>
      <c r="AG48" s="83"/>
      <c r="AL48" s="82"/>
      <c r="AO48" s="83"/>
      <c r="AP48" s="82"/>
      <c r="AS48" s="83"/>
      <c r="AW48" s="83"/>
      <c r="BA48" s="84"/>
    </row>
    <row r="49" spans="1:53" s="185" customFormat="1">
      <c r="A49" s="101">
        <v>1980</v>
      </c>
      <c r="B49" s="852"/>
      <c r="C49" s="917" t="s">
        <v>794</v>
      </c>
      <c r="D49" s="917"/>
      <c r="E49" s="185">
        <v>0</v>
      </c>
      <c r="G49" s="119">
        <v>22</v>
      </c>
      <c r="J49" s="126">
        <v>22</v>
      </c>
      <c r="K49" s="92">
        <f t="shared" si="1"/>
        <v>100</v>
      </c>
      <c r="L49" s="92">
        <f t="shared" si="1"/>
        <v>0</v>
      </c>
      <c r="M49" s="92">
        <f t="shared" si="1"/>
        <v>0</v>
      </c>
      <c r="N49" s="121">
        <f t="shared" si="2"/>
        <v>100</v>
      </c>
      <c r="O49" s="91">
        <v>53.4</v>
      </c>
      <c r="P49" s="92"/>
      <c r="Q49" s="92"/>
      <c r="R49" s="93">
        <f t="shared" si="3"/>
        <v>53.4</v>
      </c>
      <c r="S49" s="185">
        <v>1</v>
      </c>
      <c r="T49" s="839"/>
      <c r="U49" s="852"/>
      <c r="V49" s="82" t="s">
        <v>791</v>
      </c>
      <c r="W49" s="185" t="s">
        <v>74</v>
      </c>
      <c r="X49" s="185" t="s">
        <v>11</v>
      </c>
      <c r="Y49" s="83">
        <v>53.4</v>
      </c>
      <c r="AD49" s="82"/>
      <c r="AG49" s="83"/>
      <c r="AL49" s="82"/>
      <c r="AO49" s="83"/>
      <c r="AP49" s="82"/>
      <c r="AS49" s="83"/>
      <c r="AW49" s="83"/>
      <c r="BA49" s="84"/>
    </row>
    <row r="50" spans="1:53" s="185" customFormat="1">
      <c r="A50" s="101">
        <v>1980</v>
      </c>
      <c r="B50" s="852"/>
      <c r="C50" s="917" t="s">
        <v>794</v>
      </c>
      <c r="D50" s="917"/>
      <c r="E50" s="185">
        <v>366</v>
      </c>
      <c r="G50" s="119">
        <v>22</v>
      </c>
      <c r="J50" s="126">
        <v>22</v>
      </c>
      <c r="K50" s="92">
        <f t="shared" si="1"/>
        <v>100</v>
      </c>
      <c r="L50" s="92">
        <f t="shared" si="1"/>
        <v>0</v>
      </c>
      <c r="M50" s="92">
        <f t="shared" si="1"/>
        <v>0</v>
      </c>
      <c r="N50" s="121">
        <f t="shared" si="2"/>
        <v>100</v>
      </c>
      <c r="O50" s="91">
        <v>53.4</v>
      </c>
      <c r="P50" s="92"/>
      <c r="Q50" s="92"/>
      <c r="R50" s="93">
        <f t="shared" si="3"/>
        <v>53.4</v>
      </c>
      <c r="S50" s="185">
        <v>1</v>
      </c>
      <c r="T50" s="839"/>
      <c r="U50" s="852"/>
      <c r="V50" s="82" t="s">
        <v>791</v>
      </c>
      <c r="W50" s="185" t="s">
        <v>74</v>
      </c>
      <c r="X50" s="185" t="s">
        <v>11</v>
      </c>
      <c r="Y50" s="83">
        <v>53.4</v>
      </c>
      <c r="AD50" s="82"/>
      <c r="AG50" s="83"/>
      <c r="AL50" s="82"/>
      <c r="AO50" s="83"/>
      <c r="AP50" s="82"/>
      <c r="AS50" s="83"/>
      <c r="AW50" s="83"/>
      <c r="BA50" s="84"/>
    </row>
    <row r="51" spans="1:53" s="185" customFormat="1">
      <c r="A51" s="101">
        <v>1981</v>
      </c>
      <c r="B51" s="852"/>
      <c r="C51" s="917" t="s">
        <v>794</v>
      </c>
      <c r="D51" s="917"/>
      <c r="E51" s="185">
        <v>0</v>
      </c>
      <c r="G51" s="119">
        <v>22</v>
      </c>
      <c r="J51" s="126">
        <v>22</v>
      </c>
      <c r="K51" s="92">
        <f t="shared" si="1"/>
        <v>100</v>
      </c>
      <c r="L51" s="92">
        <f t="shared" si="1"/>
        <v>0</v>
      </c>
      <c r="M51" s="92">
        <f t="shared" si="1"/>
        <v>0</v>
      </c>
      <c r="N51" s="121">
        <f t="shared" si="2"/>
        <v>100</v>
      </c>
      <c r="O51" s="91">
        <v>53.4</v>
      </c>
      <c r="P51" s="92"/>
      <c r="Q51" s="92"/>
      <c r="R51" s="93">
        <f t="shared" si="3"/>
        <v>53.4</v>
      </c>
      <c r="S51" s="185">
        <v>1</v>
      </c>
      <c r="T51" s="839"/>
      <c r="U51" s="852"/>
      <c r="V51" s="82" t="s">
        <v>791</v>
      </c>
      <c r="W51" s="185" t="s">
        <v>74</v>
      </c>
      <c r="X51" s="185" t="s">
        <v>11</v>
      </c>
      <c r="Y51" s="83">
        <v>53.4</v>
      </c>
      <c r="AD51" s="82"/>
      <c r="AG51" s="83"/>
      <c r="AL51" s="82"/>
      <c r="AO51" s="83"/>
      <c r="AP51" s="82"/>
      <c r="AS51" s="83"/>
      <c r="AW51" s="83"/>
      <c r="BA51" s="84"/>
    </row>
    <row r="52" spans="1:53" s="185" customFormat="1">
      <c r="A52" s="101">
        <v>1981</v>
      </c>
      <c r="B52" s="852"/>
      <c r="C52" s="917" t="s">
        <v>794</v>
      </c>
      <c r="D52" s="917"/>
      <c r="E52" s="185">
        <v>365</v>
      </c>
      <c r="G52" s="119">
        <v>22</v>
      </c>
      <c r="J52" s="126">
        <v>22</v>
      </c>
      <c r="K52" s="92">
        <f t="shared" si="1"/>
        <v>100</v>
      </c>
      <c r="L52" s="92">
        <f t="shared" si="1"/>
        <v>0</v>
      </c>
      <c r="M52" s="92">
        <f t="shared" si="1"/>
        <v>0</v>
      </c>
      <c r="N52" s="121">
        <f t="shared" si="2"/>
        <v>100</v>
      </c>
      <c r="O52" s="91">
        <v>53.4</v>
      </c>
      <c r="P52" s="92"/>
      <c r="Q52" s="92"/>
      <c r="R52" s="93">
        <f t="shared" si="3"/>
        <v>53.4</v>
      </c>
      <c r="S52" s="185">
        <v>1</v>
      </c>
      <c r="T52" s="839"/>
      <c r="U52" s="852"/>
      <c r="V52" s="82" t="s">
        <v>791</v>
      </c>
      <c r="W52" s="185" t="s">
        <v>74</v>
      </c>
      <c r="X52" s="185" t="s">
        <v>11</v>
      </c>
      <c r="Y52" s="83">
        <v>53.4</v>
      </c>
      <c r="AD52" s="82"/>
      <c r="AG52" s="83"/>
      <c r="AL52" s="82"/>
      <c r="AO52" s="83"/>
      <c r="AP52" s="82"/>
      <c r="AS52" s="83"/>
      <c r="AW52" s="83"/>
      <c r="BA52" s="84"/>
    </row>
    <row r="53" spans="1:53" s="185" customFormat="1">
      <c r="A53" s="101">
        <v>1982</v>
      </c>
      <c r="B53" s="852"/>
      <c r="C53" s="917" t="s">
        <v>794</v>
      </c>
      <c r="D53" s="917"/>
      <c r="E53" s="185">
        <v>0</v>
      </c>
      <c r="G53" s="119">
        <v>22</v>
      </c>
      <c r="J53" s="126">
        <v>22</v>
      </c>
      <c r="K53" s="92">
        <f t="shared" si="1"/>
        <v>100</v>
      </c>
      <c r="L53" s="92">
        <f t="shared" si="1"/>
        <v>0</v>
      </c>
      <c r="M53" s="92">
        <f t="shared" si="1"/>
        <v>0</v>
      </c>
      <c r="N53" s="121">
        <f t="shared" si="2"/>
        <v>100</v>
      </c>
      <c r="O53" s="91">
        <v>53.4</v>
      </c>
      <c r="P53" s="92"/>
      <c r="Q53" s="92"/>
      <c r="R53" s="93">
        <f t="shared" si="3"/>
        <v>53.4</v>
      </c>
      <c r="S53" s="185">
        <v>1</v>
      </c>
      <c r="T53" s="839"/>
      <c r="U53" s="852"/>
      <c r="V53" s="82" t="s">
        <v>791</v>
      </c>
      <c r="W53" s="185" t="s">
        <v>74</v>
      </c>
      <c r="X53" s="185" t="s">
        <v>11</v>
      </c>
      <c r="Y53" s="83">
        <v>53.4</v>
      </c>
      <c r="AD53" s="82"/>
      <c r="AG53" s="83"/>
      <c r="AL53" s="82"/>
      <c r="AO53" s="83"/>
      <c r="AP53" s="82"/>
      <c r="AS53" s="83"/>
      <c r="AW53" s="83"/>
      <c r="BA53" s="84"/>
    </row>
    <row r="54" spans="1:53" s="185" customFormat="1">
      <c r="A54" s="101">
        <v>1982</v>
      </c>
      <c r="B54" s="852"/>
      <c r="C54" s="917" t="s">
        <v>794</v>
      </c>
      <c r="D54" s="917"/>
      <c r="E54" s="185">
        <v>365</v>
      </c>
      <c r="G54" s="119">
        <v>22</v>
      </c>
      <c r="J54" s="126">
        <v>22</v>
      </c>
      <c r="K54" s="92">
        <f t="shared" si="1"/>
        <v>100</v>
      </c>
      <c r="L54" s="92">
        <f t="shared" si="1"/>
        <v>0</v>
      </c>
      <c r="M54" s="92">
        <f t="shared" si="1"/>
        <v>0</v>
      </c>
      <c r="N54" s="121">
        <f t="shared" si="2"/>
        <v>100</v>
      </c>
      <c r="O54" s="91">
        <v>53.4</v>
      </c>
      <c r="P54" s="92"/>
      <c r="Q54" s="92"/>
      <c r="R54" s="93">
        <f t="shared" si="3"/>
        <v>53.4</v>
      </c>
      <c r="S54" s="185">
        <v>1</v>
      </c>
      <c r="T54" s="839"/>
      <c r="U54" s="852"/>
      <c r="V54" s="82" t="s">
        <v>791</v>
      </c>
      <c r="W54" s="185" t="s">
        <v>74</v>
      </c>
      <c r="X54" s="185" t="s">
        <v>11</v>
      </c>
      <c r="Y54" s="83">
        <v>53.4</v>
      </c>
      <c r="AD54" s="82"/>
      <c r="AG54" s="83"/>
      <c r="AL54" s="82"/>
      <c r="AO54" s="83"/>
      <c r="AP54" s="82"/>
      <c r="AS54" s="83"/>
      <c r="AW54" s="83"/>
      <c r="BA54" s="84"/>
    </row>
    <row r="55" spans="1:53" s="185" customFormat="1">
      <c r="A55" s="101">
        <v>1983</v>
      </c>
      <c r="B55" s="852"/>
      <c r="C55" s="917" t="s">
        <v>794</v>
      </c>
      <c r="D55" s="917"/>
      <c r="E55" s="185">
        <v>162</v>
      </c>
      <c r="G55" s="119">
        <v>22</v>
      </c>
      <c r="J55" s="126">
        <v>22</v>
      </c>
      <c r="K55" s="92">
        <f t="shared" si="1"/>
        <v>100</v>
      </c>
      <c r="L55" s="92">
        <f t="shared" si="1"/>
        <v>0</v>
      </c>
      <c r="M55" s="92">
        <f t="shared" si="1"/>
        <v>0</v>
      </c>
      <c r="N55" s="121">
        <f t="shared" si="2"/>
        <v>100</v>
      </c>
      <c r="O55" s="91">
        <v>53.4</v>
      </c>
      <c r="P55" s="92"/>
      <c r="Q55" s="92"/>
      <c r="R55" s="93">
        <f t="shared" si="3"/>
        <v>53.4</v>
      </c>
      <c r="S55" s="185">
        <v>1</v>
      </c>
      <c r="T55" s="839"/>
      <c r="U55" s="852"/>
      <c r="V55" s="82" t="s">
        <v>791</v>
      </c>
      <c r="W55" s="185" t="s">
        <v>74</v>
      </c>
      <c r="X55" s="185" t="s">
        <v>11</v>
      </c>
      <c r="Y55" s="83">
        <v>53.4</v>
      </c>
      <c r="AD55" s="82"/>
      <c r="AG55" s="83"/>
      <c r="AL55" s="82"/>
      <c r="AO55" s="83"/>
      <c r="AP55" s="82"/>
      <c r="AS55" s="83"/>
      <c r="AW55" s="83"/>
      <c r="BA55" s="84"/>
    </row>
    <row r="56" spans="1:53" s="292" customFormat="1">
      <c r="A56" s="338">
        <v>1983</v>
      </c>
      <c r="B56" s="836">
        <v>30479</v>
      </c>
      <c r="C56" s="916" t="s">
        <v>795</v>
      </c>
      <c r="D56" s="916"/>
      <c r="E56" s="292">
        <f>365-E55</f>
        <v>203</v>
      </c>
      <c r="F56" s="292">
        <v>1</v>
      </c>
      <c r="G56" s="366">
        <v>21</v>
      </c>
      <c r="J56" s="377">
        <v>21</v>
      </c>
      <c r="K56" s="336">
        <f t="shared" si="1"/>
        <v>100</v>
      </c>
      <c r="L56" s="336">
        <f t="shared" si="1"/>
        <v>0</v>
      </c>
      <c r="M56" s="336">
        <f t="shared" si="1"/>
        <v>0</v>
      </c>
      <c r="N56" s="368">
        <f t="shared" si="2"/>
        <v>100</v>
      </c>
      <c r="O56" s="335">
        <v>61.1</v>
      </c>
      <c r="P56" s="336"/>
      <c r="Q56" s="336"/>
      <c r="R56" s="337">
        <f t="shared" si="3"/>
        <v>61.1</v>
      </c>
      <c r="S56" s="292">
        <v>1</v>
      </c>
      <c r="T56" s="838">
        <v>30476</v>
      </c>
      <c r="U56" s="836">
        <v>30479</v>
      </c>
      <c r="V56" s="299" t="s">
        <v>791</v>
      </c>
      <c r="W56" s="292" t="s">
        <v>74</v>
      </c>
      <c r="X56" s="292" t="s">
        <v>11</v>
      </c>
      <c r="Y56" s="300">
        <v>61.1</v>
      </c>
      <c r="AD56" s="299"/>
      <c r="AG56" s="300"/>
      <c r="AL56" s="299"/>
      <c r="AO56" s="300"/>
      <c r="AP56" s="299"/>
      <c r="AS56" s="300"/>
      <c r="AW56" s="300"/>
      <c r="BA56" s="301"/>
    </row>
    <row r="57" spans="1:53" s="292" customFormat="1">
      <c r="A57" s="338">
        <v>1984</v>
      </c>
      <c r="B57" s="836"/>
      <c r="C57" s="916" t="s">
        <v>795</v>
      </c>
      <c r="D57" s="916"/>
      <c r="E57" s="292">
        <v>0</v>
      </c>
      <c r="G57" s="366">
        <v>21</v>
      </c>
      <c r="J57" s="377">
        <v>21</v>
      </c>
      <c r="K57" s="336">
        <f t="shared" si="1"/>
        <v>100</v>
      </c>
      <c r="L57" s="336">
        <f t="shared" si="1"/>
        <v>0</v>
      </c>
      <c r="M57" s="336">
        <f t="shared" si="1"/>
        <v>0</v>
      </c>
      <c r="N57" s="368">
        <f t="shared" si="2"/>
        <v>100</v>
      </c>
      <c r="O57" s="335">
        <v>61.1</v>
      </c>
      <c r="P57" s="336"/>
      <c r="Q57" s="336"/>
      <c r="R57" s="337">
        <f t="shared" si="3"/>
        <v>61.1</v>
      </c>
      <c r="S57" s="292">
        <v>1</v>
      </c>
      <c r="T57" s="838"/>
      <c r="U57" s="836"/>
      <c r="V57" s="299" t="s">
        <v>791</v>
      </c>
      <c r="W57" s="292" t="s">
        <v>74</v>
      </c>
      <c r="X57" s="292" t="s">
        <v>11</v>
      </c>
      <c r="Y57" s="300">
        <v>61.1</v>
      </c>
      <c r="AD57" s="299"/>
      <c r="AG57" s="300"/>
      <c r="AL57" s="299"/>
      <c r="AO57" s="300"/>
      <c r="AP57" s="299"/>
      <c r="AS57" s="300"/>
      <c r="AW57" s="300"/>
      <c r="BA57" s="301"/>
    </row>
    <row r="58" spans="1:53" s="292" customFormat="1">
      <c r="A58" s="338">
        <v>1984</v>
      </c>
      <c r="B58" s="836"/>
      <c r="C58" s="916" t="s">
        <v>795</v>
      </c>
      <c r="D58" s="916"/>
      <c r="E58" s="292">
        <v>366</v>
      </c>
      <c r="G58" s="366">
        <v>21</v>
      </c>
      <c r="J58" s="377">
        <v>21</v>
      </c>
      <c r="K58" s="336">
        <f t="shared" si="1"/>
        <v>100</v>
      </c>
      <c r="L58" s="336">
        <f t="shared" si="1"/>
        <v>0</v>
      </c>
      <c r="M58" s="336">
        <f t="shared" si="1"/>
        <v>0</v>
      </c>
      <c r="N58" s="368">
        <f t="shared" si="2"/>
        <v>100</v>
      </c>
      <c r="O58" s="335">
        <v>61.1</v>
      </c>
      <c r="P58" s="336"/>
      <c r="Q58" s="336"/>
      <c r="R58" s="337">
        <f t="shared" si="3"/>
        <v>61.1</v>
      </c>
      <c r="S58" s="292">
        <v>1</v>
      </c>
      <c r="T58" s="838"/>
      <c r="U58" s="836"/>
      <c r="V58" s="299" t="s">
        <v>791</v>
      </c>
      <c r="W58" s="292" t="s">
        <v>74</v>
      </c>
      <c r="X58" s="292" t="s">
        <v>11</v>
      </c>
      <c r="Y58" s="300">
        <v>61.1</v>
      </c>
      <c r="AD58" s="299"/>
      <c r="AG58" s="300"/>
      <c r="AL58" s="299"/>
      <c r="AO58" s="300"/>
      <c r="AP58" s="299"/>
      <c r="AS58" s="300"/>
      <c r="AW58" s="300"/>
      <c r="BA58" s="301"/>
    </row>
    <row r="59" spans="1:53" s="292" customFormat="1">
      <c r="A59" s="338">
        <v>1985</v>
      </c>
      <c r="B59" s="836"/>
      <c r="C59" s="916" t="s">
        <v>795</v>
      </c>
      <c r="D59" s="916"/>
      <c r="E59" s="292">
        <v>0</v>
      </c>
      <c r="G59" s="366">
        <v>21</v>
      </c>
      <c r="J59" s="377">
        <v>21</v>
      </c>
      <c r="K59" s="336">
        <f t="shared" si="1"/>
        <v>100</v>
      </c>
      <c r="L59" s="336">
        <f t="shared" si="1"/>
        <v>0</v>
      </c>
      <c r="M59" s="336">
        <f t="shared" si="1"/>
        <v>0</v>
      </c>
      <c r="N59" s="368">
        <f t="shared" si="2"/>
        <v>100</v>
      </c>
      <c r="O59" s="335">
        <v>61.1</v>
      </c>
      <c r="P59" s="336"/>
      <c r="Q59" s="336"/>
      <c r="R59" s="337">
        <f t="shared" si="3"/>
        <v>61.1</v>
      </c>
      <c r="S59" s="292">
        <v>1</v>
      </c>
      <c r="T59" s="838"/>
      <c r="U59" s="836"/>
      <c r="V59" s="299" t="s">
        <v>791</v>
      </c>
      <c r="W59" s="292" t="s">
        <v>74</v>
      </c>
      <c r="X59" s="292" t="s">
        <v>11</v>
      </c>
      <c r="Y59" s="300">
        <v>61.1</v>
      </c>
      <c r="AD59" s="299"/>
      <c r="AG59" s="300"/>
      <c r="AL59" s="299"/>
      <c r="AO59" s="300"/>
      <c r="AP59" s="299"/>
      <c r="AS59" s="300"/>
      <c r="AW59" s="300"/>
      <c r="BA59" s="301"/>
    </row>
    <row r="60" spans="1:53" s="292" customFormat="1">
      <c r="A60" s="338">
        <v>1985</v>
      </c>
      <c r="B60" s="836"/>
      <c r="C60" s="916" t="s">
        <v>795</v>
      </c>
      <c r="D60" s="916"/>
      <c r="E60" s="292">
        <v>365</v>
      </c>
      <c r="G60" s="366">
        <v>21</v>
      </c>
      <c r="J60" s="377">
        <v>21</v>
      </c>
      <c r="K60" s="336">
        <f t="shared" si="1"/>
        <v>100</v>
      </c>
      <c r="L60" s="336">
        <f t="shared" si="1"/>
        <v>0</v>
      </c>
      <c r="M60" s="336">
        <f t="shared" si="1"/>
        <v>0</v>
      </c>
      <c r="N60" s="368">
        <f t="shared" si="2"/>
        <v>100</v>
      </c>
      <c r="O60" s="335">
        <v>61.1</v>
      </c>
      <c r="P60" s="336"/>
      <c r="Q60" s="336"/>
      <c r="R60" s="337">
        <f t="shared" si="3"/>
        <v>61.1</v>
      </c>
      <c r="S60" s="292">
        <v>1</v>
      </c>
      <c r="T60" s="838"/>
      <c r="U60" s="836"/>
      <c r="V60" s="299" t="s">
        <v>791</v>
      </c>
      <c r="W60" s="292" t="s">
        <v>74</v>
      </c>
      <c r="X60" s="292" t="s">
        <v>11</v>
      </c>
      <c r="Y60" s="300">
        <v>61.1</v>
      </c>
      <c r="AD60" s="299"/>
      <c r="AG60" s="300"/>
      <c r="AL60" s="299"/>
      <c r="AO60" s="300"/>
      <c r="AP60" s="299"/>
      <c r="AS60" s="300"/>
      <c r="AW60" s="300"/>
      <c r="BA60" s="301"/>
    </row>
    <row r="61" spans="1:53" s="292" customFormat="1">
      <c r="A61" s="338">
        <v>1986</v>
      </c>
      <c r="B61" s="836"/>
      <c r="C61" s="916" t="s">
        <v>795</v>
      </c>
      <c r="D61" s="916"/>
      <c r="E61" s="292">
        <v>0</v>
      </c>
      <c r="G61" s="366">
        <v>21</v>
      </c>
      <c r="J61" s="377">
        <v>21</v>
      </c>
      <c r="K61" s="336">
        <f t="shared" si="1"/>
        <v>100</v>
      </c>
      <c r="L61" s="336">
        <f t="shared" si="1"/>
        <v>0</v>
      </c>
      <c r="M61" s="336">
        <f t="shared" si="1"/>
        <v>0</v>
      </c>
      <c r="N61" s="368">
        <f t="shared" si="2"/>
        <v>100</v>
      </c>
      <c r="O61" s="335">
        <v>61.1</v>
      </c>
      <c r="P61" s="336"/>
      <c r="Q61" s="336"/>
      <c r="R61" s="337">
        <f t="shared" si="3"/>
        <v>61.1</v>
      </c>
      <c r="S61" s="292">
        <v>1</v>
      </c>
      <c r="T61" s="838"/>
      <c r="U61" s="836"/>
      <c r="V61" s="299" t="s">
        <v>791</v>
      </c>
      <c r="W61" s="292" t="s">
        <v>74</v>
      </c>
      <c r="X61" s="292" t="s">
        <v>11</v>
      </c>
      <c r="Y61" s="300">
        <v>61.1</v>
      </c>
      <c r="AD61" s="299"/>
      <c r="AG61" s="300"/>
      <c r="AL61" s="299"/>
      <c r="AO61" s="300"/>
      <c r="AP61" s="299"/>
      <c r="AS61" s="300"/>
      <c r="AW61" s="300"/>
      <c r="BA61" s="301"/>
    </row>
    <row r="62" spans="1:53" s="292" customFormat="1">
      <c r="A62" s="338">
        <v>1986</v>
      </c>
      <c r="B62" s="836"/>
      <c r="C62" s="916" t="s">
        <v>795</v>
      </c>
      <c r="D62" s="916"/>
      <c r="E62" s="292">
        <v>365</v>
      </c>
      <c r="G62" s="366">
        <v>21</v>
      </c>
      <c r="J62" s="377">
        <v>21</v>
      </c>
      <c r="K62" s="336">
        <f t="shared" si="1"/>
        <v>100</v>
      </c>
      <c r="L62" s="336">
        <f t="shared" si="1"/>
        <v>0</v>
      </c>
      <c r="M62" s="336">
        <f t="shared" si="1"/>
        <v>0</v>
      </c>
      <c r="N62" s="368">
        <f t="shared" si="2"/>
        <v>100</v>
      </c>
      <c r="O62" s="335">
        <v>61.1</v>
      </c>
      <c r="P62" s="336"/>
      <c r="Q62" s="336"/>
      <c r="R62" s="337">
        <f t="shared" si="3"/>
        <v>61.1</v>
      </c>
      <c r="S62" s="292">
        <v>1</v>
      </c>
      <c r="T62" s="838"/>
      <c r="U62" s="836"/>
      <c r="V62" s="299" t="s">
        <v>791</v>
      </c>
      <c r="W62" s="292" t="s">
        <v>74</v>
      </c>
      <c r="X62" s="292" t="s">
        <v>11</v>
      </c>
      <c r="Y62" s="300">
        <v>61.1</v>
      </c>
      <c r="AD62" s="299"/>
      <c r="AG62" s="300"/>
      <c r="AL62" s="299"/>
      <c r="AO62" s="300"/>
      <c r="AP62" s="299"/>
      <c r="AS62" s="300"/>
      <c r="AW62" s="300"/>
      <c r="BA62" s="301"/>
    </row>
    <row r="63" spans="1:53" s="292" customFormat="1">
      <c r="A63" s="338">
        <v>1987</v>
      </c>
      <c r="B63" s="836"/>
      <c r="C63" s="916" t="s">
        <v>795</v>
      </c>
      <c r="D63" s="916"/>
      <c r="E63" s="292">
        <v>163</v>
      </c>
      <c r="G63" s="366">
        <v>21</v>
      </c>
      <c r="J63" s="377">
        <v>21</v>
      </c>
      <c r="K63" s="336">
        <f t="shared" si="1"/>
        <v>100</v>
      </c>
      <c r="L63" s="336">
        <f t="shared" si="1"/>
        <v>0</v>
      </c>
      <c r="M63" s="336">
        <f t="shared" si="1"/>
        <v>0</v>
      </c>
      <c r="N63" s="368">
        <f t="shared" si="2"/>
        <v>100</v>
      </c>
      <c r="O63" s="335">
        <v>61.1</v>
      </c>
      <c r="P63" s="336"/>
      <c r="Q63" s="336"/>
      <c r="R63" s="337">
        <f t="shared" si="3"/>
        <v>61.1</v>
      </c>
      <c r="S63" s="292">
        <v>1</v>
      </c>
      <c r="T63" s="838"/>
      <c r="U63" s="836"/>
      <c r="V63" s="299" t="s">
        <v>791</v>
      </c>
      <c r="W63" s="292" t="s">
        <v>74</v>
      </c>
      <c r="X63" s="292" t="s">
        <v>11</v>
      </c>
      <c r="Y63" s="300">
        <v>61.1</v>
      </c>
      <c r="AD63" s="299"/>
      <c r="AG63" s="300"/>
      <c r="AL63" s="299"/>
      <c r="AO63" s="300"/>
      <c r="AP63" s="299"/>
      <c r="AS63" s="300"/>
      <c r="AW63" s="300"/>
      <c r="BA63" s="301"/>
    </row>
    <row r="64" spans="1:53" s="185" customFormat="1">
      <c r="A64" s="101">
        <v>1987</v>
      </c>
      <c r="B64" s="852">
        <v>31941</v>
      </c>
      <c r="C64" s="917" t="s">
        <v>796</v>
      </c>
      <c r="D64" s="917"/>
      <c r="E64" s="185">
        <f>365-E63</f>
        <v>202</v>
      </c>
      <c r="F64" s="185">
        <v>1</v>
      </c>
      <c r="G64" s="119">
        <v>21</v>
      </c>
      <c r="J64" s="126">
        <v>21</v>
      </c>
      <c r="K64" s="92">
        <f t="shared" si="1"/>
        <v>100</v>
      </c>
      <c r="L64" s="92">
        <f t="shared" si="1"/>
        <v>0</v>
      </c>
      <c r="M64" s="92">
        <f t="shared" si="1"/>
        <v>0</v>
      </c>
      <c r="N64" s="121">
        <f t="shared" si="2"/>
        <v>100</v>
      </c>
      <c r="O64" s="91">
        <v>57.8</v>
      </c>
      <c r="P64" s="92"/>
      <c r="Q64" s="92"/>
      <c r="R64" s="93">
        <f t="shared" si="3"/>
        <v>57.8</v>
      </c>
      <c r="S64" s="185">
        <v>1</v>
      </c>
      <c r="T64" s="839">
        <v>31939</v>
      </c>
      <c r="U64" s="852">
        <v>31941</v>
      </c>
      <c r="V64" s="82" t="s">
        <v>791</v>
      </c>
      <c r="W64" s="185" t="s">
        <v>74</v>
      </c>
      <c r="X64" s="185" t="s">
        <v>11</v>
      </c>
      <c r="Y64" s="83">
        <v>57.8</v>
      </c>
      <c r="AD64" s="82"/>
      <c r="AG64" s="83"/>
      <c r="AL64" s="82"/>
      <c r="AO64" s="83"/>
      <c r="AP64" s="82"/>
      <c r="AS64" s="83"/>
      <c r="AW64" s="83"/>
      <c r="BA64" s="84"/>
    </row>
    <row r="65" spans="1:53" s="185" customFormat="1">
      <c r="A65" s="101">
        <v>1988</v>
      </c>
      <c r="B65" s="852"/>
      <c r="C65" s="917" t="s">
        <v>796</v>
      </c>
      <c r="D65" s="917"/>
      <c r="E65" s="185">
        <v>0</v>
      </c>
      <c r="G65" s="119">
        <v>21</v>
      </c>
      <c r="J65" s="126">
        <v>21</v>
      </c>
      <c r="K65" s="92">
        <f t="shared" si="1"/>
        <v>100</v>
      </c>
      <c r="L65" s="92">
        <f t="shared" si="1"/>
        <v>0</v>
      </c>
      <c r="M65" s="92">
        <f t="shared" si="1"/>
        <v>0</v>
      </c>
      <c r="N65" s="121">
        <f t="shared" si="2"/>
        <v>100</v>
      </c>
      <c r="O65" s="91">
        <v>57.8</v>
      </c>
      <c r="P65" s="92"/>
      <c r="Q65" s="92"/>
      <c r="R65" s="93">
        <f t="shared" si="3"/>
        <v>57.8</v>
      </c>
      <c r="S65" s="185">
        <v>1</v>
      </c>
      <c r="T65" s="839"/>
      <c r="U65" s="852"/>
      <c r="V65" s="82" t="s">
        <v>791</v>
      </c>
      <c r="W65" s="185" t="s">
        <v>74</v>
      </c>
      <c r="X65" s="185" t="s">
        <v>11</v>
      </c>
      <c r="Y65" s="83">
        <v>57.8</v>
      </c>
      <c r="AD65" s="82"/>
      <c r="AG65" s="83"/>
      <c r="AL65" s="82"/>
      <c r="AO65" s="83"/>
      <c r="AP65" s="82"/>
      <c r="AS65" s="83"/>
      <c r="AW65" s="83"/>
      <c r="BA65" s="84"/>
    </row>
    <row r="66" spans="1:53" s="185" customFormat="1">
      <c r="A66" s="101">
        <v>1988</v>
      </c>
      <c r="B66" s="852"/>
      <c r="C66" s="917" t="s">
        <v>796</v>
      </c>
      <c r="D66" s="917"/>
      <c r="E66" s="185">
        <v>366</v>
      </c>
      <c r="G66" s="119">
        <v>21</v>
      </c>
      <c r="J66" s="126">
        <v>21</v>
      </c>
      <c r="K66" s="92">
        <f t="shared" si="1"/>
        <v>100</v>
      </c>
      <c r="L66" s="92">
        <f t="shared" si="1"/>
        <v>0</v>
      </c>
      <c r="M66" s="92">
        <f t="shared" si="1"/>
        <v>0</v>
      </c>
      <c r="N66" s="121">
        <f t="shared" si="2"/>
        <v>100</v>
      </c>
      <c r="O66" s="91">
        <v>57.8</v>
      </c>
      <c r="P66" s="92"/>
      <c r="Q66" s="92"/>
      <c r="R66" s="93">
        <f t="shared" si="3"/>
        <v>57.8</v>
      </c>
      <c r="S66" s="185">
        <v>1</v>
      </c>
      <c r="T66" s="839"/>
      <c r="U66" s="852"/>
      <c r="V66" s="82" t="s">
        <v>791</v>
      </c>
      <c r="W66" s="185" t="s">
        <v>74</v>
      </c>
      <c r="X66" s="185" t="s">
        <v>11</v>
      </c>
      <c r="Y66" s="83">
        <v>57.8</v>
      </c>
      <c r="AD66" s="82"/>
      <c r="AG66" s="83"/>
      <c r="AL66" s="82"/>
      <c r="AO66" s="83"/>
      <c r="AP66" s="82"/>
      <c r="AS66" s="83"/>
      <c r="AW66" s="83"/>
      <c r="BA66" s="84"/>
    </row>
    <row r="67" spans="1:53" s="185" customFormat="1">
      <c r="A67" s="101">
        <v>1989</v>
      </c>
      <c r="B67" s="852"/>
      <c r="C67" s="917" t="s">
        <v>796</v>
      </c>
      <c r="D67" s="917"/>
      <c r="E67" s="185">
        <v>0</v>
      </c>
      <c r="G67" s="119">
        <v>21</v>
      </c>
      <c r="J67" s="126">
        <v>21</v>
      </c>
      <c r="K67" s="92">
        <f t="shared" si="1"/>
        <v>100</v>
      </c>
      <c r="L67" s="92">
        <f t="shared" si="1"/>
        <v>0</v>
      </c>
      <c r="M67" s="92">
        <f t="shared" si="1"/>
        <v>0</v>
      </c>
      <c r="N67" s="121">
        <f t="shared" si="2"/>
        <v>100</v>
      </c>
      <c r="O67" s="91">
        <v>57.8</v>
      </c>
      <c r="P67" s="92"/>
      <c r="Q67" s="92"/>
      <c r="R67" s="93">
        <f>O67+P67+Q67</f>
        <v>57.8</v>
      </c>
      <c r="S67" s="185">
        <v>1</v>
      </c>
      <c r="T67" s="839"/>
      <c r="U67" s="852"/>
      <c r="V67" s="82" t="s">
        <v>791</v>
      </c>
      <c r="W67" s="185" t="s">
        <v>74</v>
      </c>
      <c r="X67" s="185" t="s">
        <v>11</v>
      </c>
      <c r="Y67" s="83">
        <v>57.8</v>
      </c>
      <c r="AD67" s="82"/>
      <c r="AG67" s="83"/>
      <c r="AL67" s="82"/>
      <c r="AO67" s="83"/>
      <c r="AP67" s="82"/>
      <c r="AS67" s="83"/>
      <c r="AW67" s="83"/>
      <c r="BA67" s="84"/>
    </row>
    <row r="68" spans="1:53" s="188" customFormat="1">
      <c r="A68" s="148">
        <v>1989</v>
      </c>
      <c r="B68" s="859"/>
      <c r="C68" s="957" t="s">
        <v>796</v>
      </c>
      <c r="D68" s="957"/>
      <c r="E68" s="188">
        <f>365-E67</f>
        <v>365</v>
      </c>
      <c r="G68" s="129">
        <v>21</v>
      </c>
      <c r="J68" s="130">
        <v>21</v>
      </c>
      <c r="K68" s="131">
        <f t="shared" si="1"/>
        <v>100</v>
      </c>
      <c r="L68" s="131">
        <f t="shared" si="1"/>
        <v>0</v>
      </c>
      <c r="M68" s="131">
        <f t="shared" si="1"/>
        <v>0</v>
      </c>
      <c r="N68" s="134">
        <f t="shared" si="2"/>
        <v>100</v>
      </c>
      <c r="O68" s="132">
        <v>57.8</v>
      </c>
      <c r="P68" s="131"/>
      <c r="Q68" s="131"/>
      <c r="R68" s="134">
        <f t="shared" si="3"/>
        <v>57.8</v>
      </c>
      <c r="S68" s="192">
        <v>1</v>
      </c>
      <c r="T68" s="861"/>
      <c r="U68" s="859"/>
      <c r="V68" s="136" t="s">
        <v>791</v>
      </c>
      <c r="W68" s="188" t="s">
        <v>74</v>
      </c>
      <c r="X68" s="188" t="s">
        <v>11</v>
      </c>
      <c r="Y68" s="137">
        <v>57.8</v>
      </c>
      <c r="AD68" s="136"/>
      <c r="AG68" s="137"/>
      <c r="AL68" s="136"/>
      <c r="AO68" s="137"/>
      <c r="AP68" s="136"/>
      <c r="AS68" s="137"/>
      <c r="AW68" s="137"/>
      <c r="BA68" s="138"/>
    </row>
    <row r="69" spans="1:53" s="185" customFormat="1">
      <c r="A69" s="185">
        <v>1990</v>
      </c>
      <c r="B69" s="852"/>
      <c r="C69" s="917" t="s">
        <v>796</v>
      </c>
      <c r="D69" s="917"/>
      <c r="E69" s="185">
        <v>332</v>
      </c>
      <c r="G69" s="119">
        <v>21</v>
      </c>
      <c r="J69" s="126">
        <v>21</v>
      </c>
      <c r="K69" s="92">
        <f t="shared" si="1"/>
        <v>100</v>
      </c>
      <c r="L69" s="92">
        <f t="shared" si="1"/>
        <v>0</v>
      </c>
      <c r="M69" s="92">
        <f t="shared" si="1"/>
        <v>0</v>
      </c>
      <c r="N69" s="121">
        <f t="shared" si="2"/>
        <v>100</v>
      </c>
      <c r="O69" s="91">
        <v>57.8</v>
      </c>
      <c r="P69" s="92"/>
      <c r="Q69" s="92"/>
      <c r="R69" s="93">
        <f t="shared" si="3"/>
        <v>57.8</v>
      </c>
      <c r="S69" s="185">
        <v>1</v>
      </c>
      <c r="T69" s="839"/>
      <c r="U69" s="852"/>
      <c r="V69" s="82" t="s">
        <v>791</v>
      </c>
      <c r="W69" s="185" t="s">
        <v>74</v>
      </c>
      <c r="X69" s="185" t="s">
        <v>11</v>
      </c>
      <c r="Y69" s="83">
        <v>57.8</v>
      </c>
      <c r="AD69" s="82"/>
      <c r="AG69" s="83"/>
      <c r="AL69" s="82"/>
      <c r="AO69" s="83"/>
      <c r="AP69" s="82"/>
      <c r="AS69" s="83"/>
      <c r="AW69" s="83"/>
      <c r="BA69" s="84"/>
    </row>
    <row r="70" spans="1:53" s="292" customFormat="1">
      <c r="A70" s="292">
        <v>1990</v>
      </c>
      <c r="B70" s="836">
        <v>33206</v>
      </c>
      <c r="C70" s="916" t="s">
        <v>797</v>
      </c>
      <c r="D70" s="916"/>
      <c r="E70" s="292">
        <f>365-E69</f>
        <v>33</v>
      </c>
      <c r="F70" s="292">
        <v>2</v>
      </c>
      <c r="G70" s="366">
        <v>22</v>
      </c>
      <c r="J70" s="377">
        <v>22</v>
      </c>
      <c r="K70" s="336">
        <f t="shared" si="1"/>
        <v>100</v>
      </c>
      <c r="L70" s="336">
        <f t="shared" si="1"/>
        <v>0</v>
      </c>
      <c r="M70" s="336">
        <f t="shared" si="1"/>
        <v>0</v>
      </c>
      <c r="N70" s="368">
        <f t="shared" si="2"/>
        <v>100</v>
      </c>
      <c r="O70" s="335">
        <v>57.8</v>
      </c>
      <c r="P70" s="336"/>
      <c r="Q70" s="336"/>
      <c r="R70" s="337">
        <f t="shared" si="3"/>
        <v>57.8</v>
      </c>
      <c r="S70" s="292">
        <v>1</v>
      </c>
      <c r="T70" s="838"/>
      <c r="U70" s="836">
        <v>33206</v>
      </c>
      <c r="V70" s="299" t="s">
        <v>791</v>
      </c>
      <c r="W70" s="292" t="s">
        <v>74</v>
      </c>
      <c r="X70" s="292" t="s">
        <v>11</v>
      </c>
      <c r="Y70" s="300">
        <v>57.8</v>
      </c>
      <c r="AD70" s="299"/>
      <c r="AG70" s="300"/>
      <c r="AL70" s="299"/>
      <c r="AO70" s="300"/>
      <c r="AP70" s="299"/>
      <c r="AS70" s="300"/>
      <c r="AW70" s="300"/>
      <c r="BA70" s="301"/>
    </row>
    <row r="71" spans="1:53" s="292" customFormat="1">
      <c r="A71" s="292">
        <v>1991</v>
      </c>
      <c r="B71" s="836"/>
      <c r="C71" s="916" t="s">
        <v>797</v>
      </c>
      <c r="D71" s="916"/>
      <c r="E71" s="292">
        <v>0</v>
      </c>
      <c r="G71" s="366">
        <v>22</v>
      </c>
      <c r="J71" s="377">
        <v>22</v>
      </c>
      <c r="K71" s="336">
        <f t="shared" si="1"/>
        <v>100</v>
      </c>
      <c r="L71" s="336">
        <f t="shared" si="1"/>
        <v>0</v>
      </c>
      <c r="M71" s="336">
        <f t="shared" si="1"/>
        <v>0</v>
      </c>
      <c r="N71" s="368">
        <f t="shared" si="2"/>
        <v>100</v>
      </c>
      <c r="O71" s="335">
        <v>57.8</v>
      </c>
      <c r="P71" s="336"/>
      <c r="Q71" s="336"/>
      <c r="R71" s="337">
        <f t="shared" si="3"/>
        <v>57.8</v>
      </c>
      <c r="S71" s="292">
        <v>1</v>
      </c>
      <c r="T71" s="838"/>
      <c r="U71" s="836"/>
      <c r="V71" s="299" t="s">
        <v>791</v>
      </c>
      <c r="W71" s="292" t="s">
        <v>74</v>
      </c>
      <c r="X71" s="292" t="s">
        <v>11</v>
      </c>
      <c r="Y71" s="300">
        <v>57.8</v>
      </c>
      <c r="AD71" s="299"/>
      <c r="AG71" s="300"/>
      <c r="AL71" s="299"/>
      <c r="AO71" s="300"/>
      <c r="AP71" s="299"/>
      <c r="AS71" s="300"/>
      <c r="AW71" s="300"/>
      <c r="BA71" s="301"/>
    </row>
    <row r="72" spans="1:53" s="292" customFormat="1">
      <c r="A72" s="292">
        <v>1991</v>
      </c>
      <c r="B72" s="836"/>
      <c r="C72" s="916" t="s">
        <v>797</v>
      </c>
      <c r="D72" s="916"/>
      <c r="E72" s="292">
        <f>365-E71</f>
        <v>365</v>
      </c>
      <c r="G72" s="366">
        <v>22</v>
      </c>
      <c r="J72" s="377">
        <v>22</v>
      </c>
      <c r="K72" s="336">
        <f t="shared" si="1"/>
        <v>100</v>
      </c>
      <c r="L72" s="336">
        <f t="shared" si="1"/>
        <v>0</v>
      </c>
      <c r="M72" s="336">
        <f t="shared" si="1"/>
        <v>0</v>
      </c>
      <c r="N72" s="368">
        <f t="shared" si="2"/>
        <v>100</v>
      </c>
      <c r="O72" s="335">
        <v>57.8</v>
      </c>
      <c r="P72" s="336"/>
      <c r="Q72" s="336"/>
      <c r="R72" s="337">
        <f t="shared" si="3"/>
        <v>57.8</v>
      </c>
      <c r="S72" s="292">
        <v>1</v>
      </c>
      <c r="T72" s="838"/>
      <c r="U72" s="836"/>
      <c r="V72" s="299" t="s">
        <v>791</v>
      </c>
      <c r="W72" s="292" t="s">
        <v>74</v>
      </c>
      <c r="X72" s="292" t="s">
        <v>11</v>
      </c>
      <c r="Y72" s="300">
        <v>57.8</v>
      </c>
      <c r="AD72" s="299"/>
      <c r="AG72" s="300"/>
      <c r="AL72" s="299"/>
      <c r="AO72" s="300"/>
      <c r="AP72" s="299"/>
      <c r="AS72" s="300"/>
      <c r="AW72" s="300"/>
      <c r="BA72" s="301"/>
    </row>
    <row r="73" spans="1:53" s="292" customFormat="1">
      <c r="A73" s="292">
        <v>1992</v>
      </c>
      <c r="B73" s="836"/>
      <c r="C73" s="916" t="s">
        <v>797</v>
      </c>
      <c r="D73" s="916"/>
      <c r="E73" s="292">
        <v>101</v>
      </c>
      <c r="G73" s="366">
        <v>22</v>
      </c>
      <c r="J73" s="377">
        <v>22</v>
      </c>
      <c r="K73" s="336">
        <f t="shared" ref="K73:M101" si="4">G73/$J73*100</f>
        <v>100</v>
      </c>
      <c r="L73" s="336">
        <f t="shared" si="4"/>
        <v>0</v>
      </c>
      <c r="M73" s="336">
        <f t="shared" si="4"/>
        <v>0</v>
      </c>
      <c r="N73" s="368">
        <f t="shared" ref="N73:N101" si="5">K73+L73+M73</f>
        <v>100</v>
      </c>
      <c r="O73" s="335">
        <v>57.8</v>
      </c>
      <c r="P73" s="336"/>
      <c r="Q73" s="336"/>
      <c r="R73" s="337">
        <f t="shared" ref="R73:R83" si="6">O73+P73+Q73</f>
        <v>57.8</v>
      </c>
      <c r="S73" s="292">
        <v>1</v>
      </c>
      <c r="T73" s="838"/>
      <c r="U73" s="836"/>
      <c r="V73" s="299" t="s">
        <v>791</v>
      </c>
      <c r="W73" s="292" t="s">
        <v>74</v>
      </c>
      <c r="X73" s="292" t="s">
        <v>11</v>
      </c>
      <c r="Y73" s="300">
        <v>57.8</v>
      </c>
      <c r="AD73" s="299"/>
      <c r="AG73" s="300"/>
      <c r="AL73" s="299"/>
      <c r="AO73" s="300"/>
      <c r="AP73" s="299"/>
      <c r="AS73" s="300"/>
      <c r="AW73" s="300"/>
      <c r="BA73" s="301"/>
    </row>
    <row r="74" spans="1:53" s="185" customFormat="1">
      <c r="A74" s="185">
        <v>1992</v>
      </c>
      <c r="B74" s="852">
        <v>33705</v>
      </c>
      <c r="C74" s="917" t="s">
        <v>798</v>
      </c>
      <c r="D74" s="917"/>
      <c r="E74" s="185">
        <f>366-E73</f>
        <v>265</v>
      </c>
      <c r="F74" s="185">
        <v>1</v>
      </c>
      <c r="G74" s="119">
        <v>22</v>
      </c>
      <c r="J74" s="126">
        <v>22</v>
      </c>
      <c r="K74" s="92">
        <f t="shared" si="4"/>
        <v>100</v>
      </c>
      <c r="L74" s="92">
        <f t="shared" si="4"/>
        <v>0</v>
      </c>
      <c r="M74" s="92">
        <f t="shared" si="4"/>
        <v>0</v>
      </c>
      <c r="N74" s="121">
        <f t="shared" si="5"/>
        <v>100</v>
      </c>
      <c r="O74" s="91">
        <v>51.6</v>
      </c>
      <c r="P74" s="92"/>
      <c r="Q74" s="92"/>
      <c r="R74" s="93">
        <f t="shared" si="6"/>
        <v>51.6</v>
      </c>
      <c r="S74" s="185">
        <v>1</v>
      </c>
      <c r="T74" s="839">
        <v>33703</v>
      </c>
      <c r="U74" s="852">
        <v>33705</v>
      </c>
      <c r="V74" s="82" t="s">
        <v>791</v>
      </c>
      <c r="W74" s="185" t="s">
        <v>74</v>
      </c>
      <c r="X74" s="185" t="s">
        <v>11</v>
      </c>
      <c r="Y74" s="83">
        <v>51.6</v>
      </c>
      <c r="AD74" s="82"/>
      <c r="AG74" s="83"/>
      <c r="AL74" s="82"/>
      <c r="AO74" s="83"/>
      <c r="AP74" s="82"/>
      <c r="AS74" s="83"/>
      <c r="AW74" s="83"/>
      <c r="BA74" s="84"/>
    </row>
    <row r="75" spans="1:53" s="185" customFormat="1">
      <c r="A75" s="185">
        <v>1993</v>
      </c>
      <c r="B75" s="852"/>
      <c r="C75" s="917" t="s">
        <v>798</v>
      </c>
      <c r="D75" s="917"/>
      <c r="E75" s="185">
        <v>0</v>
      </c>
      <c r="G75" s="119">
        <v>22</v>
      </c>
      <c r="J75" s="126">
        <v>22</v>
      </c>
      <c r="K75" s="92">
        <f t="shared" si="4"/>
        <v>100</v>
      </c>
      <c r="L75" s="92">
        <f t="shared" si="4"/>
        <v>0</v>
      </c>
      <c r="M75" s="92">
        <f t="shared" si="4"/>
        <v>0</v>
      </c>
      <c r="N75" s="121">
        <f t="shared" si="5"/>
        <v>100</v>
      </c>
      <c r="O75" s="91">
        <v>51.6</v>
      </c>
      <c r="P75" s="92"/>
      <c r="Q75" s="92"/>
      <c r="R75" s="93">
        <f t="shared" si="6"/>
        <v>51.6</v>
      </c>
      <c r="S75" s="185">
        <v>1</v>
      </c>
      <c r="T75" s="839"/>
      <c r="U75" s="852"/>
      <c r="V75" s="82" t="s">
        <v>791</v>
      </c>
      <c r="W75" s="185" t="s">
        <v>74</v>
      </c>
      <c r="X75" s="185" t="s">
        <v>11</v>
      </c>
      <c r="Y75" s="83">
        <v>51.6</v>
      </c>
      <c r="AD75" s="82"/>
      <c r="AG75" s="83"/>
      <c r="AL75" s="82"/>
      <c r="AO75" s="83"/>
      <c r="AP75" s="82"/>
      <c r="AS75" s="83"/>
      <c r="AW75" s="83"/>
      <c r="BA75" s="84"/>
    </row>
    <row r="76" spans="1:53" s="185" customFormat="1">
      <c r="A76" s="185">
        <v>1993</v>
      </c>
      <c r="B76" s="852"/>
      <c r="C76" s="917" t="s">
        <v>798</v>
      </c>
      <c r="D76" s="917"/>
      <c r="E76" s="185">
        <f>365-E75</f>
        <v>365</v>
      </c>
      <c r="G76" s="119">
        <v>22</v>
      </c>
      <c r="J76" s="126">
        <v>22</v>
      </c>
      <c r="K76" s="92">
        <f t="shared" si="4"/>
        <v>100</v>
      </c>
      <c r="L76" s="92">
        <f t="shared" si="4"/>
        <v>0</v>
      </c>
      <c r="M76" s="92">
        <f t="shared" si="4"/>
        <v>0</v>
      </c>
      <c r="N76" s="121">
        <f t="shared" si="5"/>
        <v>100</v>
      </c>
      <c r="O76" s="91">
        <v>51.6</v>
      </c>
      <c r="P76" s="92"/>
      <c r="Q76" s="92"/>
      <c r="R76" s="93">
        <f t="shared" si="6"/>
        <v>51.6</v>
      </c>
      <c r="S76" s="185">
        <v>1</v>
      </c>
      <c r="T76" s="839"/>
      <c r="U76" s="852"/>
      <c r="V76" s="82" t="s">
        <v>791</v>
      </c>
      <c r="W76" s="185" t="s">
        <v>74</v>
      </c>
      <c r="X76" s="185" t="s">
        <v>11</v>
      </c>
      <c r="Y76" s="83">
        <v>51.6</v>
      </c>
      <c r="AD76" s="82"/>
      <c r="AG76" s="83"/>
      <c r="AL76" s="82"/>
      <c r="AO76" s="83"/>
      <c r="AP76" s="82"/>
      <c r="AS76" s="83"/>
      <c r="AW76" s="83"/>
      <c r="BA76" s="84"/>
    </row>
    <row r="77" spans="1:53" s="185" customFormat="1">
      <c r="A77" s="185">
        <v>1994</v>
      </c>
      <c r="B77" s="852"/>
      <c r="C77" s="917" t="s">
        <v>798</v>
      </c>
      <c r="D77" s="917"/>
      <c r="E77" s="185">
        <v>0</v>
      </c>
      <c r="G77" s="119">
        <v>22</v>
      </c>
      <c r="J77" s="126">
        <v>22</v>
      </c>
      <c r="K77" s="92">
        <f t="shared" si="4"/>
        <v>100</v>
      </c>
      <c r="L77" s="92">
        <f t="shared" si="4"/>
        <v>0</v>
      </c>
      <c r="M77" s="92">
        <f t="shared" si="4"/>
        <v>0</v>
      </c>
      <c r="N77" s="121">
        <f t="shared" si="5"/>
        <v>100</v>
      </c>
      <c r="O77" s="91">
        <v>51.6</v>
      </c>
      <c r="P77" s="92"/>
      <c r="Q77" s="92"/>
      <c r="R77" s="93">
        <f t="shared" si="6"/>
        <v>51.6</v>
      </c>
      <c r="S77" s="185">
        <v>1</v>
      </c>
      <c r="T77" s="839"/>
      <c r="U77" s="852"/>
      <c r="V77" s="82" t="s">
        <v>791</v>
      </c>
      <c r="W77" s="185" t="s">
        <v>74</v>
      </c>
      <c r="X77" s="185" t="s">
        <v>11</v>
      </c>
      <c r="Y77" s="83">
        <v>51.6</v>
      </c>
      <c r="AD77" s="82"/>
      <c r="AG77" s="83"/>
      <c r="AL77" s="82"/>
      <c r="AO77" s="83"/>
      <c r="AP77" s="82"/>
      <c r="AS77" s="83"/>
      <c r="AW77" s="83"/>
      <c r="BA77" s="84"/>
    </row>
    <row r="78" spans="1:53" s="185" customFormat="1">
      <c r="A78" s="185">
        <v>1994</v>
      </c>
      <c r="B78" s="852"/>
      <c r="C78" s="917" t="s">
        <v>798</v>
      </c>
      <c r="D78" s="917"/>
      <c r="E78" s="185">
        <f>365-E77</f>
        <v>365</v>
      </c>
      <c r="G78" s="119">
        <v>22</v>
      </c>
      <c r="J78" s="126">
        <v>22</v>
      </c>
      <c r="K78" s="92">
        <f t="shared" si="4"/>
        <v>100</v>
      </c>
      <c r="L78" s="92">
        <f t="shared" si="4"/>
        <v>0</v>
      </c>
      <c r="M78" s="92">
        <f t="shared" si="4"/>
        <v>0</v>
      </c>
      <c r="N78" s="121">
        <f t="shared" si="5"/>
        <v>100</v>
      </c>
      <c r="O78" s="91">
        <v>51.6</v>
      </c>
      <c r="P78" s="92"/>
      <c r="Q78" s="92"/>
      <c r="R78" s="93">
        <f t="shared" si="6"/>
        <v>51.6</v>
      </c>
      <c r="S78" s="185">
        <v>1</v>
      </c>
      <c r="T78" s="839"/>
      <c r="U78" s="852"/>
      <c r="V78" s="82" t="s">
        <v>791</v>
      </c>
      <c r="W78" s="185" t="s">
        <v>74</v>
      </c>
      <c r="X78" s="185" t="s">
        <v>11</v>
      </c>
      <c r="Y78" s="83">
        <v>51.6</v>
      </c>
      <c r="AD78" s="82"/>
      <c r="AG78" s="83"/>
      <c r="AL78" s="82"/>
      <c r="AO78" s="83"/>
      <c r="AP78" s="82"/>
      <c r="AS78" s="83"/>
      <c r="AW78" s="83"/>
      <c r="BA78" s="84"/>
    </row>
    <row r="79" spans="1:53" s="185" customFormat="1">
      <c r="A79" s="185">
        <v>1995</v>
      </c>
      <c r="B79" s="852"/>
      <c r="C79" s="917" t="s">
        <v>798</v>
      </c>
      <c r="D79" s="917"/>
      <c r="E79" s="185">
        <v>0</v>
      </c>
      <c r="G79" s="119">
        <v>22</v>
      </c>
      <c r="J79" s="126">
        <v>22</v>
      </c>
      <c r="K79" s="92">
        <f t="shared" si="4"/>
        <v>100</v>
      </c>
      <c r="L79" s="92">
        <f t="shared" si="4"/>
        <v>0</v>
      </c>
      <c r="M79" s="92">
        <f t="shared" si="4"/>
        <v>0</v>
      </c>
      <c r="N79" s="121">
        <f t="shared" si="5"/>
        <v>100</v>
      </c>
      <c r="O79" s="91">
        <v>51.6</v>
      </c>
      <c r="P79" s="92"/>
      <c r="Q79" s="92"/>
      <c r="R79" s="93">
        <f t="shared" si="6"/>
        <v>51.6</v>
      </c>
      <c r="S79" s="185">
        <v>1</v>
      </c>
      <c r="T79" s="839"/>
      <c r="U79" s="852"/>
      <c r="V79" s="82" t="s">
        <v>791</v>
      </c>
      <c r="W79" s="185" t="s">
        <v>74</v>
      </c>
      <c r="X79" s="185" t="s">
        <v>11</v>
      </c>
      <c r="Y79" s="83">
        <v>51.6</v>
      </c>
      <c r="AD79" s="82"/>
      <c r="AG79" s="83"/>
      <c r="AL79" s="82"/>
      <c r="AO79" s="83"/>
      <c r="AP79" s="82"/>
      <c r="AS79" s="83"/>
      <c r="AW79" s="83"/>
      <c r="BA79" s="84"/>
    </row>
    <row r="80" spans="1:53" s="185" customFormat="1">
      <c r="A80" s="185">
        <v>1995</v>
      </c>
      <c r="B80" s="852"/>
      <c r="C80" s="917" t="s">
        <v>798</v>
      </c>
      <c r="D80" s="917"/>
      <c r="E80" s="185">
        <f>365-E79</f>
        <v>365</v>
      </c>
      <c r="G80" s="119">
        <v>22</v>
      </c>
      <c r="J80" s="126">
        <v>22</v>
      </c>
      <c r="K80" s="92">
        <f t="shared" si="4"/>
        <v>100</v>
      </c>
      <c r="L80" s="92">
        <f t="shared" si="4"/>
        <v>0</v>
      </c>
      <c r="M80" s="92">
        <f t="shared" si="4"/>
        <v>0</v>
      </c>
      <c r="N80" s="121">
        <f t="shared" si="5"/>
        <v>100</v>
      </c>
      <c r="O80" s="91">
        <v>51.6</v>
      </c>
      <c r="P80" s="92"/>
      <c r="Q80" s="92"/>
      <c r="R80" s="93">
        <f t="shared" si="6"/>
        <v>51.6</v>
      </c>
      <c r="S80" s="185">
        <v>1</v>
      </c>
      <c r="T80" s="839"/>
      <c r="U80" s="852"/>
      <c r="V80" s="82" t="s">
        <v>791</v>
      </c>
      <c r="W80" s="185" t="s">
        <v>74</v>
      </c>
      <c r="X80" s="185" t="s">
        <v>11</v>
      </c>
      <c r="Y80" s="83">
        <v>51.6</v>
      </c>
      <c r="AD80" s="82"/>
      <c r="AG80" s="83"/>
      <c r="AL80" s="82"/>
      <c r="AO80" s="83"/>
      <c r="AP80" s="82"/>
      <c r="AS80" s="83"/>
      <c r="AW80" s="83"/>
      <c r="BA80" s="84"/>
    </row>
    <row r="81" spans="1:53" s="185" customFormat="1">
      <c r="A81" s="185">
        <v>1996</v>
      </c>
      <c r="B81" s="852"/>
      <c r="C81" s="917" t="s">
        <v>798</v>
      </c>
      <c r="D81" s="917"/>
      <c r="E81" s="185">
        <v>0</v>
      </c>
      <c r="G81" s="119">
        <v>23</v>
      </c>
      <c r="J81" s="126">
        <v>23</v>
      </c>
      <c r="K81" s="92">
        <f t="shared" si="4"/>
        <v>100</v>
      </c>
      <c r="L81" s="92">
        <f t="shared" si="4"/>
        <v>0</v>
      </c>
      <c r="M81" s="92">
        <f t="shared" si="4"/>
        <v>0</v>
      </c>
      <c r="N81" s="121">
        <f t="shared" si="5"/>
        <v>100</v>
      </c>
      <c r="O81" s="91">
        <v>51.6</v>
      </c>
      <c r="P81" s="92"/>
      <c r="Q81" s="92"/>
      <c r="R81" s="93">
        <f t="shared" si="6"/>
        <v>51.6</v>
      </c>
      <c r="S81" s="185">
        <v>1</v>
      </c>
      <c r="T81" s="839"/>
      <c r="U81" s="852"/>
      <c r="V81" s="82" t="s">
        <v>791</v>
      </c>
      <c r="W81" s="185" t="s">
        <v>74</v>
      </c>
      <c r="X81" s="185" t="s">
        <v>11</v>
      </c>
      <c r="Y81" s="83">
        <v>51.6</v>
      </c>
      <c r="AD81" s="82"/>
      <c r="AG81" s="83"/>
      <c r="AL81" s="82"/>
      <c r="AO81" s="83"/>
      <c r="AP81" s="82"/>
      <c r="AS81" s="83"/>
      <c r="AW81" s="83"/>
      <c r="BA81" s="84"/>
    </row>
    <row r="82" spans="1:53" s="185" customFormat="1">
      <c r="A82" s="185">
        <v>1996</v>
      </c>
      <c r="B82" s="852"/>
      <c r="C82" s="917" t="s">
        <v>798</v>
      </c>
      <c r="D82" s="917"/>
      <c r="E82" s="185">
        <f>366-E81</f>
        <v>366</v>
      </c>
      <c r="G82" s="119">
        <v>23</v>
      </c>
      <c r="J82" s="126">
        <v>23</v>
      </c>
      <c r="K82" s="92">
        <f t="shared" si="4"/>
        <v>100</v>
      </c>
      <c r="L82" s="92">
        <f t="shared" si="4"/>
        <v>0</v>
      </c>
      <c r="M82" s="92">
        <f t="shared" si="4"/>
        <v>0</v>
      </c>
      <c r="N82" s="121">
        <f t="shared" si="5"/>
        <v>100</v>
      </c>
      <c r="O82" s="91">
        <v>51.6</v>
      </c>
      <c r="P82" s="92"/>
      <c r="Q82" s="92"/>
      <c r="R82" s="93">
        <f t="shared" si="6"/>
        <v>51.6</v>
      </c>
      <c r="S82" s="185">
        <v>1</v>
      </c>
      <c r="T82" s="839"/>
      <c r="U82" s="852"/>
      <c r="V82" s="82" t="s">
        <v>791</v>
      </c>
      <c r="W82" s="185" t="s">
        <v>74</v>
      </c>
      <c r="X82" s="185" t="s">
        <v>11</v>
      </c>
      <c r="Y82" s="83">
        <v>51.6</v>
      </c>
      <c r="AD82" s="82"/>
      <c r="AG82" s="83"/>
      <c r="AL82" s="82"/>
      <c r="AO82" s="83"/>
      <c r="AP82" s="82"/>
      <c r="AS82" s="83"/>
      <c r="AW82" s="83"/>
      <c r="BA82" s="84"/>
    </row>
    <row r="83" spans="1:53" s="185" customFormat="1">
      <c r="A83" s="185">
        <v>1997</v>
      </c>
      <c r="B83" s="852"/>
      <c r="C83" s="917" t="s">
        <v>798</v>
      </c>
      <c r="D83" s="917"/>
      <c r="E83" s="185">
        <v>121</v>
      </c>
      <c r="G83" s="119">
        <v>23</v>
      </c>
      <c r="J83" s="126">
        <v>23</v>
      </c>
      <c r="K83" s="92">
        <f t="shared" si="4"/>
        <v>100</v>
      </c>
      <c r="L83" s="92">
        <f t="shared" si="4"/>
        <v>0</v>
      </c>
      <c r="M83" s="92">
        <f t="shared" si="4"/>
        <v>0</v>
      </c>
      <c r="N83" s="121">
        <f t="shared" si="5"/>
        <v>100</v>
      </c>
      <c r="O83" s="91">
        <v>51.6</v>
      </c>
      <c r="P83" s="92"/>
      <c r="Q83" s="92"/>
      <c r="R83" s="93">
        <f t="shared" si="6"/>
        <v>51.6</v>
      </c>
      <c r="S83" s="185">
        <v>1</v>
      </c>
      <c r="T83" s="839"/>
      <c r="U83" s="852"/>
      <c r="V83" s="82" t="s">
        <v>791</v>
      </c>
      <c r="W83" s="185" t="s">
        <v>74</v>
      </c>
      <c r="X83" s="185" t="s">
        <v>11</v>
      </c>
      <c r="Y83" s="83">
        <v>51.6</v>
      </c>
      <c r="AD83" s="82"/>
      <c r="AG83" s="83"/>
      <c r="AL83" s="82"/>
      <c r="AO83" s="83"/>
      <c r="AP83" s="82"/>
      <c r="AS83" s="83"/>
      <c r="AW83" s="83"/>
      <c r="BA83" s="84"/>
    </row>
    <row r="84" spans="1:53" s="292" customFormat="1">
      <c r="A84" s="292">
        <v>1997</v>
      </c>
      <c r="B84" s="836">
        <v>35552</v>
      </c>
      <c r="C84" s="916" t="s">
        <v>787</v>
      </c>
      <c r="D84" s="916"/>
      <c r="E84" s="292">
        <f>365-E83</f>
        <v>244</v>
      </c>
      <c r="F84" s="292">
        <v>1</v>
      </c>
      <c r="G84" s="366"/>
      <c r="I84" s="292">
        <v>22</v>
      </c>
      <c r="J84" s="377">
        <v>22</v>
      </c>
      <c r="K84" s="336">
        <f t="shared" si="4"/>
        <v>0</v>
      </c>
      <c r="L84" s="336">
        <f t="shared" si="4"/>
        <v>0</v>
      </c>
      <c r="M84" s="336">
        <f t="shared" si="4"/>
        <v>100</v>
      </c>
      <c r="N84" s="368">
        <f t="shared" si="5"/>
        <v>100</v>
      </c>
      <c r="O84" s="335"/>
      <c r="P84" s="336"/>
      <c r="Q84" s="336">
        <v>63.6</v>
      </c>
      <c r="R84" s="337">
        <f>O84+P84+Q84</f>
        <v>63.6</v>
      </c>
      <c r="S84" s="292">
        <v>1</v>
      </c>
      <c r="T84" s="838">
        <v>35551</v>
      </c>
      <c r="U84" s="836">
        <v>35552</v>
      </c>
      <c r="V84" s="299" t="s">
        <v>454</v>
      </c>
      <c r="W84" s="292" t="s">
        <v>20</v>
      </c>
      <c r="X84" s="292" t="s">
        <v>12</v>
      </c>
      <c r="Y84" s="300">
        <v>63.6</v>
      </c>
      <c r="AD84" s="299"/>
      <c r="AG84" s="300"/>
      <c r="AL84" s="299"/>
      <c r="AO84" s="300"/>
      <c r="AP84" s="299"/>
      <c r="AS84" s="300"/>
      <c r="AW84" s="300"/>
      <c r="BA84" s="301"/>
    </row>
    <row r="85" spans="1:53" s="292" customFormat="1">
      <c r="A85" s="292">
        <v>1998</v>
      </c>
      <c r="B85" s="836"/>
      <c r="C85" s="916" t="s">
        <v>787</v>
      </c>
      <c r="D85" s="916"/>
      <c r="E85" s="292">
        <v>0</v>
      </c>
      <c r="G85" s="366"/>
      <c r="I85" s="292">
        <v>22</v>
      </c>
      <c r="J85" s="377">
        <v>22</v>
      </c>
      <c r="K85" s="336">
        <f t="shared" si="4"/>
        <v>0</v>
      </c>
      <c r="L85" s="336">
        <f t="shared" si="4"/>
        <v>0</v>
      </c>
      <c r="M85" s="336">
        <f t="shared" si="4"/>
        <v>100</v>
      </c>
      <c r="N85" s="368">
        <f t="shared" si="5"/>
        <v>100</v>
      </c>
      <c r="O85" s="335"/>
      <c r="P85" s="336"/>
      <c r="Q85" s="336">
        <v>63.6</v>
      </c>
      <c r="R85" s="337">
        <f t="shared" ref="R85:R101" si="7">O85+P85+Q85</f>
        <v>63.6</v>
      </c>
      <c r="S85" s="292">
        <v>1</v>
      </c>
      <c r="T85" s="838"/>
      <c r="U85" s="836"/>
      <c r="V85" s="299" t="s">
        <v>454</v>
      </c>
      <c r="W85" s="292" t="s">
        <v>20</v>
      </c>
      <c r="X85" s="292" t="s">
        <v>12</v>
      </c>
      <c r="Y85" s="300">
        <v>63.6</v>
      </c>
      <c r="AD85" s="299"/>
      <c r="AG85" s="300"/>
      <c r="AL85" s="299"/>
      <c r="AO85" s="300"/>
      <c r="AP85" s="299"/>
      <c r="AS85" s="300"/>
      <c r="AW85" s="300"/>
      <c r="BA85" s="301"/>
    </row>
    <row r="86" spans="1:53" s="292" customFormat="1">
      <c r="A86" s="292">
        <v>1998</v>
      </c>
      <c r="B86" s="836"/>
      <c r="C86" s="916" t="s">
        <v>787</v>
      </c>
      <c r="D86" s="916"/>
      <c r="E86" s="292">
        <f>365-E85</f>
        <v>365</v>
      </c>
      <c r="G86" s="366"/>
      <c r="I86" s="292">
        <v>22</v>
      </c>
      <c r="J86" s="377">
        <v>22</v>
      </c>
      <c r="K86" s="336">
        <f t="shared" si="4"/>
        <v>0</v>
      </c>
      <c r="L86" s="336">
        <f t="shared" si="4"/>
        <v>0</v>
      </c>
      <c r="M86" s="336">
        <f t="shared" si="4"/>
        <v>100</v>
      </c>
      <c r="N86" s="368">
        <f t="shared" si="5"/>
        <v>100</v>
      </c>
      <c r="O86" s="335"/>
      <c r="P86" s="336"/>
      <c r="Q86" s="336">
        <v>63.6</v>
      </c>
      <c r="R86" s="337">
        <f t="shared" si="7"/>
        <v>63.6</v>
      </c>
      <c r="S86" s="292">
        <v>1</v>
      </c>
      <c r="T86" s="838"/>
      <c r="U86" s="836"/>
      <c r="V86" s="299" t="s">
        <v>454</v>
      </c>
      <c r="W86" s="292" t="s">
        <v>20</v>
      </c>
      <c r="X86" s="292" t="s">
        <v>12</v>
      </c>
      <c r="Y86" s="300">
        <v>63.6</v>
      </c>
      <c r="AD86" s="299"/>
      <c r="AG86" s="300"/>
      <c r="AL86" s="299"/>
      <c r="AO86" s="300"/>
      <c r="AP86" s="299"/>
      <c r="AS86" s="300"/>
      <c r="AW86" s="300"/>
      <c r="BA86" s="301"/>
    </row>
    <row r="87" spans="1:53" s="292" customFormat="1">
      <c r="A87" s="292">
        <v>1999</v>
      </c>
      <c r="B87" s="836"/>
      <c r="C87" s="916" t="s">
        <v>787</v>
      </c>
      <c r="D87" s="916"/>
      <c r="E87" s="292">
        <v>0</v>
      </c>
      <c r="G87" s="366"/>
      <c r="I87" s="292">
        <v>22</v>
      </c>
      <c r="J87" s="377">
        <v>22</v>
      </c>
      <c r="K87" s="336">
        <f t="shared" si="4"/>
        <v>0</v>
      </c>
      <c r="L87" s="336">
        <f t="shared" si="4"/>
        <v>0</v>
      </c>
      <c r="M87" s="336">
        <f t="shared" si="4"/>
        <v>100</v>
      </c>
      <c r="N87" s="368">
        <f t="shared" si="5"/>
        <v>100</v>
      </c>
      <c r="O87" s="335"/>
      <c r="P87" s="336"/>
      <c r="Q87" s="336">
        <v>63.6</v>
      </c>
      <c r="R87" s="337">
        <f t="shared" si="7"/>
        <v>63.6</v>
      </c>
      <c r="S87" s="292">
        <v>1</v>
      </c>
      <c r="T87" s="838"/>
      <c r="U87" s="836"/>
      <c r="V87" s="299" t="s">
        <v>454</v>
      </c>
      <c r="W87" s="292" t="s">
        <v>20</v>
      </c>
      <c r="X87" s="292" t="s">
        <v>12</v>
      </c>
      <c r="Y87" s="300">
        <v>63.6</v>
      </c>
      <c r="AD87" s="299"/>
      <c r="AG87" s="300"/>
      <c r="AL87" s="299"/>
      <c r="AO87" s="300"/>
      <c r="AP87" s="299"/>
      <c r="AS87" s="300"/>
      <c r="AW87" s="300"/>
      <c r="BA87" s="301"/>
    </row>
    <row r="88" spans="1:53" s="292" customFormat="1">
      <c r="A88" s="292">
        <v>1999</v>
      </c>
      <c r="B88" s="836"/>
      <c r="C88" s="916" t="s">
        <v>787</v>
      </c>
      <c r="D88" s="916"/>
      <c r="E88" s="292">
        <f>365-E87</f>
        <v>365</v>
      </c>
      <c r="G88" s="366"/>
      <c r="I88" s="292">
        <v>22</v>
      </c>
      <c r="J88" s="377">
        <v>22</v>
      </c>
      <c r="K88" s="336">
        <f t="shared" si="4"/>
        <v>0</v>
      </c>
      <c r="L88" s="336">
        <f t="shared" si="4"/>
        <v>0</v>
      </c>
      <c r="M88" s="336">
        <f t="shared" si="4"/>
        <v>100</v>
      </c>
      <c r="N88" s="368">
        <f t="shared" si="5"/>
        <v>100</v>
      </c>
      <c r="O88" s="335"/>
      <c r="P88" s="336"/>
      <c r="Q88" s="336">
        <v>63.6</v>
      </c>
      <c r="R88" s="337">
        <f t="shared" si="7"/>
        <v>63.6</v>
      </c>
      <c r="S88" s="292">
        <v>1</v>
      </c>
      <c r="T88" s="838"/>
      <c r="U88" s="836"/>
      <c r="V88" s="299" t="s">
        <v>454</v>
      </c>
      <c r="W88" s="292" t="s">
        <v>20</v>
      </c>
      <c r="X88" s="292" t="s">
        <v>12</v>
      </c>
      <c r="Y88" s="300">
        <v>63.6</v>
      </c>
      <c r="AD88" s="299"/>
      <c r="AG88" s="300"/>
      <c r="AL88" s="299"/>
      <c r="AO88" s="300"/>
      <c r="AP88" s="299"/>
      <c r="AS88" s="300"/>
      <c r="AW88" s="300"/>
      <c r="BA88" s="301"/>
    </row>
    <row r="89" spans="1:53" s="292" customFormat="1">
      <c r="A89" s="292">
        <v>2000</v>
      </c>
      <c r="B89" s="836"/>
      <c r="C89" s="916" t="s">
        <v>787</v>
      </c>
      <c r="D89" s="916"/>
      <c r="E89" s="292">
        <v>0</v>
      </c>
      <c r="G89" s="366"/>
      <c r="I89" s="292">
        <v>22</v>
      </c>
      <c r="J89" s="377">
        <v>22</v>
      </c>
      <c r="K89" s="336">
        <f t="shared" si="4"/>
        <v>0</v>
      </c>
      <c r="L89" s="336">
        <f t="shared" si="4"/>
        <v>0</v>
      </c>
      <c r="M89" s="336">
        <f t="shared" si="4"/>
        <v>100</v>
      </c>
      <c r="N89" s="368">
        <f t="shared" si="5"/>
        <v>100</v>
      </c>
      <c r="O89" s="335"/>
      <c r="P89" s="336"/>
      <c r="Q89" s="336">
        <v>63.6</v>
      </c>
      <c r="R89" s="337">
        <f t="shared" si="7"/>
        <v>63.6</v>
      </c>
      <c r="S89" s="292">
        <v>1</v>
      </c>
      <c r="T89" s="838"/>
      <c r="U89" s="836"/>
      <c r="V89" s="299" t="s">
        <v>454</v>
      </c>
      <c r="W89" s="292" t="s">
        <v>20</v>
      </c>
      <c r="X89" s="292" t="s">
        <v>12</v>
      </c>
      <c r="Y89" s="300">
        <v>63.6</v>
      </c>
      <c r="AD89" s="299"/>
      <c r="AG89" s="300"/>
      <c r="AL89" s="299"/>
      <c r="AO89" s="300"/>
      <c r="AP89" s="299"/>
      <c r="AS89" s="300"/>
      <c r="AW89" s="300"/>
      <c r="BA89" s="301"/>
    </row>
    <row r="90" spans="1:53" s="292" customFormat="1">
      <c r="A90" s="292">
        <v>2000</v>
      </c>
      <c r="B90" s="836"/>
      <c r="C90" s="916" t="s">
        <v>787</v>
      </c>
      <c r="D90" s="916"/>
      <c r="E90" s="292">
        <f>366-E89</f>
        <v>366</v>
      </c>
      <c r="G90" s="366"/>
      <c r="I90" s="292">
        <v>22</v>
      </c>
      <c r="J90" s="377">
        <v>22</v>
      </c>
      <c r="K90" s="336">
        <f t="shared" si="4"/>
        <v>0</v>
      </c>
      <c r="L90" s="336">
        <f t="shared" si="4"/>
        <v>0</v>
      </c>
      <c r="M90" s="336">
        <f t="shared" si="4"/>
        <v>100</v>
      </c>
      <c r="N90" s="368">
        <f t="shared" si="5"/>
        <v>100</v>
      </c>
      <c r="O90" s="335"/>
      <c r="P90" s="336"/>
      <c r="Q90" s="336">
        <v>63.6</v>
      </c>
      <c r="R90" s="337">
        <f t="shared" si="7"/>
        <v>63.6</v>
      </c>
      <c r="S90" s="292">
        <v>1</v>
      </c>
      <c r="T90" s="838"/>
      <c r="U90" s="836"/>
      <c r="V90" s="299" t="s">
        <v>454</v>
      </c>
      <c r="W90" s="292" t="s">
        <v>20</v>
      </c>
      <c r="X90" s="292" t="s">
        <v>12</v>
      </c>
      <c r="Y90" s="300">
        <v>63.6</v>
      </c>
      <c r="AD90" s="299"/>
      <c r="AG90" s="300"/>
      <c r="AL90" s="299"/>
      <c r="AO90" s="300"/>
      <c r="AP90" s="299"/>
      <c r="AS90" s="300"/>
      <c r="AW90" s="300"/>
      <c r="BA90" s="301"/>
    </row>
    <row r="91" spans="1:53" s="292" customFormat="1">
      <c r="A91" s="292">
        <v>2001</v>
      </c>
      <c r="B91" s="836"/>
      <c r="C91" s="916" t="s">
        <v>787</v>
      </c>
      <c r="D91" s="916"/>
      <c r="E91" s="292">
        <v>158</v>
      </c>
      <c r="G91" s="366"/>
      <c r="I91" s="292">
        <v>22</v>
      </c>
      <c r="J91" s="377">
        <v>22</v>
      </c>
      <c r="K91" s="336">
        <f t="shared" si="4"/>
        <v>0</v>
      </c>
      <c r="L91" s="336">
        <f t="shared" si="4"/>
        <v>0</v>
      </c>
      <c r="M91" s="336">
        <f t="shared" si="4"/>
        <v>100</v>
      </c>
      <c r="N91" s="368">
        <f t="shared" si="5"/>
        <v>100</v>
      </c>
      <c r="O91" s="335"/>
      <c r="P91" s="336"/>
      <c r="Q91" s="336">
        <v>63.6</v>
      </c>
      <c r="R91" s="337">
        <f t="shared" si="7"/>
        <v>63.6</v>
      </c>
      <c r="S91" s="292">
        <v>1</v>
      </c>
      <c r="T91" s="838"/>
      <c r="U91" s="836"/>
      <c r="V91" s="299" t="s">
        <v>454</v>
      </c>
      <c r="W91" s="292" t="s">
        <v>20</v>
      </c>
      <c r="X91" s="292" t="s">
        <v>12</v>
      </c>
      <c r="Y91" s="300">
        <v>63.6</v>
      </c>
      <c r="AD91" s="299"/>
      <c r="AG91" s="300"/>
      <c r="AL91" s="299"/>
      <c r="AO91" s="300"/>
      <c r="AP91" s="299"/>
      <c r="AS91" s="300"/>
      <c r="AW91" s="300"/>
      <c r="BA91" s="301"/>
    </row>
    <row r="92" spans="1:53" s="185" customFormat="1">
      <c r="A92" s="185">
        <v>2001</v>
      </c>
      <c r="B92" s="852">
        <v>37050</v>
      </c>
      <c r="C92" s="917" t="s">
        <v>788</v>
      </c>
      <c r="D92" s="917"/>
      <c r="E92" s="185">
        <f>365-E91</f>
        <v>207</v>
      </c>
      <c r="F92" s="185">
        <v>1</v>
      </c>
      <c r="G92" s="119"/>
      <c r="I92" s="185">
        <v>23</v>
      </c>
      <c r="J92" s="126">
        <v>23</v>
      </c>
      <c r="K92" s="92">
        <f t="shared" si="4"/>
        <v>0</v>
      </c>
      <c r="L92" s="92">
        <f t="shared" si="4"/>
        <v>0</v>
      </c>
      <c r="M92" s="92">
        <f t="shared" si="4"/>
        <v>100</v>
      </c>
      <c r="N92" s="121">
        <f t="shared" si="5"/>
        <v>100</v>
      </c>
      <c r="O92" s="91"/>
      <c r="P92" s="92"/>
      <c r="Q92" s="92">
        <v>62.5</v>
      </c>
      <c r="R92" s="93">
        <f t="shared" si="7"/>
        <v>62.5</v>
      </c>
      <c r="S92" s="185">
        <v>1</v>
      </c>
      <c r="T92" s="839">
        <v>37049</v>
      </c>
      <c r="U92" s="852">
        <v>37050</v>
      </c>
      <c r="V92" s="82" t="s">
        <v>454</v>
      </c>
      <c r="W92" s="185" t="s">
        <v>20</v>
      </c>
      <c r="X92" s="185" t="s">
        <v>12</v>
      </c>
      <c r="Y92" s="83">
        <v>62.5</v>
      </c>
      <c r="AD92" s="82"/>
      <c r="AG92" s="83"/>
      <c r="AL92" s="82"/>
      <c r="AO92" s="83"/>
      <c r="AP92" s="82"/>
      <c r="AS92" s="83"/>
      <c r="AW92" s="83"/>
      <c r="BA92" s="84"/>
    </row>
    <row r="93" spans="1:53" s="185" customFormat="1">
      <c r="A93" s="185">
        <v>2002</v>
      </c>
      <c r="B93" s="852"/>
      <c r="C93" s="917" t="s">
        <v>788</v>
      </c>
      <c r="D93" s="917"/>
      <c r="E93" s="185">
        <v>0</v>
      </c>
      <c r="G93" s="119"/>
      <c r="I93" s="185">
        <v>23</v>
      </c>
      <c r="J93" s="126">
        <v>23</v>
      </c>
      <c r="K93" s="92">
        <f t="shared" si="4"/>
        <v>0</v>
      </c>
      <c r="L93" s="92">
        <f t="shared" si="4"/>
        <v>0</v>
      </c>
      <c r="M93" s="92">
        <f t="shared" si="4"/>
        <v>100</v>
      </c>
      <c r="N93" s="121">
        <f t="shared" si="5"/>
        <v>100</v>
      </c>
      <c r="O93" s="91"/>
      <c r="P93" s="92"/>
      <c r="Q93" s="92">
        <v>62.5</v>
      </c>
      <c r="R93" s="93">
        <f t="shared" si="7"/>
        <v>62.5</v>
      </c>
      <c r="S93" s="185">
        <v>1</v>
      </c>
      <c r="T93" s="839"/>
      <c r="U93" s="852"/>
      <c r="V93" s="82" t="s">
        <v>454</v>
      </c>
      <c r="W93" s="185" t="s">
        <v>20</v>
      </c>
      <c r="X93" s="185" t="s">
        <v>12</v>
      </c>
      <c r="Y93" s="83">
        <v>62.5</v>
      </c>
      <c r="AD93" s="82"/>
      <c r="AG93" s="83"/>
      <c r="AL93" s="82"/>
      <c r="AO93" s="83"/>
      <c r="AP93" s="82"/>
      <c r="AS93" s="83"/>
      <c r="AW93" s="83"/>
      <c r="BA93" s="84"/>
    </row>
    <row r="94" spans="1:53" s="185" customFormat="1">
      <c r="A94" s="185">
        <v>2002</v>
      </c>
      <c r="B94" s="852"/>
      <c r="C94" s="917" t="s">
        <v>788</v>
      </c>
      <c r="D94" s="917"/>
      <c r="E94" s="185">
        <f>365-E93</f>
        <v>365</v>
      </c>
      <c r="G94" s="119"/>
      <c r="I94" s="185">
        <v>23</v>
      </c>
      <c r="J94" s="126">
        <v>23</v>
      </c>
      <c r="K94" s="92">
        <f t="shared" si="4"/>
        <v>0</v>
      </c>
      <c r="L94" s="92">
        <f t="shared" si="4"/>
        <v>0</v>
      </c>
      <c r="M94" s="92">
        <f t="shared" si="4"/>
        <v>100</v>
      </c>
      <c r="N94" s="121">
        <f t="shared" si="5"/>
        <v>100</v>
      </c>
      <c r="O94" s="91"/>
      <c r="P94" s="92"/>
      <c r="Q94" s="92">
        <v>62.5</v>
      </c>
      <c r="R94" s="93">
        <f t="shared" si="7"/>
        <v>62.5</v>
      </c>
      <c r="S94" s="185">
        <v>1</v>
      </c>
      <c r="T94" s="839"/>
      <c r="U94" s="852"/>
      <c r="V94" s="82" t="s">
        <v>454</v>
      </c>
      <c r="W94" s="185" t="s">
        <v>20</v>
      </c>
      <c r="X94" s="185" t="s">
        <v>12</v>
      </c>
      <c r="Y94" s="83">
        <v>62.5</v>
      </c>
      <c r="AD94" s="82"/>
      <c r="AG94" s="83"/>
      <c r="AL94" s="82"/>
      <c r="AO94" s="83"/>
      <c r="AP94" s="82"/>
      <c r="AS94" s="83"/>
      <c r="AW94" s="83"/>
      <c r="BA94" s="84"/>
    </row>
    <row r="95" spans="1:53" s="185" customFormat="1">
      <c r="A95" s="185">
        <v>2003</v>
      </c>
      <c r="B95" s="852"/>
      <c r="C95" s="917" t="s">
        <v>788</v>
      </c>
      <c r="D95" s="917"/>
      <c r="E95" s="185">
        <v>0</v>
      </c>
      <c r="G95" s="119"/>
      <c r="I95" s="185">
        <v>23</v>
      </c>
      <c r="J95" s="126">
        <v>23</v>
      </c>
      <c r="K95" s="92">
        <f t="shared" si="4"/>
        <v>0</v>
      </c>
      <c r="L95" s="92">
        <f t="shared" si="4"/>
        <v>0</v>
      </c>
      <c r="M95" s="92">
        <f t="shared" si="4"/>
        <v>100</v>
      </c>
      <c r="N95" s="121">
        <f t="shared" si="5"/>
        <v>100</v>
      </c>
      <c r="O95" s="91"/>
      <c r="P95" s="92"/>
      <c r="Q95" s="92">
        <v>62.5</v>
      </c>
      <c r="R95" s="93">
        <f t="shared" si="7"/>
        <v>62.5</v>
      </c>
      <c r="S95" s="185">
        <v>1</v>
      </c>
      <c r="T95" s="839"/>
      <c r="U95" s="852"/>
      <c r="V95" s="82" t="s">
        <v>454</v>
      </c>
      <c r="W95" s="185" t="s">
        <v>20</v>
      </c>
      <c r="X95" s="185" t="s">
        <v>12</v>
      </c>
      <c r="Y95" s="83">
        <v>62.5</v>
      </c>
      <c r="AD95" s="82"/>
      <c r="AG95" s="83"/>
      <c r="AL95" s="82"/>
      <c r="AO95" s="83"/>
      <c r="AP95" s="82"/>
      <c r="AS95" s="83"/>
      <c r="AW95" s="83"/>
      <c r="BA95" s="84"/>
    </row>
    <row r="96" spans="1:53" s="185" customFormat="1">
      <c r="A96" s="185">
        <v>2003</v>
      </c>
      <c r="B96" s="852"/>
      <c r="C96" s="917" t="s">
        <v>788</v>
      </c>
      <c r="D96" s="917"/>
      <c r="E96" s="185">
        <f>365-E95</f>
        <v>365</v>
      </c>
      <c r="G96" s="119"/>
      <c r="I96" s="185">
        <v>23</v>
      </c>
      <c r="J96" s="126">
        <v>23</v>
      </c>
      <c r="K96" s="92">
        <f t="shared" si="4"/>
        <v>0</v>
      </c>
      <c r="L96" s="92">
        <f t="shared" si="4"/>
        <v>0</v>
      </c>
      <c r="M96" s="92">
        <f t="shared" si="4"/>
        <v>100</v>
      </c>
      <c r="N96" s="121">
        <f t="shared" si="5"/>
        <v>100</v>
      </c>
      <c r="O96" s="91"/>
      <c r="P96" s="92"/>
      <c r="Q96" s="92">
        <v>62.5</v>
      </c>
      <c r="R96" s="93">
        <f t="shared" si="7"/>
        <v>62.5</v>
      </c>
      <c r="S96" s="185">
        <v>1</v>
      </c>
      <c r="T96" s="839"/>
      <c r="U96" s="852"/>
      <c r="V96" s="82" t="s">
        <v>454</v>
      </c>
      <c r="W96" s="185" t="s">
        <v>20</v>
      </c>
      <c r="X96" s="185" t="s">
        <v>12</v>
      </c>
      <c r="Y96" s="83">
        <v>62.5</v>
      </c>
      <c r="AD96" s="82"/>
      <c r="AG96" s="83"/>
      <c r="AL96" s="82"/>
      <c r="AO96" s="83"/>
      <c r="AP96" s="82"/>
      <c r="AS96" s="83"/>
      <c r="AW96" s="83"/>
      <c r="BA96" s="84"/>
    </row>
    <row r="97" spans="1:53" s="185" customFormat="1">
      <c r="A97" s="185">
        <v>2004</v>
      </c>
      <c r="B97" s="852"/>
      <c r="C97" s="917" t="s">
        <v>788</v>
      </c>
      <c r="D97" s="917"/>
      <c r="E97" s="185">
        <v>0</v>
      </c>
      <c r="G97" s="119"/>
      <c r="I97" s="185">
        <v>23</v>
      </c>
      <c r="J97" s="126">
        <v>23</v>
      </c>
      <c r="K97" s="92">
        <f t="shared" si="4"/>
        <v>0</v>
      </c>
      <c r="L97" s="92">
        <f t="shared" si="4"/>
        <v>0</v>
      </c>
      <c r="M97" s="92">
        <f t="shared" si="4"/>
        <v>100</v>
      </c>
      <c r="N97" s="121">
        <f t="shared" si="5"/>
        <v>100</v>
      </c>
      <c r="O97" s="91"/>
      <c r="P97" s="92"/>
      <c r="Q97" s="92">
        <v>62.5</v>
      </c>
      <c r="R97" s="93">
        <f t="shared" si="7"/>
        <v>62.5</v>
      </c>
      <c r="S97" s="185">
        <v>1</v>
      </c>
      <c r="T97" s="839"/>
      <c r="U97" s="852"/>
      <c r="V97" s="82" t="s">
        <v>454</v>
      </c>
      <c r="W97" s="185" t="s">
        <v>20</v>
      </c>
      <c r="X97" s="185" t="s">
        <v>12</v>
      </c>
      <c r="Y97" s="83">
        <v>62.5</v>
      </c>
      <c r="AD97" s="82"/>
      <c r="AG97" s="83"/>
      <c r="AL97" s="82"/>
      <c r="AO97" s="83"/>
      <c r="AP97" s="82"/>
      <c r="AS97" s="83"/>
      <c r="AW97" s="83"/>
      <c r="BA97" s="84"/>
    </row>
    <row r="98" spans="1:53" s="185" customFormat="1">
      <c r="A98" s="185">
        <v>2004</v>
      </c>
      <c r="B98" s="852"/>
      <c r="C98" s="917" t="s">
        <v>788</v>
      </c>
      <c r="D98" s="917"/>
      <c r="E98" s="185">
        <f>366-E97</f>
        <v>366</v>
      </c>
      <c r="G98" s="119"/>
      <c r="I98" s="185">
        <v>23</v>
      </c>
      <c r="J98" s="126">
        <v>23</v>
      </c>
      <c r="K98" s="92">
        <f t="shared" si="4"/>
        <v>0</v>
      </c>
      <c r="L98" s="92">
        <f t="shared" si="4"/>
        <v>0</v>
      </c>
      <c r="M98" s="92">
        <f t="shared" si="4"/>
        <v>100</v>
      </c>
      <c r="N98" s="121">
        <f t="shared" si="5"/>
        <v>100</v>
      </c>
      <c r="O98" s="91"/>
      <c r="P98" s="92"/>
      <c r="Q98" s="92">
        <v>62.5</v>
      </c>
      <c r="R98" s="93">
        <f t="shared" si="7"/>
        <v>62.5</v>
      </c>
      <c r="S98" s="185">
        <v>1</v>
      </c>
      <c r="T98" s="839"/>
      <c r="U98" s="852"/>
      <c r="V98" s="82" t="s">
        <v>454</v>
      </c>
      <c r="W98" s="185" t="s">
        <v>20</v>
      </c>
      <c r="X98" s="185" t="s">
        <v>12</v>
      </c>
      <c r="Y98" s="83">
        <v>62.5</v>
      </c>
      <c r="AD98" s="82"/>
      <c r="AG98" s="83"/>
      <c r="AL98" s="82"/>
      <c r="AO98" s="83"/>
      <c r="AP98" s="82"/>
      <c r="AS98" s="83"/>
      <c r="AW98" s="83"/>
      <c r="BA98" s="84"/>
    </row>
    <row r="99" spans="1:53" s="185" customFormat="1">
      <c r="A99" s="185">
        <v>2005</v>
      </c>
      <c r="B99" s="852"/>
      <c r="C99" s="917" t="s">
        <v>788</v>
      </c>
      <c r="D99" s="917"/>
      <c r="E99" s="185">
        <v>125</v>
      </c>
      <c r="G99" s="119"/>
      <c r="I99" s="185">
        <v>23</v>
      </c>
      <c r="J99" s="126">
        <v>23</v>
      </c>
      <c r="K99" s="92">
        <f t="shared" si="4"/>
        <v>0</v>
      </c>
      <c r="L99" s="92">
        <f t="shared" si="4"/>
        <v>0</v>
      </c>
      <c r="M99" s="92">
        <f t="shared" si="4"/>
        <v>100</v>
      </c>
      <c r="N99" s="121">
        <f t="shared" si="5"/>
        <v>100</v>
      </c>
      <c r="O99" s="91"/>
      <c r="P99" s="92"/>
      <c r="Q99" s="92">
        <v>62.5</v>
      </c>
      <c r="R99" s="93">
        <f t="shared" si="7"/>
        <v>62.5</v>
      </c>
      <c r="S99" s="185">
        <v>1</v>
      </c>
      <c r="T99" s="839"/>
      <c r="U99" s="852"/>
      <c r="V99" s="82" t="s">
        <v>454</v>
      </c>
      <c r="W99" s="185" t="s">
        <v>20</v>
      </c>
      <c r="X99" s="185" t="s">
        <v>12</v>
      </c>
      <c r="Y99" s="83">
        <v>62.5</v>
      </c>
      <c r="AD99" s="82"/>
      <c r="AG99" s="83"/>
      <c r="AL99" s="82"/>
      <c r="AO99" s="83"/>
      <c r="AP99" s="82"/>
      <c r="AS99" s="83"/>
      <c r="AW99" s="83"/>
      <c r="BA99" s="84"/>
    </row>
    <row r="100" spans="1:53" s="292" customFormat="1">
      <c r="A100" s="292">
        <v>2005</v>
      </c>
      <c r="B100" s="836">
        <v>38478</v>
      </c>
      <c r="C100" s="916" t="s">
        <v>789</v>
      </c>
      <c r="D100" s="916"/>
      <c r="E100" s="292">
        <f>365-E99</f>
        <v>240</v>
      </c>
      <c r="F100" s="292">
        <v>1</v>
      </c>
      <c r="G100" s="366"/>
      <c r="I100" s="292">
        <v>23</v>
      </c>
      <c r="J100" s="377">
        <v>23</v>
      </c>
      <c r="K100" s="336">
        <f t="shared" si="4"/>
        <v>0</v>
      </c>
      <c r="L100" s="336">
        <f t="shared" si="4"/>
        <v>0</v>
      </c>
      <c r="M100" s="336">
        <f t="shared" si="4"/>
        <v>100</v>
      </c>
      <c r="N100" s="368">
        <f t="shared" si="5"/>
        <v>100</v>
      </c>
      <c r="O100" s="335"/>
      <c r="P100" s="336"/>
      <c r="Q100" s="336">
        <v>55</v>
      </c>
      <c r="R100" s="337">
        <f t="shared" si="7"/>
        <v>55</v>
      </c>
      <c r="S100" s="292">
        <v>1</v>
      </c>
      <c r="T100" s="838">
        <v>38477</v>
      </c>
      <c r="U100" s="836">
        <v>38478</v>
      </c>
      <c r="V100" s="299" t="s">
        <v>454</v>
      </c>
      <c r="W100" s="292" t="s">
        <v>20</v>
      </c>
      <c r="X100" s="292" t="s">
        <v>12</v>
      </c>
      <c r="Y100" s="300">
        <v>55</v>
      </c>
      <c r="AD100" s="299"/>
      <c r="AG100" s="300"/>
      <c r="AL100" s="299"/>
      <c r="AO100" s="300"/>
      <c r="AP100" s="299"/>
      <c r="AS100" s="300"/>
      <c r="AW100" s="300"/>
      <c r="BA100" s="301"/>
    </row>
    <row r="101" spans="1:53" s="292" customFormat="1">
      <c r="A101" s="292">
        <v>2006</v>
      </c>
      <c r="B101" s="836"/>
      <c r="C101" s="916" t="s">
        <v>789</v>
      </c>
      <c r="D101" s="916"/>
      <c r="E101" s="292">
        <v>0</v>
      </c>
      <c r="G101" s="366"/>
      <c r="I101" s="292">
        <v>23</v>
      </c>
      <c r="J101" s="377">
        <v>23</v>
      </c>
      <c r="K101" s="336">
        <f t="shared" si="4"/>
        <v>0</v>
      </c>
      <c r="L101" s="336">
        <f t="shared" si="4"/>
        <v>0</v>
      </c>
      <c r="M101" s="336">
        <f t="shared" si="4"/>
        <v>100</v>
      </c>
      <c r="N101" s="368">
        <f t="shared" si="5"/>
        <v>100</v>
      </c>
      <c r="O101" s="335"/>
      <c r="P101" s="336"/>
      <c r="Q101" s="336">
        <v>55</v>
      </c>
      <c r="R101" s="337">
        <f t="shared" si="7"/>
        <v>55</v>
      </c>
      <c r="S101" s="292">
        <v>1</v>
      </c>
      <c r="T101" s="838"/>
      <c r="U101" s="836"/>
      <c r="V101" s="299" t="s">
        <v>454</v>
      </c>
      <c r="W101" s="292" t="s">
        <v>20</v>
      </c>
      <c r="X101" s="292" t="s">
        <v>12</v>
      </c>
      <c r="Y101" s="300">
        <v>55</v>
      </c>
      <c r="AD101" s="299"/>
      <c r="AG101" s="300"/>
      <c r="AL101" s="299"/>
      <c r="AO101" s="300"/>
      <c r="AP101" s="299"/>
      <c r="AS101" s="300"/>
      <c r="AW101" s="300"/>
      <c r="BA101" s="301"/>
    </row>
    <row r="102" spans="1:53" s="292" customFormat="1">
      <c r="A102" s="292">
        <v>2006</v>
      </c>
      <c r="B102" s="836"/>
      <c r="C102" s="916" t="s">
        <v>789</v>
      </c>
      <c r="D102" s="916"/>
      <c r="E102" s="292">
        <v>365</v>
      </c>
      <c r="G102" s="366"/>
      <c r="I102" s="292">
        <v>23</v>
      </c>
      <c r="J102" s="377">
        <v>23</v>
      </c>
      <c r="K102" s="336">
        <f>G102/$J102*100</f>
        <v>0</v>
      </c>
      <c r="L102" s="336">
        <f>H102/$J102*100</f>
        <v>0</v>
      </c>
      <c r="M102" s="336">
        <f>I102/$J102*100</f>
        <v>100</v>
      </c>
      <c r="N102" s="368">
        <f>K102+L102+M102</f>
        <v>100</v>
      </c>
      <c r="O102" s="335"/>
      <c r="P102" s="336"/>
      <c r="Q102" s="336">
        <v>55</v>
      </c>
      <c r="R102" s="337">
        <f>O102+P102+Q102</f>
        <v>55</v>
      </c>
      <c r="S102" s="292">
        <v>1</v>
      </c>
      <c r="T102" s="838"/>
      <c r="U102" s="836"/>
      <c r="V102" s="299" t="s">
        <v>454</v>
      </c>
      <c r="W102" s="292" t="s">
        <v>20</v>
      </c>
      <c r="X102" s="292" t="s">
        <v>12</v>
      </c>
      <c r="Y102" s="300">
        <v>55</v>
      </c>
      <c r="AD102" s="299"/>
      <c r="AG102" s="300"/>
      <c r="AL102" s="299"/>
      <c r="AO102" s="300"/>
      <c r="AP102" s="299"/>
      <c r="AS102" s="300"/>
      <c r="AW102" s="300"/>
      <c r="BA102" s="301"/>
    </row>
    <row r="103" spans="1:53" s="292" customFormat="1">
      <c r="A103" s="292">
        <v>2007</v>
      </c>
      <c r="B103" s="836"/>
      <c r="C103" s="916" t="s">
        <v>789</v>
      </c>
      <c r="D103" s="916"/>
      <c r="E103" s="292">
        <v>177</v>
      </c>
      <c r="G103" s="366"/>
      <c r="I103" s="292">
        <v>23</v>
      </c>
      <c r="J103" s="377">
        <v>23</v>
      </c>
      <c r="K103" s="336">
        <f t="shared" ref="K103:K114" si="8">G103/$J103*100</f>
        <v>0</v>
      </c>
      <c r="L103" s="336">
        <f t="shared" ref="L103:L114" si="9">H103/$J103*100</f>
        <v>0</v>
      </c>
      <c r="M103" s="336">
        <f t="shared" ref="M103:M114" si="10">I103/$J103*100</f>
        <v>100</v>
      </c>
      <c r="N103" s="368">
        <f t="shared" ref="N103:N114" si="11">K103+L103+M103</f>
        <v>100</v>
      </c>
      <c r="O103" s="335"/>
      <c r="P103" s="336"/>
      <c r="Q103" s="336">
        <v>55</v>
      </c>
      <c r="R103" s="337">
        <f t="shared" ref="R103:R124" si="12">O103+P103+Q103</f>
        <v>55</v>
      </c>
      <c r="S103" s="292">
        <v>1</v>
      </c>
      <c r="T103" s="838"/>
      <c r="U103" s="836"/>
      <c r="V103" s="299" t="s">
        <v>454</v>
      </c>
      <c r="W103" s="292" t="s">
        <v>20</v>
      </c>
      <c r="X103" s="292" t="s">
        <v>12</v>
      </c>
      <c r="Y103" s="300">
        <v>55</v>
      </c>
      <c r="AD103" s="299"/>
      <c r="AG103" s="300"/>
      <c r="AL103" s="299"/>
      <c r="AO103" s="300"/>
      <c r="AP103" s="299"/>
      <c r="AS103" s="300"/>
      <c r="AW103" s="300"/>
      <c r="BA103" s="301"/>
    </row>
    <row r="104" spans="1:53" s="185" customFormat="1">
      <c r="A104" s="185">
        <v>2007</v>
      </c>
      <c r="B104" s="852">
        <v>39260</v>
      </c>
      <c r="C104" s="917" t="s">
        <v>790</v>
      </c>
      <c r="D104" s="917"/>
      <c r="E104" s="185">
        <f>365-E103</f>
        <v>188</v>
      </c>
      <c r="F104" s="185">
        <v>2</v>
      </c>
      <c r="G104" s="119"/>
      <c r="I104" s="185">
        <v>22</v>
      </c>
      <c r="J104" s="126">
        <v>22</v>
      </c>
      <c r="K104" s="92">
        <f t="shared" si="8"/>
        <v>0</v>
      </c>
      <c r="L104" s="92">
        <f t="shared" si="9"/>
        <v>0</v>
      </c>
      <c r="M104" s="92">
        <f t="shared" si="10"/>
        <v>100</v>
      </c>
      <c r="N104" s="121">
        <f t="shared" si="11"/>
        <v>100</v>
      </c>
      <c r="O104" s="91"/>
      <c r="P104" s="92"/>
      <c r="Q104" s="92">
        <v>55</v>
      </c>
      <c r="R104" s="93">
        <f t="shared" si="12"/>
        <v>55</v>
      </c>
      <c r="S104" s="185">
        <v>1</v>
      </c>
      <c r="T104" s="839"/>
      <c r="U104" s="852">
        <v>39260</v>
      </c>
      <c r="V104" s="82" t="s">
        <v>454</v>
      </c>
      <c r="W104" s="185" t="s">
        <v>20</v>
      </c>
      <c r="X104" s="185" t="s">
        <v>12</v>
      </c>
      <c r="Y104" s="83">
        <v>55</v>
      </c>
      <c r="AD104" s="82"/>
      <c r="AG104" s="83"/>
      <c r="AL104" s="82"/>
      <c r="AO104" s="83"/>
      <c r="AP104" s="82"/>
      <c r="AS104" s="83"/>
      <c r="AW104" s="83"/>
      <c r="BA104" s="84"/>
    </row>
    <row r="105" spans="1:53" s="185" customFormat="1">
      <c r="A105" s="185">
        <v>2008</v>
      </c>
      <c r="B105" s="852"/>
      <c r="C105" s="917" t="s">
        <v>790</v>
      </c>
      <c r="D105" s="917"/>
      <c r="E105" s="185">
        <v>0</v>
      </c>
      <c r="G105" s="119"/>
      <c r="I105" s="185">
        <v>22</v>
      </c>
      <c r="J105" s="126">
        <v>22</v>
      </c>
      <c r="K105" s="92">
        <f t="shared" si="8"/>
        <v>0</v>
      </c>
      <c r="L105" s="92">
        <f t="shared" si="9"/>
        <v>0</v>
      </c>
      <c r="M105" s="92">
        <f t="shared" si="10"/>
        <v>100</v>
      </c>
      <c r="N105" s="121">
        <f t="shared" si="11"/>
        <v>100</v>
      </c>
      <c r="O105" s="91"/>
      <c r="P105" s="92"/>
      <c r="Q105" s="92">
        <v>55</v>
      </c>
      <c r="R105" s="93">
        <f t="shared" si="12"/>
        <v>55</v>
      </c>
      <c r="S105" s="185">
        <v>1</v>
      </c>
      <c r="T105" s="839"/>
      <c r="U105" s="852"/>
      <c r="V105" s="82" t="s">
        <v>454</v>
      </c>
      <c r="W105" s="185" t="s">
        <v>20</v>
      </c>
      <c r="X105" s="185" t="s">
        <v>12</v>
      </c>
      <c r="Y105" s="83">
        <v>55</v>
      </c>
      <c r="AD105" s="82"/>
      <c r="AG105" s="83"/>
      <c r="AL105" s="82"/>
      <c r="AO105" s="83"/>
      <c r="AP105" s="82"/>
      <c r="AS105" s="83"/>
      <c r="AW105" s="83"/>
      <c r="BA105" s="84"/>
    </row>
    <row r="106" spans="1:53" s="185" customFormat="1">
      <c r="A106" s="185">
        <v>2008</v>
      </c>
      <c r="B106" s="852"/>
      <c r="C106" s="917" t="s">
        <v>790</v>
      </c>
      <c r="D106" s="917"/>
      <c r="E106" s="185">
        <v>366</v>
      </c>
      <c r="G106" s="119"/>
      <c r="I106" s="185">
        <v>22</v>
      </c>
      <c r="J106" s="126">
        <v>22</v>
      </c>
      <c r="K106" s="92">
        <f t="shared" si="8"/>
        <v>0</v>
      </c>
      <c r="L106" s="92">
        <f t="shared" si="9"/>
        <v>0</v>
      </c>
      <c r="M106" s="92">
        <f t="shared" si="10"/>
        <v>100</v>
      </c>
      <c r="N106" s="121">
        <f t="shared" si="11"/>
        <v>100</v>
      </c>
      <c r="O106" s="91"/>
      <c r="P106" s="92"/>
      <c r="Q106" s="92">
        <v>55</v>
      </c>
      <c r="R106" s="93">
        <f t="shared" si="12"/>
        <v>55</v>
      </c>
      <c r="S106" s="185">
        <v>1</v>
      </c>
      <c r="T106" s="839"/>
      <c r="U106" s="852"/>
      <c r="V106" s="82" t="s">
        <v>454</v>
      </c>
      <c r="W106" s="185" t="s">
        <v>20</v>
      </c>
      <c r="X106" s="185" t="s">
        <v>12</v>
      </c>
      <c r="Y106" s="83">
        <v>55</v>
      </c>
      <c r="AD106" s="82"/>
      <c r="AG106" s="83"/>
      <c r="AL106" s="82"/>
      <c r="AO106" s="83"/>
      <c r="AP106" s="82"/>
      <c r="AS106" s="83"/>
      <c r="AW106" s="83"/>
      <c r="BA106" s="84"/>
    </row>
    <row r="107" spans="1:53" s="185" customFormat="1">
      <c r="A107" s="185">
        <v>2009</v>
      </c>
      <c r="B107" s="852"/>
      <c r="C107" s="917" t="s">
        <v>790</v>
      </c>
      <c r="D107" s="917"/>
      <c r="E107" s="185">
        <v>0</v>
      </c>
      <c r="G107" s="119"/>
      <c r="I107" s="185">
        <v>22</v>
      </c>
      <c r="J107" s="126">
        <v>22</v>
      </c>
      <c r="K107" s="92">
        <f t="shared" si="8"/>
        <v>0</v>
      </c>
      <c r="L107" s="92">
        <f t="shared" si="9"/>
        <v>0</v>
      </c>
      <c r="M107" s="92">
        <f t="shared" si="10"/>
        <v>100</v>
      </c>
      <c r="N107" s="121">
        <f t="shared" si="11"/>
        <v>100</v>
      </c>
      <c r="O107" s="91"/>
      <c r="P107" s="92"/>
      <c r="Q107" s="92">
        <v>55</v>
      </c>
      <c r="R107" s="93">
        <f t="shared" si="12"/>
        <v>55</v>
      </c>
      <c r="S107" s="185">
        <v>1</v>
      </c>
      <c r="T107" s="839"/>
      <c r="U107" s="852"/>
      <c r="V107" s="82" t="s">
        <v>454</v>
      </c>
      <c r="W107" s="185" t="s">
        <v>20</v>
      </c>
      <c r="X107" s="185" t="s">
        <v>12</v>
      </c>
      <c r="Y107" s="83">
        <v>55</v>
      </c>
      <c r="AD107" s="82"/>
      <c r="AG107" s="83"/>
      <c r="AL107" s="82"/>
      <c r="AO107" s="83"/>
      <c r="AP107" s="82"/>
      <c r="AS107" s="83"/>
      <c r="AW107" s="83"/>
      <c r="BA107" s="84"/>
    </row>
    <row r="108" spans="1:53" s="185" customFormat="1">
      <c r="A108" s="185">
        <v>2009</v>
      </c>
      <c r="B108" s="852"/>
      <c r="C108" s="917" t="s">
        <v>790</v>
      </c>
      <c r="D108" s="917"/>
      <c r="E108" s="185">
        <v>365</v>
      </c>
      <c r="G108" s="119"/>
      <c r="I108" s="185">
        <v>22</v>
      </c>
      <c r="J108" s="126">
        <v>22</v>
      </c>
      <c r="K108" s="92">
        <f t="shared" si="8"/>
        <v>0</v>
      </c>
      <c r="L108" s="92">
        <f t="shared" si="9"/>
        <v>0</v>
      </c>
      <c r="M108" s="92">
        <f t="shared" si="10"/>
        <v>100</v>
      </c>
      <c r="N108" s="121">
        <f t="shared" si="11"/>
        <v>100</v>
      </c>
      <c r="O108" s="91"/>
      <c r="P108" s="92"/>
      <c r="Q108" s="92">
        <v>55</v>
      </c>
      <c r="R108" s="93">
        <f t="shared" si="12"/>
        <v>55</v>
      </c>
      <c r="S108" s="185">
        <v>1</v>
      </c>
      <c r="T108" s="839"/>
      <c r="U108" s="852"/>
      <c r="V108" s="82" t="s">
        <v>454</v>
      </c>
      <c r="W108" s="185" t="s">
        <v>20</v>
      </c>
      <c r="X108" s="185" t="s">
        <v>12</v>
      </c>
      <c r="Y108" s="83">
        <v>55</v>
      </c>
      <c r="AD108" s="82"/>
      <c r="AG108" s="83"/>
      <c r="AL108" s="82"/>
      <c r="AO108" s="83"/>
      <c r="AP108" s="82"/>
      <c r="AS108" s="83"/>
      <c r="AW108" s="83"/>
      <c r="BA108" s="84"/>
    </row>
    <row r="109" spans="1:53" s="185" customFormat="1">
      <c r="A109" s="185">
        <v>2010</v>
      </c>
      <c r="B109" s="852"/>
      <c r="C109" s="917" t="s">
        <v>790</v>
      </c>
      <c r="D109" s="917"/>
      <c r="E109" s="185">
        <v>138</v>
      </c>
      <c r="G109" s="119"/>
      <c r="I109" s="185">
        <v>22</v>
      </c>
      <c r="J109" s="126">
        <v>22</v>
      </c>
      <c r="K109" s="92">
        <f t="shared" si="8"/>
        <v>0</v>
      </c>
      <c r="L109" s="92">
        <f t="shared" si="9"/>
        <v>0</v>
      </c>
      <c r="M109" s="92">
        <f t="shared" si="10"/>
        <v>100</v>
      </c>
      <c r="N109" s="121">
        <f t="shared" si="11"/>
        <v>100</v>
      </c>
      <c r="O109" s="91"/>
      <c r="P109" s="92"/>
      <c r="Q109" s="92">
        <v>55</v>
      </c>
      <c r="R109" s="497">
        <f t="shared" si="12"/>
        <v>55</v>
      </c>
      <c r="S109" s="185">
        <v>1</v>
      </c>
      <c r="T109" s="839"/>
      <c r="U109" s="852"/>
      <c r="V109" s="82" t="s">
        <v>454</v>
      </c>
      <c r="W109" s="185" t="s">
        <v>20</v>
      </c>
      <c r="X109" s="185" t="s">
        <v>12</v>
      </c>
      <c r="Y109" s="83">
        <v>55</v>
      </c>
      <c r="AD109" s="82"/>
      <c r="AG109" s="83"/>
      <c r="AL109" s="82"/>
      <c r="AO109" s="83"/>
      <c r="AP109" s="82"/>
      <c r="AS109" s="83"/>
      <c r="AW109" s="83"/>
      <c r="BA109" s="84"/>
    </row>
    <row r="110" spans="1:53" s="292" customFormat="1">
      <c r="A110" s="292">
        <v>2010</v>
      </c>
      <c r="B110" s="836">
        <v>40317</v>
      </c>
      <c r="C110" s="916" t="s">
        <v>799</v>
      </c>
      <c r="D110" s="916"/>
      <c r="E110" s="292">
        <f>365-E109</f>
        <v>227</v>
      </c>
      <c r="F110" s="292">
        <v>1</v>
      </c>
      <c r="G110" s="366">
        <v>23</v>
      </c>
      <c r="J110" s="377">
        <v>23</v>
      </c>
      <c r="K110" s="336">
        <f t="shared" si="8"/>
        <v>100</v>
      </c>
      <c r="L110" s="336">
        <f t="shared" si="9"/>
        <v>0</v>
      </c>
      <c r="M110" s="336">
        <f t="shared" si="10"/>
        <v>0</v>
      </c>
      <c r="N110" s="368">
        <f t="shared" si="11"/>
        <v>100</v>
      </c>
      <c r="O110" s="335">
        <v>55.9</v>
      </c>
      <c r="P110" s="336"/>
      <c r="Q110" s="336"/>
      <c r="R110" s="538">
        <f t="shared" si="12"/>
        <v>55.9</v>
      </c>
      <c r="S110" s="292">
        <v>2</v>
      </c>
      <c r="T110" s="838">
        <v>40304</v>
      </c>
      <c r="U110" s="836">
        <v>40317</v>
      </c>
      <c r="V110" s="299" t="s">
        <v>791</v>
      </c>
      <c r="W110" s="292" t="s">
        <v>74</v>
      </c>
      <c r="X110" s="292" t="s">
        <v>11</v>
      </c>
      <c r="Y110" s="300">
        <v>47.1</v>
      </c>
      <c r="Z110" s="292" t="s">
        <v>72</v>
      </c>
      <c r="AA110" s="292" t="s">
        <v>88</v>
      </c>
      <c r="AB110" s="292" t="s">
        <v>11</v>
      </c>
      <c r="AC110" s="292">
        <v>8.8000000000000007</v>
      </c>
      <c r="AD110" s="299"/>
      <c r="AG110" s="300"/>
      <c r="AL110" s="299"/>
      <c r="AO110" s="300"/>
      <c r="AP110" s="299"/>
      <c r="AS110" s="300"/>
      <c r="AW110" s="300"/>
      <c r="BA110" s="301"/>
    </row>
    <row r="111" spans="1:53" s="292" customFormat="1">
      <c r="A111" s="292">
        <v>2011</v>
      </c>
      <c r="B111" s="836"/>
      <c r="C111" s="916" t="s">
        <v>799</v>
      </c>
      <c r="D111" s="916"/>
      <c r="E111" s="292">
        <v>0</v>
      </c>
      <c r="G111" s="366">
        <v>23</v>
      </c>
      <c r="J111" s="377">
        <v>23</v>
      </c>
      <c r="K111" s="336">
        <f t="shared" si="8"/>
        <v>100</v>
      </c>
      <c r="L111" s="336">
        <f t="shared" si="9"/>
        <v>0</v>
      </c>
      <c r="M111" s="336">
        <f t="shared" si="10"/>
        <v>0</v>
      </c>
      <c r="N111" s="368">
        <f t="shared" si="11"/>
        <v>100</v>
      </c>
      <c r="O111" s="335">
        <v>55.9</v>
      </c>
      <c r="P111" s="336"/>
      <c r="Q111" s="336"/>
      <c r="R111" s="538">
        <f t="shared" si="12"/>
        <v>55.9</v>
      </c>
      <c r="S111" s="292">
        <v>2</v>
      </c>
      <c r="T111" s="838"/>
      <c r="U111" s="836"/>
      <c r="V111" s="299" t="s">
        <v>791</v>
      </c>
      <c r="W111" s="292" t="s">
        <v>74</v>
      </c>
      <c r="X111" s="292" t="s">
        <v>11</v>
      </c>
      <c r="Y111" s="300">
        <v>47.1</v>
      </c>
      <c r="Z111" s="292" t="s">
        <v>72</v>
      </c>
      <c r="AA111" s="292" t="s">
        <v>88</v>
      </c>
      <c r="AB111" s="292" t="s">
        <v>11</v>
      </c>
      <c r="AC111" s="292">
        <v>8.8000000000000007</v>
      </c>
      <c r="AD111" s="299"/>
      <c r="AG111" s="300"/>
      <c r="AL111" s="299"/>
      <c r="AO111" s="300"/>
      <c r="AP111" s="299"/>
      <c r="AS111" s="300"/>
      <c r="AW111" s="300"/>
      <c r="BA111" s="301"/>
    </row>
    <row r="112" spans="1:53" s="292" customFormat="1">
      <c r="A112" s="292">
        <v>2011</v>
      </c>
      <c r="B112" s="836"/>
      <c r="C112" s="916" t="s">
        <v>799</v>
      </c>
      <c r="D112" s="916"/>
      <c r="E112" s="292">
        <v>365</v>
      </c>
      <c r="G112" s="366">
        <v>23</v>
      </c>
      <c r="J112" s="377">
        <v>23</v>
      </c>
      <c r="K112" s="336">
        <f t="shared" si="8"/>
        <v>100</v>
      </c>
      <c r="L112" s="336">
        <f t="shared" si="9"/>
        <v>0</v>
      </c>
      <c r="M112" s="336">
        <f t="shared" si="10"/>
        <v>0</v>
      </c>
      <c r="N112" s="368">
        <f t="shared" si="11"/>
        <v>100</v>
      </c>
      <c r="O112" s="335">
        <v>55.9</v>
      </c>
      <c r="P112" s="336"/>
      <c r="Q112" s="336"/>
      <c r="R112" s="538">
        <f t="shared" si="12"/>
        <v>55.9</v>
      </c>
      <c r="S112" s="292">
        <v>2</v>
      </c>
      <c r="T112" s="838"/>
      <c r="U112" s="836"/>
      <c r="V112" s="299" t="s">
        <v>791</v>
      </c>
      <c r="W112" s="292" t="s">
        <v>74</v>
      </c>
      <c r="X112" s="292" t="s">
        <v>11</v>
      </c>
      <c r="Y112" s="300">
        <v>47.1</v>
      </c>
      <c r="Z112" s="292" t="s">
        <v>72</v>
      </c>
      <c r="AA112" s="292" t="s">
        <v>88</v>
      </c>
      <c r="AB112" s="292" t="s">
        <v>11</v>
      </c>
      <c r="AC112" s="292">
        <v>8.8000000000000007</v>
      </c>
      <c r="AD112" s="299"/>
      <c r="AG112" s="300"/>
      <c r="AL112" s="299"/>
      <c r="AO112" s="300"/>
      <c r="AP112" s="299"/>
      <c r="AS112" s="300"/>
      <c r="AW112" s="300"/>
      <c r="BA112" s="301"/>
    </row>
    <row r="113" spans="1:53" s="292" customFormat="1">
      <c r="A113" s="292">
        <v>2012</v>
      </c>
      <c r="B113" s="836"/>
      <c r="C113" s="916" t="s">
        <v>799</v>
      </c>
      <c r="D113" s="916"/>
      <c r="E113" s="292">
        <v>0</v>
      </c>
      <c r="G113" s="366">
        <v>23</v>
      </c>
      <c r="J113" s="377">
        <v>23</v>
      </c>
      <c r="K113" s="336">
        <f t="shared" si="8"/>
        <v>100</v>
      </c>
      <c r="L113" s="336">
        <f t="shared" si="9"/>
        <v>0</v>
      </c>
      <c r="M113" s="336">
        <f t="shared" si="10"/>
        <v>0</v>
      </c>
      <c r="N113" s="368">
        <f t="shared" si="11"/>
        <v>100</v>
      </c>
      <c r="O113" s="335">
        <v>55.9</v>
      </c>
      <c r="P113" s="336"/>
      <c r="Q113" s="336"/>
      <c r="R113" s="538">
        <f t="shared" si="12"/>
        <v>55.9</v>
      </c>
      <c r="S113" s="292">
        <v>2</v>
      </c>
      <c r="T113" s="838"/>
      <c r="U113" s="836"/>
      <c r="V113" s="299" t="s">
        <v>791</v>
      </c>
      <c r="W113" s="292" t="s">
        <v>74</v>
      </c>
      <c r="X113" s="292" t="s">
        <v>11</v>
      </c>
      <c r="Y113" s="300">
        <v>47.1</v>
      </c>
      <c r="Z113" s="292" t="s">
        <v>72</v>
      </c>
      <c r="AA113" s="292" t="s">
        <v>88</v>
      </c>
      <c r="AB113" s="292" t="s">
        <v>11</v>
      </c>
      <c r="AC113" s="292">
        <v>8.8000000000000007</v>
      </c>
      <c r="AD113" s="299"/>
      <c r="AG113" s="300"/>
      <c r="AL113" s="299"/>
      <c r="AO113" s="300"/>
      <c r="AP113" s="299"/>
      <c r="AS113" s="300"/>
      <c r="AW113" s="300"/>
      <c r="BA113" s="301"/>
    </row>
    <row r="114" spans="1:53" s="292" customFormat="1">
      <c r="A114" s="292">
        <v>2012</v>
      </c>
      <c r="B114" s="836"/>
      <c r="C114" s="916" t="s">
        <v>799</v>
      </c>
      <c r="D114" s="916"/>
      <c r="E114" s="292">
        <v>366</v>
      </c>
      <c r="G114" s="366">
        <v>23</v>
      </c>
      <c r="J114" s="377">
        <v>23</v>
      </c>
      <c r="K114" s="336">
        <f t="shared" si="8"/>
        <v>100</v>
      </c>
      <c r="L114" s="336">
        <f t="shared" si="9"/>
        <v>0</v>
      </c>
      <c r="M114" s="336">
        <f t="shared" si="10"/>
        <v>0</v>
      </c>
      <c r="N114" s="368">
        <f t="shared" si="11"/>
        <v>100</v>
      </c>
      <c r="O114" s="335">
        <v>55.9</v>
      </c>
      <c r="P114" s="336"/>
      <c r="Q114" s="336"/>
      <c r="R114" s="538">
        <f t="shared" si="12"/>
        <v>55.9</v>
      </c>
      <c r="S114" s="292">
        <v>2</v>
      </c>
      <c r="T114" s="838"/>
      <c r="U114" s="836"/>
      <c r="V114" s="299" t="s">
        <v>791</v>
      </c>
      <c r="W114" s="292" t="s">
        <v>74</v>
      </c>
      <c r="X114" s="292" t="s">
        <v>11</v>
      </c>
      <c r="Y114" s="300">
        <v>47.1</v>
      </c>
      <c r="Z114" s="292" t="s">
        <v>72</v>
      </c>
      <c r="AA114" s="292" t="s">
        <v>88</v>
      </c>
      <c r="AB114" s="292" t="s">
        <v>11</v>
      </c>
      <c r="AC114" s="292">
        <v>8.8000000000000007</v>
      </c>
      <c r="AD114" s="299"/>
      <c r="AG114" s="300"/>
      <c r="AL114" s="299"/>
      <c r="AO114" s="300"/>
      <c r="AP114" s="299"/>
      <c r="AS114" s="300"/>
      <c r="AW114" s="300"/>
      <c r="BA114" s="301"/>
    </row>
    <row r="115" spans="1:53" s="292" customFormat="1">
      <c r="A115" s="292">
        <v>2013</v>
      </c>
      <c r="B115" s="836"/>
      <c r="C115" s="916" t="s">
        <v>799</v>
      </c>
      <c r="D115" s="916"/>
      <c r="E115" s="292">
        <v>0</v>
      </c>
      <c r="G115" s="366">
        <v>23</v>
      </c>
      <c r="J115" s="377">
        <v>23</v>
      </c>
      <c r="K115" s="537">
        <f t="shared" ref="K115:K124" si="13">G115/$J115*100</f>
        <v>100</v>
      </c>
      <c r="L115" s="537">
        <f t="shared" ref="L115:L124" si="14">H115/$J115*100</f>
        <v>0</v>
      </c>
      <c r="M115" s="537">
        <f t="shared" ref="M115:M124" si="15">I115/$J115*100</f>
        <v>0</v>
      </c>
      <c r="N115" s="540">
        <f t="shared" ref="N115:N124" si="16">K115+L115+M115</f>
        <v>100</v>
      </c>
      <c r="O115" s="335">
        <v>55.9</v>
      </c>
      <c r="P115" s="336"/>
      <c r="Q115" s="336"/>
      <c r="R115" s="538">
        <f t="shared" si="12"/>
        <v>55.9</v>
      </c>
      <c r="S115" s="292">
        <v>2</v>
      </c>
      <c r="T115" s="838"/>
      <c r="U115" s="836"/>
      <c r="V115" s="299" t="s">
        <v>791</v>
      </c>
      <c r="W115" s="292" t="s">
        <v>74</v>
      </c>
      <c r="X115" s="292" t="s">
        <v>11</v>
      </c>
      <c r="Y115" s="300">
        <v>47.1</v>
      </c>
      <c r="Z115" s="292" t="s">
        <v>72</v>
      </c>
      <c r="AA115" s="292" t="s">
        <v>88</v>
      </c>
      <c r="AB115" s="292" t="s">
        <v>11</v>
      </c>
      <c r="AC115" s="292">
        <v>8.8000000000000007</v>
      </c>
      <c r="AD115" s="299"/>
      <c r="AG115" s="300"/>
      <c r="AL115" s="299"/>
      <c r="AO115" s="300"/>
      <c r="AP115" s="299"/>
      <c r="AS115" s="300"/>
      <c r="AW115" s="300"/>
      <c r="BA115" s="301"/>
    </row>
    <row r="116" spans="1:53" s="292" customFormat="1">
      <c r="A116" s="292">
        <v>2013</v>
      </c>
      <c r="B116" s="836"/>
      <c r="C116" s="916" t="s">
        <v>799</v>
      </c>
      <c r="D116" s="916"/>
      <c r="E116" s="292">
        <v>365</v>
      </c>
      <c r="G116" s="366">
        <v>23</v>
      </c>
      <c r="J116" s="377">
        <v>23</v>
      </c>
      <c r="K116" s="537">
        <f t="shared" si="13"/>
        <v>100</v>
      </c>
      <c r="L116" s="537">
        <f t="shared" si="14"/>
        <v>0</v>
      </c>
      <c r="M116" s="537">
        <f t="shared" si="15"/>
        <v>0</v>
      </c>
      <c r="N116" s="540">
        <f t="shared" si="16"/>
        <v>100</v>
      </c>
      <c r="O116" s="335">
        <v>55.9</v>
      </c>
      <c r="P116" s="336"/>
      <c r="Q116" s="336"/>
      <c r="R116" s="538">
        <f t="shared" si="12"/>
        <v>55.9</v>
      </c>
      <c r="S116" s="292">
        <v>2</v>
      </c>
      <c r="T116" s="838"/>
      <c r="U116" s="836"/>
      <c r="V116" s="299" t="s">
        <v>791</v>
      </c>
      <c r="W116" s="292" t="s">
        <v>74</v>
      </c>
      <c r="X116" s="292" t="s">
        <v>11</v>
      </c>
      <c r="Y116" s="300">
        <v>47.1</v>
      </c>
      <c r="Z116" s="292" t="s">
        <v>72</v>
      </c>
      <c r="AA116" s="292" t="s">
        <v>88</v>
      </c>
      <c r="AB116" s="292" t="s">
        <v>11</v>
      </c>
      <c r="AC116" s="292">
        <v>8.8000000000000007</v>
      </c>
      <c r="AD116" s="299"/>
      <c r="AG116" s="300"/>
      <c r="AL116" s="299"/>
      <c r="AO116" s="300"/>
      <c r="AP116" s="299"/>
      <c r="AS116" s="300"/>
      <c r="AW116" s="300"/>
      <c r="BA116" s="301"/>
    </row>
    <row r="117" spans="1:53" s="503" customFormat="1">
      <c r="A117" s="504">
        <v>2014</v>
      </c>
      <c r="B117" s="836"/>
      <c r="C117" s="916" t="s">
        <v>799</v>
      </c>
      <c r="D117" s="916"/>
      <c r="E117" s="504">
        <v>0</v>
      </c>
      <c r="F117" s="504"/>
      <c r="G117" s="510">
        <v>23</v>
      </c>
      <c r="H117" s="504"/>
      <c r="I117" s="504"/>
      <c r="J117" s="511">
        <v>23</v>
      </c>
      <c r="K117" s="537">
        <f t="shared" si="13"/>
        <v>100</v>
      </c>
      <c r="L117" s="537">
        <f t="shared" si="14"/>
        <v>0</v>
      </c>
      <c r="M117" s="537">
        <f t="shared" si="15"/>
        <v>0</v>
      </c>
      <c r="N117" s="540">
        <f t="shared" si="16"/>
        <v>100</v>
      </c>
      <c r="O117" s="508">
        <v>55.9</v>
      </c>
      <c r="P117" s="509"/>
      <c r="Q117" s="509"/>
      <c r="R117" s="538">
        <f t="shared" si="12"/>
        <v>55.9</v>
      </c>
      <c r="S117" s="504">
        <v>2</v>
      </c>
      <c r="T117" s="838"/>
      <c r="U117" s="836"/>
      <c r="V117" s="505" t="s">
        <v>791</v>
      </c>
      <c r="W117" s="504" t="s">
        <v>74</v>
      </c>
      <c r="X117" s="504" t="s">
        <v>11</v>
      </c>
      <c r="Y117" s="506">
        <v>47.1</v>
      </c>
      <c r="Z117" s="504" t="s">
        <v>72</v>
      </c>
      <c r="AA117" s="504" t="s">
        <v>88</v>
      </c>
      <c r="AB117" s="504" t="s">
        <v>11</v>
      </c>
      <c r="AC117" s="504">
        <v>8.8000000000000007</v>
      </c>
      <c r="AD117" s="505"/>
      <c r="AE117" s="504"/>
      <c r="AF117" s="504"/>
      <c r="AG117" s="506"/>
      <c r="AH117" s="504"/>
      <c r="AI117" s="504"/>
      <c r="AJ117" s="504"/>
      <c r="AK117" s="504"/>
      <c r="AL117" s="505"/>
      <c r="AM117" s="504"/>
      <c r="AN117" s="504"/>
      <c r="AO117" s="506"/>
      <c r="AP117" s="505"/>
      <c r="AQ117" s="504"/>
      <c r="AR117" s="504"/>
      <c r="AS117" s="506"/>
      <c r="AT117" s="504"/>
      <c r="AU117" s="504"/>
      <c r="AV117" s="504"/>
      <c r="AW117" s="506"/>
      <c r="AX117" s="504"/>
      <c r="AY117" s="504"/>
      <c r="AZ117" s="504"/>
      <c r="BA117" s="507"/>
    </row>
    <row r="118" spans="1:53" s="504" customFormat="1" ht="8.25" customHeight="1">
      <c r="A118" s="513">
        <v>2014</v>
      </c>
      <c r="B118" s="836"/>
      <c r="C118" s="916" t="s">
        <v>799</v>
      </c>
      <c r="D118" s="916"/>
      <c r="E118" s="513">
        <v>365</v>
      </c>
      <c r="F118" s="513"/>
      <c r="G118" s="519">
        <v>23</v>
      </c>
      <c r="H118" s="513"/>
      <c r="I118" s="513"/>
      <c r="J118" s="520">
        <v>23</v>
      </c>
      <c r="K118" s="537">
        <f t="shared" si="13"/>
        <v>100</v>
      </c>
      <c r="L118" s="537">
        <f t="shared" si="14"/>
        <v>0</v>
      </c>
      <c r="M118" s="537">
        <f t="shared" si="15"/>
        <v>0</v>
      </c>
      <c r="N118" s="540">
        <f t="shared" si="16"/>
        <v>100</v>
      </c>
      <c r="O118" s="517">
        <v>55.9</v>
      </c>
      <c r="P118" s="518"/>
      <c r="Q118" s="518"/>
      <c r="R118" s="538">
        <f t="shared" si="12"/>
        <v>55.9</v>
      </c>
      <c r="S118" s="513">
        <v>2</v>
      </c>
      <c r="T118" s="838"/>
      <c r="U118" s="836"/>
      <c r="V118" s="514" t="s">
        <v>791</v>
      </c>
      <c r="W118" s="513" t="s">
        <v>74</v>
      </c>
      <c r="X118" s="513" t="s">
        <v>11</v>
      </c>
      <c r="Y118" s="515">
        <v>47.1</v>
      </c>
      <c r="Z118" s="513" t="s">
        <v>72</v>
      </c>
      <c r="AA118" s="513" t="s">
        <v>88</v>
      </c>
      <c r="AB118" s="513" t="s">
        <v>11</v>
      </c>
      <c r="AC118" s="513">
        <v>8.8000000000000007</v>
      </c>
      <c r="AD118" s="514"/>
      <c r="AE118" s="513"/>
      <c r="AF118" s="513"/>
      <c r="AG118" s="515"/>
      <c r="AH118" s="513"/>
      <c r="AI118" s="513"/>
      <c r="AJ118" s="513"/>
      <c r="AK118" s="513"/>
      <c r="AL118" s="514"/>
      <c r="AM118" s="513"/>
      <c r="AN118" s="513"/>
      <c r="AO118" s="515"/>
      <c r="AP118" s="514"/>
      <c r="AQ118" s="513"/>
      <c r="AR118" s="513"/>
      <c r="AS118" s="515"/>
      <c r="AT118" s="513"/>
      <c r="AU118" s="513"/>
      <c r="AV118" s="513"/>
      <c r="AW118" s="515"/>
      <c r="AX118" s="513"/>
      <c r="AY118" s="513"/>
      <c r="AZ118" s="513"/>
      <c r="BA118" s="516"/>
    </row>
    <row r="119" spans="1:53" s="630" customFormat="1">
      <c r="A119" s="630">
        <v>2015</v>
      </c>
      <c r="B119" s="836"/>
      <c r="C119" s="916" t="s">
        <v>799</v>
      </c>
      <c r="D119" s="916"/>
      <c r="E119" s="630">
        <v>127</v>
      </c>
      <c r="G119" s="539">
        <v>23</v>
      </c>
      <c r="J119" s="541">
        <v>23</v>
      </c>
      <c r="K119" s="537">
        <f t="shared" si="13"/>
        <v>100</v>
      </c>
      <c r="L119" s="537">
        <f t="shared" si="14"/>
        <v>0</v>
      </c>
      <c r="M119" s="537">
        <f t="shared" si="15"/>
        <v>0</v>
      </c>
      <c r="N119" s="540">
        <f t="shared" si="16"/>
        <v>100</v>
      </c>
      <c r="O119" s="536">
        <v>55.9</v>
      </c>
      <c r="P119" s="537"/>
      <c r="Q119" s="537"/>
      <c r="R119" s="538">
        <f t="shared" si="12"/>
        <v>55.9</v>
      </c>
      <c r="S119" s="630">
        <v>2</v>
      </c>
      <c r="T119" s="838"/>
      <c r="U119" s="836"/>
      <c r="V119" s="532" t="s">
        <v>791</v>
      </c>
      <c r="W119" s="630" t="s">
        <v>74</v>
      </c>
      <c r="X119" s="630" t="s">
        <v>11</v>
      </c>
      <c r="Y119" s="533">
        <v>47.1</v>
      </c>
      <c r="Z119" s="630" t="s">
        <v>72</v>
      </c>
      <c r="AA119" s="630" t="s">
        <v>88</v>
      </c>
      <c r="AB119" s="630" t="s">
        <v>11</v>
      </c>
      <c r="AC119" s="630">
        <v>8.8000000000000007</v>
      </c>
      <c r="AD119" s="532"/>
      <c r="AG119" s="533"/>
      <c r="AL119" s="532"/>
      <c r="AO119" s="533"/>
      <c r="AP119" s="532"/>
      <c r="AS119" s="533"/>
      <c r="AW119" s="533"/>
      <c r="BA119" s="534"/>
    </row>
    <row r="120" spans="1:53" s="629" customFormat="1">
      <c r="A120" s="629">
        <v>2015</v>
      </c>
      <c r="B120" s="852">
        <v>42132</v>
      </c>
      <c r="C120" s="917" t="s">
        <v>1337</v>
      </c>
      <c r="D120" s="917"/>
      <c r="E120" s="629">
        <v>238</v>
      </c>
      <c r="F120" s="629">
        <v>1</v>
      </c>
      <c r="G120" s="498">
        <v>22</v>
      </c>
      <c r="J120" s="500">
        <v>22</v>
      </c>
      <c r="K120" s="496">
        <f t="shared" si="13"/>
        <v>100</v>
      </c>
      <c r="L120" s="496">
        <f t="shared" si="14"/>
        <v>0</v>
      </c>
      <c r="M120" s="496">
        <f t="shared" si="15"/>
        <v>0</v>
      </c>
      <c r="N120" s="499">
        <f t="shared" si="16"/>
        <v>100</v>
      </c>
      <c r="O120" s="495">
        <v>50.9</v>
      </c>
      <c r="P120" s="496"/>
      <c r="Q120" s="496"/>
      <c r="R120" s="497">
        <f t="shared" si="12"/>
        <v>50.9</v>
      </c>
      <c r="S120" s="629">
        <v>1</v>
      </c>
      <c r="T120" s="839">
        <v>42131</v>
      </c>
      <c r="U120" s="852">
        <v>42132</v>
      </c>
      <c r="V120" s="492" t="s">
        <v>791</v>
      </c>
      <c r="W120" s="629" t="s">
        <v>74</v>
      </c>
      <c r="X120" s="629" t="s">
        <v>11</v>
      </c>
      <c r="Y120" s="493">
        <v>50.9</v>
      </c>
      <c r="AD120" s="492"/>
      <c r="AG120" s="493"/>
      <c r="AL120" s="492"/>
      <c r="AO120" s="493"/>
      <c r="AP120" s="492"/>
      <c r="AS120" s="493"/>
      <c r="AW120" s="493"/>
      <c r="BA120" s="494"/>
    </row>
    <row r="121" spans="1:53" s="693" customFormat="1">
      <c r="A121" s="693">
        <v>2016</v>
      </c>
      <c r="B121" s="852"/>
      <c r="C121" s="917" t="s">
        <v>1337</v>
      </c>
      <c r="D121" s="917"/>
      <c r="E121" s="693">
        <v>195</v>
      </c>
      <c r="G121" s="498">
        <v>22</v>
      </c>
      <c r="J121" s="500">
        <v>22</v>
      </c>
      <c r="K121" s="496">
        <f t="shared" si="13"/>
        <v>100</v>
      </c>
      <c r="L121" s="496">
        <f t="shared" si="14"/>
        <v>0</v>
      </c>
      <c r="M121" s="496">
        <f t="shared" si="15"/>
        <v>0</v>
      </c>
      <c r="N121" s="499">
        <f t="shared" si="16"/>
        <v>100</v>
      </c>
      <c r="O121" s="495">
        <v>50.9</v>
      </c>
      <c r="P121" s="496"/>
      <c r="Q121" s="496"/>
      <c r="R121" s="497">
        <f t="shared" si="12"/>
        <v>50.9</v>
      </c>
      <c r="S121" s="693">
        <v>1</v>
      </c>
      <c r="T121" s="839"/>
      <c r="U121" s="852"/>
      <c r="V121" s="492" t="s">
        <v>791</v>
      </c>
      <c r="W121" s="701" t="s">
        <v>74</v>
      </c>
      <c r="X121" s="693" t="s">
        <v>11</v>
      </c>
      <c r="Y121" s="493">
        <v>50.9</v>
      </c>
      <c r="AD121" s="492"/>
      <c r="AG121" s="493"/>
      <c r="AL121" s="492"/>
      <c r="AO121" s="493"/>
      <c r="AP121" s="492"/>
      <c r="AS121" s="493"/>
      <c r="AW121" s="493"/>
      <c r="BA121" s="494"/>
    </row>
    <row r="122" spans="1:53" s="692" customFormat="1">
      <c r="A122" s="692">
        <v>2016</v>
      </c>
      <c r="B122" s="836">
        <v>42565</v>
      </c>
      <c r="C122" s="916" t="s">
        <v>1358</v>
      </c>
      <c r="D122" s="916"/>
      <c r="E122" s="692">
        <v>171</v>
      </c>
      <c r="F122" s="706">
        <v>2</v>
      </c>
      <c r="G122" s="539">
        <v>23</v>
      </c>
      <c r="J122" s="541">
        <v>23</v>
      </c>
      <c r="K122" s="537">
        <f t="shared" si="13"/>
        <v>100</v>
      </c>
      <c r="L122" s="537">
        <f t="shared" si="14"/>
        <v>0</v>
      </c>
      <c r="M122" s="537">
        <f t="shared" si="15"/>
        <v>0</v>
      </c>
      <c r="N122" s="540">
        <f t="shared" si="16"/>
        <v>100</v>
      </c>
      <c r="O122" s="536">
        <v>50.7</v>
      </c>
      <c r="P122" s="537"/>
      <c r="Q122" s="537"/>
      <c r="R122" s="538">
        <f t="shared" si="12"/>
        <v>50.7</v>
      </c>
      <c r="S122" s="692">
        <v>1</v>
      </c>
      <c r="T122" s="841"/>
      <c r="U122" s="841">
        <v>42565</v>
      </c>
      <c r="V122" s="532" t="s">
        <v>791</v>
      </c>
      <c r="W122" s="702" t="s">
        <v>74</v>
      </c>
      <c r="X122" s="692" t="s">
        <v>11</v>
      </c>
      <c r="Y122" s="533">
        <v>50.7</v>
      </c>
      <c r="AD122" s="532"/>
      <c r="AG122" s="533"/>
      <c r="AL122" s="532"/>
      <c r="AO122" s="533"/>
      <c r="AP122" s="532"/>
      <c r="AS122" s="533"/>
      <c r="AW122" s="533"/>
      <c r="BA122" s="534"/>
    </row>
    <row r="123" spans="1:53" s="731" customFormat="1">
      <c r="A123" s="731">
        <v>2017</v>
      </c>
      <c r="B123" s="836"/>
      <c r="C123" s="916" t="s">
        <v>1358</v>
      </c>
      <c r="D123" s="916"/>
      <c r="E123" s="731">
        <v>161</v>
      </c>
      <c r="G123" s="539">
        <v>23</v>
      </c>
      <c r="J123" s="541">
        <v>23</v>
      </c>
      <c r="K123" s="537">
        <f t="shared" si="13"/>
        <v>100</v>
      </c>
      <c r="L123" s="537">
        <f t="shared" si="14"/>
        <v>0</v>
      </c>
      <c r="M123" s="537">
        <f t="shared" si="15"/>
        <v>0</v>
      </c>
      <c r="N123" s="540">
        <f t="shared" si="16"/>
        <v>100</v>
      </c>
      <c r="O123" s="536">
        <v>50.7</v>
      </c>
      <c r="P123" s="537"/>
      <c r="Q123" s="537"/>
      <c r="R123" s="538">
        <f t="shared" si="12"/>
        <v>50.7</v>
      </c>
      <c r="S123" s="731">
        <v>1</v>
      </c>
      <c r="T123" s="841"/>
      <c r="U123" s="841"/>
      <c r="V123" s="532" t="s">
        <v>791</v>
      </c>
      <c r="W123" s="731" t="s">
        <v>74</v>
      </c>
      <c r="X123" s="731" t="s">
        <v>11</v>
      </c>
      <c r="Y123" s="533">
        <v>50.7</v>
      </c>
      <c r="AD123" s="532"/>
      <c r="AG123" s="533"/>
      <c r="AL123" s="532"/>
      <c r="AO123" s="533"/>
      <c r="AP123" s="532"/>
      <c r="AS123" s="533"/>
      <c r="AW123" s="533"/>
      <c r="BA123" s="534"/>
    </row>
    <row r="124" spans="1:53" s="732" customFormat="1">
      <c r="A124" s="732">
        <v>2017</v>
      </c>
      <c r="B124" s="852">
        <v>42897</v>
      </c>
      <c r="C124" s="917" t="s">
        <v>1390</v>
      </c>
      <c r="D124" s="917"/>
      <c r="E124" s="732">
        <v>204</v>
      </c>
      <c r="F124" s="732">
        <v>1</v>
      </c>
      <c r="G124" s="498">
        <v>23</v>
      </c>
      <c r="J124" s="500">
        <v>23</v>
      </c>
      <c r="K124" s="496">
        <f t="shared" si="13"/>
        <v>100</v>
      </c>
      <c r="L124" s="496">
        <f t="shared" si="14"/>
        <v>0</v>
      </c>
      <c r="M124" s="496">
        <f t="shared" si="15"/>
        <v>0</v>
      </c>
      <c r="N124" s="499">
        <f t="shared" si="16"/>
        <v>100</v>
      </c>
      <c r="O124" s="495">
        <v>48.8</v>
      </c>
      <c r="P124" s="496"/>
      <c r="Q124" s="496"/>
      <c r="R124" s="497">
        <f t="shared" si="12"/>
        <v>48.8</v>
      </c>
      <c r="S124" s="732">
        <v>4</v>
      </c>
      <c r="T124" s="839">
        <v>42894</v>
      </c>
      <c r="U124" s="852">
        <v>42897</v>
      </c>
      <c r="V124" s="492" t="s">
        <v>791</v>
      </c>
      <c r="W124" s="732" t="s">
        <v>74</v>
      </c>
      <c r="X124" s="732" t="s">
        <v>11</v>
      </c>
      <c r="Y124" s="493">
        <v>48.8</v>
      </c>
      <c r="AD124" s="492"/>
      <c r="AG124" s="493"/>
      <c r="AL124" s="492"/>
      <c r="AO124" s="493"/>
      <c r="AP124" s="492"/>
      <c r="AS124" s="493"/>
      <c r="AW124" s="493"/>
      <c r="BA124" s="494"/>
    </row>
    <row r="125" spans="1:53" s="771" customFormat="1">
      <c r="A125" s="771">
        <v>2018</v>
      </c>
      <c r="B125" s="852"/>
      <c r="C125" s="917" t="s">
        <v>1390</v>
      </c>
      <c r="D125" s="917"/>
      <c r="E125" s="771">
        <v>0</v>
      </c>
      <c r="G125" s="498">
        <v>23</v>
      </c>
      <c r="J125" s="500">
        <v>23</v>
      </c>
      <c r="K125" s="496">
        <f t="shared" ref="K125:K126" si="17">G125/$J125*100</f>
        <v>100</v>
      </c>
      <c r="L125" s="496">
        <f t="shared" ref="L125:L126" si="18">H125/$J125*100</f>
        <v>0</v>
      </c>
      <c r="M125" s="496">
        <f t="shared" ref="M125:M126" si="19">I125/$J125*100</f>
        <v>0</v>
      </c>
      <c r="N125" s="499">
        <f t="shared" ref="N125:N126" si="20">K125+L125+M125</f>
        <v>100</v>
      </c>
      <c r="O125" s="495">
        <v>48.8</v>
      </c>
      <c r="P125" s="496"/>
      <c r="Q125" s="496"/>
      <c r="R125" s="497">
        <f t="shared" ref="R125:R126" si="21">O125+P125+Q125</f>
        <v>48.8</v>
      </c>
      <c r="S125" s="771">
        <v>4</v>
      </c>
      <c r="T125" s="839"/>
      <c r="U125" s="852"/>
      <c r="V125" s="492" t="s">
        <v>791</v>
      </c>
      <c r="W125" s="771" t="s">
        <v>74</v>
      </c>
      <c r="X125" s="771" t="s">
        <v>11</v>
      </c>
      <c r="Y125" s="493">
        <v>48.8</v>
      </c>
      <c r="AD125" s="492"/>
      <c r="AG125" s="493"/>
      <c r="AL125" s="492"/>
      <c r="AO125" s="493"/>
      <c r="AP125" s="492"/>
      <c r="AS125" s="493"/>
      <c r="AW125" s="493"/>
      <c r="BA125" s="494"/>
    </row>
    <row r="126" spans="1:53" s="771" customFormat="1">
      <c r="A126" s="771">
        <v>2018</v>
      </c>
      <c r="B126" s="852"/>
      <c r="C126" s="917" t="s">
        <v>1390</v>
      </c>
      <c r="D126" s="917"/>
      <c r="E126" s="771">
        <v>365</v>
      </c>
      <c r="G126" s="498">
        <v>23</v>
      </c>
      <c r="J126" s="500">
        <v>23</v>
      </c>
      <c r="K126" s="496">
        <f t="shared" si="17"/>
        <v>100</v>
      </c>
      <c r="L126" s="496">
        <f t="shared" si="18"/>
        <v>0</v>
      </c>
      <c r="M126" s="496">
        <f t="shared" si="19"/>
        <v>0</v>
      </c>
      <c r="N126" s="499">
        <f t="shared" si="20"/>
        <v>100</v>
      </c>
      <c r="O126" s="495">
        <v>48.8</v>
      </c>
      <c r="P126" s="496"/>
      <c r="Q126" s="496"/>
      <c r="R126" s="497">
        <f t="shared" si="21"/>
        <v>48.8</v>
      </c>
      <c r="S126" s="771">
        <v>4</v>
      </c>
      <c r="T126" s="839"/>
      <c r="U126" s="852"/>
      <c r="V126" s="492" t="s">
        <v>791</v>
      </c>
      <c r="W126" s="771" t="s">
        <v>74</v>
      </c>
      <c r="X126" s="771" t="s">
        <v>11</v>
      </c>
      <c r="Y126" s="493">
        <v>48.8</v>
      </c>
      <c r="AD126" s="492"/>
      <c r="AG126" s="493"/>
      <c r="AL126" s="492"/>
      <c r="AO126" s="493"/>
      <c r="AP126" s="492"/>
      <c r="AS126" s="493"/>
      <c r="AW126" s="493"/>
      <c r="BA126" s="494"/>
    </row>
    <row r="127" spans="1:53" s="813" customFormat="1">
      <c r="A127" s="813">
        <v>2019</v>
      </c>
      <c r="B127" s="852"/>
      <c r="C127" s="917" t="s">
        <v>1390</v>
      </c>
      <c r="D127" s="917"/>
      <c r="E127" s="813">
        <v>204</v>
      </c>
      <c r="G127" s="498">
        <v>23</v>
      </c>
      <c r="J127" s="500">
        <v>23</v>
      </c>
      <c r="K127" s="496">
        <f t="shared" ref="K127:K128" si="22">G127/$J127*100</f>
        <v>100</v>
      </c>
      <c r="L127" s="496">
        <f t="shared" ref="L127:L128" si="23">H127/$J127*100</f>
        <v>0</v>
      </c>
      <c r="M127" s="496">
        <f t="shared" ref="M127:M128" si="24">I127/$J127*100</f>
        <v>0</v>
      </c>
      <c r="N127" s="499">
        <f t="shared" ref="N127:N128" si="25">K127+L127+M127</f>
        <v>100</v>
      </c>
      <c r="O127" s="495">
        <v>48.8</v>
      </c>
      <c r="P127" s="496"/>
      <c r="Q127" s="496"/>
      <c r="R127" s="497">
        <f t="shared" ref="R127:R128" si="26">O127+P127+Q127</f>
        <v>48.8</v>
      </c>
      <c r="S127" s="813">
        <v>4</v>
      </c>
      <c r="T127" s="839"/>
      <c r="U127" s="852"/>
      <c r="V127" s="492" t="s">
        <v>791</v>
      </c>
      <c r="W127" s="813" t="s">
        <v>74</v>
      </c>
      <c r="X127" s="813" t="s">
        <v>11</v>
      </c>
      <c r="Y127" s="493">
        <v>48.8</v>
      </c>
      <c r="AD127" s="492"/>
      <c r="AG127" s="493"/>
      <c r="AL127" s="492"/>
      <c r="AO127" s="493"/>
      <c r="AP127" s="492"/>
      <c r="AS127" s="493"/>
      <c r="AW127" s="493"/>
      <c r="BA127" s="494"/>
    </row>
    <row r="128" spans="1:53" s="814" customFormat="1">
      <c r="A128" s="814">
        <v>2019</v>
      </c>
      <c r="B128" s="836">
        <v>43670</v>
      </c>
      <c r="C128" s="916" t="s">
        <v>1439</v>
      </c>
      <c r="D128" s="916"/>
      <c r="E128" s="814">
        <v>142</v>
      </c>
      <c r="F128" s="814">
        <v>2</v>
      </c>
      <c r="G128" s="539">
        <v>24</v>
      </c>
      <c r="J128" s="541">
        <v>24</v>
      </c>
      <c r="K128" s="537">
        <f t="shared" si="22"/>
        <v>100</v>
      </c>
      <c r="L128" s="537">
        <f t="shared" si="23"/>
        <v>0</v>
      </c>
      <c r="M128" s="537">
        <f t="shared" si="24"/>
        <v>0</v>
      </c>
      <c r="N128" s="540">
        <f t="shared" si="25"/>
        <v>100</v>
      </c>
      <c r="O128" s="536">
        <v>45.8</v>
      </c>
      <c r="P128" s="537"/>
      <c r="Q128" s="537"/>
      <c r="R128" s="538">
        <f t="shared" si="26"/>
        <v>45.8</v>
      </c>
      <c r="S128" s="814">
        <v>4</v>
      </c>
      <c r="T128" s="841"/>
      <c r="U128" s="841">
        <v>43670</v>
      </c>
      <c r="V128" s="532" t="s">
        <v>791</v>
      </c>
      <c r="W128" s="814" t="s">
        <v>74</v>
      </c>
      <c r="X128" s="814" t="s">
        <v>11</v>
      </c>
      <c r="Y128" s="533">
        <v>45.8</v>
      </c>
      <c r="AD128" s="532"/>
      <c r="AG128" s="533"/>
      <c r="AL128" s="532"/>
      <c r="AO128" s="533"/>
      <c r="AP128" s="532"/>
      <c r="AS128" s="533"/>
      <c r="AW128" s="533"/>
      <c r="BA128" s="534"/>
    </row>
    <row r="129" spans="1:53" s="813" customFormat="1">
      <c r="A129" s="813">
        <v>2019</v>
      </c>
      <c r="B129" s="852">
        <v>43812</v>
      </c>
      <c r="C129" s="917" t="s">
        <v>1440</v>
      </c>
      <c r="D129" s="917"/>
      <c r="E129" s="813">
        <v>19</v>
      </c>
      <c r="F129" s="813">
        <v>1</v>
      </c>
      <c r="G129" s="498">
        <v>24</v>
      </c>
      <c r="J129" s="500">
        <v>24</v>
      </c>
      <c r="K129" s="496">
        <f t="shared" ref="K129" si="27">G129/$J129*100</f>
        <v>100</v>
      </c>
      <c r="L129" s="496">
        <f t="shared" ref="L129" si="28">H129/$J129*100</f>
        <v>0</v>
      </c>
      <c r="M129" s="496">
        <f t="shared" ref="M129" si="29">I129/$J129*100</f>
        <v>0</v>
      </c>
      <c r="N129" s="499">
        <f t="shared" ref="N129" si="30">K129+L129+M129</f>
        <v>100</v>
      </c>
      <c r="O129" s="495">
        <v>56.2</v>
      </c>
      <c r="P129" s="496"/>
      <c r="Q129" s="496"/>
      <c r="R129" s="497">
        <f t="shared" ref="R129" si="31">O129+P129+Q129</f>
        <v>56.2</v>
      </c>
      <c r="S129" s="813">
        <v>1</v>
      </c>
      <c r="T129" s="839">
        <v>43811</v>
      </c>
      <c r="U129" s="852">
        <v>43812</v>
      </c>
      <c r="V129" s="492" t="s">
        <v>791</v>
      </c>
      <c r="W129" s="813" t="s">
        <v>74</v>
      </c>
      <c r="X129" s="813" t="s">
        <v>11</v>
      </c>
      <c r="Y129" s="493">
        <v>56.2</v>
      </c>
      <c r="AD129" s="492"/>
      <c r="AG129" s="493"/>
      <c r="AL129" s="492"/>
      <c r="AO129" s="493"/>
      <c r="AP129" s="492"/>
      <c r="AS129" s="493"/>
      <c r="AW129" s="493"/>
      <c r="BA129" s="494"/>
    </row>
    <row r="130" spans="1:53">
      <c r="Y130" s="23"/>
    </row>
    <row r="132" spans="1:53" s="2" customFormat="1" ht="18" customHeight="1">
      <c r="B132" s="22" t="s">
        <v>1269</v>
      </c>
      <c r="H132" s="6"/>
    </row>
    <row r="133" spans="1:53" s="2" customFormat="1" ht="9" customHeight="1">
      <c r="H133" s="6"/>
    </row>
    <row r="134" spans="1:53" s="317" customFormat="1" ht="9" customHeight="1">
      <c r="A134" s="315"/>
      <c r="B134" s="316" t="s">
        <v>1220</v>
      </c>
      <c r="C134" s="316"/>
      <c r="D134" s="316"/>
      <c r="E134" s="316"/>
      <c r="F134" s="316"/>
      <c r="G134" s="316" t="s">
        <v>1221</v>
      </c>
      <c r="H134" s="316"/>
      <c r="I134" s="316"/>
      <c r="J134" s="316"/>
      <c r="K134" s="316"/>
      <c r="L134" s="316"/>
      <c r="M134" s="316"/>
      <c r="N134" s="316"/>
      <c r="R134" s="895" t="s">
        <v>1222</v>
      </c>
      <c r="S134" s="895"/>
      <c r="T134" s="895"/>
      <c r="U134" s="895"/>
      <c r="V134" s="895"/>
      <c r="W134" s="895"/>
      <c r="X134" s="318"/>
      <c r="Y134" s="318"/>
      <c r="AA134" s="318"/>
      <c r="AB134" s="318"/>
      <c r="AC134" s="318"/>
      <c r="AD134" s="318"/>
    </row>
    <row r="135" spans="1:53" s="322" customFormat="1" ht="9" customHeight="1">
      <c r="A135" s="319"/>
      <c r="B135" s="320" t="s">
        <v>1224</v>
      </c>
      <c r="C135" s="321"/>
      <c r="D135" s="321"/>
      <c r="E135" s="321"/>
      <c r="F135" s="321"/>
      <c r="G135" s="320" t="s">
        <v>1223</v>
      </c>
      <c r="H135" s="321"/>
      <c r="I135" s="321"/>
      <c r="J135" s="321"/>
      <c r="K135" s="321"/>
      <c r="L135" s="321"/>
      <c r="M135" s="321"/>
      <c r="N135" s="321"/>
      <c r="R135" s="323" t="s">
        <v>1225</v>
      </c>
      <c r="S135" s="324"/>
      <c r="T135" s="325"/>
      <c r="U135" s="325"/>
      <c r="V135" s="325"/>
      <c r="W135" s="323" t="s">
        <v>1226</v>
      </c>
      <c r="X135" s="325"/>
      <c r="Y135" s="325"/>
      <c r="AA135" s="325"/>
      <c r="AB135" s="325"/>
      <c r="AC135" s="325"/>
      <c r="AD135" s="325"/>
    </row>
    <row r="136" spans="1:53" s="307" customFormat="1" ht="12" customHeight="1">
      <c r="A136" s="326" t="s">
        <v>3</v>
      </c>
      <c r="B136" s="327" t="s">
        <v>8</v>
      </c>
      <c r="C136" s="327" t="s">
        <v>9</v>
      </c>
      <c r="D136" s="327" t="s">
        <v>10</v>
      </c>
      <c r="E136" s="328" t="s">
        <v>1200</v>
      </c>
      <c r="F136" s="327"/>
      <c r="G136" s="307" t="s">
        <v>3</v>
      </c>
      <c r="H136" s="896" t="s">
        <v>0</v>
      </c>
      <c r="I136" s="896"/>
      <c r="J136" s="896" t="s">
        <v>1</v>
      </c>
      <c r="K136" s="896"/>
      <c r="L136" s="896" t="s">
        <v>2</v>
      </c>
      <c r="M136" s="896"/>
      <c r="N136" s="897" t="s">
        <v>1200</v>
      </c>
      <c r="O136" s="897"/>
      <c r="P136" s="329"/>
      <c r="Q136" s="329"/>
      <c r="R136" s="330" t="s">
        <v>3</v>
      </c>
      <c r="S136" s="331" t="s">
        <v>136</v>
      </c>
      <c r="T136" s="329" t="s">
        <v>134</v>
      </c>
      <c r="U136" s="327" t="s">
        <v>135</v>
      </c>
      <c r="V136" s="329"/>
      <c r="W136" s="332" t="s">
        <v>26</v>
      </c>
    </row>
    <row r="137" spans="1:53" s="243" customFormat="1">
      <c r="A137" s="243">
        <v>1959</v>
      </c>
      <c r="B137" s="230">
        <f>(K6*($E6/365)) + (K7*($E7/365))</f>
        <v>100</v>
      </c>
      <c r="C137" s="230">
        <f>(L6*($E6/365)) + (L7*($E7/365))</f>
        <v>0</v>
      </c>
      <c r="D137" s="230">
        <f>(M6*($E6/365)) + (M7*($E7/365))</f>
        <v>0</v>
      </c>
      <c r="E137" s="231">
        <f>B137+C137+D137</f>
        <v>100</v>
      </c>
      <c r="G137" s="243">
        <v>1959</v>
      </c>
      <c r="H137" s="927">
        <f>(O6/$R6*100*($E6/365))+(O7/$R7*100*($E7/365))</f>
        <v>100</v>
      </c>
      <c r="I137" s="927"/>
      <c r="J137" s="927">
        <f>(P6/$R6*100*($E6/365))+(P7/$R7*100*($E7/365))</f>
        <v>0</v>
      </c>
      <c r="K137" s="927"/>
      <c r="L137" s="927">
        <f>(Q6/$R6*100*($E6/365))+(Q7/$R7*100*($E7/365))</f>
        <v>0</v>
      </c>
      <c r="M137" s="927"/>
      <c r="N137" s="926">
        <f>H137+J137+L137</f>
        <v>100</v>
      </c>
      <c r="O137" s="926"/>
      <c r="R137" s="243">
        <v>1959</v>
      </c>
      <c r="S137" s="230">
        <f>(O6*($E6/365)) + (O7*($E7/365))</f>
        <v>52.789041095890411</v>
      </c>
      <c r="T137" s="230">
        <f>(P6*($E6/365)) + (P7*($E7/365))</f>
        <v>0</v>
      </c>
      <c r="U137" s="230">
        <f>(Q6*($E6/365)) + (Q7*($E7/365))</f>
        <v>0</v>
      </c>
      <c r="V137" s="244"/>
      <c r="W137" s="244">
        <f>S137+T137+U137</f>
        <v>52.789041095890411</v>
      </c>
    </row>
    <row r="138" spans="1:53">
      <c r="A138" s="1">
        <v>1960</v>
      </c>
      <c r="B138" s="8">
        <f>(K8*($E8/366))+(K9*($E9/366))</f>
        <v>100</v>
      </c>
      <c r="C138" s="8">
        <f>(L8*($E8/366))+(L9*($E9/366))</f>
        <v>0</v>
      </c>
      <c r="D138" s="8">
        <f>(M8*($E8/366))+(M9*($E9/366))</f>
        <v>0</v>
      </c>
      <c r="E138" s="50">
        <f>B138+C138+D138</f>
        <v>100</v>
      </c>
      <c r="G138" s="1">
        <v>1960</v>
      </c>
      <c r="H138" s="918">
        <f>(O8/$R8*100*($E8/366))+(O9/$R9*100*($E9/366))</f>
        <v>100</v>
      </c>
      <c r="I138" s="918"/>
      <c r="J138" s="918">
        <f>(P8/$R8*100*($E8/366))+(P9/$R9*100*($E9/366))</f>
        <v>0</v>
      </c>
      <c r="K138" s="918"/>
      <c r="L138" s="918">
        <f>(Q8/$R8*100*($E8/366))+(Q9/$R9*100*($E9/366))</f>
        <v>0</v>
      </c>
      <c r="M138" s="918"/>
      <c r="N138" s="919">
        <f t="shared" ref="N138:N169" si="32">H138+J138+L138</f>
        <v>100</v>
      </c>
      <c r="O138" s="919"/>
      <c r="R138" s="1">
        <v>1960</v>
      </c>
      <c r="S138" s="8">
        <f>(O8*($E8/366))+(O9*($E9/366))</f>
        <v>57.9</v>
      </c>
      <c r="T138" s="8">
        <f>(P8*($E8/366))+(P9*($E9/366))</f>
        <v>0</v>
      </c>
      <c r="U138" s="8">
        <f>(Q8*($E8/366))+(Q9*($E9/366))</f>
        <v>0</v>
      </c>
      <c r="V138" s="7"/>
      <c r="W138" s="7">
        <f>S138+T138+U138</f>
        <v>57.9</v>
      </c>
    </row>
    <row r="139" spans="1:53">
      <c r="A139" s="1">
        <v>1961</v>
      </c>
      <c r="B139" s="8">
        <f>(K10*($E10/365))+(K11*($E11/365))</f>
        <v>100</v>
      </c>
      <c r="C139" s="8">
        <f>(L10*($E10/365))+(L11*($E11/365))</f>
        <v>0</v>
      </c>
      <c r="D139" s="8">
        <f>(M10*($E10/365))+(M11*($E11/365))</f>
        <v>0</v>
      </c>
      <c r="E139" s="50">
        <f t="shared" ref="E139:E191" si="33">B139+C139+D139</f>
        <v>100</v>
      </c>
      <c r="G139" s="1">
        <v>1961</v>
      </c>
      <c r="H139" s="918">
        <f>(O10/$R10*100*($E10/365))+(O11/$R11*100*($E11/365))</f>
        <v>100</v>
      </c>
      <c r="I139" s="918"/>
      <c r="J139" s="918">
        <f>(P10/$R10*100*($E10/365))+(P11/$R11*100*($E11/365))</f>
        <v>0</v>
      </c>
      <c r="K139" s="918"/>
      <c r="L139" s="918">
        <f>(Q10/$R10*100*($E10/365))+(Q11/$R11*100*($E11/365))</f>
        <v>0</v>
      </c>
      <c r="M139" s="918"/>
      <c r="N139" s="887">
        <f t="shared" si="32"/>
        <v>100</v>
      </c>
      <c r="O139" s="887"/>
      <c r="R139" s="1">
        <v>1961</v>
      </c>
      <c r="S139" s="8">
        <f>(O10*($E10/365))+(O11*($E11/365))</f>
        <v>57.9</v>
      </c>
      <c r="T139" s="8">
        <f>(P10*($E10/365))+(P11*($E11/365))</f>
        <v>0</v>
      </c>
      <c r="U139" s="8">
        <f>(Q10*($E10/365))+(Q11*($E11/365))</f>
        <v>0</v>
      </c>
      <c r="V139" s="7"/>
      <c r="W139" s="7">
        <f t="shared" ref="W139:W191" si="34">S139+T139+U139</f>
        <v>57.9</v>
      </c>
    </row>
    <row r="140" spans="1:53">
      <c r="A140" s="1">
        <v>1962</v>
      </c>
      <c r="B140" s="8">
        <f>(K12*($E12/365))+(K13*($E13/365))</f>
        <v>100</v>
      </c>
      <c r="C140" s="8">
        <f>(L12*($E12/365))+(L13*($E13/365))</f>
        <v>0</v>
      </c>
      <c r="D140" s="8">
        <f>(M12*($E12/365))+(M13*($E13/365))</f>
        <v>0</v>
      </c>
      <c r="E140" s="50">
        <f t="shared" si="33"/>
        <v>100</v>
      </c>
      <c r="G140" s="1">
        <v>1962</v>
      </c>
      <c r="H140" s="918">
        <f>(O12/$R12*100*($E12/365))+(O13/$R13*100*($E13/365))</f>
        <v>100</v>
      </c>
      <c r="I140" s="918"/>
      <c r="J140" s="918">
        <f>(P12/$R12*100*($E12/365))+(P13/$R13*100*($E13/365))</f>
        <v>0</v>
      </c>
      <c r="K140" s="918"/>
      <c r="L140" s="918">
        <f>(Q12/$R12*100*($E12/365))+(Q13/$R13*100*($E13/365))</f>
        <v>0</v>
      </c>
      <c r="M140" s="918"/>
      <c r="N140" s="887">
        <f t="shared" si="32"/>
        <v>100</v>
      </c>
      <c r="O140" s="887"/>
      <c r="R140" s="1">
        <v>1962</v>
      </c>
      <c r="S140" s="8">
        <f>(O12*($E12/365))+(O13*($E13/365))</f>
        <v>57.9</v>
      </c>
      <c r="T140" s="8">
        <f>(P12*($E12/365))+(P13*($E13/365))</f>
        <v>0</v>
      </c>
      <c r="U140" s="8">
        <f>(Q12*($E12/365))+(Q13*($E13/365))</f>
        <v>0</v>
      </c>
      <c r="V140" s="7"/>
      <c r="W140" s="7">
        <f t="shared" si="34"/>
        <v>57.9</v>
      </c>
    </row>
    <row r="141" spans="1:53">
      <c r="A141" s="1">
        <v>1963</v>
      </c>
      <c r="B141" s="8">
        <f>(K14*($E14/365))+(K15*($E15/365))</f>
        <v>100</v>
      </c>
      <c r="C141" s="8">
        <f>(L14*($E14/365))+(L15*($E15/365))</f>
        <v>0</v>
      </c>
      <c r="D141" s="8">
        <f>(M14*($E14/365))+(M15*($E15/365))</f>
        <v>0</v>
      </c>
      <c r="E141" s="50">
        <f t="shared" si="33"/>
        <v>100</v>
      </c>
      <c r="G141" s="1">
        <v>1963</v>
      </c>
      <c r="H141" s="918">
        <f>(O14/$R14*100*($E14/365))+(O15/$R15*100*($E15/365))</f>
        <v>100</v>
      </c>
      <c r="I141" s="918"/>
      <c r="J141" s="918">
        <f>(P14/$R14*100*($E14/365))+(P15/$R15*100*($E15/365))</f>
        <v>0</v>
      </c>
      <c r="K141" s="918"/>
      <c r="L141" s="918">
        <f>(Q14/$R14*100*($E14/365))+(Q15/$R15*100*($E15/365))</f>
        <v>0</v>
      </c>
      <c r="M141" s="918"/>
      <c r="N141" s="887">
        <f t="shared" si="32"/>
        <v>100</v>
      </c>
      <c r="O141" s="887"/>
      <c r="R141" s="1">
        <v>1963</v>
      </c>
      <c r="S141" s="8">
        <f>(O14*($E14/365))+(O15*($E15/365))</f>
        <v>57.9</v>
      </c>
      <c r="T141" s="8">
        <f>(P14*($E14/365))+(P15*($E15/365))</f>
        <v>0</v>
      </c>
      <c r="U141" s="8">
        <f>(Q14*($E14/365))+(Q15*($E15/365))</f>
        <v>0</v>
      </c>
      <c r="V141" s="7"/>
      <c r="W141" s="7">
        <f t="shared" si="34"/>
        <v>57.9</v>
      </c>
    </row>
    <row r="142" spans="1:53">
      <c r="A142" s="1">
        <v>1964</v>
      </c>
      <c r="B142" s="8">
        <f>(K16*($E16/366))+(K17*($E17/366))</f>
        <v>79.234972677595621</v>
      </c>
      <c r="C142" s="8">
        <f>(L16*($E16/366))+(L17*($E17/366))</f>
        <v>0</v>
      </c>
      <c r="D142" s="8">
        <f>(M16*($E16/366))+(M17*($E17/366))</f>
        <v>20.765027322404372</v>
      </c>
      <c r="E142" s="50">
        <f t="shared" si="33"/>
        <v>100</v>
      </c>
      <c r="G142" s="1">
        <v>1964</v>
      </c>
      <c r="H142" s="918">
        <f>(O16/$R16*100*($E16/366))+(O17/$R17*100*($E17/366))</f>
        <v>79.234972677595621</v>
      </c>
      <c r="I142" s="918"/>
      <c r="J142" s="918">
        <f>(P16/$R16*100*($E16/366))+(P17/$R17*100*($E17/366))</f>
        <v>0</v>
      </c>
      <c r="K142" s="918"/>
      <c r="L142" s="918">
        <f>(Q16/$R16*100*($E16/366))+(Q17/$R17*100*($E17/366))</f>
        <v>20.765027322404372</v>
      </c>
      <c r="M142" s="918"/>
      <c r="N142" s="887">
        <f t="shared" si="32"/>
        <v>100</v>
      </c>
      <c r="O142" s="887"/>
      <c r="R142" s="1">
        <v>1964</v>
      </c>
      <c r="S142" s="8">
        <f>(O16*($E16/366))+(O17*($E17/366))</f>
        <v>45.877049180327866</v>
      </c>
      <c r="T142" s="8">
        <f>(P16*($E16/366))+(P17*($E17/366))</f>
        <v>0</v>
      </c>
      <c r="U142" s="8">
        <f>(Q16*($E16/366))+(Q17*($E17/366))</f>
        <v>10.444808743169398</v>
      </c>
      <c r="V142" s="7"/>
      <c r="W142" s="7">
        <f t="shared" si="34"/>
        <v>56.321857923497262</v>
      </c>
    </row>
    <row r="143" spans="1:53">
      <c r="A143" s="1">
        <v>1965</v>
      </c>
      <c r="B143" s="8">
        <f>(K18*($E18/365))+(K19*($E19/365))</f>
        <v>0</v>
      </c>
      <c r="C143" s="8">
        <f>(L18*($E18/365))+(L19*($E19/365))</f>
        <v>0</v>
      </c>
      <c r="D143" s="8">
        <f>(M18*($E18/365))+(M19*($E19/365))</f>
        <v>100</v>
      </c>
      <c r="E143" s="50">
        <f t="shared" si="33"/>
        <v>100</v>
      </c>
      <c r="G143" s="1">
        <v>1965</v>
      </c>
      <c r="H143" s="918">
        <f>(O18/$R18*100*($E18/365))+(O19/$R19*100*($E19/365))</f>
        <v>0</v>
      </c>
      <c r="I143" s="918"/>
      <c r="J143" s="918">
        <f>(P18/$R18*100*($E18/365))+(P19/$R19*100*($E19/365))</f>
        <v>0</v>
      </c>
      <c r="K143" s="918"/>
      <c r="L143" s="918">
        <f>(Q18/$R18*100*($E18/365))+(Q19/$R19*100*($E19/365))</f>
        <v>100</v>
      </c>
      <c r="M143" s="918"/>
      <c r="N143" s="887">
        <f t="shared" si="32"/>
        <v>100</v>
      </c>
      <c r="O143" s="887"/>
      <c r="R143" s="1">
        <v>1965</v>
      </c>
      <c r="S143" s="8">
        <f>(O18*($E18/365))+(O19*($E19/365))</f>
        <v>0</v>
      </c>
      <c r="T143" s="8">
        <f>(P18*($E18/365))+(P19*($E19/365))</f>
        <v>0</v>
      </c>
      <c r="U143" s="8">
        <f>(Q18*($E18/365))+(Q19*($E19/365))</f>
        <v>50.3</v>
      </c>
      <c r="V143" s="7"/>
      <c r="W143" s="7">
        <f t="shared" si="34"/>
        <v>50.3</v>
      </c>
    </row>
    <row r="144" spans="1:53">
      <c r="A144" s="1">
        <v>1966</v>
      </c>
      <c r="B144" s="8">
        <f>(K20*($E20/365))+(K21*($E21/365))</f>
        <v>0</v>
      </c>
      <c r="C144" s="8">
        <f>(L20*($E20/365))+(L21*($E21/365))</f>
        <v>0</v>
      </c>
      <c r="D144" s="8">
        <f>(M20*($E20/365))+(M21*($E21/365))</f>
        <v>100</v>
      </c>
      <c r="E144" s="50">
        <f t="shared" si="33"/>
        <v>100</v>
      </c>
      <c r="G144" s="1">
        <v>1966</v>
      </c>
      <c r="H144" s="918">
        <f>(O20/$R20*100*($E20/365))+(O21/$R21*100*($E21/365))</f>
        <v>0</v>
      </c>
      <c r="I144" s="918"/>
      <c r="J144" s="918">
        <f>(P20/$R20*100*($E20/365))+(P21/$R21*100*($E21/365))</f>
        <v>0</v>
      </c>
      <c r="K144" s="918"/>
      <c r="L144" s="918">
        <f>(Q20/$R20*100*($E20/365))+(Q21/$R21*100*($E21/365))</f>
        <v>100</v>
      </c>
      <c r="M144" s="918"/>
      <c r="N144" s="887">
        <f t="shared" si="32"/>
        <v>100</v>
      </c>
      <c r="O144" s="887"/>
      <c r="R144" s="1">
        <v>1966</v>
      </c>
      <c r="S144" s="8">
        <f>(O20*($E20/365))+(O21*($E21/365))</f>
        <v>0</v>
      </c>
      <c r="T144" s="8">
        <f>(P20*($E20/365))+(P21*($E21/365))</f>
        <v>0</v>
      </c>
      <c r="U144" s="8">
        <f>(Q20*($E20/365))+(Q21*($E21/365))</f>
        <v>55.847945205479448</v>
      </c>
      <c r="V144" s="7"/>
      <c r="W144" s="7">
        <f t="shared" si="34"/>
        <v>55.847945205479448</v>
      </c>
    </row>
    <row r="145" spans="1:23">
      <c r="A145" s="1">
        <v>1967</v>
      </c>
      <c r="B145" s="8">
        <f>(K22*($E22/365))+(K23*($E23/365))</f>
        <v>0</v>
      </c>
      <c r="C145" s="8">
        <f>(L22*($E22/365))+(L23*($E23/365))</f>
        <v>0</v>
      </c>
      <c r="D145" s="8">
        <f>(M22*($E22/365))+(M23*($E23/365))</f>
        <v>100</v>
      </c>
      <c r="E145" s="50">
        <f t="shared" si="33"/>
        <v>100</v>
      </c>
      <c r="G145" s="1">
        <v>1967</v>
      </c>
      <c r="H145" s="918">
        <f>(O22/$R22*100*($E22/365))+(O23/$R23*100*($E23/365))</f>
        <v>0</v>
      </c>
      <c r="I145" s="918"/>
      <c r="J145" s="918">
        <f>(P22/$R22*100*($E22/365))+(P23/$R23*100*($E23/365))</f>
        <v>0</v>
      </c>
      <c r="K145" s="918"/>
      <c r="L145" s="918">
        <f>(Q22/$R22*100*($E22/365))+(Q23/$R23*100*($E23/365))</f>
        <v>100</v>
      </c>
      <c r="M145" s="918"/>
      <c r="N145" s="887">
        <f t="shared" si="32"/>
        <v>100</v>
      </c>
      <c r="O145" s="887"/>
      <c r="R145" s="1">
        <v>1967</v>
      </c>
      <c r="S145" s="8">
        <f>(O22*($E22/365))+(O23*($E23/365))</f>
        <v>0</v>
      </c>
      <c r="T145" s="8">
        <f>(P22*($E22/365))+(P23*($E23/365))</f>
        <v>0</v>
      </c>
      <c r="U145" s="8">
        <f>(Q22*($E22/365))+(Q23*($E23/365))</f>
        <v>57.8</v>
      </c>
      <c r="V145" s="7"/>
      <c r="W145" s="7">
        <f t="shared" si="34"/>
        <v>57.8</v>
      </c>
    </row>
    <row r="146" spans="1:23">
      <c r="A146" s="1">
        <v>1968</v>
      </c>
      <c r="B146" s="8">
        <f>(K24*($E24/366))+(K25*($E25/366))</f>
        <v>0</v>
      </c>
      <c r="C146" s="8">
        <f>(L24*($E24/366))+(L25*($E25/366))</f>
        <v>0</v>
      </c>
      <c r="D146" s="8">
        <f>(M24*($E24/366))+(M25*($E25/366))</f>
        <v>100</v>
      </c>
      <c r="E146" s="50">
        <f t="shared" si="33"/>
        <v>100</v>
      </c>
      <c r="G146" s="1">
        <v>1968</v>
      </c>
      <c r="H146" s="918">
        <f>(O24/$R24*100*($E24/366))+(O25/$R25*100*($E25/366))</f>
        <v>0</v>
      </c>
      <c r="I146" s="918"/>
      <c r="J146" s="918">
        <f>(P24/$R24*100*($E24/366))+(P25/$R25*100*($E25/366))</f>
        <v>0</v>
      </c>
      <c r="K146" s="918"/>
      <c r="L146" s="918">
        <f>(Q24/$R24*100*($E24/366))+(Q25/$R25*100*($E25/366))</f>
        <v>100</v>
      </c>
      <c r="M146" s="918"/>
      <c r="N146" s="887">
        <f t="shared" si="32"/>
        <v>100</v>
      </c>
      <c r="O146" s="887"/>
      <c r="R146" s="1">
        <v>1968</v>
      </c>
      <c r="S146" s="8">
        <f>(O24*($E24/366))+(O25*($E25/366))</f>
        <v>0</v>
      </c>
      <c r="T146" s="8">
        <f>(P24*($E24/366))+(P25*($E25/366))</f>
        <v>0</v>
      </c>
      <c r="U146" s="8">
        <f>(Q24*($E24/366))+(Q25*($E25/366))</f>
        <v>57.8</v>
      </c>
      <c r="V146" s="7"/>
      <c r="W146" s="7">
        <f t="shared" si="34"/>
        <v>57.8</v>
      </c>
    </row>
    <row r="147" spans="1:23">
      <c r="A147" s="1">
        <v>1969</v>
      </c>
      <c r="B147" s="8">
        <f>(K26*($E26/365))+(K27*($E27/365))</f>
        <v>0</v>
      </c>
      <c r="C147" s="8">
        <f>(L26*($E26/365))+(L27*($E27/365))</f>
        <v>0</v>
      </c>
      <c r="D147" s="8">
        <f>(M26*($E26/365))+(M27*($E27/365))</f>
        <v>100</v>
      </c>
      <c r="E147" s="50">
        <f t="shared" si="33"/>
        <v>100</v>
      </c>
      <c r="G147" s="1">
        <v>1969</v>
      </c>
      <c r="H147" s="918">
        <f>(O26/$R26*100*($E26/365))+(O27/$R27*100*($E27/365))</f>
        <v>0</v>
      </c>
      <c r="I147" s="918"/>
      <c r="J147" s="918">
        <f>(P26/$R26*100*($E26/365))+(P27/$R27*100*($E27/365))</f>
        <v>0</v>
      </c>
      <c r="K147" s="918"/>
      <c r="L147" s="918">
        <f>(Q26/$R26*100*($E26/365))+(Q27/$R27*100*($E27/365))</f>
        <v>100</v>
      </c>
      <c r="M147" s="918"/>
      <c r="N147" s="887">
        <f t="shared" si="32"/>
        <v>100</v>
      </c>
      <c r="O147" s="887"/>
      <c r="R147" s="1">
        <v>1969</v>
      </c>
      <c r="S147" s="8">
        <f>(O26*($E26/365))+(O27*($E27/365))</f>
        <v>0</v>
      </c>
      <c r="T147" s="8">
        <f>(P26*($E26/365))+(P27*($E27/365))</f>
        <v>0</v>
      </c>
      <c r="U147" s="8">
        <f>(Q26*($E26/365))+(Q27*($E27/365))</f>
        <v>57.8</v>
      </c>
      <c r="V147" s="7"/>
      <c r="W147" s="7">
        <f t="shared" si="34"/>
        <v>57.8</v>
      </c>
    </row>
    <row r="148" spans="1:23">
      <c r="A148" s="1">
        <v>1970</v>
      </c>
      <c r="B148" s="8">
        <f>(K28*($E28/365))+(K29*($E29/365))</f>
        <v>53.424657534246577</v>
      </c>
      <c r="C148" s="8">
        <f>(L28*($E28/365))+(L29*($E29/365))</f>
        <v>0</v>
      </c>
      <c r="D148" s="8">
        <f>(M28*($E28/365))+(M29*($E29/365))</f>
        <v>46.575342465753423</v>
      </c>
      <c r="E148" s="50">
        <f t="shared" si="33"/>
        <v>100</v>
      </c>
      <c r="G148" s="1">
        <v>1970</v>
      </c>
      <c r="H148" s="918">
        <f>(O28/$R28*100*($E28/365))+(O29/$R29*100*($E29/365))</f>
        <v>53.424657534246577</v>
      </c>
      <c r="I148" s="918"/>
      <c r="J148" s="918">
        <f>(P28/$R28*100*($E28/365))+(P29/$R29*100*($E29/365))</f>
        <v>0</v>
      </c>
      <c r="K148" s="918"/>
      <c r="L148" s="918">
        <f>(Q28/$R28*100*($E28/365))+(Q29/$R29*100*($E29/365))</f>
        <v>46.575342465753423</v>
      </c>
      <c r="M148" s="918"/>
      <c r="N148" s="887">
        <f t="shared" si="32"/>
        <v>100</v>
      </c>
      <c r="O148" s="887"/>
      <c r="R148" s="1">
        <v>1970</v>
      </c>
      <c r="S148" s="8">
        <f>(O28*($E28/365))+(O29*($E29/365))</f>
        <v>27.994520547945207</v>
      </c>
      <c r="T148" s="8">
        <f>(P28*($E28/365))+(P29*($E29/365))</f>
        <v>0</v>
      </c>
      <c r="U148" s="8">
        <f>(Q28*($E28/365))+(Q29*($E29/365))</f>
        <v>26.920547945205477</v>
      </c>
      <c r="V148" s="7"/>
      <c r="W148" s="7">
        <f t="shared" si="34"/>
        <v>54.915068493150685</v>
      </c>
    </row>
    <row r="149" spans="1:23">
      <c r="A149" s="1">
        <v>1971</v>
      </c>
      <c r="B149" s="8">
        <f>(K30*($E30/365))+(K31*($E31/365))</f>
        <v>100</v>
      </c>
      <c r="C149" s="8">
        <f>(L30*($E30/365))+(L31*($E31/365))</f>
        <v>0</v>
      </c>
      <c r="D149" s="8">
        <f>(M30*($E30/365))+(M31*($E31/365))</f>
        <v>0</v>
      </c>
      <c r="E149" s="50">
        <f t="shared" si="33"/>
        <v>100</v>
      </c>
      <c r="G149" s="1">
        <v>1971</v>
      </c>
      <c r="H149" s="918">
        <f>(O30/$R30*100*($E30/365))+(O31/$R31*100*($E31/365))</f>
        <v>100</v>
      </c>
      <c r="I149" s="918"/>
      <c r="J149" s="918">
        <f>(P30/$R30*100*($E30/365))+(P31/$R31*100*($E31/365))</f>
        <v>0</v>
      </c>
      <c r="K149" s="918"/>
      <c r="L149" s="918">
        <f>(Q30/$R30*100*($E30/365))+(Q31/$R31*100*($E31/365))</f>
        <v>0</v>
      </c>
      <c r="M149" s="918"/>
      <c r="N149" s="887">
        <f t="shared" si="32"/>
        <v>100</v>
      </c>
      <c r="O149" s="887"/>
      <c r="R149" s="1">
        <v>1971</v>
      </c>
      <c r="S149" s="8">
        <f>(O30*($E30/365))+(O31*($E31/365))</f>
        <v>52.4</v>
      </c>
      <c r="T149" s="8">
        <f>(P30*($E30/365))+(P31*($E31/365))</f>
        <v>0</v>
      </c>
      <c r="U149" s="8">
        <f>(Q30*($E30/365))+(Q31*($E31/365))</f>
        <v>0</v>
      </c>
      <c r="V149" s="7"/>
      <c r="W149" s="7">
        <f t="shared" si="34"/>
        <v>52.4</v>
      </c>
    </row>
    <row r="150" spans="1:23">
      <c r="A150" s="1">
        <v>1972</v>
      </c>
      <c r="B150" s="8">
        <f>(K32*($E32/366))+(K33*($E33/366))</f>
        <v>100</v>
      </c>
      <c r="C150" s="8">
        <f>(L32*($E32/366))+(L33*($E33/366))</f>
        <v>0</v>
      </c>
      <c r="D150" s="8">
        <f>(M32*($E32/366))+(M33*($E33/366))</f>
        <v>0</v>
      </c>
      <c r="E150" s="50">
        <f t="shared" si="33"/>
        <v>100</v>
      </c>
      <c r="G150" s="1">
        <v>1972</v>
      </c>
      <c r="H150" s="918">
        <f>(O32/$R32*100*($E32/366))+(O33/$R33*100*($E33/366))</f>
        <v>100</v>
      </c>
      <c r="I150" s="918"/>
      <c r="J150" s="918">
        <f>(P32/$R32*100*($E32/366))+(P33/$R33*100*($E33/366))</f>
        <v>0</v>
      </c>
      <c r="K150" s="918"/>
      <c r="L150" s="918">
        <f>(Q32/$R32*100*($E32/366))+(Q33/$R33*100*($E33/366))</f>
        <v>0</v>
      </c>
      <c r="M150" s="918"/>
      <c r="N150" s="887">
        <f t="shared" si="32"/>
        <v>100</v>
      </c>
      <c r="O150" s="887"/>
      <c r="R150" s="1">
        <v>1972</v>
      </c>
      <c r="S150" s="8">
        <f>(O32*($E32/366))+(O33*($E33/366))</f>
        <v>52.4</v>
      </c>
      <c r="T150" s="8">
        <f>(P32*($E32/366))+(P33*($E33/366))</f>
        <v>0</v>
      </c>
      <c r="U150" s="8">
        <f>(Q32*($E32/366))+(Q33*($E33/366))</f>
        <v>0</v>
      </c>
      <c r="V150" s="7"/>
      <c r="W150" s="7">
        <f t="shared" si="34"/>
        <v>52.4</v>
      </c>
    </row>
    <row r="151" spans="1:23">
      <c r="A151" s="1">
        <v>1973</v>
      </c>
      <c r="B151" s="8">
        <f>(K34*($E34/365))+(K35*($E35/365))</f>
        <v>100</v>
      </c>
      <c r="C151" s="8">
        <f>(L34*($E34/365))+(L35*($E35/365))</f>
        <v>0</v>
      </c>
      <c r="D151" s="8">
        <f>(M34*($E34/365))+(M35*($E35/365))</f>
        <v>0</v>
      </c>
      <c r="E151" s="50">
        <f t="shared" si="33"/>
        <v>100</v>
      </c>
      <c r="G151" s="1">
        <v>1973</v>
      </c>
      <c r="H151" s="918">
        <f>(O34/$R34*100*($E34/365))+(O35/$R35*100*($E35/365))</f>
        <v>100</v>
      </c>
      <c r="I151" s="918"/>
      <c r="J151" s="918">
        <f>(P34/$R34*100*($E34/365))+(P35/$R35*100*($E35/365))</f>
        <v>0</v>
      </c>
      <c r="K151" s="918"/>
      <c r="L151" s="918">
        <f>(Q34/$R34*100*($E34/365))+(Q35/$R35*100*($E35/365))</f>
        <v>0</v>
      </c>
      <c r="M151" s="918"/>
      <c r="N151" s="887">
        <f t="shared" si="32"/>
        <v>100</v>
      </c>
      <c r="O151" s="887"/>
      <c r="R151" s="1">
        <v>1973</v>
      </c>
      <c r="S151" s="8">
        <f>(O34*($E34/365))+(O35*($E35/365))</f>
        <v>52.4</v>
      </c>
      <c r="T151" s="8">
        <f>(P34*($E34/365))+(P35*($E35/365))</f>
        <v>0</v>
      </c>
      <c r="U151" s="8">
        <f>(Q34*($E34/365))+(Q35*($E35/365))</f>
        <v>0</v>
      </c>
      <c r="V151" s="7"/>
      <c r="W151" s="7">
        <f t="shared" si="34"/>
        <v>52.4</v>
      </c>
    </row>
    <row r="152" spans="1:23">
      <c r="A152" s="1">
        <v>1974</v>
      </c>
      <c r="B152" s="8">
        <f>(K36*($E36/365))+(K37*($E37/365))+(K38*($E38/365))</f>
        <v>17.260273972602739</v>
      </c>
      <c r="C152" s="8">
        <f>(L36*($E36/365))+(L37*($E37/365))+(L38*($E38/365))</f>
        <v>0</v>
      </c>
      <c r="D152" s="8">
        <f>(M36*($E36/365))+(M37*($E37/365))+(M38*($E38/365))</f>
        <v>82.739726027397268</v>
      </c>
      <c r="E152" s="50">
        <f t="shared" si="33"/>
        <v>100</v>
      </c>
      <c r="G152" s="1">
        <v>1974</v>
      </c>
      <c r="H152" s="918">
        <f>(O36/$R36*100*($E36/365))+(O37/$R37*100*($E37/365))+(O38/$R38*100*($E38/365))</f>
        <v>17.260273972602739</v>
      </c>
      <c r="I152" s="918"/>
      <c r="J152" s="918">
        <f>(P36/$R36*100*($E36/365))+(P37/$R37*100*($E37/365))+(P38/$R38*100*($E38/365))</f>
        <v>0</v>
      </c>
      <c r="K152" s="918"/>
      <c r="L152" s="918">
        <f>(Q36/$R36*100*($E36/365))+(Q37/$R37*100*($E37/365))+(Q38/$R38*100*($E38/365))</f>
        <v>82.739726027397268</v>
      </c>
      <c r="M152" s="918"/>
      <c r="N152" s="887">
        <f t="shared" si="32"/>
        <v>100</v>
      </c>
      <c r="O152" s="887"/>
      <c r="R152" s="1">
        <v>1974</v>
      </c>
      <c r="S152" s="8">
        <f>(O36*($E36/365))+(O37*($E37/365))+(O38*($E38/365))</f>
        <v>9.0443835616438353</v>
      </c>
      <c r="T152" s="8">
        <f>(P36*($E36/365))+(P37*($E37/365))+(P38*($E38/365))</f>
        <v>0</v>
      </c>
      <c r="U152" s="8">
        <f>(Q36*($E36/365))+(Q37*($E37/365))+(Q38*($E38/365))</f>
        <v>38.736712328767126</v>
      </c>
      <c r="V152" s="7"/>
      <c r="W152" s="7">
        <f t="shared" si="34"/>
        <v>47.78109589041096</v>
      </c>
    </row>
    <row r="153" spans="1:23">
      <c r="A153" s="1">
        <v>1975</v>
      </c>
      <c r="B153" s="8">
        <f>(K39*($E39/365))+(K40*($E40/365))</f>
        <v>0</v>
      </c>
      <c r="C153" s="8">
        <f>(L39*($E39/365))+(L40*($E40/365))</f>
        <v>0</v>
      </c>
      <c r="D153" s="8">
        <f>(M39*($E39/365))+(M40*($E40/365))</f>
        <v>100</v>
      </c>
      <c r="E153" s="50">
        <f t="shared" si="33"/>
        <v>100</v>
      </c>
      <c r="G153" s="1">
        <v>1975</v>
      </c>
      <c r="H153" s="918">
        <f>(O39/$R39*100*($E39/365))+(O40/$R40*100*($E40/365))</f>
        <v>0</v>
      </c>
      <c r="I153" s="918"/>
      <c r="J153" s="918">
        <f>(P39/$R39*100*($E39/365))+(P40/$R40*100*($E40/365))</f>
        <v>0</v>
      </c>
      <c r="K153" s="918"/>
      <c r="L153" s="918">
        <f>(Q39/$R39*100*($E39/365))+(Q40/$R40*100*($E40/365))</f>
        <v>100</v>
      </c>
      <c r="M153" s="918"/>
      <c r="N153" s="887">
        <f t="shared" si="32"/>
        <v>100</v>
      </c>
      <c r="O153" s="887"/>
      <c r="R153" s="1">
        <v>1975</v>
      </c>
      <c r="S153" s="8">
        <f>(O39*($E39/365))+(O40*($E40/365))</f>
        <v>0</v>
      </c>
      <c r="T153" s="8">
        <f>(P39*($E39/365))+(P40*($E40/365))</f>
        <v>0</v>
      </c>
      <c r="U153" s="8">
        <f>(Q39*($E39/365))+(Q40*($E40/365))</f>
        <v>50.2</v>
      </c>
      <c r="V153" s="7"/>
      <c r="W153" s="7">
        <f t="shared" si="34"/>
        <v>50.2</v>
      </c>
    </row>
    <row r="154" spans="1:23">
      <c r="A154" s="1">
        <v>1976</v>
      </c>
      <c r="B154" s="8">
        <f>(K41*($E41/366))+(K42*($E42/366))</f>
        <v>0</v>
      </c>
      <c r="C154" s="8">
        <f>(L41*($E41/366))+(L42*($E42/366))</f>
        <v>0</v>
      </c>
      <c r="D154" s="8">
        <f>(M41*($E41/366))+(M42*($E42/366))</f>
        <v>100</v>
      </c>
      <c r="E154" s="50">
        <f t="shared" si="33"/>
        <v>100</v>
      </c>
      <c r="G154" s="1">
        <v>1976</v>
      </c>
      <c r="H154" s="918">
        <f>(O41/$R41*100*($E41/366))+(O42/$R42*100*($E42/366))</f>
        <v>0</v>
      </c>
      <c r="I154" s="918"/>
      <c r="J154" s="918">
        <f>(P41/$R41*100*($E41/366))+(P42/$R42*100*($E42/366))</f>
        <v>0</v>
      </c>
      <c r="K154" s="918"/>
      <c r="L154" s="918">
        <f>(Q41/$R41*100*($E41/366))+(Q42/$R42*100*($E42/366))</f>
        <v>100</v>
      </c>
      <c r="M154" s="918"/>
      <c r="N154" s="887">
        <f t="shared" si="32"/>
        <v>100</v>
      </c>
      <c r="O154" s="887"/>
      <c r="R154" s="1">
        <v>1976</v>
      </c>
      <c r="S154" s="8">
        <f>(O41*($E41/366))+(O42*($E42/366))</f>
        <v>0</v>
      </c>
      <c r="T154" s="8">
        <f>(P41*($E41/366))+(P42*($E42/366))</f>
        <v>0</v>
      </c>
      <c r="U154" s="8">
        <f>(Q41*($E41/366))+(Q42*($E42/366))</f>
        <v>50.2</v>
      </c>
      <c r="V154" s="7"/>
      <c r="W154" s="7">
        <f t="shared" si="34"/>
        <v>50.2</v>
      </c>
    </row>
    <row r="155" spans="1:23">
      <c r="A155" s="1">
        <v>1977</v>
      </c>
      <c r="B155" s="8">
        <f>(K43*($E43/365))+(K44*($E44/365))</f>
        <v>0</v>
      </c>
      <c r="C155" s="8">
        <f>(L43*($E43/365))+(L44*($E44/365))</f>
        <v>0</v>
      </c>
      <c r="D155" s="8">
        <f>(M43*($E43/365))+(M44*($E44/365))</f>
        <v>100</v>
      </c>
      <c r="E155" s="50">
        <f t="shared" si="33"/>
        <v>100</v>
      </c>
      <c r="G155" s="1">
        <v>1977</v>
      </c>
      <c r="H155" s="918">
        <f>(O43/$R43*100*($E43/365))+(O44/$R44*100*($E44/365))</f>
        <v>0</v>
      </c>
      <c r="I155" s="918"/>
      <c r="J155" s="918">
        <f>(P43/$R43*100*($E43/365))+(P44/$R44*100*($E44/365))</f>
        <v>0</v>
      </c>
      <c r="K155" s="918"/>
      <c r="L155" s="918">
        <f>(Q43/$R43*100*($E43/365))+(Q44/$R44*100*($E44/365))</f>
        <v>100</v>
      </c>
      <c r="M155" s="918"/>
      <c r="N155" s="887">
        <f t="shared" si="32"/>
        <v>100</v>
      </c>
      <c r="O155" s="887"/>
      <c r="R155" s="1">
        <v>1977</v>
      </c>
      <c r="S155" s="8">
        <f>(O43*($E43/365))+(O44*($E44/365))</f>
        <v>0</v>
      </c>
      <c r="T155" s="8">
        <f>(P43*($E43/365))+(P44*($E44/365))</f>
        <v>0</v>
      </c>
      <c r="U155" s="8">
        <f>(Q43*($E43/365))+(Q44*($E44/365))</f>
        <v>50.2</v>
      </c>
      <c r="V155" s="7"/>
      <c r="W155" s="7">
        <f t="shared" si="34"/>
        <v>50.2</v>
      </c>
    </row>
    <row r="156" spans="1:23">
      <c r="A156" s="1">
        <v>1978</v>
      </c>
      <c r="B156" s="8">
        <f>(K45*($E45/365))+(K46*($E46/365))</f>
        <v>0</v>
      </c>
      <c r="C156" s="8">
        <f>(L45*($E45/365))+(L46*($E46/365))</f>
        <v>0</v>
      </c>
      <c r="D156" s="8">
        <f>(M45*($E45/365))+(M46*($E46/365))</f>
        <v>100</v>
      </c>
      <c r="E156" s="50">
        <f t="shared" si="33"/>
        <v>100</v>
      </c>
      <c r="G156" s="1">
        <v>1978</v>
      </c>
      <c r="H156" s="918">
        <f>(O45/$R45*100*($E45/365))+(O46/$R46*100*($E46/365))</f>
        <v>0</v>
      </c>
      <c r="I156" s="918"/>
      <c r="J156" s="918">
        <f>(P45/$R45*100*($E45/365))+(P46/$R46*100*($E46/365))</f>
        <v>0</v>
      </c>
      <c r="K156" s="918"/>
      <c r="L156" s="918">
        <f>(Q45/$R45*100*($E45/365))+(Q46/$R46*100*($E46/365))</f>
        <v>100</v>
      </c>
      <c r="M156" s="918"/>
      <c r="N156" s="887">
        <f t="shared" si="32"/>
        <v>100</v>
      </c>
      <c r="O156" s="887"/>
      <c r="R156" s="1">
        <v>1978</v>
      </c>
      <c r="S156" s="8">
        <f>(O45*($E45/365))+(O46*($E46/365))</f>
        <v>0</v>
      </c>
      <c r="T156" s="8">
        <f>(P45*($E45/365))+(P46*($E46/365))</f>
        <v>0</v>
      </c>
      <c r="U156" s="8">
        <f>(Q45*($E45/365))+(Q46*($E46/365))</f>
        <v>50.2</v>
      </c>
      <c r="V156" s="7"/>
      <c r="W156" s="7">
        <f t="shared" si="34"/>
        <v>50.2</v>
      </c>
    </row>
    <row r="157" spans="1:23">
      <c r="A157" s="1">
        <v>1979</v>
      </c>
      <c r="B157" s="8">
        <f>(K47*($E47/365))+(K48*($E48/365))</f>
        <v>66.027397260273972</v>
      </c>
      <c r="C157" s="8">
        <f>(L47*($E47/365))+(L48*($E48/365))</f>
        <v>0</v>
      </c>
      <c r="D157" s="8">
        <f>(M47*($E47/365))+(M48*($E48/365))</f>
        <v>33.972602739726028</v>
      </c>
      <c r="E157" s="50">
        <f t="shared" si="33"/>
        <v>100</v>
      </c>
      <c r="G157" s="1">
        <v>1979</v>
      </c>
      <c r="H157" s="918">
        <f>(O47/$R47*100*($E47/365))+(O48/$R48*100*($E48/365))</f>
        <v>66.027397260273972</v>
      </c>
      <c r="I157" s="918"/>
      <c r="J157" s="918">
        <f>(P47/$R47*100*($E47/365))+(P48/$R48*100*($E48/365))</f>
        <v>0</v>
      </c>
      <c r="K157" s="918"/>
      <c r="L157" s="918">
        <f>(Q47/$R47*100*($E47/365))+(Q48/$R48*100*($E48/365))</f>
        <v>33.972602739726028</v>
      </c>
      <c r="M157" s="918"/>
      <c r="N157" s="887">
        <f t="shared" si="32"/>
        <v>100</v>
      </c>
      <c r="O157" s="887"/>
      <c r="R157" s="1">
        <v>1979</v>
      </c>
      <c r="S157" s="8">
        <f>(O47*($E47/365))+(O48*($E48/365))</f>
        <v>35.258630136986298</v>
      </c>
      <c r="T157" s="8">
        <f>(P47*($E47/365))+(P48*($E48/365))</f>
        <v>0</v>
      </c>
      <c r="U157" s="8">
        <f>(Q47*($E47/365))+(Q48*($E48/365))</f>
        <v>17.054246575342468</v>
      </c>
      <c r="V157" s="7"/>
      <c r="W157" s="7">
        <f t="shared" si="34"/>
        <v>52.312876712328766</v>
      </c>
    </row>
    <row r="158" spans="1:23">
      <c r="A158" s="1">
        <v>1980</v>
      </c>
      <c r="B158" s="8">
        <f>(K49*($E49/366))+(K50*($E50/366))</f>
        <v>100</v>
      </c>
      <c r="C158" s="8">
        <f>(L49*($E49/366))+(L50*($E50/366))</f>
        <v>0</v>
      </c>
      <c r="D158" s="8">
        <f>(M49*($E49/366))+(M50*($E50/366))</f>
        <v>0</v>
      </c>
      <c r="E158" s="50">
        <f t="shared" si="33"/>
        <v>100</v>
      </c>
      <c r="G158" s="1">
        <v>1980</v>
      </c>
      <c r="H158" s="918">
        <f>(O49/$R49*100*($E49/366))+(O50/$R50*100*($E50/366))</f>
        <v>100</v>
      </c>
      <c r="I158" s="918"/>
      <c r="J158" s="918">
        <f>(P49/$R49*100*($E49/366))+(P50/$R50*100*($E50/366))</f>
        <v>0</v>
      </c>
      <c r="K158" s="918"/>
      <c r="L158" s="918">
        <f>(Q49/$R49*100*($E49/366))+(Q50/$R50*100*($E50/366))</f>
        <v>0</v>
      </c>
      <c r="M158" s="918"/>
      <c r="N158" s="887">
        <f t="shared" si="32"/>
        <v>100</v>
      </c>
      <c r="O158" s="887"/>
      <c r="R158" s="1">
        <v>1980</v>
      </c>
      <c r="S158" s="8">
        <f>(O49*($E49/366))+(O50*($E50/366))</f>
        <v>53.4</v>
      </c>
      <c r="T158" s="8">
        <f>(P49*($E49/366))+(P50*($E50/366))</f>
        <v>0</v>
      </c>
      <c r="U158" s="8">
        <f>(Q49*($E49/366))+(Q50*($E50/366))</f>
        <v>0</v>
      </c>
      <c r="V158" s="7"/>
      <c r="W158" s="7">
        <f t="shared" si="34"/>
        <v>53.4</v>
      </c>
    </row>
    <row r="159" spans="1:23">
      <c r="A159" s="1">
        <v>1981</v>
      </c>
      <c r="B159" s="8">
        <f>(K51*($E51/365))+(K52*($E52/365))</f>
        <v>100</v>
      </c>
      <c r="C159" s="8">
        <f>(L51*($E51/365))+(L52*($E52/365))</f>
        <v>0</v>
      </c>
      <c r="D159" s="8">
        <f>(M51*($E51/365))+(M52*($E52/365))</f>
        <v>0</v>
      </c>
      <c r="E159" s="50">
        <f t="shared" si="33"/>
        <v>100</v>
      </c>
      <c r="G159" s="1">
        <v>1981</v>
      </c>
      <c r="H159" s="918">
        <f>(O51/$R51*100*($E51/365))+(O52/$R52*100*($E52/365))</f>
        <v>100</v>
      </c>
      <c r="I159" s="918"/>
      <c r="J159" s="918">
        <f>(P51/$R51*100*($E51/365))+(P52/$R52*100*($E52/365))</f>
        <v>0</v>
      </c>
      <c r="K159" s="918"/>
      <c r="L159" s="918">
        <f>(Q51/$R51*100*($E51/365))+(Q52/$R52*100*($E52/365))</f>
        <v>0</v>
      </c>
      <c r="M159" s="918"/>
      <c r="N159" s="887">
        <f t="shared" si="32"/>
        <v>100</v>
      </c>
      <c r="O159" s="887"/>
      <c r="R159" s="1">
        <v>1981</v>
      </c>
      <c r="S159" s="8">
        <f>(O51*($E51/365))+(O52*($E52/365))</f>
        <v>53.4</v>
      </c>
      <c r="T159" s="8">
        <f>(P51*($E51/365))+(P52*($E52/365))</f>
        <v>0</v>
      </c>
      <c r="U159" s="8">
        <f>(Q51*($E51/365))+(Q52*($E52/365))</f>
        <v>0</v>
      </c>
      <c r="V159" s="7"/>
      <c r="W159" s="7">
        <f t="shared" si="34"/>
        <v>53.4</v>
      </c>
    </row>
    <row r="160" spans="1:23">
      <c r="A160" s="1">
        <v>1982</v>
      </c>
      <c r="B160" s="8">
        <f>(K53*($E53/365))+(K54*($E54/365))</f>
        <v>100</v>
      </c>
      <c r="C160" s="8">
        <f>(L53*($E53/365))+(L54*($E54/365))</f>
        <v>0</v>
      </c>
      <c r="D160" s="8">
        <f>(M53*($E53/365))+(M54*($E54/365))</f>
        <v>0</v>
      </c>
      <c r="E160" s="50">
        <f t="shared" si="33"/>
        <v>100</v>
      </c>
      <c r="G160" s="1">
        <v>1982</v>
      </c>
      <c r="H160" s="918">
        <f>(O53/$R53*100*($E53/365))+(O54/$R54*100*($E54/365))</f>
        <v>100</v>
      </c>
      <c r="I160" s="918"/>
      <c r="J160" s="918">
        <f>(P53/$R53*100*($E53/365))+(P54/$R54*100*($E54/365))</f>
        <v>0</v>
      </c>
      <c r="K160" s="918"/>
      <c r="L160" s="918">
        <f>(Q53/$R53*100*($E53/365))+(Q54/$R54*100*($E54/365))</f>
        <v>0</v>
      </c>
      <c r="M160" s="918"/>
      <c r="N160" s="887">
        <f t="shared" si="32"/>
        <v>100</v>
      </c>
      <c r="O160" s="887"/>
      <c r="R160" s="1">
        <v>1982</v>
      </c>
      <c r="S160" s="8">
        <f>(O53*($E53/365))+(O54*($E54/365))</f>
        <v>53.4</v>
      </c>
      <c r="T160" s="8">
        <f>(P53*($E53/365))+(P54*($E54/365))</f>
        <v>0</v>
      </c>
      <c r="U160" s="8">
        <f>(Q53*($E53/365))+(Q54*($E54/365))</f>
        <v>0</v>
      </c>
      <c r="V160" s="7"/>
      <c r="W160" s="7">
        <f t="shared" si="34"/>
        <v>53.4</v>
      </c>
    </row>
    <row r="161" spans="1:23">
      <c r="A161" s="1">
        <v>1983</v>
      </c>
      <c r="B161" s="8">
        <f>(K55*($E55/365))+(K56*($E56/365))</f>
        <v>100</v>
      </c>
      <c r="C161" s="8">
        <f>(L55*($E55/365))+(L56*($E56/365))</f>
        <v>0</v>
      </c>
      <c r="D161" s="8">
        <f>(M55*($E55/365))+(M56*($E56/365))</f>
        <v>0</v>
      </c>
      <c r="E161" s="50">
        <f t="shared" si="33"/>
        <v>100</v>
      </c>
      <c r="G161" s="1">
        <v>1983</v>
      </c>
      <c r="H161" s="918">
        <f>(O55/$R55*100*($E55/365))+(O56/$R56*100*($E56/365))</f>
        <v>100</v>
      </c>
      <c r="I161" s="918"/>
      <c r="J161" s="918">
        <f>(P55/$R55*100*($E55/365))+(P56/$R56*100*($E56/365))</f>
        <v>0</v>
      </c>
      <c r="K161" s="918"/>
      <c r="L161" s="918">
        <f>(Q55/$R55*100*($E55/365))+(Q56/$R56*100*($E56/365))</f>
        <v>0</v>
      </c>
      <c r="M161" s="918"/>
      <c r="N161" s="887">
        <f t="shared" si="32"/>
        <v>100</v>
      </c>
      <c r="O161" s="887"/>
      <c r="R161" s="1">
        <v>1983</v>
      </c>
      <c r="S161" s="8">
        <f>(O55*($E55/365))+(O56*($E56/365))</f>
        <v>57.682465753424665</v>
      </c>
      <c r="T161" s="8">
        <f>(P55*($E55/365))+(P56*($E56/365))</f>
        <v>0</v>
      </c>
      <c r="U161" s="8">
        <f>(Q55*($E55/365))+(Q56*($E56/365))</f>
        <v>0</v>
      </c>
      <c r="V161" s="7"/>
      <c r="W161" s="7">
        <f t="shared" si="34"/>
        <v>57.682465753424665</v>
      </c>
    </row>
    <row r="162" spans="1:23">
      <c r="A162" s="1">
        <v>1984</v>
      </c>
      <c r="B162" s="8">
        <f>(K57*($E57/366))+(K58*($E58/366))</f>
        <v>100</v>
      </c>
      <c r="C162" s="8">
        <f>(L57*($E57/366))+(L58*($E58/366))</f>
        <v>0</v>
      </c>
      <c r="D162" s="8">
        <f>(M57*($E57/366))+(M58*($E58/366))</f>
        <v>0</v>
      </c>
      <c r="E162" s="50">
        <f t="shared" si="33"/>
        <v>100</v>
      </c>
      <c r="G162" s="1">
        <v>1984</v>
      </c>
      <c r="H162" s="918">
        <f>(O57/$R57*100*($E57/366))+(O58/$R58*100*($E58/366))</f>
        <v>100</v>
      </c>
      <c r="I162" s="918"/>
      <c r="J162" s="918">
        <f>(P57/$R57*100*($E57/366))+(P58/$R58*100*($E58/366))</f>
        <v>0</v>
      </c>
      <c r="K162" s="918"/>
      <c r="L162" s="918">
        <f>(Q57/$R57*100*($E57/366))+(Q58/$R58*100*($E58/366))</f>
        <v>0</v>
      </c>
      <c r="M162" s="918"/>
      <c r="N162" s="887">
        <f t="shared" si="32"/>
        <v>100</v>
      </c>
      <c r="O162" s="887"/>
      <c r="R162" s="1">
        <v>1984</v>
      </c>
      <c r="S162" s="8">
        <f>(O57*($E57/366))+(O58*($E58/366))</f>
        <v>61.1</v>
      </c>
      <c r="T162" s="8">
        <f>(P57*($E57/366))+(P58*($E58/366))</f>
        <v>0</v>
      </c>
      <c r="U162" s="8">
        <f>(Q57*($E57/366))+(Q58*($E58/366))</f>
        <v>0</v>
      </c>
      <c r="V162" s="7"/>
      <c r="W162" s="7">
        <f t="shared" si="34"/>
        <v>61.1</v>
      </c>
    </row>
    <row r="163" spans="1:23">
      <c r="A163" s="1">
        <v>1985</v>
      </c>
      <c r="B163" s="8">
        <f>(K59*($E59/365))+(K60*($E60/365))</f>
        <v>100</v>
      </c>
      <c r="C163" s="8">
        <f>(L59*($E59/365))+(L60*($E60/365))</f>
        <v>0</v>
      </c>
      <c r="D163" s="8">
        <f>(M59*($E59/365))+(M60*($E60/365))</f>
        <v>0</v>
      </c>
      <c r="E163" s="50">
        <f t="shared" si="33"/>
        <v>100</v>
      </c>
      <c r="G163" s="1">
        <v>1985</v>
      </c>
      <c r="H163" s="918">
        <f>(O59/$R59*100*($E59/365))+(O60/$R60*100*($E60/365))</f>
        <v>100</v>
      </c>
      <c r="I163" s="918"/>
      <c r="J163" s="918">
        <f>(P59/$R59*100*($E59/365))+(P60/$R60*100*($E60/365))</f>
        <v>0</v>
      </c>
      <c r="K163" s="918"/>
      <c r="L163" s="918">
        <f>(Q59/$R59*100*($E59/365))+(Q60/$R60*100*($E60/365))</f>
        <v>0</v>
      </c>
      <c r="M163" s="918"/>
      <c r="N163" s="887">
        <f t="shared" si="32"/>
        <v>100</v>
      </c>
      <c r="O163" s="887"/>
      <c r="R163" s="1">
        <v>1985</v>
      </c>
      <c r="S163" s="8">
        <f>(O59*($E59/365))+(O60*($E60/365))</f>
        <v>61.1</v>
      </c>
      <c r="T163" s="8">
        <f>(P59*($E59/365))+(P60*($E60/365))</f>
        <v>0</v>
      </c>
      <c r="U163" s="8">
        <f>(Q59*($E59/365))+(Q60*($E60/365))</f>
        <v>0</v>
      </c>
      <c r="V163" s="7"/>
      <c r="W163" s="7">
        <f t="shared" si="34"/>
        <v>61.1</v>
      </c>
    </row>
    <row r="164" spans="1:23">
      <c r="A164" s="1">
        <v>1986</v>
      </c>
      <c r="B164" s="8">
        <f>(K61*($E61/365))+(K62*($E62/365))</f>
        <v>100</v>
      </c>
      <c r="C164" s="8">
        <f>(L61*($E61/365))+(L62*($E62/365))</f>
        <v>0</v>
      </c>
      <c r="D164" s="8">
        <f>(M61*($E61/365))+(M62*($E62/365))</f>
        <v>0</v>
      </c>
      <c r="E164" s="50">
        <f t="shared" si="33"/>
        <v>100</v>
      </c>
      <c r="G164" s="1">
        <v>1986</v>
      </c>
      <c r="H164" s="918">
        <f>(O61/$R61*100*($E61/365))+(O62/$R62*100*($E62/365))</f>
        <v>100</v>
      </c>
      <c r="I164" s="918"/>
      <c r="J164" s="918">
        <f>(P61/$R61*100*($E61/365))+(P62/$R62*100*($E62/365))</f>
        <v>0</v>
      </c>
      <c r="K164" s="918"/>
      <c r="L164" s="918">
        <f>(Q61/$R61*100*($E61/365))+(Q62/$R62*100*($E62/365))</f>
        <v>0</v>
      </c>
      <c r="M164" s="918"/>
      <c r="N164" s="887">
        <f t="shared" si="32"/>
        <v>100</v>
      </c>
      <c r="O164" s="887"/>
      <c r="R164" s="1">
        <v>1986</v>
      </c>
      <c r="S164" s="8">
        <f>(O61*($E61/365))+(O62*($E62/365))</f>
        <v>61.1</v>
      </c>
      <c r="T164" s="8">
        <f>(P61*($E61/365))+(P62*($E62/365))</f>
        <v>0</v>
      </c>
      <c r="U164" s="8">
        <f>(Q61*($E61/365))+(Q62*($E62/365))</f>
        <v>0</v>
      </c>
      <c r="V164" s="7"/>
      <c r="W164" s="7">
        <f t="shared" si="34"/>
        <v>61.1</v>
      </c>
    </row>
    <row r="165" spans="1:23">
      <c r="A165" s="1">
        <v>1987</v>
      </c>
      <c r="B165" s="8">
        <f>(K63*($E63/365))+(K64*($E64/365))</f>
        <v>100</v>
      </c>
      <c r="C165" s="8">
        <f>(L63*($E63/365))+(L64*($E64/365))</f>
        <v>0</v>
      </c>
      <c r="D165" s="8">
        <f>(M63*($E63/365))+(M64*($E64/365))</f>
        <v>0</v>
      </c>
      <c r="E165" s="50">
        <f t="shared" si="33"/>
        <v>100</v>
      </c>
      <c r="G165" s="1">
        <v>1987</v>
      </c>
      <c r="H165" s="918">
        <f>(O63/$R63*100*($E63/365))+(O64/$R64*100*($E64/365))</f>
        <v>100</v>
      </c>
      <c r="I165" s="918"/>
      <c r="J165" s="918">
        <f>(P63/$R63*100*($E63/365))+(P64/$R64*100*($E64/365))</f>
        <v>0</v>
      </c>
      <c r="K165" s="918"/>
      <c r="L165" s="918">
        <f>(Q63/$R63*100*($E63/365))+(Q64/$R64*100*($E64/365))</f>
        <v>0</v>
      </c>
      <c r="M165" s="918"/>
      <c r="N165" s="887">
        <f t="shared" si="32"/>
        <v>100</v>
      </c>
      <c r="O165" s="887"/>
      <c r="R165" s="1">
        <v>1987</v>
      </c>
      <c r="S165" s="8">
        <f>(O63*($E63/365))+(O64*($E64/365))</f>
        <v>59.273698630136984</v>
      </c>
      <c r="T165" s="8">
        <f>(P63*($E63/365))+(P64*($E64/365))</f>
        <v>0</v>
      </c>
      <c r="U165" s="8">
        <f>(Q63*($E63/365))+(Q64*($E64/365))</f>
        <v>0</v>
      </c>
      <c r="V165" s="7"/>
      <c r="W165" s="7">
        <f t="shared" si="34"/>
        <v>59.273698630136984</v>
      </c>
    </row>
    <row r="166" spans="1:23">
      <c r="A166" s="1">
        <v>1988</v>
      </c>
      <c r="B166" s="8">
        <f>(K65*($E65/366))+(K66*($E66/366))</f>
        <v>100</v>
      </c>
      <c r="C166" s="8">
        <f>(L65*($E65/366))+(L66*($E66/366))</f>
        <v>0</v>
      </c>
      <c r="D166" s="8">
        <f>(M65*($E65/366))+(M66*($E66/366))</f>
        <v>0</v>
      </c>
      <c r="E166" s="50">
        <f t="shared" si="33"/>
        <v>100</v>
      </c>
      <c r="G166" s="1">
        <v>1988</v>
      </c>
      <c r="H166" s="918">
        <f>(O65/$R65*100*($E65/366))+(O66/$R66*100*($E66/366))</f>
        <v>100</v>
      </c>
      <c r="I166" s="918"/>
      <c r="J166" s="918">
        <f>(P65/$R65*100*($E65/366))+(P66/$R66*100*($E66/366))</f>
        <v>0</v>
      </c>
      <c r="K166" s="918"/>
      <c r="L166" s="918">
        <f>(Q65/$R65*100*($E65/366))+(Q66/$R66*100*($E66/366))</f>
        <v>0</v>
      </c>
      <c r="M166" s="918"/>
      <c r="N166" s="887">
        <f t="shared" si="32"/>
        <v>100</v>
      </c>
      <c r="O166" s="887"/>
      <c r="R166" s="1">
        <v>1988</v>
      </c>
      <c r="S166" s="8">
        <f>(O65*($E65/366))+(O66*($E66/366))</f>
        <v>57.8</v>
      </c>
      <c r="T166" s="8">
        <f>(P65*($E65/366))+(P66*($E66/366))</f>
        <v>0</v>
      </c>
      <c r="U166" s="8">
        <f>(Q65*($E65/366))+(Q66*($E66/366))</f>
        <v>0</v>
      </c>
      <c r="V166" s="7"/>
      <c r="W166" s="7">
        <f t="shared" si="34"/>
        <v>57.8</v>
      </c>
    </row>
    <row r="167" spans="1:23">
      <c r="A167" s="1">
        <v>1989</v>
      </c>
      <c r="B167" s="8">
        <f>(K67*($E67/365))+(K68*($E68/365))</f>
        <v>100</v>
      </c>
      <c r="C167" s="8">
        <f>(L67*($E67/365))+(L68*($E68/365))</f>
        <v>0</v>
      </c>
      <c r="D167" s="8">
        <f>(M67*($E67/365))+(M68*($E68/365))</f>
        <v>0</v>
      </c>
      <c r="E167" s="50">
        <f t="shared" si="33"/>
        <v>100</v>
      </c>
      <c r="G167" s="1">
        <v>1989</v>
      </c>
      <c r="H167" s="918">
        <f>(O67/$R67*100*($E67/365))+(O68/$R68*100*($E68/365))</f>
        <v>100</v>
      </c>
      <c r="I167" s="918"/>
      <c r="J167" s="918">
        <f>(P67/$R67*100*($E67/365))+(P68/$R68*100*($E68/365))</f>
        <v>0</v>
      </c>
      <c r="K167" s="918"/>
      <c r="L167" s="918">
        <f>(Q67/$R67*100*($E67/365))+(Q68/$R68*100*($E68/365))</f>
        <v>0</v>
      </c>
      <c r="M167" s="918"/>
      <c r="N167" s="887">
        <f t="shared" si="32"/>
        <v>100</v>
      </c>
      <c r="O167" s="887"/>
      <c r="R167" s="1">
        <v>1989</v>
      </c>
      <c r="S167" s="8">
        <f>(O67*($E67/365))+(O68*($E68/365))</f>
        <v>57.8</v>
      </c>
      <c r="T167" s="8">
        <f>(P67*($E67/365))+(P68*($E68/365))</f>
        <v>0</v>
      </c>
      <c r="U167" s="8">
        <f>(Q67*($E67/365))+(Q68*($E68/365))</f>
        <v>0</v>
      </c>
      <c r="V167" s="7"/>
      <c r="W167" s="7">
        <f t="shared" si="34"/>
        <v>57.8</v>
      </c>
    </row>
    <row r="168" spans="1:23">
      <c r="A168" s="1">
        <v>1990</v>
      </c>
      <c r="B168" s="8">
        <f>(K69*($E69/365))+(K70*($E70/365))</f>
        <v>100</v>
      </c>
      <c r="C168" s="8">
        <f>(L69*($E69/365))+(L70*($E70/365))</f>
        <v>0</v>
      </c>
      <c r="D168" s="8">
        <f>(M69*($E69/365))+(M70*($E70/365))</f>
        <v>0</v>
      </c>
      <c r="E168" s="50">
        <f t="shared" si="33"/>
        <v>100</v>
      </c>
      <c r="G168" s="1">
        <v>1990</v>
      </c>
      <c r="H168" s="918">
        <f>(O69/$R69*100*($E69/365))+(O70/$R70*100*($E70/365))</f>
        <v>100</v>
      </c>
      <c r="I168" s="918"/>
      <c r="J168" s="918">
        <f>(P69/$R69*100*($E69/365))+(P70/$R70*100*($E70/365))</f>
        <v>0</v>
      </c>
      <c r="K168" s="918"/>
      <c r="L168" s="918">
        <f>(Q69/$R69*100*($E69/365))+(Q70/$R70*100*($E70/365))</f>
        <v>0</v>
      </c>
      <c r="M168" s="918"/>
      <c r="N168" s="887">
        <f t="shared" si="32"/>
        <v>100</v>
      </c>
      <c r="O168" s="887"/>
      <c r="R168" s="1">
        <v>1990</v>
      </c>
      <c r="S168" s="8">
        <f>(O69*($E69/365))+(O70*($E70/365))</f>
        <v>57.8</v>
      </c>
      <c r="T168" s="8">
        <f>(P69*($E69/365))+(P70*($E70/365))</f>
        <v>0</v>
      </c>
      <c r="U168" s="8">
        <f>(Q69*($E69/365))+(Q70*($E70/365))</f>
        <v>0</v>
      </c>
      <c r="V168" s="7"/>
      <c r="W168" s="7">
        <f t="shared" si="34"/>
        <v>57.8</v>
      </c>
    </row>
    <row r="169" spans="1:23">
      <c r="A169" s="1">
        <v>1991</v>
      </c>
      <c r="B169" s="8">
        <f>(K71*($E71/365))+(K72*($E72/365))</f>
        <v>100</v>
      </c>
      <c r="C169" s="8">
        <f>(L71*($E71/365))+(L72*($E72/365))</f>
        <v>0</v>
      </c>
      <c r="D169" s="8">
        <f>(M71*($E71/365))+(M72*($E72/365))</f>
        <v>0</v>
      </c>
      <c r="E169" s="50">
        <f t="shared" si="33"/>
        <v>100</v>
      </c>
      <c r="G169" s="1">
        <v>1991</v>
      </c>
      <c r="H169" s="918">
        <f>(O71/$R71*100*($E71/365))+(O72/$R72*100*($E72/365))</f>
        <v>100</v>
      </c>
      <c r="I169" s="918"/>
      <c r="J169" s="918">
        <f>(P71/$R71*100*($E71/365))+(P72/$R72*100*($E72/365))</f>
        <v>0</v>
      </c>
      <c r="K169" s="918"/>
      <c r="L169" s="918">
        <f>(Q71/$R71*100*($E71/365))+(Q72/$R72*100*($E72/365))</f>
        <v>0</v>
      </c>
      <c r="M169" s="918"/>
      <c r="N169" s="887">
        <f t="shared" si="32"/>
        <v>100</v>
      </c>
      <c r="O169" s="887"/>
      <c r="R169" s="1">
        <v>1991</v>
      </c>
      <c r="S169" s="8">
        <f>(O71*($E71/365))+(O72*($E72/365))</f>
        <v>57.8</v>
      </c>
      <c r="T169" s="8">
        <f>(P71*($E71/365))+(P72*($E72/365))</f>
        <v>0</v>
      </c>
      <c r="U169" s="8">
        <f>(Q71*($E71/365))+(Q72*($E72/365))</f>
        <v>0</v>
      </c>
      <c r="V169" s="7"/>
      <c r="W169" s="7">
        <f t="shared" si="34"/>
        <v>57.8</v>
      </c>
    </row>
    <row r="170" spans="1:23">
      <c r="A170" s="1">
        <v>1992</v>
      </c>
      <c r="B170" s="8">
        <f>(K73*($E73/366))+(K74*($E74/366))</f>
        <v>100</v>
      </c>
      <c r="C170" s="8">
        <f>(L73*($E73/366))+(L74*($E74/366))</f>
        <v>0</v>
      </c>
      <c r="D170" s="8">
        <f>(M73*($E73/366))+(M74*($E74/366))</f>
        <v>0</v>
      </c>
      <c r="E170" s="50">
        <f t="shared" si="33"/>
        <v>100</v>
      </c>
      <c r="G170" s="1">
        <v>1992</v>
      </c>
      <c r="H170" s="918">
        <f>(O73/$R73*100*($E73/366))+(O74/$R74*100*($E74/366))</f>
        <v>100</v>
      </c>
      <c r="I170" s="918"/>
      <c r="J170" s="918">
        <f>(P73/$R73*100*($E73/366))+(P74/$R74*100*($E74/366))</f>
        <v>0</v>
      </c>
      <c r="K170" s="918"/>
      <c r="L170" s="918">
        <f>(Q73/$R73*100*($E73/366))+(Q74/$R74*100*($E74/366))</f>
        <v>0</v>
      </c>
      <c r="M170" s="918"/>
      <c r="N170" s="887">
        <f t="shared" ref="N170:N190" si="35">H170+J170+L170</f>
        <v>100</v>
      </c>
      <c r="O170" s="887"/>
      <c r="R170" s="1">
        <v>1992</v>
      </c>
      <c r="S170" s="8">
        <f>(O73*($E73/366))+(O74*($E74/366))</f>
        <v>53.31092896174863</v>
      </c>
      <c r="T170" s="8">
        <f>(P73*($E73/366))+(P74*($E74/366))</f>
        <v>0</v>
      </c>
      <c r="U170" s="8">
        <f>(Q73*($E73/366))+(Q74*($E74/366))</f>
        <v>0</v>
      </c>
      <c r="V170" s="7"/>
      <c r="W170" s="7">
        <f t="shared" si="34"/>
        <v>53.31092896174863</v>
      </c>
    </row>
    <row r="171" spans="1:23">
      <c r="A171" s="1">
        <v>1993</v>
      </c>
      <c r="B171" s="8">
        <f>(K75*($E75/365))+(K76*($E76/365))</f>
        <v>100</v>
      </c>
      <c r="C171" s="8">
        <f>(L75*($E75/365))+(L76*($E76/365))</f>
        <v>0</v>
      </c>
      <c r="D171" s="8">
        <f>(M75*($E75/365))+(M76*($E76/365))</f>
        <v>0</v>
      </c>
      <c r="E171" s="50">
        <f t="shared" si="33"/>
        <v>100</v>
      </c>
      <c r="G171" s="1">
        <v>1993</v>
      </c>
      <c r="H171" s="918">
        <f>(O75/$R75*100*($E75/365))+(O76/$R76*100*($E76/365))</f>
        <v>100</v>
      </c>
      <c r="I171" s="918"/>
      <c r="J171" s="918">
        <f>(P75/$R75*100*($E75/365))+(P76/$R76*100*($E76/365))</f>
        <v>0</v>
      </c>
      <c r="K171" s="918"/>
      <c r="L171" s="918">
        <f>(Q75/$R75*100*($E75/365))+(Q76/$R76*100*($E76/365))</f>
        <v>0</v>
      </c>
      <c r="M171" s="918"/>
      <c r="N171" s="887">
        <f t="shared" si="35"/>
        <v>100</v>
      </c>
      <c r="O171" s="887"/>
      <c r="R171" s="1">
        <v>1993</v>
      </c>
      <c r="S171" s="8">
        <f>(O75*($E75/365))+(O76*($E76/365))</f>
        <v>51.6</v>
      </c>
      <c r="T171" s="8">
        <f>(P75*($E75/365))+(P76*($E76/365))</f>
        <v>0</v>
      </c>
      <c r="U171" s="8">
        <f>(Q75*($E75/365))+(Q76*($E76/365))</f>
        <v>0</v>
      </c>
      <c r="V171" s="7"/>
      <c r="W171" s="7">
        <f t="shared" si="34"/>
        <v>51.6</v>
      </c>
    </row>
    <row r="172" spans="1:23">
      <c r="A172" s="1">
        <v>1994</v>
      </c>
      <c r="B172" s="8">
        <f>(K77*($E77/365))+(K78*($E78/365))</f>
        <v>100</v>
      </c>
      <c r="C172" s="8">
        <f>(L77*($E77/365))+(L78*($E78/365))</f>
        <v>0</v>
      </c>
      <c r="D172" s="8">
        <f>(M77*($E77/365))+(M78*($E78/365))</f>
        <v>0</v>
      </c>
      <c r="E172" s="50">
        <f t="shared" si="33"/>
        <v>100</v>
      </c>
      <c r="G172" s="1">
        <v>1994</v>
      </c>
      <c r="H172" s="918">
        <f>(O77/$R77*100*($E77/365))+(O78/$R78*100*($E78/365))</f>
        <v>100</v>
      </c>
      <c r="I172" s="918"/>
      <c r="J172" s="918">
        <f>(P77/$R77*100*($E77/365))+(P78/$R78*100*($E78/365))</f>
        <v>0</v>
      </c>
      <c r="K172" s="918"/>
      <c r="L172" s="918">
        <f>(Q77/$R77*100*($E77/365))+(Q78/$R78*100*($E78/365))</f>
        <v>0</v>
      </c>
      <c r="M172" s="918"/>
      <c r="N172" s="887">
        <f t="shared" si="35"/>
        <v>100</v>
      </c>
      <c r="O172" s="887"/>
      <c r="R172" s="1">
        <v>1994</v>
      </c>
      <c r="S172" s="8">
        <f>(O77*($E77/365))+(O78*($E78/365))</f>
        <v>51.6</v>
      </c>
      <c r="T172" s="8">
        <f>(P77*($E77/365))+(P78*($E78/365))</f>
        <v>0</v>
      </c>
      <c r="U172" s="8">
        <f>(Q77*($E77/365))+(Q78*($E78/365))</f>
        <v>0</v>
      </c>
      <c r="V172" s="7"/>
      <c r="W172" s="7">
        <f t="shared" si="34"/>
        <v>51.6</v>
      </c>
    </row>
    <row r="173" spans="1:23">
      <c r="A173" s="1">
        <v>1995</v>
      </c>
      <c r="B173" s="8">
        <f>(K79*($E79/365))+(K80*($E80/365))</f>
        <v>100</v>
      </c>
      <c r="C173" s="8">
        <f>(L79*($E79/365))+(L80*($E80/365))</f>
        <v>0</v>
      </c>
      <c r="D173" s="8">
        <f>(M79*($E79/365))+(M80*($E80/365))</f>
        <v>0</v>
      </c>
      <c r="E173" s="50">
        <f t="shared" si="33"/>
        <v>100</v>
      </c>
      <c r="G173" s="1">
        <v>1995</v>
      </c>
      <c r="H173" s="918">
        <f>(O79/$R79*100*($E79/365))+(O80/$R80*100*($E80/365))</f>
        <v>100</v>
      </c>
      <c r="I173" s="918"/>
      <c r="J173" s="918">
        <f>(P79/$R79*100*($E79/365))+(P80/$R80*100*($E80/365))</f>
        <v>0</v>
      </c>
      <c r="K173" s="918"/>
      <c r="L173" s="918">
        <f>(Q79/$R79*100*($E79/365))+(Q80/$R80*100*($E80/365))</f>
        <v>0</v>
      </c>
      <c r="M173" s="918"/>
      <c r="N173" s="887">
        <f t="shared" si="35"/>
        <v>100</v>
      </c>
      <c r="O173" s="887"/>
      <c r="R173" s="1">
        <v>1995</v>
      </c>
      <c r="S173" s="8">
        <f>(O79*($E79/365))+(O80*($E80/365))</f>
        <v>51.6</v>
      </c>
      <c r="T173" s="8">
        <f>(P79*($E79/365))+(P80*($E80/365))</f>
        <v>0</v>
      </c>
      <c r="U173" s="8">
        <f>(Q79*($E79/365))+(Q80*($E80/365))</f>
        <v>0</v>
      </c>
      <c r="V173" s="7"/>
      <c r="W173" s="7">
        <f t="shared" si="34"/>
        <v>51.6</v>
      </c>
    </row>
    <row r="174" spans="1:23">
      <c r="A174" s="1">
        <v>1996</v>
      </c>
      <c r="B174" s="8">
        <f>(K81*($E81/366))+(K82*($E82/366))</f>
        <v>100</v>
      </c>
      <c r="C174" s="8">
        <f>(L81*($E81/366))+(L82*($E82/366))</f>
        <v>0</v>
      </c>
      <c r="D174" s="8">
        <f>(M81*($E81/366))+(M82*($E82/366))</f>
        <v>0</v>
      </c>
      <c r="E174" s="50">
        <f t="shared" si="33"/>
        <v>100</v>
      </c>
      <c r="G174" s="1">
        <v>1996</v>
      </c>
      <c r="H174" s="918">
        <f>(O81/$R81*100*($E81/366))+(O82/$R82*100*($E82/366))</f>
        <v>100</v>
      </c>
      <c r="I174" s="918"/>
      <c r="J174" s="918">
        <f>(P81/$R81*100*($E81/366))+(P82/$R82*100*($E82/366))</f>
        <v>0</v>
      </c>
      <c r="K174" s="918"/>
      <c r="L174" s="918">
        <f>(Q81/$R81*100*($E81/366))+(Q82/$R82*100*($E82/366))</f>
        <v>0</v>
      </c>
      <c r="M174" s="918"/>
      <c r="N174" s="887">
        <f t="shared" si="35"/>
        <v>100</v>
      </c>
      <c r="O174" s="887"/>
      <c r="R174" s="1">
        <v>1996</v>
      </c>
      <c r="S174" s="8">
        <f>(O81*($E81/366))+(O82*($E82/366))</f>
        <v>51.6</v>
      </c>
      <c r="T174" s="8">
        <f>(P81*($E81/366))+(P82*($E82/366))</f>
        <v>0</v>
      </c>
      <c r="U174" s="8">
        <f>(Q81*($E81/366))+(Q82*($E82/366))</f>
        <v>0</v>
      </c>
      <c r="V174" s="7"/>
      <c r="W174" s="7">
        <f t="shared" si="34"/>
        <v>51.6</v>
      </c>
    </row>
    <row r="175" spans="1:23">
      <c r="A175" s="1">
        <v>1997</v>
      </c>
      <c r="B175" s="8">
        <f>(K83*($E83/365))+(K84*($E84/365))</f>
        <v>33.150684931506852</v>
      </c>
      <c r="C175" s="8">
        <f>(L83*($E83/365))+(L84*($E84/365))</f>
        <v>0</v>
      </c>
      <c r="D175" s="8">
        <f>(M83*($E83/365))+(M84*($E84/365))</f>
        <v>66.849315068493155</v>
      </c>
      <c r="E175" s="50">
        <f t="shared" si="33"/>
        <v>100</v>
      </c>
      <c r="G175" s="1">
        <v>1997</v>
      </c>
      <c r="H175" s="918">
        <f>(O83/$R83*100*($E83/365))+(O84/$R84*100*($E84/365))</f>
        <v>33.150684931506852</v>
      </c>
      <c r="I175" s="918"/>
      <c r="J175" s="918">
        <f>(P83/$R83*100*($E83/365))+(P84/$R84*100*($E84/365))</f>
        <v>0</v>
      </c>
      <c r="K175" s="918"/>
      <c r="L175" s="918">
        <f>(Q83/$R83*100*($E83/365))+(Q84/$R84*100*($E84/365))</f>
        <v>66.849315068493155</v>
      </c>
      <c r="M175" s="918"/>
      <c r="N175" s="887">
        <f t="shared" si="35"/>
        <v>100</v>
      </c>
      <c r="O175" s="887"/>
      <c r="R175" s="1">
        <v>1997</v>
      </c>
      <c r="S175" s="8">
        <f>(O83*($E83/365))+(O84*($E84/365))</f>
        <v>17.105753424657536</v>
      </c>
      <c r="T175" s="8">
        <f>(P83*($E83/365))+(P84*($E84/365))</f>
        <v>0</v>
      </c>
      <c r="U175" s="8">
        <f>(Q83*($E83/365))+(Q84*($E84/365))</f>
        <v>42.516164383561645</v>
      </c>
      <c r="V175" s="7"/>
      <c r="W175" s="7">
        <f t="shared" si="34"/>
        <v>59.62191780821918</v>
      </c>
    </row>
    <row r="176" spans="1:23">
      <c r="A176" s="1">
        <v>1998</v>
      </c>
      <c r="B176" s="8">
        <f>(K85*($E85/365))+(K86*($E86/365))</f>
        <v>0</v>
      </c>
      <c r="C176" s="8">
        <f>(L85*($E85/365))+(L86*($E86/365))</f>
        <v>0</v>
      </c>
      <c r="D176" s="8">
        <f>(M85*($E85/365))+(M86*($E86/365))</f>
        <v>100</v>
      </c>
      <c r="E176" s="50">
        <f t="shared" si="33"/>
        <v>100</v>
      </c>
      <c r="G176" s="1">
        <v>1998</v>
      </c>
      <c r="H176" s="918">
        <f>(O85/$R85*100*($E85/365))+(O86/$R86*100*($E86/365))</f>
        <v>0</v>
      </c>
      <c r="I176" s="918"/>
      <c r="J176" s="918">
        <f>(P85/$R85*100*($E85/365))+(P86/$R86*100*($E86/365))</f>
        <v>0</v>
      </c>
      <c r="K176" s="918"/>
      <c r="L176" s="918">
        <f>(Q85/$R85*100*($E85/365))+(Q86/$R86*100*($E86/365))</f>
        <v>100</v>
      </c>
      <c r="M176" s="918"/>
      <c r="N176" s="887">
        <f t="shared" si="35"/>
        <v>100</v>
      </c>
      <c r="O176" s="887"/>
      <c r="R176" s="1">
        <v>1998</v>
      </c>
      <c r="S176" s="8">
        <f>(O85*($E85/365))+(O86*($E86/365))</f>
        <v>0</v>
      </c>
      <c r="T176" s="8">
        <f>(P85*($E85/365))+(P86*($E86/365))</f>
        <v>0</v>
      </c>
      <c r="U176" s="8">
        <f>(Q85*($E85/365))+(Q86*($E86/365))</f>
        <v>63.6</v>
      </c>
      <c r="V176" s="7"/>
      <c r="W176" s="7">
        <f t="shared" si="34"/>
        <v>63.6</v>
      </c>
    </row>
    <row r="177" spans="1:23">
      <c r="A177" s="1">
        <v>1999</v>
      </c>
      <c r="B177" s="8">
        <f>(K87*($E87/365))+(K88*($E88/365))</f>
        <v>0</v>
      </c>
      <c r="C177" s="8">
        <f>(L87*($E87/365))+(L88*($E88/365))</f>
        <v>0</v>
      </c>
      <c r="D177" s="8">
        <f>(M87*($E87/365))+(M88*($E88/365))</f>
        <v>100</v>
      </c>
      <c r="E177" s="50">
        <f t="shared" si="33"/>
        <v>100</v>
      </c>
      <c r="G177" s="1">
        <v>1999</v>
      </c>
      <c r="H177" s="918">
        <f>(O87/$R87*100*($E87/365))+(O88/$R88*100*($E88/365))</f>
        <v>0</v>
      </c>
      <c r="I177" s="918"/>
      <c r="J177" s="918">
        <f>(P87/$R87*100*($E87/365))+(P88/$R88*100*($E88/365))</f>
        <v>0</v>
      </c>
      <c r="K177" s="918"/>
      <c r="L177" s="918">
        <f>(Q87/$R87*100*($E87/365))+(Q88/$R88*100*($E88/365))</f>
        <v>100</v>
      </c>
      <c r="M177" s="918"/>
      <c r="N177" s="887">
        <f t="shared" si="35"/>
        <v>100</v>
      </c>
      <c r="O177" s="887"/>
      <c r="R177" s="1">
        <v>1999</v>
      </c>
      <c r="S177" s="8">
        <f>(O87*($E87/365))+(O88*($E88/365))</f>
        <v>0</v>
      </c>
      <c r="T177" s="8">
        <f>(P87*($E87/365))+(P88*($E88/365))</f>
        <v>0</v>
      </c>
      <c r="U177" s="8">
        <f>(Q87*($E87/365))+(Q88*($E88/365))</f>
        <v>63.6</v>
      </c>
      <c r="V177" s="7"/>
      <c r="W177" s="7">
        <f t="shared" si="34"/>
        <v>63.6</v>
      </c>
    </row>
    <row r="178" spans="1:23">
      <c r="A178" s="1">
        <v>2000</v>
      </c>
      <c r="B178" s="8">
        <f>(K89*($E89/366))+(K90*($E90/366))</f>
        <v>0</v>
      </c>
      <c r="C178" s="8">
        <f>(L89*($E89/366))+(L90*($E90/366))</f>
        <v>0</v>
      </c>
      <c r="D178" s="8">
        <f>(M89*($E89/366))+(M90*($E90/366))</f>
        <v>100</v>
      </c>
      <c r="E178" s="50">
        <f t="shared" si="33"/>
        <v>100</v>
      </c>
      <c r="G178" s="1">
        <v>2000</v>
      </c>
      <c r="H178" s="918">
        <f>(O89/$R89*100*($E89/366))+(O90/$R90*100*($E90/366))</f>
        <v>0</v>
      </c>
      <c r="I178" s="918"/>
      <c r="J178" s="918">
        <f>(P89/$R89*100*($E89/366))+(P90/$R90*100*($E90/366))</f>
        <v>0</v>
      </c>
      <c r="K178" s="918"/>
      <c r="L178" s="918">
        <f>(Q89/$R89*100*($E89/366))+(Q90/$R90*100*($E90/366))</f>
        <v>100</v>
      </c>
      <c r="M178" s="918"/>
      <c r="N178" s="887">
        <f t="shared" si="35"/>
        <v>100</v>
      </c>
      <c r="O178" s="887"/>
      <c r="R178" s="1">
        <v>2000</v>
      </c>
      <c r="S178" s="8">
        <f>(O89*($E89/366))+(O90*($E90/366))</f>
        <v>0</v>
      </c>
      <c r="T178" s="8">
        <f>(P89*($E89/366))+(P90*($E90/366))</f>
        <v>0</v>
      </c>
      <c r="U178" s="8">
        <f>(Q89*($E89/366))+(Q90*($E90/366))</f>
        <v>63.6</v>
      </c>
      <c r="V178" s="7"/>
      <c r="W178" s="7">
        <f t="shared" si="34"/>
        <v>63.6</v>
      </c>
    </row>
    <row r="179" spans="1:23">
      <c r="A179" s="1">
        <v>2001</v>
      </c>
      <c r="B179" s="8">
        <f>(K91*($E91/365))+(K92*($E92/365))</f>
        <v>0</v>
      </c>
      <c r="C179" s="8">
        <f>(L91*($E91/365))+(L92*($E92/365))</f>
        <v>0</v>
      </c>
      <c r="D179" s="8">
        <f>(M91*($E91/365))+(M92*($E92/365))</f>
        <v>100</v>
      </c>
      <c r="E179" s="50">
        <f t="shared" si="33"/>
        <v>100</v>
      </c>
      <c r="G179" s="1">
        <v>2001</v>
      </c>
      <c r="H179" s="918">
        <f>(O91/$R91*100*($E91/365))+(O92/$R92*100*($E92/365))</f>
        <v>0</v>
      </c>
      <c r="I179" s="918"/>
      <c r="J179" s="918">
        <f>(P91/$R91*100*($E91/365))+(P92/$R92*100*($E92/365))</f>
        <v>0</v>
      </c>
      <c r="K179" s="918"/>
      <c r="L179" s="918">
        <f>(Q91/$R91*100*($E91/365))+(Q92/$R92*100*($E92/365))</f>
        <v>100</v>
      </c>
      <c r="M179" s="918"/>
      <c r="N179" s="887">
        <f t="shared" si="35"/>
        <v>100</v>
      </c>
      <c r="O179" s="887"/>
      <c r="R179" s="1">
        <v>2001</v>
      </c>
      <c r="S179" s="8">
        <f>(O91*($E91/365))+(O92*($E92/365))</f>
        <v>0</v>
      </c>
      <c r="T179" s="8">
        <f>(P91*($E91/365))+(P92*($E92/365))</f>
        <v>0</v>
      </c>
      <c r="U179" s="8">
        <f>(Q91*($E91/365))+(Q92*($E92/365))</f>
        <v>62.976164383561645</v>
      </c>
      <c r="V179" s="7"/>
      <c r="W179" s="7">
        <f t="shared" si="34"/>
        <v>62.976164383561645</v>
      </c>
    </row>
    <row r="180" spans="1:23">
      <c r="A180" s="1">
        <v>2002</v>
      </c>
      <c r="B180" s="8">
        <f>(K93*($E93/365))+(K94*($E94/365))</f>
        <v>0</v>
      </c>
      <c r="C180" s="8">
        <f>(L93*($E93/365))+(L94*($E94/365))</f>
        <v>0</v>
      </c>
      <c r="D180" s="8">
        <f>(M93*($E93/365))+(M94*($E94/365))</f>
        <v>100</v>
      </c>
      <c r="E180" s="50">
        <f t="shared" si="33"/>
        <v>100</v>
      </c>
      <c r="G180" s="1">
        <v>2002</v>
      </c>
      <c r="H180" s="918">
        <f>(O93/$R93*100*($E93/365))+(O94/$R94*100*($E94/365))</f>
        <v>0</v>
      </c>
      <c r="I180" s="918"/>
      <c r="J180" s="918">
        <f>(P93/$R93*100*($E93/365))+(P94/$R94*100*($E94/365))</f>
        <v>0</v>
      </c>
      <c r="K180" s="918"/>
      <c r="L180" s="918">
        <f>(Q93/$R93*100*($E93/365))+(Q94/$R94*100*($E94/365))</f>
        <v>100</v>
      </c>
      <c r="M180" s="918"/>
      <c r="N180" s="887">
        <f t="shared" si="35"/>
        <v>100</v>
      </c>
      <c r="O180" s="887"/>
      <c r="R180" s="1">
        <v>2002</v>
      </c>
      <c r="S180" s="8">
        <f>(O93*($E93/365))+(O94*($E94/365))</f>
        <v>0</v>
      </c>
      <c r="T180" s="8">
        <f>(P93*($E93/365))+(P94*($E94/365))</f>
        <v>0</v>
      </c>
      <c r="U180" s="8">
        <f>(Q93*($E93/365))+(Q94*($E94/365))</f>
        <v>62.5</v>
      </c>
      <c r="V180" s="7"/>
      <c r="W180" s="7">
        <f t="shared" si="34"/>
        <v>62.5</v>
      </c>
    </row>
    <row r="181" spans="1:23">
      <c r="A181" s="1">
        <v>2003</v>
      </c>
      <c r="B181" s="8">
        <f>(K95*($E95/365))+(K96*($E96/365))</f>
        <v>0</v>
      </c>
      <c r="C181" s="8">
        <f>(L95*($E95/365))+(L96*($E96/365))</f>
        <v>0</v>
      </c>
      <c r="D181" s="8">
        <f>(M95*($E95/365))+(M96*($E96/365))</f>
        <v>100</v>
      </c>
      <c r="E181" s="50">
        <f t="shared" si="33"/>
        <v>100</v>
      </c>
      <c r="G181" s="1">
        <v>2003</v>
      </c>
      <c r="H181" s="918">
        <f>(O95/$R95*100*($E95/365))+(O96/$R96*100*($E96/365))</f>
        <v>0</v>
      </c>
      <c r="I181" s="918"/>
      <c r="J181" s="918">
        <f>(P95/$R95*100*($E95/365))+(P96/$R96*100*($E96/365))</f>
        <v>0</v>
      </c>
      <c r="K181" s="918"/>
      <c r="L181" s="918">
        <f>(Q95/$R95*100*($E95/365))+(Q96/$R96*100*($E96/365))</f>
        <v>100</v>
      </c>
      <c r="M181" s="918"/>
      <c r="N181" s="887">
        <f t="shared" si="35"/>
        <v>100</v>
      </c>
      <c r="O181" s="887"/>
      <c r="R181" s="1">
        <v>2003</v>
      </c>
      <c r="S181" s="8">
        <f>(O95*($E95/365))+(O96*($E96/365))</f>
        <v>0</v>
      </c>
      <c r="T181" s="8">
        <f>(P95*($E95/365))+(P96*($E96/365))</f>
        <v>0</v>
      </c>
      <c r="U181" s="8">
        <f>(Q95*($E95/365))+(Q96*($E96/365))</f>
        <v>62.5</v>
      </c>
      <c r="V181" s="7"/>
      <c r="W181" s="7">
        <f t="shared" si="34"/>
        <v>62.5</v>
      </c>
    </row>
    <row r="182" spans="1:23">
      <c r="A182" s="1">
        <v>2004</v>
      </c>
      <c r="B182" s="8">
        <f>(K97*($E97/366))+(K98*($E98/366))</f>
        <v>0</v>
      </c>
      <c r="C182" s="8">
        <f>(L97*($E97/366))+(L98*($E98/366))</f>
        <v>0</v>
      </c>
      <c r="D182" s="8">
        <f>(M97*($E97/366))+(M98*($E98/366))</f>
        <v>100</v>
      </c>
      <c r="E182" s="50">
        <f t="shared" si="33"/>
        <v>100</v>
      </c>
      <c r="G182" s="1">
        <v>2004</v>
      </c>
      <c r="H182" s="918">
        <f>(O97/$R97*100*($E97/366))+(O98/$R98*100*($E98/366))</f>
        <v>0</v>
      </c>
      <c r="I182" s="918"/>
      <c r="J182" s="918">
        <f>(P97/$R97*100*($E97/366))+(P98/$R98*100*($E98/366))</f>
        <v>0</v>
      </c>
      <c r="K182" s="918"/>
      <c r="L182" s="918">
        <f>(Q97/$R97*100*($E97/366))+(Q98/$R98*100*($E98/366))</f>
        <v>100</v>
      </c>
      <c r="M182" s="918"/>
      <c r="N182" s="887">
        <f t="shared" si="35"/>
        <v>100</v>
      </c>
      <c r="O182" s="887"/>
      <c r="R182" s="1">
        <v>2004</v>
      </c>
      <c r="S182" s="8">
        <f>(O97*($E97/366))+(O98*($E98/366))</f>
        <v>0</v>
      </c>
      <c r="T182" s="8">
        <f>(P97*($E97/366))+(P98*($E98/366))</f>
        <v>0</v>
      </c>
      <c r="U182" s="8">
        <f>(Q97*($E97/366))+(Q98*($E98/366))</f>
        <v>62.5</v>
      </c>
      <c r="V182" s="7"/>
      <c r="W182" s="7">
        <f t="shared" si="34"/>
        <v>62.5</v>
      </c>
    </row>
    <row r="183" spans="1:23">
      <c r="A183" s="1">
        <v>2005</v>
      </c>
      <c r="B183" s="8">
        <f>(K99*($E99/365))+(K100*($E100/365))</f>
        <v>0</v>
      </c>
      <c r="C183" s="8">
        <f>(L99*($E99/365))+(L100*($E100/365))</f>
        <v>0</v>
      </c>
      <c r="D183" s="8">
        <f>(M99*($E99/365))+(M100*($E100/365))</f>
        <v>100</v>
      </c>
      <c r="E183" s="50">
        <f t="shared" si="33"/>
        <v>100</v>
      </c>
      <c r="G183" s="1">
        <v>2005</v>
      </c>
      <c r="H183" s="918">
        <f>(O99/$R99*100*($E99/365))+(O100/$R100*100*($E100/365))</f>
        <v>0</v>
      </c>
      <c r="I183" s="918"/>
      <c r="J183" s="918">
        <f>(P99/$R99*100*($E99/365))+(P100/$R100*100*($E100/365))</f>
        <v>0</v>
      </c>
      <c r="K183" s="918"/>
      <c r="L183" s="918">
        <f>(Q99/$R99*100*($E99/365))+(Q100/$R100*100*($E100/365))</f>
        <v>100</v>
      </c>
      <c r="M183" s="918"/>
      <c r="N183" s="887">
        <f t="shared" si="35"/>
        <v>100</v>
      </c>
      <c r="O183" s="887"/>
      <c r="R183" s="1">
        <v>2005</v>
      </c>
      <c r="S183" s="8">
        <f>(O99*($E99/365))+(O100*($E100/365))</f>
        <v>0</v>
      </c>
      <c r="T183" s="8">
        <f>(P99*($E99/365))+(P100*($E100/365))</f>
        <v>0</v>
      </c>
      <c r="U183" s="8">
        <f>(Q99*($E99/365))+(Q100*($E100/365))</f>
        <v>57.56849315068493</v>
      </c>
      <c r="V183" s="7"/>
      <c r="W183" s="7">
        <f t="shared" si="34"/>
        <v>57.56849315068493</v>
      </c>
    </row>
    <row r="184" spans="1:23">
      <c r="A184" s="1">
        <v>2006</v>
      </c>
      <c r="B184" s="8">
        <f>(K101*($E101/365))+(K102*($E102/365))</f>
        <v>0</v>
      </c>
      <c r="C184" s="8">
        <f>(L101*($E101/365))+(L102*($E102/365))</f>
        <v>0</v>
      </c>
      <c r="D184" s="8">
        <f>(M101*($E101/365))+(M102*($E102/365))</f>
        <v>100</v>
      </c>
      <c r="E184" s="50">
        <f t="shared" si="33"/>
        <v>100</v>
      </c>
      <c r="G184" s="1">
        <v>2006</v>
      </c>
      <c r="H184" s="918">
        <f>(O101/$R101*100*($E101/365))+(O102/$R102*100*($E102/365))</f>
        <v>0</v>
      </c>
      <c r="I184" s="918"/>
      <c r="J184" s="918">
        <f>(P101/$R101*100*($E101/365))+(P102/$R102*100*($E102/365))</f>
        <v>0</v>
      </c>
      <c r="K184" s="918"/>
      <c r="L184" s="918">
        <f>(Q101/$R101*100*($E101/365))+(Q102/$R102*100*($E102/365))</f>
        <v>100</v>
      </c>
      <c r="M184" s="918"/>
      <c r="N184" s="887">
        <f t="shared" si="35"/>
        <v>100</v>
      </c>
      <c r="O184" s="887"/>
      <c r="R184" s="1">
        <v>2006</v>
      </c>
      <c r="S184" s="8">
        <f>(O101*($E101/365))+(O102*($E102/365))</f>
        <v>0</v>
      </c>
      <c r="T184" s="8">
        <f>(P101*($E101/365))+(P102*($E102/365))</f>
        <v>0</v>
      </c>
      <c r="U184" s="8">
        <f>(Q101*($E101/365))+(Q102*($E102/365))</f>
        <v>55</v>
      </c>
      <c r="V184" s="7"/>
      <c r="W184" s="7">
        <f t="shared" si="34"/>
        <v>55</v>
      </c>
    </row>
    <row r="185" spans="1:23">
      <c r="A185" s="1">
        <v>2007</v>
      </c>
      <c r="B185" s="8">
        <f>(K103*($E103/365))+(K104*($E104/365))</f>
        <v>0</v>
      </c>
      <c r="C185" s="8">
        <f>(L103*($E103/365))+(L104*($E104/365))</f>
        <v>0</v>
      </c>
      <c r="D185" s="8">
        <f>(M103*($E103/365))+(M104*($E104/365))</f>
        <v>100</v>
      </c>
      <c r="E185" s="50">
        <f t="shared" si="33"/>
        <v>100</v>
      </c>
      <c r="G185" s="1">
        <v>2007</v>
      </c>
      <c r="H185" s="918">
        <f>(O103/$R103*100*($E103/365))+(O104/$R104*100*($E104/365))</f>
        <v>0</v>
      </c>
      <c r="I185" s="918"/>
      <c r="J185" s="918">
        <f>(P103/$R103*100*($E103/365))+(P104/$R104*100*($E104/365))</f>
        <v>0</v>
      </c>
      <c r="K185" s="918"/>
      <c r="L185" s="918">
        <f>(Q103/$R103*100*($E103/365))+(Q104/$R104*100*($E104/365))</f>
        <v>100</v>
      </c>
      <c r="M185" s="918"/>
      <c r="N185" s="887">
        <f t="shared" si="35"/>
        <v>100</v>
      </c>
      <c r="O185" s="887"/>
      <c r="R185" s="1">
        <v>2007</v>
      </c>
      <c r="S185" s="8">
        <f>(O103*($E103/365))+(O104*($E104/365))</f>
        <v>0</v>
      </c>
      <c r="T185" s="8">
        <f>(P103*($E103/365))+(P104*($E104/365))</f>
        <v>0</v>
      </c>
      <c r="U185" s="8">
        <f>(Q103*($E103/365))+(Q104*($E104/365))</f>
        <v>55</v>
      </c>
      <c r="V185" s="7"/>
      <c r="W185" s="7">
        <f t="shared" si="34"/>
        <v>55</v>
      </c>
    </row>
    <row r="186" spans="1:23">
      <c r="A186" s="1">
        <v>2008</v>
      </c>
      <c r="B186" s="8">
        <f>(K105*($E105/366))+(K106*($E106/366))</f>
        <v>0</v>
      </c>
      <c r="C186" s="8">
        <f>(L105*($E105/366))+(L106*($E106/366))</f>
        <v>0</v>
      </c>
      <c r="D186" s="8">
        <f>(M105*($E105/366))+(M106*($E106/366))</f>
        <v>100</v>
      </c>
      <c r="E186" s="50">
        <f t="shared" si="33"/>
        <v>100</v>
      </c>
      <c r="G186" s="1">
        <v>2008</v>
      </c>
      <c r="H186" s="918">
        <f>(O105/$R105*100*($E105/366))+(O106/$R106*100*($E106/366))</f>
        <v>0</v>
      </c>
      <c r="I186" s="918"/>
      <c r="J186" s="918">
        <f>(P105/$R105*100*($E105/366))+(P106/$R106*100*($E106/366))</f>
        <v>0</v>
      </c>
      <c r="K186" s="918"/>
      <c r="L186" s="918">
        <f>(Q105/$R105*100*($E105/366))+(Q106/$R106*100*($E106/366))</f>
        <v>100</v>
      </c>
      <c r="M186" s="918"/>
      <c r="N186" s="887">
        <f t="shared" si="35"/>
        <v>100</v>
      </c>
      <c r="O186" s="887"/>
      <c r="R186" s="1">
        <v>2008</v>
      </c>
      <c r="S186" s="8">
        <f>(O105*($E105/366))+(O106*($E106/366))</f>
        <v>0</v>
      </c>
      <c r="T186" s="8">
        <f>(P105*($E105/366))+(P106*($E106/366))</f>
        <v>0</v>
      </c>
      <c r="U186" s="8">
        <f>(Q105*($E105/366))+(Q106*($E106/366))</f>
        <v>55</v>
      </c>
      <c r="V186" s="7"/>
      <c r="W186" s="7">
        <f t="shared" si="34"/>
        <v>55</v>
      </c>
    </row>
    <row r="187" spans="1:23">
      <c r="A187" s="1">
        <v>2009</v>
      </c>
      <c r="B187" s="8">
        <f>(K107*($E107/365))+(K108*($E108/365))</f>
        <v>0</v>
      </c>
      <c r="C187" s="8">
        <f>(L107*($E107/365))+(L108*($E108/365))</f>
        <v>0</v>
      </c>
      <c r="D187" s="8">
        <f>(M107*($E107/365))+(M108*($E108/365))</f>
        <v>100</v>
      </c>
      <c r="E187" s="50">
        <f t="shared" si="33"/>
        <v>100</v>
      </c>
      <c r="G187" s="1">
        <v>2009</v>
      </c>
      <c r="H187" s="918">
        <f>(O107/$R107*100*($E107/365))+(O108/$R108*100*($E108/365))</f>
        <v>0</v>
      </c>
      <c r="I187" s="918"/>
      <c r="J187" s="918">
        <f>(P107/$R107*100*($E107/365))+(P108/$R108*100*($E108/365))</f>
        <v>0</v>
      </c>
      <c r="K187" s="918"/>
      <c r="L187" s="918">
        <f>(Q107/$R107*100*($E107/365))+(Q108/$R108*100*($E108/365))</f>
        <v>100</v>
      </c>
      <c r="M187" s="918"/>
      <c r="N187" s="887">
        <f t="shared" si="35"/>
        <v>100</v>
      </c>
      <c r="O187" s="887"/>
      <c r="R187" s="1">
        <v>2009</v>
      </c>
      <c r="S187" s="8">
        <f>(O107*($E107/365))+(O108*($E108/365))</f>
        <v>0</v>
      </c>
      <c r="T187" s="8">
        <f>(P107*($E107/365))+(P108*($E108/365))</f>
        <v>0</v>
      </c>
      <c r="U187" s="8">
        <f>(Q107*($E107/365))+(Q108*($E108/365))</f>
        <v>55</v>
      </c>
      <c r="V187" s="7"/>
      <c r="W187" s="7">
        <f t="shared" si="34"/>
        <v>55</v>
      </c>
    </row>
    <row r="188" spans="1:23">
      <c r="A188" s="1">
        <v>2010</v>
      </c>
      <c r="B188" s="8">
        <f>(K109*($E109/365))+(K110*($E110/365))</f>
        <v>62.19178082191781</v>
      </c>
      <c r="C188" s="8">
        <f>(L109*($E109/365))+(L110*($E110/365))</f>
        <v>0</v>
      </c>
      <c r="D188" s="8">
        <f>(M109*($E109/365))+(M110*($E110/365))</f>
        <v>37.80821917808219</v>
      </c>
      <c r="E188" s="50">
        <f t="shared" si="33"/>
        <v>100</v>
      </c>
      <c r="G188" s="1">
        <v>2010</v>
      </c>
      <c r="H188" s="918">
        <f>(O109/$R109*100*($E109/365))+(O110/$R110*100*($E110/365))</f>
        <v>62.19178082191781</v>
      </c>
      <c r="I188" s="918"/>
      <c r="J188" s="918">
        <f>(P109/$R109*100*($E109/365))+(P110/$R110*100*($E110/365))</f>
        <v>0</v>
      </c>
      <c r="K188" s="918"/>
      <c r="L188" s="918">
        <f>(Q109/$R109*100*($E109/365))+(Q110/$R110*100*($E110/365))</f>
        <v>37.80821917808219</v>
      </c>
      <c r="M188" s="918"/>
      <c r="N188" s="887">
        <f t="shared" si="35"/>
        <v>100</v>
      </c>
      <c r="O188" s="887"/>
      <c r="R188" s="1">
        <v>2010</v>
      </c>
      <c r="S188" s="8">
        <f>(O109*($E109/365))+(O110*($E110/365))</f>
        <v>34.765205479452057</v>
      </c>
      <c r="T188" s="8">
        <f>(P109*($E109/365))+(P110*($E110/365))</f>
        <v>0</v>
      </c>
      <c r="U188" s="8">
        <f>(Q109*($E109/365))+(Q110*($E110/365))</f>
        <v>20.794520547945204</v>
      </c>
      <c r="V188" s="7"/>
      <c r="W188" s="7">
        <f t="shared" si="34"/>
        <v>55.559726027397261</v>
      </c>
    </row>
    <row r="189" spans="1:23">
      <c r="A189" s="1">
        <v>2011</v>
      </c>
      <c r="B189" s="8">
        <f>(K111*($E111/365))+(K112*($E112/365))</f>
        <v>100</v>
      </c>
      <c r="C189" s="8">
        <f>(L111*($E111/365))+(L112*($E112/365))</f>
        <v>0</v>
      </c>
      <c r="D189" s="8">
        <f>(M111*($E111/365))+(M112*($E112/365))</f>
        <v>0</v>
      </c>
      <c r="E189" s="50">
        <f t="shared" si="33"/>
        <v>100</v>
      </c>
      <c r="G189" s="1">
        <v>2011</v>
      </c>
      <c r="H189" s="918">
        <f>(O111/$R111*100*($E111/365))+(O112/$R112*100*($E112/365))</f>
        <v>100</v>
      </c>
      <c r="I189" s="918"/>
      <c r="J189" s="918">
        <f>(P111/$R111*100*($E111/365))+(P112/$R112*100*($E112/365))</f>
        <v>0</v>
      </c>
      <c r="K189" s="918"/>
      <c r="L189" s="918">
        <f>(Q111/$R111*100*($E111/365))+(Q112/$R112*100*($E112/365))</f>
        <v>0</v>
      </c>
      <c r="M189" s="918"/>
      <c r="N189" s="887">
        <f t="shared" si="35"/>
        <v>100</v>
      </c>
      <c r="O189" s="887"/>
      <c r="R189" s="1">
        <v>2011</v>
      </c>
      <c r="S189" s="8">
        <f>(O111*($E111/365))+(O112*($E112/365))</f>
        <v>55.9</v>
      </c>
      <c r="T189" s="8">
        <f>(P111*($E111/365))+(P112*($E112/365))</f>
        <v>0</v>
      </c>
      <c r="U189" s="8">
        <f>(Q111*($E111/365))+(Q112*($E112/365))</f>
        <v>0</v>
      </c>
      <c r="V189" s="7"/>
      <c r="W189" s="7">
        <f t="shared" si="34"/>
        <v>55.9</v>
      </c>
    </row>
    <row r="190" spans="1:23">
      <c r="A190" s="1">
        <v>2012</v>
      </c>
      <c r="B190" s="8">
        <f>(K113*($E113/366))+(K114*($E114/366))</f>
        <v>100</v>
      </c>
      <c r="C190" s="8">
        <f>(L113*($E113/366))+(L114*($E114/366))</f>
        <v>0</v>
      </c>
      <c r="D190" s="8">
        <f>(M113*($E113/366))+(M114*($E114/366))</f>
        <v>0</v>
      </c>
      <c r="E190" s="50">
        <f t="shared" si="33"/>
        <v>100</v>
      </c>
      <c r="G190" s="1">
        <v>2012</v>
      </c>
      <c r="H190" s="918">
        <f>(O113/$R113*100*($E113/366))+(O114/$R114*100*($E114/366))</f>
        <v>100</v>
      </c>
      <c r="I190" s="918"/>
      <c r="J190" s="918">
        <f>(P113/$R113*100*($E113/366))+(P114/$R114*100*($E114/366))</f>
        <v>0</v>
      </c>
      <c r="K190" s="918"/>
      <c r="L190" s="918">
        <f>(Q113/$R113*100*($E113/366))+(Q114/$R114*100*($E114/366))</f>
        <v>0</v>
      </c>
      <c r="M190" s="918"/>
      <c r="N190" s="887">
        <f t="shared" si="35"/>
        <v>100</v>
      </c>
      <c r="O190" s="887"/>
      <c r="R190" s="1">
        <v>2012</v>
      </c>
      <c r="S190" s="8">
        <f>(O113*($E113/366))+(O114*($E114/366))</f>
        <v>55.9</v>
      </c>
      <c r="T190" s="8">
        <f>(P113*($E113/366))+(P114*($E114/366))</f>
        <v>0</v>
      </c>
      <c r="U190" s="8">
        <f>(Q113*($E113/366))+(Q114*($E114/366))</f>
        <v>0</v>
      </c>
      <c r="V190" s="7"/>
      <c r="W190" s="7">
        <f t="shared" si="34"/>
        <v>55.9</v>
      </c>
    </row>
    <row r="191" spans="1:23">
      <c r="A191" s="1">
        <v>2013</v>
      </c>
      <c r="B191" s="8">
        <f>(K115*($E115/365))+(K116*($E116/365))</f>
        <v>100</v>
      </c>
      <c r="C191" s="8">
        <f>(L115*($E115/365))+(L116*($E116/365))</f>
        <v>0</v>
      </c>
      <c r="D191" s="8">
        <f>(M115*($E115/365))+(M116*($E116/365))</f>
        <v>0</v>
      </c>
      <c r="E191" s="273">
        <f t="shared" si="33"/>
        <v>100</v>
      </c>
      <c r="G191" s="1">
        <v>2013</v>
      </c>
      <c r="H191" s="918">
        <f>(O115/$R115*100*($E115/365))+(O116/$R116*100*($E116/365))</f>
        <v>100</v>
      </c>
      <c r="I191" s="918"/>
      <c r="J191" s="918">
        <f>(P115/$R115*100*($E115/365))+(P116/$R116*100*($E116/365))</f>
        <v>0</v>
      </c>
      <c r="K191" s="918"/>
      <c r="L191" s="918">
        <f>(Q115/$R115*100*($E115/365))+(Q116/$R116*100*($E116/365))</f>
        <v>0</v>
      </c>
      <c r="M191" s="918"/>
      <c r="N191" s="887">
        <f>H191+J191+L191</f>
        <v>100</v>
      </c>
      <c r="O191" s="887"/>
      <c r="R191" s="1">
        <v>2013</v>
      </c>
      <c r="S191" s="8">
        <f>(O115*($E115/365))+(O116*($E116/365))</f>
        <v>55.9</v>
      </c>
      <c r="T191" s="8">
        <f>(P115*($E115/365))+(P116*($E116/365))</f>
        <v>0</v>
      </c>
      <c r="U191" s="8">
        <f>(Q115*($E115/365))+(Q116*($E116/365))</f>
        <v>0</v>
      </c>
      <c r="W191" s="7">
        <f t="shared" si="34"/>
        <v>55.9</v>
      </c>
    </row>
    <row r="192" spans="1:23">
      <c r="A192" s="1">
        <v>2014</v>
      </c>
      <c r="B192" s="8">
        <f>(K117*($E117/365))+(K118*($E118/365))</f>
        <v>100</v>
      </c>
      <c r="C192" s="8">
        <f>(L117*($E117/365))+(L118*($E118/365))</f>
        <v>0</v>
      </c>
      <c r="D192" s="8">
        <f>(M117*($E117/365))+(M118*($E118/365))</f>
        <v>0</v>
      </c>
      <c r="E192" s="512">
        <f>B192+C192+D192</f>
        <v>100</v>
      </c>
      <c r="G192" s="1">
        <v>2014</v>
      </c>
      <c r="H192" s="918">
        <f>(O117/$R117*100*($E117/365))+(O118/$R118*100*($E118/365))</f>
        <v>100</v>
      </c>
      <c r="I192" s="918"/>
      <c r="J192" s="918">
        <f>(P117/$R117*100*($E117/365))+(P118/$R118*100*($E118/365))</f>
        <v>0</v>
      </c>
      <c r="K192" s="918"/>
      <c r="L192" s="918">
        <f>(Q117/$R117*100*($E117/365))+(Q118/$R118*100*($E118/365))</f>
        <v>0</v>
      </c>
      <c r="M192" s="918"/>
      <c r="N192" s="887">
        <f>H192+J192+L192</f>
        <v>100</v>
      </c>
      <c r="O192" s="887"/>
      <c r="R192" s="1">
        <v>2014</v>
      </c>
      <c r="S192" s="8">
        <f>(O117*($E117/365))+(O118*($E118/365))</f>
        <v>55.9</v>
      </c>
      <c r="T192" s="8">
        <f>(P117*($E117/365))+(P118*($E118/365))</f>
        <v>0</v>
      </c>
      <c r="U192" s="8">
        <f>(Q117*($E117/365))+(Q118*($E118/365))</f>
        <v>0</v>
      </c>
      <c r="W192" s="7">
        <f>S192+T192+U192</f>
        <v>55.9</v>
      </c>
    </row>
    <row r="193" spans="1:23" s="632" customFormat="1">
      <c r="A193" s="632">
        <v>2015</v>
      </c>
      <c r="B193" s="636">
        <f>(K119*($E119/365))+(K120*($E120/365))</f>
        <v>100</v>
      </c>
      <c r="C193" s="636">
        <f>(L119*($E119/365))+(L120*($E120/365))</f>
        <v>0</v>
      </c>
      <c r="D193" s="636">
        <f>(M119*($E119/365))+(M120*($E120/365))</f>
        <v>0</v>
      </c>
      <c r="E193" s="637">
        <f>B193+C193+D193</f>
        <v>100</v>
      </c>
      <c r="G193" s="632">
        <v>2015</v>
      </c>
      <c r="H193" s="918">
        <f>(O119/$R119*100*($E119/365))+(O120/$R120*100*($E120/365))</f>
        <v>100</v>
      </c>
      <c r="I193" s="918"/>
      <c r="J193" s="918">
        <f>(P119/$R119*100*($E119/365))+(P120/$R120*100*($E120/365))</f>
        <v>0</v>
      </c>
      <c r="K193" s="918"/>
      <c r="L193" s="918">
        <f>(Q119/$R119*100*($E119/365))+(Q120/$R120*100*($E120/365))</f>
        <v>0</v>
      </c>
      <c r="M193" s="918"/>
      <c r="N193" s="887">
        <f>H193+J193+L193</f>
        <v>100</v>
      </c>
      <c r="O193" s="887"/>
      <c r="R193" s="632">
        <v>2015</v>
      </c>
      <c r="S193" s="627">
        <f>(O119*($E119/365))+(O120*($E120/365))</f>
        <v>52.639726027397259</v>
      </c>
      <c r="T193" s="627">
        <f>(P119*($E119/365))+(P120*($E120/365))</f>
        <v>0</v>
      </c>
      <c r="U193" s="627">
        <f>(Q119*($E119/365))+(Q120*($E120/365))</f>
        <v>0</v>
      </c>
      <c r="W193" s="631">
        <f>S193+T193+U193</f>
        <v>52.639726027397259</v>
      </c>
    </row>
    <row r="194" spans="1:23" s="632" customFormat="1">
      <c r="A194" s="697">
        <v>2016</v>
      </c>
      <c r="B194" s="694">
        <f>(K121*($E121/366))+(K122*($E122/366))</f>
        <v>100</v>
      </c>
      <c r="C194" s="694">
        <f>(L121*($E121/366))+(L122*($E122/366))</f>
        <v>0</v>
      </c>
      <c r="D194" s="694">
        <f>(M121*($E121/366))+(M122*($E122/366))</f>
        <v>0</v>
      </c>
      <c r="E194" s="695">
        <f t="shared" ref="E194" si="36">B194+C194+D194</f>
        <v>100</v>
      </c>
      <c r="F194" s="697"/>
      <c r="G194" s="697">
        <v>2016</v>
      </c>
      <c r="H194" s="918">
        <f>(O121/$R121*100*($E121/366))+(O122/$R122*100*($E122/366))</f>
        <v>100</v>
      </c>
      <c r="I194" s="918"/>
      <c r="J194" s="918">
        <f>(P121/$R121*100*($E121/366))+(P122/$R122*100*($E122/366))</f>
        <v>0</v>
      </c>
      <c r="K194" s="918"/>
      <c r="L194" s="918">
        <f>(Q121/$R121*100*($E121/366))+(Q122/$R122*100*($E122/366))</f>
        <v>0</v>
      </c>
      <c r="M194" s="918"/>
      <c r="N194" s="887">
        <f t="shared" ref="N194" si="37">H194+J194+L194</f>
        <v>100</v>
      </c>
      <c r="O194" s="887"/>
      <c r="P194" s="697"/>
      <c r="Q194" s="697"/>
      <c r="R194" s="697">
        <v>2016</v>
      </c>
      <c r="S194" s="694">
        <f>(O121*($E121/366))+(O122*($E122/366))</f>
        <v>50.806557377049188</v>
      </c>
      <c r="T194" s="694">
        <f>(P121*($E121/366))+(P122*($E122/366))</f>
        <v>0</v>
      </c>
      <c r="U194" s="694">
        <f>(Q121*($E121/366))+(Q122*($E122/366))</f>
        <v>0</v>
      </c>
      <c r="V194" s="697"/>
      <c r="W194" s="696">
        <f t="shared" ref="W194" si="38">S194+T194+U194</f>
        <v>50.806557377049188</v>
      </c>
    </row>
    <row r="195" spans="1:23">
      <c r="A195" s="749">
        <v>2017</v>
      </c>
      <c r="B195" s="744">
        <f>(K123*($E123/365))+(K124*($E124/365))</f>
        <v>100</v>
      </c>
      <c r="C195" s="744">
        <f t="shared" ref="C195:D195" si="39">(L123*($E123/365))+(L124*($E124/365))</f>
        <v>0</v>
      </c>
      <c r="D195" s="744">
        <f t="shared" si="39"/>
        <v>0</v>
      </c>
      <c r="E195" s="745">
        <f t="shared" ref="E195" si="40">B195+C195+D195</f>
        <v>100</v>
      </c>
      <c r="F195" s="749"/>
      <c r="G195" s="749">
        <v>2017</v>
      </c>
      <c r="H195" s="918">
        <f>(O123/$R123*100*($E123/365))+(O124/$R124*100*($E124/365))</f>
        <v>100</v>
      </c>
      <c r="I195" s="918"/>
      <c r="J195" s="918">
        <f>(P123/$R123*100*($E123/365))+(P124/$R124*100*($E124/365))</f>
        <v>0</v>
      </c>
      <c r="K195" s="918"/>
      <c r="L195" s="918">
        <f>(Q123/$R123*100*($E123/365))+(Q124/$R124*100*($E124/365))</f>
        <v>0</v>
      </c>
      <c r="M195" s="918"/>
      <c r="N195" s="887">
        <f t="shared" ref="N195" si="41">H195+J195+L195</f>
        <v>100</v>
      </c>
      <c r="O195" s="887"/>
      <c r="P195" s="749"/>
      <c r="Q195" s="749"/>
      <c r="R195" s="749">
        <v>2017</v>
      </c>
      <c r="S195" s="744">
        <f>(O123*($E123/365))+(O124*($E124/365))</f>
        <v>49.638082191780825</v>
      </c>
      <c r="T195" s="744">
        <f>(P123*($E123/365))+(P124*($E124/365))</f>
        <v>0</v>
      </c>
      <c r="U195" s="744">
        <f>(Q123*($E123/365))+(Q124*($E124/365))</f>
        <v>0</v>
      </c>
      <c r="V195" s="749"/>
      <c r="W195" s="746">
        <f t="shared" ref="W195" si="42">S195+T195+U195</f>
        <v>49.638082191780825</v>
      </c>
    </row>
    <row r="196" spans="1:23">
      <c r="A196" s="775">
        <v>2018</v>
      </c>
      <c r="B196" s="772">
        <f>(K125*($E125/365))+(K126*($E126/365))</f>
        <v>100</v>
      </c>
      <c r="C196" s="772">
        <f>(L125*($E125/365))+(L126*($E126/365))</f>
        <v>0</v>
      </c>
      <c r="D196" s="772">
        <f>(M125*($E125/365))+(M126*($E126/365))</f>
        <v>0</v>
      </c>
      <c r="E196" s="773">
        <f t="shared" ref="E196" si="43">B196+C196+D196</f>
        <v>100</v>
      </c>
      <c r="F196" s="775"/>
      <c r="G196" s="775">
        <v>2018</v>
      </c>
      <c r="H196" s="918">
        <f>(O125/$R125*100*($E125/365))+(O126/$R126*100*($E126/365))</f>
        <v>100</v>
      </c>
      <c r="I196" s="918"/>
      <c r="J196" s="918">
        <f>(P125/$R125*100*($E125/365))+(P126/$R126*100*($E126/365))</f>
        <v>0</v>
      </c>
      <c r="K196" s="918"/>
      <c r="L196" s="918">
        <f>(Q125/$R125*100*($E125/365))+(Q126/$R126*100*($E126/365))</f>
        <v>0</v>
      </c>
      <c r="M196" s="918"/>
      <c r="N196" s="887">
        <f t="shared" ref="N196" si="44">H196+J196+L196</f>
        <v>100</v>
      </c>
      <c r="O196" s="887"/>
      <c r="P196" s="775"/>
      <c r="Q196" s="775"/>
      <c r="R196" s="775">
        <v>2018</v>
      </c>
      <c r="S196" s="772">
        <f>(O125*($E125/365))+(O126*($E126/365))</f>
        <v>48.8</v>
      </c>
      <c r="T196" s="772">
        <f>(P125*($E125/365))+(P126*($E126/365))</f>
        <v>0</v>
      </c>
      <c r="U196" s="772">
        <f>(Q125*($E125/365))+(Q126*($E126/365))</f>
        <v>0</v>
      </c>
      <c r="V196" s="775"/>
      <c r="W196" s="774">
        <f t="shared" ref="W196" si="45">S196+T196+U196</f>
        <v>48.8</v>
      </c>
    </row>
    <row r="197" spans="1:23">
      <c r="A197" s="816">
        <v>2019</v>
      </c>
      <c r="B197" s="812">
        <f>(K127*($E127/365))+(K128*($E128/365))+(K129*(E129/365))</f>
        <v>100</v>
      </c>
      <c r="C197" s="812">
        <f>(L127*($E127/365))+(L128*($E128/365))+(L129*(E129/365))</f>
        <v>0</v>
      </c>
      <c r="D197" s="812">
        <f>(M127*($E127/365))+(M128*($E128/365))+(M129*(E129/365))</f>
        <v>0</v>
      </c>
      <c r="E197" s="811">
        <f t="shared" ref="E197" si="46">B197+C197+D197</f>
        <v>100</v>
      </c>
      <c r="F197" s="816"/>
      <c r="G197" s="816">
        <v>2019</v>
      </c>
      <c r="H197" s="918">
        <f>(O127/$R127*100*($E127/365))+(O128/$R128*100*($E128/365))+(O129/R129*100*(E129/365))</f>
        <v>100</v>
      </c>
      <c r="I197" s="918"/>
      <c r="J197" s="918">
        <f>(P127/$R127*100*($E127/365))+(P128/$R128*100*($E128/365))+(P129/R129*100*(E129/365))</f>
        <v>0</v>
      </c>
      <c r="K197" s="918"/>
      <c r="L197" s="918">
        <f>(Q127/$R127*100*($E127/365))+(Q128/$R128*100*($E128/365))+(Q129/R129*100*(E129/365))</f>
        <v>0</v>
      </c>
      <c r="M197" s="918"/>
      <c r="N197" s="887">
        <f t="shared" ref="N197" si="47">H197+J197+L197</f>
        <v>100</v>
      </c>
      <c r="O197" s="887"/>
      <c r="P197" s="816"/>
      <c r="Q197" s="816"/>
      <c r="R197" s="816">
        <v>2019</v>
      </c>
      <c r="S197" s="812">
        <f>(O127*($E127/365))+(O128*($E128/365))+(O129*(E129/365))</f>
        <v>48.01808219178082</v>
      </c>
      <c r="T197" s="812">
        <f>(P127*($E127/365))+(P128*($E128/365))+(P129*(E129/365))</f>
        <v>0</v>
      </c>
      <c r="U197" s="812">
        <f>(Q127*($E127/365))+(Q128*($E128/365))+(Q129*(E129/365))</f>
        <v>0</v>
      </c>
      <c r="V197" s="816"/>
      <c r="W197" s="815">
        <f t="shared" ref="W197" si="48">S197+T197+U197</f>
        <v>48.01808219178082</v>
      </c>
    </row>
    <row r="198" spans="1:23">
      <c r="A198" s="816"/>
      <c r="G198" s="816"/>
      <c r="Q198" s="816"/>
      <c r="R198" s="816"/>
    </row>
  </sheetData>
  <mergeCells count="394">
    <mergeCell ref="J197:K197"/>
    <mergeCell ref="L197:M197"/>
    <mergeCell ref="H197:I197"/>
    <mergeCell ref="N197:O197"/>
    <mergeCell ref="H195:I195"/>
    <mergeCell ref="J195:K195"/>
    <mergeCell ref="L195:M195"/>
    <mergeCell ref="N195:O195"/>
    <mergeCell ref="L139:M139"/>
    <mergeCell ref="N139:O139"/>
    <mergeCell ref="H140:I140"/>
    <mergeCell ref="J140:K140"/>
    <mergeCell ref="L140:M140"/>
    <mergeCell ref="N140:O140"/>
    <mergeCell ref="H143:I143"/>
    <mergeCell ref="J143:K143"/>
    <mergeCell ref="L143:M143"/>
    <mergeCell ref="N143:O143"/>
    <mergeCell ref="H144:I144"/>
    <mergeCell ref="J144:K144"/>
    <mergeCell ref="L144:M144"/>
    <mergeCell ref="N144:O144"/>
    <mergeCell ref="H141:I141"/>
    <mergeCell ref="J141:K141"/>
    <mergeCell ref="C111:D111"/>
    <mergeCell ref="C104:D104"/>
    <mergeCell ref="C105:D105"/>
    <mergeCell ref="C112:D112"/>
    <mergeCell ref="C113:D113"/>
    <mergeCell ref="C114:D114"/>
    <mergeCell ref="C106:D106"/>
    <mergeCell ref="H139:I139"/>
    <mergeCell ref="J139:K139"/>
    <mergeCell ref="C117:D117"/>
    <mergeCell ref="C118:D118"/>
    <mergeCell ref="C119:D119"/>
    <mergeCell ref="C120:D120"/>
    <mergeCell ref="C125:D125"/>
    <mergeCell ref="C126:D126"/>
    <mergeCell ref="C127:D127"/>
    <mergeCell ref="C128:D128"/>
    <mergeCell ref="C129:D129"/>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 ref="C85:D85"/>
    <mergeCell ref="C86:D86"/>
    <mergeCell ref="C87:D87"/>
    <mergeCell ref="C88:D88"/>
    <mergeCell ref="C89:D89"/>
    <mergeCell ref="C90:D90"/>
    <mergeCell ref="C91:D91"/>
    <mergeCell ref="C92:D92"/>
    <mergeCell ref="C93:D93"/>
    <mergeCell ref="C76:D76"/>
    <mergeCell ref="C77:D77"/>
    <mergeCell ref="C78:D78"/>
    <mergeCell ref="C79:D79"/>
    <mergeCell ref="C80:D80"/>
    <mergeCell ref="C81:D81"/>
    <mergeCell ref="C82:D82"/>
    <mergeCell ref="C83:D83"/>
    <mergeCell ref="C84:D84"/>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49:D49"/>
    <mergeCell ref="C50:D50"/>
    <mergeCell ref="C51:D51"/>
    <mergeCell ref="C52:D52"/>
    <mergeCell ref="C53:D53"/>
    <mergeCell ref="C54:D54"/>
    <mergeCell ref="C55:D55"/>
    <mergeCell ref="C56:D56"/>
    <mergeCell ref="C57:D57"/>
    <mergeCell ref="C41:D41"/>
    <mergeCell ref="C42:D42"/>
    <mergeCell ref="C43:D43"/>
    <mergeCell ref="C38:D38"/>
    <mergeCell ref="C44:D44"/>
    <mergeCell ref="C45:D45"/>
    <mergeCell ref="C46:D46"/>
    <mergeCell ref="C47:D47"/>
    <mergeCell ref="C48:D48"/>
    <mergeCell ref="C31:D31"/>
    <mergeCell ref="C32:D32"/>
    <mergeCell ref="C33:D33"/>
    <mergeCell ref="C34:D34"/>
    <mergeCell ref="C35:D35"/>
    <mergeCell ref="C36:D36"/>
    <mergeCell ref="C37:D37"/>
    <mergeCell ref="C39:D39"/>
    <mergeCell ref="C40:D40"/>
    <mergeCell ref="C22:D22"/>
    <mergeCell ref="C23:D23"/>
    <mergeCell ref="C24:D24"/>
    <mergeCell ref="C25:D25"/>
    <mergeCell ref="C26:D26"/>
    <mergeCell ref="C27:D27"/>
    <mergeCell ref="C28:D28"/>
    <mergeCell ref="C29:D29"/>
    <mergeCell ref="C30:D30"/>
    <mergeCell ref="C13:D13"/>
    <mergeCell ref="C14:D14"/>
    <mergeCell ref="C15:D15"/>
    <mergeCell ref="C16:D16"/>
    <mergeCell ref="C17:D17"/>
    <mergeCell ref="C18:D18"/>
    <mergeCell ref="C19:D19"/>
    <mergeCell ref="C20:D20"/>
    <mergeCell ref="C21:D21"/>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G3:M3"/>
    <mergeCell ref="O3:Q3"/>
    <mergeCell ref="C9:D9"/>
    <mergeCell ref="C10:D10"/>
    <mergeCell ref="A4:A5"/>
    <mergeCell ref="B4:B5"/>
    <mergeCell ref="C4:D5"/>
    <mergeCell ref="E4:E5"/>
    <mergeCell ref="F4:F5"/>
    <mergeCell ref="G4:J4"/>
    <mergeCell ref="R134:W134"/>
    <mergeCell ref="H136:I136"/>
    <mergeCell ref="J136:K136"/>
    <mergeCell ref="L136:M136"/>
    <mergeCell ref="N136:O136"/>
    <mergeCell ref="H138:I138"/>
    <mergeCell ref="J138:K138"/>
    <mergeCell ref="L138:M138"/>
    <mergeCell ref="N138:O138"/>
    <mergeCell ref="H137:I137"/>
    <mergeCell ref="J137:K137"/>
    <mergeCell ref="L137:M137"/>
    <mergeCell ref="N137:O137"/>
    <mergeCell ref="L141:M141"/>
    <mergeCell ref="N141:O141"/>
    <mergeCell ref="H142:I142"/>
    <mergeCell ref="J142:K142"/>
    <mergeCell ref="L142:M142"/>
    <mergeCell ref="N142:O142"/>
    <mergeCell ref="H147:I147"/>
    <mergeCell ref="J147:K147"/>
    <mergeCell ref="L147:M147"/>
    <mergeCell ref="N147:O147"/>
    <mergeCell ref="H148:I148"/>
    <mergeCell ref="J148:K148"/>
    <mergeCell ref="L148:M148"/>
    <mergeCell ref="N148:O148"/>
    <mergeCell ref="H145:I145"/>
    <mergeCell ref="J145:K145"/>
    <mergeCell ref="L145:M145"/>
    <mergeCell ref="N145:O145"/>
    <mergeCell ref="H146:I146"/>
    <mergeCell ref="J146:K146"/>
    <mergeCell ref="L146:M146"/>
    <mergeCell ref="N146:O146"/>
    <mergeCell ref="H151:I151"/>
    <mergeCell ref="J151:K151"/>
    <mergeCell ref="L151:M151"/>
    <mergeCell ref="N151:O151"/>
    <mergeCell ref="H152:I152"/>
    <mergeCell ref="J152:K152"/>
    <mergeCell ref="L152:M152"/>
    <mergeCell ref="N152:O152"/>
    <mergeCell ref="H149:I149"/>
    <mergeCell ref="J149:K149"/>
    <mergeCell ref="L149:M149"/>
    <mergeCell ref="N149:O149"/>
    <mergeCell ref="H150:I150"/>
    <mergeCell ref="J150:K150"/>
    <mergeCell ref="L150:M150"/>
    <mergeCell ref="N150:O150"/>
    <mergeCell ref="H155:I155"/>
    <mergeCell ref="J155:K155"/>
    <mergeCell ref="L155:M155"/>
    <mergeCell ref="N155:O155"/>
    <mergeCell ref="H156:I156"/>
    <mergeCell ref="J156:K156"/>
    <mergeCell ref="L156:M156"/>
    <mergeCell ref="N156:O156"/>
    <mergeCell ref="H153:I153"/>
    <mergeCell ref="J153:K153"/>
    <mergeCell ref="L153:M153"/>
    <mergeCell ref="N153:O153"/>
    <mergeCell ref="H154:I154"/>
    <mergeCell ref="J154:K154"/>
    <mergeCell ref="L154:M154"/>
    <mergeCell ref="N154:O154"/>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L165:M165"/>
    <mergeCell ref="N165:O165"/>
    <mergeCell ref="H166:I166"/>
    <mergeCell ref="H167:I167"/>
    <mergeCell ref="L171:M171"/>
    <mergeCell ref="L172:M172"/>
    <mergeCell ref="L173:M173"/>
    <mergeCell ref="J171:K171"/>
    <mergeCell ref="J172:K172"/>
    <mergeCell ref="J173:K173"/>
    <mergeCell ref="N169:O169"/>
    <mergeCell ref="N170:O170"/>
    <mergeCell ref="L166:M166"/>
    <mergeCell ref="L167:M167"/>
    <mergeCell ref="L168:M168"/>
    <mergeCell ref="L169:M169"/>
    <mergeCell ref="L170:M170"/>
    <mergeCell ref="J166:K166"/>
    <mergeCell ref="J167:K167"/>
    <mergeCell ref="J168:K168"/>
    <mergeCell ref="J169:K169"/>
    <mergeCell ref="J170:K170"/>
    <mergeCell ref="H184:I184"/>
    <mergeCell ref="H185:I185"/>
    <mergeCell ref="H174:I174"/>
    <mergeCell ref="H175:I175"/>
    <mergeCell ref="H176:I176"/>
    <mergeCell ref="H177:I177"/>
    <mergeCell ref="H178:I178"/>
    <mergeCell ref="H179:I179"/>
    <mergeCell ref="H168:I168"/>
    <mergeCell ref="H169:I169"/>
    <mergeCell ref="H170:I170"/>
    <mergeCell ref="H171:I171"/>
    <mergeCell ref="H172:I172"/>
    <mergeCell ref="H180:I180"/>
    <mergeCell ref="H181:I181"/>
    <mergeCell ref="H182:I182"/>
    <mergeCell ref="H183:I183"/>
    <mergeCell ref="AT4:AW4"/>
    <mergeCell ref="AX4:BA4"/>
    <mergeCell ref="N191:O191"/>
    <mergeCell ref="C115:D115"/>
    <mergeCell ref="C116:D116"/>
    <mergeCell ref="H191:I191"/>
    <mergeCell ref="J191:K191"/>
    <mergeCell ref="L191:M191"/>
    <mergeCell ref="N189:O189"/>
    <mergeCell ref="N190:O190"/>
    <mergeCell ref="N187:O187"/>
    <mergeCell ref="N188:O188"/>
    <mergeCell ref="N177:O177"/>
    <mergeCell ref="N178:O178"/>
    <mergeCell ref="N179:O179"/>
    <mergeCell ref="N180:O180"/>
    <mergeCell ref="N181:O181"/>
    <mergeCell ref="N182:O182"/>
    <mergeCell ref="N171:O171"/>
    <mergeCell ref="N172:O172"/>
    <mergeCell ref="N173:O173"/>
    <mergeCell ref="N174:O174"/>
    <mergeCell ref="N175:O175"/>
    <mergeCell ref="N176:O176"/>
    <mergeCell ref="J182:K182"/>
    <mergeCell ref="L180:M180"/>
    <mergeCell ref="L181:M181"/>
    <mergeCell ref="L182:M182"/>
    <mergeCell ref="L183:M183"/>
    <mergeCell ref="L184:M184"/>
    <mergeCell ref="L185:M185"/>
    <mergeCell ref="L174:M174"/>
    <mergeCell ref="L175:M175"/>
    <mergeCell ref="L176:M176"/>
    <mergeCell ref="L177:M177"/>
    <mergeCell ref="L178:M178"/>
    <mergeCell ref="L179:M179"/>
    <mergeCell ref="H186:I186"/>
    <mergeCell ref="H187:I187"/>
    <mergeCell ref="H188:I188"/>
    <mergeCell ref="H173:I173"/>
    <mergeCell ref="H165:I165"/>
    <mergeCell ref="J165:K165"/>
    <mergeCell ref="H163:I163"/>
    <mergeCell ref="J163:K163"/>
    <mergeCell ref="H159:I159"/>
    <mergeCell ref="J159:K159"/>
    <mergeCell ref="J174:K174"/>
    <mergeCell ref="J175:K175"/>
    <mergeCell ref="J176:K176"/>
    <mergeCell ref="J183:K183"/>
    <mergeCell ref="J184:K184"/>
    <mergeCell ref="J185:K185"/>
    <mergeCell ref="J186:K186"/>
    <mergeCell ref="J187:K187"/>
    <mergeCell ref="J188:K188"/>
    <mergeCell ref="J177:K177"/>
    <mergeCell ref="J178:K178"/>
    <mergeCell ref="J179:K179"/>
    <mergeCell ref="J180:K180"/>
    <mergeCell ref="J181:K181"/>
    <mergeCell ref="L193:M193"/>
    <mergeCell ref="N193:O193"/>
    <mergeCell ref="H192:I192"/>
    <mergeCell ref="J192:K192"/>
    <mergeCell ref="L192:M192"/>
    <mergeCell ref="N192:O192"/>
    <mergeCell ref="L189:M189"/>
    <mergeCell ref="L190:M190"/>
    <mergeCell ref="J189:K189"/>
    <mergeCell ref="J190:K190"/>
    <mergeCell ref="H189:I189"/>
    <mergeCell ref="H190:I190"/>
    <mergeCell ref="H196:I196"/>
    <mergeCell ref="J196:K196"/>
    <mergeCell ref="L196:M196"/>
    <mergeCell ref="N196:O196"/>
    <mergeCell ref="C123:D123"/>
    <mergeCell ref="C124:D124"/>
    <mergeCell ref="C121:D121"/>
    <mergeCell ref="C122:D122"/>
    <mergeCell ref="H194:I194"/>
    <mergeCell ref="J194:K194"/>
    <mergeCell ref="L194:M194"/>
    <mergeCell ref="N194:O194"/>
    <mergeCell ref="N183:O183"/>
    <mergeCell ref="N184:O184"/>
    <mergeCell ref="N185:O185"/>
    <mergeCell ref="N186:O186"/>
    <mergeCell ref="L186:M186"/>
    <mergeCell ref="L187:M187"/>
    <mergeCell ref="L188:M188"/>
    <mergeCell ref="N166:O166"/>
    <mergeCell ref="N167:O167"/>
    <mergeCell ref="N168:O168"/>
    <mergeCell ref="H193:I193"/>
    <mergeCell ref="J193:K19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A210"/>
  <sheetViews>
    <sheetView zoomScale="150" zoomScaleNormal="120" workbookViewId="0">
      <pane xSplit="1" ySplit="5" topLeftCell="B94" activePane="bottomRight" state="frozen"/>
      <selection pane="topRight" activeCell="B1" sqref="B1"/>
      <selection pane="bottomLeft" activeCell="A6" sqref="A6"/>
      <selection pane="bottomRight" activeCell="AJ145" sqref="AJ145"/>
    </sheetView>
  </sheetViews>
  <sheetFormatPr baseColWidth="10" defaultColWidth="10.6640625" defaultRowHeight="10"/>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s="2" customFormat="1" ht="15" customHeight="1">
      <c r="B1" s="22" t="s">
        <v>14</v>
      </c>
    </row>
    <row r="2" spans="1:53" s="2" customFormat="1" ht="15" customHeight="1">
      <c r="B2" s="22" t="s">
        <v>71</v>
      </c>
    </row>
    <row r="3" spans="1:53" s="2" customFormat="1">
      <c r="G3" s="924"/>
      <c r="H3" s="924"/>
      <c r="I3" s="924"/>
      <c r="J3" s="924"/>
      <c r="K3" s="924"/>
      <c r="L3" s="924"/>
      <c r="M3" s="924"/>
      <c r="O3" s="924"/>
      <c r="P3" s="924"/>
      <c r="Q3" s="924"/>
    </row>
    <row r="4" spans="1:53" s="302" customFormat="1" ht="12.75" customHeight="1">
      <c r="A4" s="889" t="s">
        <v>3</v>
      </c>
      <c r="B4" s="903" t="s">
        <v>4</v>
      </c>
      <c r="C4" s="889" t="s">
        <v>1267</v>
      </c>
      <c r="D4" s="889"/>
      <c r="E4" s="903" t="s">
        <v>5</v>
      </c>
      <c r="F4" s="943" t="s">
        <v>7</v>
      </c>
      <c r="G4" s="906" t="s">
        <v>1203</v>
      </c>
      <c r="H4" s="889"/>
      <c r="I4" s="889"/>
      <c r="J4" s="891"/>
      <c r="K4" s="906" t="s">
        <v>1204</v>
      </c>
      <c r="L4" s="889"/>
      <c r="M4" s="889"/>
      <c r="N4" s="891"/>
      <c r="O4" s="906" t="s">
        <v>1201</v>
      </c>
      <c r="P4" s="889"/>
      <c r="Q4" s="889"/>
      <c r="R4" s="891"/>
      <c r="S4" s="907" t="s">
        <v>13</v>
      </c>
      <c r="T4" s="972" t="s">
        <v>780</v>
      </c>
      <c r="U4" s="910" t="s">
        <v>4</v>
      </c>
      <c r="V4" s="888" t="s">
        <v>1191</v>
      </c>
      <c r="W4" s="889"/>
      <c r="X4" s="889"/>
      <c r="Y4" s="890"/>
      <c r="Z4" s="888" t="s">
        <v>1192</v>
      </c>
      <c r="AA4" s="889"/>
      <c r="AB4" s="889"/>
      <c r="AC4" s="890"/>
      <c r="AD4" s="888" t="s">
        <v>1193</v>
      </c>
      <c r="AE4" s="889"/>
      <c r="AF4" s="889"/>
      <c r="AG4" s="890"/>
      <c r="AH4" s="888" t="s">
        <v>1194</v>
      </c>
      <c r="AI4" s="889"/>
      <c r="AJ4" s="889"/>
      <c r="AK4" s="890"/>
      <c r="AL4" s="888" t="s">
        <v>1195</v>
      </c>
      <c r="AM4" s="889"/>
      <c r="AN4" s="889"/>
      <c r="AO4" s="890"/>
      <c r="AP4" s="888" t="s">
        <v>1196</v>
      </c>
      <c r="AQ4" s="889"/>
      <c r="AR4" s="889"/>
      <c r="AS4" s="890"/>
      <c r="AT4" s="888" t="s">
        <v>1265</v>
      </c>
      <c r="AU4" s="889"/>
      <c r="AV4" s="889"/>
      <c r="AW4" s="890"/>
      <c r="AX4" s="888" t="s">
        <v>1266</v>
      </c>
      <c r="AY4" s="889"/>
      <c r="AZ4" s="889"/>
      <c r="BA4" s="891"/>
    </row>
    <row r="5" spans="1:53" s="307" customFormat="1">
      <c r="A5" s="902"/>
      <c r="B5" s="904"/>
      <c r="C5" s="905"/>
      <c r="D5" s="905"/>
      <c r="E5" s="904"/>
      <c r="F5" s="944"/>
      <c r="G5" s="303" t="s">
        <v>1197</v>
      </c>
      <c r="H5" s="304" t="s">
        <v>1198</v>
      </c>
      <c r="I5" s="304" t="s">
        <v>1199</v>
      </c>
      <c r="J5" s="305" t="s">
        <v>1200</v>
      </c>
      <c r="K5" s="303" t="s">
        <v>1197</v>
      </c>
      <c r="L5" s="304" t="s">
        <v>1198</v>
      </c>
      <c r="M5" s="304" t="s">
        <v>1199</v>
      </c>
      <c r="N5" s="305" t="s">
        <v>1200</v>
      </c>
      <c r="O5" s="303" t="s">
        <v>1197</v>
      </c>
      <c r="P5" s="304" t="s">
        <v>1198</v>
      </c>
      <c r="Q5" s="304" t="s">
        <v>1199</v>
      </c>
      <c r="R5" s="306" t="s">
        <v>1200</v>
      </c>
      <c r="S5" s="908"/>
      <c r="T5" s="973"/>
      <c r="U5" s="911"/>
      <c r="V5" s="307" t="s">
        <v>23</v>
      </c>
      <c r="W5" s="307" t="s">
        <v>24</v>
      </c>
      <c r="X5" s="307" t="s">
        <v>25</v>
      </c>
      <c r="Y5" s="307" t="s">
        <v>1202</v>
      </c>
      <c r="Z5" s="308" t="s">
        <v>23</v>
      </c>
      <c r="AA5" s="307" t="s">
        <v>24</v>
      </c>
      <c r="AB5" s="307" t="s">
        <v>25</v>
      </c>
      <c r="AC5" s="309" t="s">
        <v>1202</v>
      </c>
      <c r="AD5" s="308" t="s">
        <v>23</v>
      </c>
      <c r="AE5" s="307" t="s">
        <v>24</v>
      </c>
      <c r="AF5" s="307" t="s">
        <v>25</v>
      </c>
      <c r="AG5" s="309" t="s">
        <v>1202</v>
      </c>
      <c r="AH5" s="307" t="s">
        <v>23</v>
      </c>
      <c r="AI5" s="307" t="s">
        <v>24</v>
      </c>
      <c r="AJ5" s="307" t="s">
        <v>25</v>
      </c>
      <c r="AK5" s="307" t="s">
        <v>1202</v>
      </c>
      <c r="AL5" s="308" t="s">
        <v>23</v>
      </c>
      <c r="AM5" s="307" t="s">
        <v>24</v>
      </c>
      <c r="AN5" s="307" t="s">
        <v>25</v>
      </c>
      <c r="AO5" s="309" t="s">
        <v>1202</v>
      </c>
      <c r="AP5" s="308" t="s">
        <v>23</v>
      </c>
      <c r="AQ5" s="307" t="s">
        <v>24</v>
      </c>
      <c r="AR5" s="307" t="s">
        <v>25</v>
      </c>
      <c r="AS5" s="309" t="s">
        <v>1202</v>
      </c>
      <c r="AT5" s="307" t="s">
        <v>23</v>
      </c>
      <c r="AU5" s="307" t="s">
        <v>24</v>
      </c>
      <c r="AV5" s="307" t="s">
        <v>25</v>
      </c>
      <c r="AW5" s="309" t="s">
        <v>1202</v>
      </c>
      <c r="AX5" s="307" t="s">
        <v>23</v>
      </c>
      <c r="AY5" s="307" t="s">
        <v>24</v>
      </c>
      <c r="AZ5" s="307" t="s">
        <v>25</v>
      </c>
      <c r="BA5" s="310" t="s">
        <v>1202</v>
      </c>
    </row>
    <row r="6" spans="1:53" s="227" customFormat="1">
      <c r="A6" s="233">
        <v>1959</v>
      </c>
      <c r="B6" s="853"/>
      <c r="C6" s="925" t="s">
        <v>575</v>
      </c>
      <c r="D6" s="925"/>
      <c r="E6" s="227">
        <v>0</v>
      </c>
      <c r="G6" s="235">
        <v>12</v>
      </c>
      <c r="H6" s="227">
        <v>1</v>
      </c>
      <c r="J6" s="242">
        <v>13</v>
      </c>
      <c r="K6" s="218">
        <f t="shared" ref="K6:M8" si="0">G6/$J6*100</f>
        <v>92.307692307692307</v>
      </c>
      <c r="L6" s="218">
        <f t="shared" si="0"/>
        <v>7.6923076923076925</v>
      </c>
      <c r="M6" s="218">
        <f t="shared" si="0"/>
        <v>0</v>
      </c>
      <c r="N6" s="237">
        <f>K6+L6+M6</f>
        <v>100</v>
      </c>
      <c r="O6" s="217">
        <v>35</v>
      </c>
      <c r="P6" s="218"/>
      <c r="Q6" s="218"/>
      <c r="R6" s="219">
        <f>O6+P6+Q6</f>
        <v>35</v>
      </c>
      <c r="S6" s="227">
        <v>1</v>
      </c>
      <c r="T6" s="870"/>
      <c r="U6" s="853"/>
      <c r="V6" s="226" t="s">
        <v>333</v>
      </c>
      <c r="W6" s="227" t="s">
        <v>74</v>
      </c>
      <c r="X6" s="227" t="s">
        <v>11</v>
      </c>
      <c r="Y6" s="228">
        <v>35</v>
      </c>
      <c r="Z6" s="227" t="s">
        <v>131</v>
      </c>
      <c r="AA6" s="227" t="s">
        <v>22</v>
      </c>
      <c r="AB6" s="227" t="s">
        <v>18</v>
      </c>
      <c r="AC6" s="227">
        <v>65</v>
      </c>
      <c r="AD6" s="226"/>
      <c r="AG6" s="228"/>
      <c r="AL6" s="226"/>
      <c r="AO6" s="228"/>
      <c r="AP6" s="226"/>
      <c r="AS6" s="228"/>
      <c r="AW6" s="228"/>
      <c r="BA6" s="229"/>
    </row>
    <row r="7" spans="1:53" s="227" customFormat="1">
      <c r="A7" s="233">
        <v>1959</v>
      </c>
      <c r="B7" s="853"/>
      <c r="C7" s="925" t="s">
        <v>575</v>
      </c>
      <c r="D7" s="925"/>
      <c r="E7" s="227">
        <v>365</v>
      </c>
      <c r="G7" s="235">
        <v>12</v>
      </c>
      <c r="H7" s="227">
        <v>1</v>
      </c>
      <c r="J7" s="242">
        <v>13</v>
      </c>
      <c r="K7" s="218">
        <f t="shared" si="0"/>
        <v>92.307692307692307</v>
      </c>
      <c r="L7" s="218">
        <f t="shared" si="0"/>
        <v>7.6923076923076925</v>
      </c>
      <c r="M7" s="218">
        <f t="shared" si="0"/>
        <v>0</v>
      </c>
      <c r="N7" s="237">
        <f>K7+L7+M7</f>
        <v>100</v>
      </c>
      <c r="O7" s="217">
        <v>35</v>
      </c>
      <c r="P7" s="218"/>
      <c r="Q7" s="218"/>
      <c r="R7" s="219">
        <f>O7+P7+Q7</f>
        <v>35</v>
      </c>
      <c r="S7" s="227">
        <v>1</v>
      </c>
      <c r="T7" s="870"/>
      <c r="U7" s="853"/>
      <c r="V7" s="226" t="s">
        <v>333</v>
      </c>
      <c r="W7" s="227" t="s">
        <v>74</v>
      </c>
      <c r="X7" s="227" t="s">
        <v>11</v>
      </c>
      <c r="Y7" s="228">
        <v>35</v>
      </c>
      <c r="Z7" s="227" t="s">
        <v>131</v>
      </c>
      <c r="AA7" s="227" t="s">
        <v>22</v>
      </c>
      <c r="AB7" s="227" t="s">
        <v>18</v>
      </c>
      <c r="AC7" s="227">
        <v>65</v>
      </c>
      <c r="AD7" s="226"/>
      <c r="AG7" s="228"/>
      <c r="AL7" s="226"/>
      <c r="AO7" s="228"/>
      <c r="AP7" s="226"/>
      <c r="AS7" s="228"/>
      <c r="AW7" s="228"/>
      <c r="BA7" s="229"/>
    </row>
    <row r="8" spans="1:53" s="185" customFormat="1">
      <c r="A8" s="101">
        <v>1960</v>
      </c>
      <c r="B8" s="852"/>
      <c r="C8" s="917" t="s">
        <v>575</v>
      </c>
      <c r="D8" s="917"/>
      <c r="E8" s="185">
        <v>312</v>
      </c>
      <c r="G8" s="119">
        <v>12</v>
      </c>
      <c r="H8" s="185">
        <v>1</v>
      </c>
      <c r="J8" s="126">
        <v>13</v>
      </c>
      <c r="K8" s="92">
        <f t="shared" si="0"/>
        <v>92.307692307692307</v>
      </c>
      <c r="L8" s="92">
        <f t="shared" si="0"/>
        <v>7.6923076923076925</v>
      </c>
      <c r="M8" s="92">
        <f t="shared" si="0"/>
        <v>0</v>
      </c>
      <c r="N8" s="121">
        <f>K8+L8+M8</f>
        <v>100</v>
      </c>
      <c r="O8" s="91">
        <v>35</v>
      </c>
      <c r="P8" s="92"/>
      <c r="Q8" s="92"/>
      <c r="R8" s="93">
        <f>O8+P8+Q8</f>
        <v>35</v>
      </c>
      <c r="S8" s="185">
        <v>1</v>
      </c>
      <c r="T8" s="839"/>
      <c r="U8" s="852"/>
      <c r="V8" s="82" t="s">
        <v>333</v>
      </c>
      <c r="W8" s="185" t="s">
        <v>74</v>
      </c>
      <c r="X8" s="185" t="s">
        <v>11</v>
      </c>
      <c r="Y8" s="83">
        <v>35</v>
      </c>
      <c r="Z8" s="139" t="s">
        <v>131</v>
      </c>
      <c r="AA8" s="139" t="s">
        <v>22</v>
      </c>
      <c r="AB8" s="139" t="s">
        <v>18</v>
      </c>
      <c r="AC8" s="139">
        <v>65</v>
      </c>
      <c r="AD8" s="82"/>
      <c r="AG8" s="83"/>
      <c r="AL8" s="82"/>
      <c r="AO8" s="83"/>
      <c r="AP8" s="82"/>
      <c r="AS8" s="83"/>
      <c r="AW8" s="83"/>
      <c r="BA8" s="84"/>
    </row>
    <row r="9" spans="1:53" s="185" customFormat="1">
      <c r="A9" s="101">
        <v>1960</v>
      </c>
      <c r="B9" s="860">
        <v>22228</v>
      </c>
      <c r="C9" s="917" t="s">
        <v>575</v>
      </c>
      <c r="D9" s="917"/>
      <c r="E9" s="185">
        <v>54</v>
      </c>
      <c r="F9" s="139" t="s">
        <v>330</v>
      </c>
      <c r="G9" s="119">
        <v>12</v>
      </c>
      <c r="H9" s="185">
        <v>1</v>
      </c>
      <c r="J9" s="126">
        <v>13</v>
      </c>
      <c r="K9" s="92">
        <f t="shared" ref="K9:M69" si="1">G9/$J9*100</f>
        <v>92.307692307692307</v>
      </c>
      <c r="L9" s="92">
        <f t="shared" si="1"/>
        <v>7.6923076923076925</v>
      </c>
      <c r="M9" s="92">
        <f t="shared" si="1"/>
        <v>0</v>
      </c>
      <c r="N9" s="121">
        <f t="shared" ref="N9:N75" si="2">K9+L9+M9</f>
        <v>100</v>
      </c>
      <c r="O9" s="91">
        <v>40</v>
      </c>
      <c r="P9" s="92"/>
      <c r="Q9" s="92"/>
      <c r="R9" s="93">
        <f>O9+P9+Q9</f>
        <v>40</v>
      </c>
      <c r="S9" s="185">
        <v>1</v>
      </c>
      <c r="T9" s="839">
        <v>22228</v>
      </c>
      <c r="U9" s="852"/>
      <c r="V9" s="82" t="s">
        <v>333</v>
      </c>
      <c r="W9" s="185" t="s">
        <v>74</v>
      </c>
      <c r="X9" s="185" t="s">
        <v>11</v>
      </c>
      <c r="Y9" s="83">
        <v>40</v>
      </c>
      <c r="Z9" s="139" t="s">
        <v>131</v>
      </c>
      <c r="AA9" s="139" t="s">
        <v>22</v>
      </c>
      <c r="AB9" s="139" t="s">
        <v>18</v>
      </c>
      <c r="AC9" s="139">
        <v>60</v>
      </c>
      <c r="AD9" s="82"/>
      <c r="AG9" s="83"/>
      <c r="AL9" s="82"/>
      <c r="AO9" s="83"/>
      <c r="AP9" s="82"/>
      <c r="AS9" s="83"/>
      <c r="AW9" s="83"/>
      <c r="BA9" s="84"/>
    </row>
    <row r="10" spans="1:53" s="185" customFormat="1">
      <c r="A10" s="101">
        <v>1961</v>
      </c>
      <c r="B10" s="852"/>
      <c r="C10" s="917" t="s">
        <v>575</v>
      </c>
      <c r="D10" s="917"/>
      <c r="E10" s="185">
        <v>19</v>
      </c>
      <c r="G10" s="119">
        <v>12</v>
      </c>
      <c r="H10" s="185">
        <v>1</v>
      </c>
      <c r="J10" s="126">
        <v>13</v>
      </c>
      <c r="K10" s="92">
        <f t="shared" si="1"/>
        <v>92.307692307692307</v>
      </c>
      <c r="L10" s="92">
        <f t="shared" si="1"/>
        <v>7.6923076923076925</v>
      </c>
      <c r="M10" s="92">
        <f t="shared" si="1"/>
        <v>0</v>
      </c>
      <c r="N10" s="121">
        <f t="shared" si="2"/>
        <v>100</v>
      </c>
      <c r="O10" s="91">
        <v>40</v>
      </c>
      <c r="P10" s="92"/>
      <c r="Q10" s="92"/>
      <c r="R10" s="93">
        <f t="shared" ref="R10:R75" si="3">O10+P10+Q10</f>
        <v>40</v>
      </c>
      <c r="S10" s="185">
        <v>1</v>
      </c>
      <c r="T10" s="839"/>
      <c r="U10" s="852"/>
      <c r="V10" s="82" t="s">
        <v>333</v>
      </c>
      <c r="W10" s="185" t="s">
        <v>74</v>
      </c>
      <c r="X10" s="185" t="s">
        <v>11</v>
      </c>
      <c r="Y10" s="83">
        <v>40</v>
      </c>
      <c r="Z10" s="139" t="s">
        <v>131</v>
      </c>
      <c r="AA10" s="139" t="s">
        <v>22</v>
      </c>
      <c r="AB10" s="139" t="s">
        <v>18</v>
      </c>
      <c r="AC10" s="139">
        <v>60</v>
      </c>
      <c r="AD10" s="82"/>
      <c r="AG10" s="83"/>
      <c r="AL10" s="82"/>
      <c r="AO10" s="83"/>
      <c r="AP10" s="82"/>
      <c r="AS10" s="83"/>
      <c r="AW10" s="83"/>
      <c r="BA10" s="84"/>
    </row>
    <row r="11" spans="1:53" s="292" customFormat="1">
      <c r="A11" s="338">
        <v>1961</v>
      </c>
      <c r="B11" s="836">
        <v>22301</v>
      </c>
      <c r="C11" s="916" t="s">
        <v>576</v>
      </c>
      <c r="D11" s="916"/>
      <c r="E11" s="292">
        <f>365-E10</f>
        <v>346</v>
      </c>
      <c r="F11" s="292">
        <v>1</v>
      </c>
      <c r="G11" s="366">
        <v>1</v>
      </c>
      <c r="H11" s="292">
        <v>14</v>
      </c>
      <c r="J11" s="377">
        <v>15</v>
      </c>
      <c r="K11" s="336">
        <f t="shared" si="1"/>
        <v>6.666666666666667</v>
      </c>
      <c r="L11" s="336">
        <f t="shared" si="1"/>
        <v>93.333333333333329</v>
      </c>
      <c r="M11" s="336">
        <f t="shared" si="1"/>
        <v>0</v>
      </c>
      <c r="N11" s="368">
        <f t="shared" si="2"/>
        <v>100</v>
      </c>
      <c r="O11" s="335"/>
      <c r="P11" s="336">
        <v>60</v>
      </c>
      <c r="Q11" s="336"/>
      <c r="R11" s="337">
        <f t="shared" si="3"/>
        <v>60</v>
      </c>
      <c r="S11" s="292">
        <v>1</v>
      </c>
      <c r="T11" s="838"/>
      <c r="U11" s="836">
        <v>22301</v>
      </c>
      <c r="V11" s="299" t="s">
        <v>131</v>
      </c>
      <c r="W11" s="292" t="s">
        <v>22</v>
      </c>
      <c r="X11" s="292" t="s">
        <v>18</v>
      </c>
      <c r="Y11" s="300">
        <v>60</v>
      </c>
      <c r="Z11" s="381" t="s">
        <v>333</v>
      </c>
      <c r="AA11" s="381" t="s">
        <v>74</v>
      </c>
      <c r="AB11" s="381" t="s">
        <v>11</v>
      </c>
      <c r="AC11" s="381">
        <v>40</v>
      </c>
      <c r="AD11" s="299"/>
      <c r="AG11" s="300"/>
      <c r="AL11" s="299"/>
      <c r="AO11" s="300"/>
      <c r="AP11" s="299"/>
      <c r="AS11" s="300"/>
      <c r="AW11" s="300"/>
      <c r="BA11" s="301"/>
    </row>
    <row r="12" spans="1:53" s="292" customFormat="1">
      <c r="A12" s="338">
        <v>1962</v>
      </c>
      <c r="B12" s="836"/>
      <c r="C12" s="916" t="s">
        <v>576</v>
      </c>
      <c r="D12" s="916"/>
      <c r="E12" s="292">
        <v>309</v>
      </c>
      <c r="G12" s="366">
        <v>1</v>
      </c>
      <c r="H12" s="292">
        <v>14</v>
      </c>
      <c r="J12" s="377">
        <v>15</v>
      </c>
      <c r="K12" s="336">
        <f t="shared" si="1"/>
        <v>6.666666666666667</v>
      </c>
      <c r="L12" s="336">
        <f t="shared" si="1"/>
        <v>93.333333333333329</v>
      </c>
      <c r="M12" s="336">
        <f t="shared" si="1"/>
        <v>0</v>
      </c>
      <c r="N12" s="368">
        <f t="shared" si="2"/>
        <v>100</v>
      </c>
      <c r="O12" s="335"/>
      <c r="P12" s="336">
        <v>60</v>
      </c>
      <c r="Q12" s="336"/>
      <c r="R12" s="337">
        <f t="shared" si="3"/>
        <v>60</v>
      </c>
      <c r="S12" s="292">
        <v>1</v>
      </c>
      <c r="T12" s="838"/>
      <c r="U12" s="836"/>
      <c r="V12" s="299" t="s">
        <v>131</v>
      </c>
      <c r="W12" s="292" t="s">
        <v>22</v>
      </c>
      <c r="X12" s="292" t="s">
        <v>18</v>
      </c>
      <c r="Y12" s="300">
        <v>60</v>
      </c>
      <c r="Z12" s="381" t="s">
        <v>333</v>
      </c>
      <c r="AA12" s="381" t="s">
        <v>74</v>
      </c>
      <c r="AB12" s="381" t="s">
        <v>11</v>
      </c>
      <c r="AC12" s="381">
        <v>40</v>
      </c>
      <c r="AD12" s="299"/>
      <c r="AG12" s="300"/>
      <c r="AL12" s="299"/>
      <c r="AO12" s="300"/>
      <c r="AP12" s="299"/>
      <c r="AS12" s="300"/>
      <c r="AW12" s="300"/>
      <c r="BA12" s="301"/>
    </row>
    <row r="13" spans="1:53" s="292" customFormat="1">
      <c r="A13" s="338">
        <v>1962</v>
      </c>
      <c r="B13" s="865">
        <v>22956</v>
      </c>
      <c r="C13" s="916" t="s">
        <v>576</v>
      </c>
      <c r="D13" s="916"/>
      <c r="E13" s="292">
        <v>56</v>
      </c>
      <c r="F13" s="381" t="s">
        <v>330</v>
      </c>
      <c r="G13" s="366">
        <v>1</v>
      </c>
      <c r="H13" s="292">
        <v>14</v>
      </c>
      <c r="J13" s="377">
        <v>15</v>
      </c>
      <c r="K13" s="336">
        <f t="shared" si="1"/>
        <v>6.666666666666667</v>
      </c>
      <c r="L13" s="336">
        <f t="shared" si="1"/>
        <v>93.333333333333329</v>
      </c>
      <c r="M13" s="336">
        <f t="shared" si="1"/>
        <v>0</v>
      </c>
      <c r="N13" s="368">
        <f t="shared" si="2"/>
        <v>100</v>
      </c>
      <c r="O13" s="335"/>
      <c r="P13" s="336">
        <v>59.5</v>
      </c>
      <c r="Q13" s="336"/>
      <c r="R13" s="337">
        <f t="shared" si="3"/>
        <v>59.5</v>
      </c>
      <c r="S13" s="292">
        <v>1</v>
      </c>
      <c r="T13" s="838">
        <v>22956</v>
      </c>
      <c r="U13" s="836"/>
      <c r="V13" s="299" t="s">
        <v>131</v>
      </c>
      <c r="W13" s="292" t="s">
        <v>22</v>
      </c>
      <c r="X13" s="292" t="s">
        <v>18</v>
      </c>
      <c r="Y13" s="300">
        <v>59.5</v>
      </c>
      <c r="Z13" s="381" t="s">
        <v>333</v>
      </c>
      <c r="AA13" s="381" t="s">
        <v>74</v>
      </c>
      <c r="AB13" s="381" t="s">
        <v>11</v>
      </c>
      <c r="AC13" s="381">
        <v>40.5</v>
      </c>
      <c r="AD13" s="299"/>
      <c r="AG13" s="300"/>
      <c r="AL13" s="299"/>
      <c r="AO13" s="300"/>
      <c r="AP13" s="299"/>
      <c r="AS13" s="300"/>
      <c r="AW13" s="300"/>
      <c r="BA13" s="301"/>
    </row>
    <row r="14" spans="1:53" s="292" customFormat="1">
      <c r="A14" s="338">
        <v>1962.6</v>
      </c>
      <c r="B14" s="836"/>
      <c r="C14" s="916" t="s">
        <v>576</v>
      </c>
      <c r="D14" s="916"/>
      <c r="E14" s="292">
        <v>305</v>
      </c>
      <c r="G14" s="366">
        <v>1</v>
      </c>
      <c r="H14" s="292">
        <v>14</v>
      </c>
      <c r="J14" s="377">
        <v>15</v>
      </c>
      <c r="K14" s="336">
        <f t="shared" si="1"/>
        <v>6.666666666666667</v>
      </c>
      <c r="L14" s="336">
        <f t="shared" si="1"/>
        <v>93.333333333333329</v>
      </c>
      <c r="M14" s="336">
        <f t="shared" si="1"/>
        <v>0</v>
      </c>
      <c r="N14" s="368">
        <f t="shared" si="2"/>
        <v>100</v>
      </c>
      <c r="O14" s="335"/>
      <c r="P14" s="336">
        <v>59.5</v>
      </c>
      <c r="Q14" s="336"/>
      <c r="R14" s="337">
        <f t="shared" si="3"/>
        <v>59.5</v>
      </c>
      <c r="S14" s="292">
        <v>1</v>
      </c>
      <c r="T14" s="838"/>
      <c r="U14" s="836"/>
      <c r="V14" s="299" t="s">
        <v>131</v>
      </c>
      <c r="W14" s="292" t="s">
        <v>22</v>
      </c>
      <c r="X14" s="292" t="s">
        <v>18</v>
      </c>
      <c r="Y14" s="300">
        <v>59.5</v>
      </c>
      <c r="Z14" s="381" t="s">
        <v>333</v>
      </c>
      <c r="AA14" s="381" t="s">
        <v>74</v>
      </c>
      <c r="AB14" s="381" t="s">
        <v>11</v>
      </c>
      <c r="AC14" s="381">
        <v>40.5</v>
      </c>
      <c r="AD14" s="299"/>
      <c r="AG14" s="300"/>
      <c r="AL14" s="299"/>
      <c r="AO14" s="300"/>
      <c r="AP14" s="299"/>
      <c r="AS14" s="300"/>
      <c r="AW14" s="300"/>
      <c r="BA14" s="301"/>
    </row>
    <row r="15" spans="1:53" s="292" customFormat="1">
      <c r="A15" s="338">
        <v>1963</v>
      </c>
      <c r="B15" s="865">
        <v>23317</v>
      </c>
      <c r="C15" s="916" t="s">
        <v>576</v>
      </c>
      <c r="D15" s="916"/>
      <c r="E15" s="292">
        <v>20</v>
      </c>
      <c r="F15" s="381">
        <v>0</v>
      </c>
      <c r="G15" s="366">
        <v>1</v>
      </c>
      <c r="H15" s="292">
        <v>13</v>
      </c>
      <c r="J15" s="377">
        <v>14</v>
      </c>
      <c r="K15" s="336">
        <f t="shared" si="1"/>
        <v>7.1428571428571423</v>
      </c>
      <c r="L15" s="336">
        <f t="shared" si="1"/>
        <v>92.857142857142861</v>
      </c>
      <c r="M15" s="336">
        <f t="shared" si="1"/>
        <v>0</v>
      </c>
      <c r="N15" s="368">
        <f t="shared" si="2"/>
        <v>100</v>
      </c>
      <c r="O15" s="335"/>
      <c r="P15" s="336">
        <v>59.5</v>
      </c>
      <c r="Q15" s="336"/>
      <c r="R15" s="337">
        <f t="shared" si="3"/>
        <v>59.5</v>
      </c>
      <c r="S15" s="292">
        <v>1</v>
      </c>
      <c r="T15" s="838"/>
      <c r="U15" s="836"/>
      <c r="V15" s="299" t="s">
        <v>131</v>
      </c>
      <c r="W15" s="292" t="s">
        <v>22</v>
      </c>
      <c r="X15" s="292" t="s">
        <v>18</v>
      </c>
      <c r="Y15" s="300">
        <v>59.5</v>
      </c>
      <c r="Z15" s="381" t="s">
        <v>333</v>
      </c>
      <c r="AA15" s="381" t="s">
        <v>74</v>
      </c>
      <c r="AB15" s="381" t="s">
        <v>11</v>
      </c>
      <c r="AC15" s="381">
        <v>40.5</v>
      </c>
      <c r="AD15" s="299"/>
      <c r="AG15" s="300"/>
      <c r="AL15" s="299"/>
      <c r="AO15" s="300"/>
      <c r="AP15" s="299"/>
      <c r="AS15" s="300"/>
      <c r="AW15" s="300"/>
      <c r="BA15" s="301"/>
    </row>
    <row r="16" spans="1:53" s="185" customFormat="1">
      <c r="A16" s="101">
        <v>1963.05714285714</v>
      </c>
      <c r="B16" s="852">
        <v>23337</v>
      </c>
      <c r="C16" s="917" t="s">
        <v>577</v>
      </c>
      <c r="D16" s="917"/>
      <c r="E16" s="185">
        <f>365-E15-E14</f>
        <v>40</v>
      </c>
      <c r="F16" s="185" t="s">
        <v>338</v>
      </c>
      <c r="G16" s="119">
        <v>1</v>
      </c>
      <c r="H16" s="185">
        <v>13</v>
      </c>
      <c r="J16" s="126">
        <v>14</v>
      </c>
      <c r="K16" s="92">
        <f t="shared" si="1"/>
        <v>7.1428571428571423</v>
      </c>
      <c r="L16" s="92">
        <f t="shared" si="1"/>
        <v>92.857142857142861</v>
      </c>
      <c r="M16" s="92">
        <f t="shared" si="1"/>
        <v>0</v>
      </c>
      <c r="N16" s="121">
        <f t="shared" si="2"/>
        <v>100</v>
      </c>
      <c r="O16" s="91"/>
      <c r="P16" s="92">
        <v>59.5</v>
      </c>
      <c r="Q16" s="92"/>
      <c r="R16" s="93">
        <f t="shared" si="3"/>
        <v>59.5</v>
      </c>
      <c r="S16" s="185">
        <v>1</v>
      </c>
      <c r="T16" s="839"/>
      <c r="U16" s="852">
        <v>23337</v>
      </c>
      <c r="V16" s="82" t="s">
        <v>131</v>
      </c>
      <c r="W16" s="185" t="s">
        <v>22</v>
      </c>
      <c r="X16" s="185" t="s">
        <v>18</v>
      </c>
      <c r="Y16" s="83">
        <v>59.5</v>
      </c>
      <c r="Z16" s="139" t="s">
        <v>333</v>
      </c>
      <c r="AA16" s="139" t="s">
        <v>74</v>
      </c>
      <c r="AB16" s="139" t="s">
        <v>11</v>
      </c>
      <c r="AC16" s="139">
        <v>40.5</v>
      </c>
      <c r="AD16" s="82"/>
      <c r="AG16" s="83"/>
      <c r="AL16" s="82"/>
      <c r="AO16" s="83"/>
      <c r="AP16" s="82"/>
      <c r="AS16" s="83"/>
      <c r="AW16" s="83"/>
      <c r="BA16" s="84"/>
    </row>
    <row r="17" spans="1:53" s="185" customFormat="1">
      <c r="A17" s="101">
        <v>1963.5142857142901</v>
      </c>
      <c r="B17" s="852"/>
      <c r="C17" s="917" t="s">
        <v>577</v>
      </c>
      <c r="D17" s="917"/>
      <c r="E17" s="185">
        <v>307</v>
      </c>
      <c r="F17" s="139"/>
      <c r="G17" s="119">
        <v>1</v>
      </c>
      <c r="H17" s="185">
        <v>13</v>
      </c>
      <c r="J17" s="126">
        <v>14</v>
      </c>
      <c r="K17" s="92">
        <f t="shared" si="1"/>
        <v>7.1428571428571423</v>
      </c>
      <c r="L17" s="92">
        <f t="shared" si="1"/>
        <v>92.857142857142861</v>
      </c>
      <c r="M17" s="92">
        <f t="shared" si="1"/>
        <v>0</v>
      </c>
      <c r="N17" s="121">
        <f t="shared" si="2"/>
        <v>100</v>
      </c>
      <c r="O17" s="91"/>
      <c r="P17" s="92">
        <v>59.5</v>
      </c>
      <c r="Q17" s="92"/>
      <c r="R17" s="93">
        <f t="shared" si="3"/>
        <v>59.5</v>
      </c>
      <c r="S17" s="185">
        <v>1</v>
      </c>
      <c r="T17" s="839"/>
      <c r="U17" s="852"/>
      <c r="V17" s="82" t="s">
        <v>131</v>
      </c>
      <c r="W17" s="185" t="s">
        <v>22</v>
      </c>
      <c r="X17" s="185" t="s">
        <v>18</v>
      </c>
      <c r="Y17" s="83">
        <v>59.5</v>
      </c>
      <c r="Z17" s="139" t="s">
        <v>333</v>
      </c>
      <c r="AA17" s="139" t="s">
        <v>74</v>
      </c>
      <c r="AB17" s="139" t="s">
        <v>11</v>
      </c>
      <c r="AC17" s="139">
        <v>40.5</v>
      </c>
      <c r="AD17" s="82"/>
      <c r="AG17" s="83"/>
      <c r="AL17" s="82"/>
      <c r="AO17" s="83"/>
      <c r="AP17" s="82"/>
      <c r="AS17" s="83"/>
      <c r="AW17" s="83"/>
      <c r="BA17" s="84"/>
    </row>
    <row r="18" spans="1:53" s="185" customFormat="1">
      <c r="A18" s="101">
        <v>1963.9714285714299</v>
      </c>
      <c r="B18" s="860">
        <v>23684</v>
      </c>
      <c r="C18" s="917" t="s">
        <v>577</v>
      </c>
      <c r="D18" s="917"/>
      <c r="E18" s="185">
        <v>59</v>
      </c>
      <c r="F18" s="139" t="s">
        <v>330</v>
      </c>
      <c r="G18" s="119">
        <v>1</v>
      </c>
      <c r="H18" s="185">
        <v>13</v>
      </c>
      <c r="J18" s="126">
        <v>14</v>
      </c>
      <c r="K18" s="92">
        <f t="shared" si="1"/>
        <v>7.1428571428571423</v>
      </c>
      <c r="L18" s="92">
        <f t="shared" si="1"/>
        <v>92.857142857142861</v>
      </c>
      <c r="M18" s="92">
        <f t="shared" si="1"/>
        <v>0</v>
      </c>
      <c r="N18" s="121">
        <f t="shared" si="2"/>
        <v>100</v>
      </c>
      <c r="O18" s="91"/>
      <c r="P18" s="92">
        <v>67.8</v>
      </c>
      <c r="Q18" s="92"/>
      <c r="R18" s="93">
        <f t="shared" si="3"/>
        <v>67.8</v>
      </c>
      <c r="S18" s="185">
        <v>1</v>
      </c>
      <c r="T18" s="839">
        <v>23684</v>
      </c>
      <c r="U18" s="852"/>
      <c r="V18" s="82" t="s">
        <v>131</v>
      </c>
      <c r="W18" s="185" t="s">
        <v>22</v>
      </c>
      <c r="X18" s="185" t="s">
        <v>18</v>
      </c>
      <c r="Y18" s="83">
        <v>67.8</v>
      </c>
      <c r="Z18" s="139" t="s">
        <v>333</v>
      </c>
      <c r="AA18" s="139" t="s">
        <v>74</v>
      </c>
      <c r="AB18" s="139" t="s">
        <v>11</v>
      </c>
      <c r="AC18" s="139">
        <v>32.200000000000003</v>
      </c>
      <c r="AD18" s="82"/>
      <c r="AG18" s="83"/>
      <c r="AL18" s="82"/>
      <c r="AO18" s="83"/>
      <c r="AP18" s="82"/>
      <c r="AS18" s="83"/>
      <c r="AW18" s="83"/>
      <c r="BA18" s="84"/>
    </row>
    <row r="19" spans="1:53" s="185" customFormat="1">
      <c r="A19" s="101">
        <v>1965</v>
      </c>
      <c r="B19" s="852"/>
      <c r="C19" s="917" t="s">
        <v>577</v>
      </c>
      <c r="D19" s="917"/>
      <c r="E19" s="185">
        <v>19</v>
      </c>
      <c r="G19" s="119">
        <v>1</v>
      </c>
      <c r="H19" s="185">
        <v>13</v>
      </c>
      <c r="J19" s="126">
        <v>14</v>
      </c>
      <c r="K19" s="92">
        <f t="shared" si="1"/>
        <v>7.1428571428571423</v>
      </c>
      <c r="L19" s="92">
        <f t="shared" si="1"/>
        <v>92.857142857142861</v>
      </c>
      <c r="M19" s="92">
        <f t="shared" si="1"/>
        <v>0</v>
      </c>
      <c r="N19" s="121">
        <f t="shared" si="2"/>
        <v>100</v>
      </c>
      <c r="O19" s="91"/>
      <c r="P19" s="92">
        <v>67.8</v>
      </c>
      <c r="Q19" s="92"/>
      <c r="R19" s="93">
        <f t="shared" si="3"/>
        <v>67.8</v>
      </c>
      <c r="S19" s="185">
        <v>1</v>
      </c>
      <c r="T19" s="839"/>
      <c r="U19" s="852"/>
      <c r="V19" s="82" t="s">
        <v>131</v>
      </c>
      <c r="W19" s="185" t="s">
        <v>22</v>
      </c>
      <c r="X19" s="185" t="s">
        <v>18</v>
      </c>
      <c r="Y19" s="83">
        <v>67.8</v>
      </c>
      <c r="Z19" s="139" t="s">
        <v>333</v>
      </c>
      <c r="AA19" s="139" t="s">
        <v>74</v>
      </c>
      <c r="AB19" s="139" t="s">
        <v>11</v>
      </c>
      <c r="AC19" s="139">
        <v>32.200000000000003</v>
      </c>
      <c r="AD19" s="82"/>
      <c r="AG19" s="83"/>
      <c r="AL19" s="82"/>
      <c r="AO19" s="83"/>
      <c r="AP19" s="82"/>
      <c r="AS19" s="83"/>
      <c r="AW19" s="83"/>
      <c r="BA19" s="84"/>
    </row>
    <row r="20" spans="1:53" s="292" customFormat="1">
      <c r="A20" s="338">
        <v>1964.88571428572</v>
      </c>
      <c r="B20" s="836">
        <v>23762</v>
      </c>
      <c r="C20" s="916" t="s">
        <v>578</v>
      </c>
      <c r="D20" s="916"/>
      <c r="E20" s="292">
        <v>71</v>
      </c>
      <c r="F20" s="292">
        <v>1</v>
      </c>
      <c r="G20" s="366">
        <v>1</v>
      </c>
      <c r="H20" s="292">
        <v>14</v>
      </c>
      <c r="J20" s="377">
        <v>15</v>
      </c>
      <c r="K20" s="336">
        <f t="shared" si="1"/>
        <v>6.666666666666667</v>
      </c>
      <c r="L20" s="336">
        <f t="shared" si="1"/>
        <v>93.333333333333329</v>
      </c>
      <c r="M20" s="336">
        <f t="shared" si="1"/>
        <v>0</v>
      </c>
      <c r="N20" s="368">
        <f t="shared" si="2"/>
        <v>100</v>
      </c>
      <c r="O20" s="335"/>
      <c r="P20" s="336">
        <v>67.8</v>
      </c>
      <c r="Q20" s="336"/>
      <c r="R20" s="337">
        <f t="shared" si="3"/>
        <v>67.8</v>
      </c>
      <c r="S20" s="292">
        <v>1</v>
      </c>
      <c r="T20" s="838"/>
      <c r="U20" s="836">
        <v>23762</v>
      </c>
      <c r="V20" s="299" t="s">
        <v>131</v>
      </c>
      <c r="W20" s="292" t="s">
        <v>22</v>
      </c>
      <c r="X20" s="292" t="s">
        <v>18</v>
      </c>
      <c r="Y20" s="300">
        <v>67.8</v>
      </c>
      <c r="Z20" s="381" t="s">
        <v>333</v>
      </c>
      <c r="AA20" s="381" t="s">
        <v>74</v>
      </c>
      <c r="AB20" s="381" t="s">
        <v>11</v>
      </c>
      <c r="AC20" s="381">
        <v>32.200000000000003</v>
      </c>
      <c r="AD20" s="299"/>
      <c r="AG20" s="300"/>
      <c r="AL20" s="299"/>
      <c r="AO20" s="300"/>
      <c r="AP20" s="299"/>
      <c r="AS20" s="300"/>
      <c r="AW20" s="300"/>
      <c r="BA20" s="301"/>
    </row>
    <row r="21" spans="1:53" s="292" customFormat="1">
      <c r="A21" s="338">
        <v>1965</v>
      </c>
      <c r="B21" s="865">
        <v>23833</v>
      </c>
      <c r="C21" s="916" t="s">
        <v>578</v>
      </c>
      <c r="D21" s="916"/>
      <c r="E21" s="292">
        <v>139</v>
      </c>
      <c r="F21" s="381">
        <v>0</v>
      </c>
      <c r="G21" s="366">
        <v>2</v>
      </c>
      <c r="H21" s="292">
        <v>13</v>
      </c>
      <c r="J21" s="377">
        <v>15</v>
      </c>
      <c r="K21" s="336">
        <f t="shared" si="1"/>
        <v>13.333333333333334</v>
      </c>
      <c r="L21" s="336">
        <f t="shared" si="1"/>
        <v>86.666666666666671</v>
      </c>
      <c r="M21" s="336">
        <f t="shared" si="1"/>
        <v>0</v>
      </c>
      <c r="N21" s="368">
        <f t="shared" si="2"/>
        <v>100</v>
      </c>
      <c r="O21" s="335"/>
      <c r="P21" s="336">
        <v>67.8</v>
      </c>
      <c r="Q21" s="336"/>
      <c r="R21" s="337">
        <f t="shared" si="3"/>
        <v>67.8</v>
      </c>
      <c r="S21" s="292">
        <v>1</v>
      </c>
      <c r="T21" s="838"/>
      <c r="U21" s="836"/>
      <c r="V21" s="299" t="s">
        <v>131</v>
      </c>
      <c r="W21" s="292" t="s">
        <v>22</v>
      </c>
      <c r="X21" s="292" t="s">
        <v>18</v>
      </c>
      <c r="Y21" s="300">
        <v>67.8</v>
      </c>
      <c r="Z21" s="381" t="s">
        <v>333</v>
      </c>
      <c r="AA21" s="381" t="s">
        <v>74</v>
      </c>
      <c r="AB21" s="381" t="s">
        <v>11</v>
      </c>
      <c r="AC21" s="381">
        <v>32.200000000000003</v>
      </c>
      <c r="AD21" s="299"/>
      <c r="AG21" s="300"/>
      <c r="AL21" s="299"/>
      <c r="AO21" s="300"/>
      <c r="AP21" s="299"/>
      <c r="AS21" s="300"/>
      <c r="AW21" s="300"/>
      <c r="BA21" s="301"/>
    </row>
    <row r="22" spans="1:53" s="292" customFormat="1">
      <c r="A22" s="338">
        <v>1965</v>
      </c>
      <c r="B22" s="865">
        <v>23972</v>
      </c>
      <c r="C22" s="916" t="s">
        <v>578</v>
      </c>
      <c r="D22" s="916"/>
      <c r="E22" s="292">
        <f xml:space="preserve"> 365-E21-E20-E19</f>
        <v>136</v>
      </c>
      <c r="F22" s="381">
        <v>0</v>
      </c>
      <c r="G22" s="366">
        <v>3</v>
      </c>
      <c r="H22" s="292">
        <v>12</v>
      </c>
      <c r="J22" s="377">
        <v>15</v>
      </c>
      <c r="K22" s="336">
        <f t="shared" si="1"/>
        <v>20</v>
      </c>
      <c r="L22" s="336">
        <f t="shared" si="1"/>
        <v>80</v>
      </c>
      <c r="M22" s="336">
        <f t="shared" si="1"/>
        <v>0</v>
      </c>
      <c r="N22" s="368">
        <f t="shared" si="2"/>
        <v>100</v>
      </c>
      <c r="O22" s="335"/>
      <c r="P22" s="336">
        <v>67.8</v>
      </c>
      <c r="Q22" s="336"/>
      <c r="R22" s="337">
        <f t="shared" si="3"/>
        <v>67.8</v>
      </c>
      <c r="S22" s="292">
        <v>1</v>
      </c>
      <c r="T22" s="838"/>
      <c r="U22" s="836"/>
      <c r="V22" s="299" t="s">
        <v>131</v>
      </c>
      <c r="W22" s="292" t="s">
        <v>22</v>
      </c>
      <c r="X22" s="292" t="s">
        <v>18</v>
      </c>
      <c r="Y22" s="300">
        <v>67.8</v>
      </c>
      <c r="Z22" s="381" t="s">
        <v>333</v>
      </c>
      <c r="AA22" s="381" t="s">
        <v>74</v>
      </c>
      <c r="AB22" s="381" t="s">
        <v>11</v>
      </c>
      <c r="AC22" s="381">
        <v>32.200000000000003</v>
      </c>
      <c r="AD22" s="299"/>
      <c r="AG22" s="300"/>
      <c r="AL22" s="299"/>
      <c r="AO22" s="300"/>
      <c r="AP22" s="299"/>
      <c r="AS22" s="300"/>
      <c r="AW22" s="300"/>
      <c r="BA22" s="301"/>
    </row>
    <row r="23" spans="1:53" s="292" customFormat="1">
      <c r="A23" s="338">
        <v>1966</v>
      </c>
      <c r="B23" s="865"/>
      <c r="C23" s="916" t="s">
        <v>578</v>
      </c>
      <c r="D23" s="916"/>
      <c r="E23" s="292">
        <v>17</v>
      </c>
      <c r="F23" s="381"/>
      <c r="G23" s="366">
        <v>3</v>
      </c>
      <c r="H23" s="292">
        <v>12</v>
      </c>
      <c r="J23" s="377">
        <v>15</v>
      </c>
      <c r="K23" s="336">
        <f t="shared" si="1"/>
        <v>20</v>
      </c>
      <c r="L23" s="336">
        <f t="shared" si="1"/>
        <v>80</v>
      </c>
      <c r="M23" s="336">
        <f t="shared" si="1"/>
        <v>0</v>
      </c>
      <c r="N23" s="368">
        <f t="shared" si="2"/>
        <v>100</v>
      </c>
      <c r="O23" s="335"/>
      <c r="P23" s="336">
        <v>67.8</v>
      </c>
      <c r="Q23" s="336"/>
      <c r="R23" s="337">
        <f t="shared" si="3"/>
        <v>67.8</v>
      </c>
      <c r="S23" s="292">
        <v>1</v>
      </c>
      <c r="T23" s="838"/>
      <c r="U23" s="836"/>
      <c r="V23" s="299" t="s">
        <v>131</v>
      </c>
      <c r="W23" s="292" t="s">
        <v>22</v>
      </c>
      <c r="X23" s="292" t="s">
        <v>18</v>
      </c>
      <c r="Y23" s="300">
        <v>67.8</v>
      </c>
      <c r="Z23" s="381" t="s">
        <v>333</v>
      </c>
      <c r="AA23" s="381" t="s">
        <v>74</v>
      </c>
      <c r="AB23" s="381" t="s">
        <v>11</v>
      </c>
      <c r="AC23" s="381">
        <v>32.200000000000003</v>
      </c>
      <c r="AD23" s="299"/>
      <c r="AG23" s="300"/>
      <c r="AL23" s="299"/>
      <c r="AO23" s="300"/>
      <c r="AP23" s="299"/>
      <c r="AS23" s="300"/>
      <c r="AW23" s="300"/>
      <c r="BA23" s="301"/>
    </row>
    <row r="24" spans="1:53" s="292" customFormat="1">
      <c r="A24" s="338">
        <v>1965.8</v>
      </c>
      <c r="B24" s="865">
        <v>24125</v>
      </c>
      <c r="C24" s="916" t="s">
        <v>578</v>
      </c>
      <c r="D24" s="916"/>
      <c r="E24" s="292">
        <v>294</v>
      </c>
      <c r="F24" s="381">
        <v>0</v>
      </c>
      <c r="G24" s="366">
        <v>3</v>
      </c>
      <c r="H24" s="292">
        <v>13</v>
      </c>
      <c r="J24" s="377">
        <v>16</v>
      </c>
      <c r="K24" s="336">
        <f>G24/$J24*100</f>
        <v>18.75</v>
      </c>
      <c r="L24" s="336">
        <f>H24/$J24*100</f>
        <v>81.25</v>
      </c>
      <c r="M24" s="336">
        <f>I24/$J24*100</f>
        <v>0</v>
      </c>
      <c r="N24" s="368">
        <f>K24+L24+M24</f>
        <v>100</v>
      </c>
      <c r="O24" s="335"/>
      <c r="P24" s="336">
        <v>67.8</v>
      </c>
      <c r="Q24" s="336"/>
      <c r="R24" s="337">
        <f>O24+P24+Q24</f>
        <v>67.8</v>
      </c>
      <c r="S24" s="292">
        <v>1</v>
      </c>
      <c r="T24" s="838"/>
      <c r="U24" s="836"/>
      <c r="V24" s="299" t="s">
        <v>131</v>
      </c>
      <c r="W24" s="292" t="s">
        <v>22</v>
      </c>
      <c r="X24" s="292" t="s">
        <v>18</v>
      </c>
      <c r="Y24" s="300">
        <v>67.8</v>
      </c>
      <c r="Z24" s="381" t="s">
        <v>333</v>
      </c>
      <c r="AA24" s="381" t="s">
        <v>74</v>
      </c>
      <c r="AB24" s="381" t="s">
        <v>11</v>
      </c>
      <c r="AC24" s="381">
        <v>32.200000000000003</v>
      </c>
      <c r="AD24" s="299"/>
      <c r="AG24" s="300"/>
      <c r="AL24" s="299"/>
      <c r="AO24" s="300"/>
      <c r="AP24" s="299"/>
      <c r="AS24" s="300"/>
      <c r="AW24" s="300"/>
      <c r="BA24" s="301"/>
    </row>
    <row r="25" spans="1:53" s="292" customFormat="1">
      <c r="A25" s="338">
        <v>1965.8</v>
      </c>
      <c r="B25" s="865">
        <v>24419</v>
      </c>
      <c r="C25" s="916" t="s">
        <v>578</v>
      </c>
      <c r="D25" s="916"/>
      <c r="E25" s="292">
        <v>54</v>
      </c>
      <c r="F25" s="381" t="s">
        <v>330</v>
      </c>
      <c r="G25" s="366">
        <v>3</v>
      </c>
      <c r="H25" s="292">
        <v>13</v>
      </c>
      <c r="J25" s="377">
        <v>16</v>
      </c>
      <c r="K25" s="336">
        <f t="shared" si="1"/>
        <v>18.75</v>
      </c>
      <c r="L25" s="336">
        <f t="shared" si="1"/>
        <v>81.25</v>
      </c>
      <c r="M25" s="336">
        <f t="shared" si="1"/>
        <v>0</v>
      </c>
      <c r="N25" s="368">
        <f t="shared" si="2"/>
        <v>100</v>
      </c>
      <c r="O25" s="335"/>
      <c r="P25" s="336">
        <v>57.2</v>
      </c>
      <c r="Q25" s="336"/>
      <c r="R25" s="337">
        <f t="shared" si="3"/>
        <v>57.2</v>
      </c>
      <c r="S25" s="292">
        <v>1</v>
      </c>
      <c r="T25" s="838">
        <v>24419</v>
      </c>
      <c r="U25" s="836"/>
      <c r="V25" s="299" t="s">
        <v>131</v>
      </c>
      <c r="W25" s="292" t="s">
        <v>22</v>
      </c>
      <c r="X25" s="292" t="s">
        <v>18</v>
      </c>
      <c r="Y25" s="300">
        <v>57.2</v>
      </c>
      <c r="Z25" s="381" t="s">
        <v>333</v>
      </c>
      <c r="AA25" s="381" t="s">
        <v>74</v>
      </c>
      <c r="AB25" s="381" t="s">
        <v>11</v>
      </c>
      <c r="AC25" s="381">
        <v>42.8</v>
      </c>
      <c r="AD25" s="299"/>
      <c r="AG25" s="300"/>
      <c r="AL25" s="299"/>
      <c r="AO25" s="300"/>
      <c r="AP25" s="299"/>
      <c r="AS25" s="300"/>
      <c r="AW25" s="300"/>
      <c r="BA25" s="301"/>
    </row>
    <row r="26" spans="1:53" s="292" customFormat="1">
      <c r="A26" s="338">
        <v>1967</v>
      </c>
      <c r="B26" s="865"/>
      <c r="C26" s="916" t="s">
        <v>578</v>
      </c>
      <c r="D26" s="916"/>
      <c r="E26" s="292">
        <v>0</v>
      </c>
      <c r="F26" s="381"/>
      <c r="G26" s="366">
        <v>3</v>
      </c>
      <c r="H26" s="292">
        <v>13</v>
      </c>
      <c r="J26" s="377">
        <v>16</v>
      </c>
      <c r="K26" s="336">
        <f t="shared" si="1"/>
        <v>18.75</v>
      </c>
      <c r="L26" s="336">
        <f t="shared" si="1"/>
        <v>81.25</v>
      </c>
      <c r="M26" s="336">
        <f t="shared" si="1"/>
        <v>0</v>
      </c>
      <c r="N26" s="368">
        <f t="shared" si="2"/>
        <v>100</v>
      </c>
      <c r="O26" s="335"/>
      <c r="P26" s="336">
        <v>57.2</v>
      </c>
      <c r="Q26" s="336"/>
      <c r="R26" s="337">
        <f t="shared" si="3"/>
        <v>57.2</v>
      </c>
      <c r="S26" s="292">
        <v>1</v>
      </c>
      <c r="T26" s="838"/>
      <c r="U26" s="836"/>
      <c r="V26" s="299" t="s">
        <v>131</v>
      </c>
      <c r="W26" s="292" t="s">
        <v>22</v>
      </c>
      <c r="X26" s="292" t="s">
        <v>18</v>
      </c>
      <c r="Y26" s="300">
        <v>57.2</v>
      </c>
      <c r="Z26" s="381" t="s">
        <v>333</v>
      </c>
      <c r="AA26" s="381" t="s">
        <v>74</v>
      </c>
      <c r="AB26" s="381" t="s">
        <v>11</v>
      </c>
      <c r="AC26" s="381">
        <v>42.8</v>
      </c>
      <c r="AD26" s="299"/>
      <c r="AG26" s="300"/>
      <c r="AL26" s="299"/>
      <c r="AO26" s="300"/>
      <c r="AP26" s="299"/>
      <c r="AS26" s="300"/>
      <c r="AW26" s="300"/>
      <c r="BA26" s="301"/>
    </row>
    <row r="27" spans="1:53" s="292" customFormat="1">
      <c r="A27" s="338">
        <v>1966.7142857142901</v>
      </c>
      <c r="B27" s="865"/>
      <c r="C27" s="916" t="s">
        <v>578</v>
      </c>
      <c r="D27" s="916"/>
      <c r="E27" s="292">
        <v>365</v>
      </c>
      <c r="F27" s="381"/>
      <c r="G27" s="366">
        <v>3</v>
      </c>
      <c r="H27" s="292">
        <v>13</v>
      </c>
      <c r="J27" s="377">
        <v>16</v>
      </c>
      <c r="K27" s="336">
        <f t="shared" si="1"/>
        <v>18.75</v>
      </c>
      <c r="L27" s="336">
        <f t="shared" si="1"/>
        <v>81.25</v>
      </c>
      <c r="M27" s="336">
        <f t="shared" si="1"/>
        <v>0</v>
      </c>
      <c r="N27" s="368">
        <f t="shared" si="2"/>
        <v>100</v>
      </c>
      <c r="O27" s="335"/>
      <c r="P27" s="336">
        <v>57.2</v>
      </c>
      <c r="Q27" s="336"/>
      <c r="R27" s="337">
        <f t="shared" si="3"/>
        <v>57.2</v>
      </c>
      <c r="S27" s="292">
        <v>1</v>
      </c>
      <c r="T27" s="838"/>
      <c r="U27" s="836"/>
      <c r="V27" s="299" t="s">
        <v>131</v>
      </c>
      <c r="W27" s="292" t="s">
        <v>22</v>
      </c>
      <c r="X27" s="292" t="s">
        <v>18</v>
      </c>
      <c r="Y27" s="300">
        <v>57.2</v>
      </c>
      <c r="Z27" s="381" t="s">
        <v>333</v>
      </c>
      <c r="AA27" s="381" t="s">
        <v>74</v>
      </c>
      <c r="AB27" s="381" t="s">
        <v>11</v>
      </c>
      <c r="AC27" s="381">
        <v>42.8</v>
      </c>
      <c r="AD27" s="299"/>
      <c r="AG27" s="300"/>
      <c r="AL27" s="299"/>
      <c r="AO27" s="300"/>
      <c r="AP27" s="299"/>
      <c r="AS27" s="300"/>
      <c r="AW27" s="300"/>
      <c r="BA27" s="301"/>
    </row>
    <row r="28" spans="1:53" s="292" customFormat="1">
      <c r="A28" s="338">
        <v>1968</v>
      </c>
      <c r="B28" s="865"/>
      <c r="C28" s="916" t="s">
        <v>578</v>
      </c>
      <c r="D28" s="916"/>
      <c r="E28" s="292">
        <v>60</v>
      </c>
      <c r="F28" s="381"/>
      <c r="G28" s="366">
        <v>3</v>
      </c>
      <c r="H28" s="292">
        <v>13</v>
      </c>
      <c r="J28" s="377">
        <v>16</v>
      </c>
      <c r="K28" s="336">
        <f t="shared" si="1"/>
        <v>18.75</v>
      </c>
      <c r="L28" s="336">
        <f t="shared" si="1"/>
        <v>81.25</v>
      </c>
      <c r="M28" s="336">
        <f t="shared" si="1"/>
        <v>0</v>
      </c>
      <c r="N28" s="368">
        <f t="shared" si="2"/>
        <v>100</v>
      </c>
      <c r="O28" s="335"/>
      <c r="P28" s="336">
        <v>57.2</v>
      </c>
      <c r="Q28" s="336"/>
      <c r="R28" s="337">
        <f t="shared" si="3"/>
        <v>57.2</v>
      </c>
      <c r="S28" s="292">
        <v>1</v>
      </c>
      <c r="T28" s="838"/>
      <c r="U28" s="836"/>
      <c r="V28" s="299" t="s">
        <v>131</v>
      </c>
      <c r="W28" s="292" t="s">
        <v>22</v>
      </c>
      <c r="X28" s="292" t="s">
        <v>18</v>
      </c>
      <c r="Y28" s="300">
        <v>57.2</v>
      </c>
      <c r="Z28" s="381" t="s">
        <v>333</v>
      </c>
      <c r="AA28" s="381" t="s">
        <v>74</v>
      </c>
      <c r="AB28" s="381" t="s">
        <v>11</v>
      </c>
      <c r="AC28" s="381">
        <v>42.8</v>
      </c>
      <c r="AD28" s="299"/>
      <c r="AG28" s="300"/>
      <c r="AL28" s="299"/>
      <c r="AO28" s="300"/>
      <c r="AP28" s="299"/>
      <c r="AS28" s="300"/>
      <c r="AW28" s="300"/>
      <c r="BA28" s="301"/>
    </row>
    <row r="29" spans="1:53" s="292" customFormat="1">
      <c r="A29" s="338">
        <v>1968</v>
      </c>
      <c r="B29" s="865">
        <v>24898</v>
      </c>
      <c r="C29" s="916" t="s">
        <v>578</v>
      </c>
      <c r="D29" s="916"/>
      <c r="E29" s="292">
        <v>249</v>
      </c>
      <c r="F29" s="381">
        <v>0</v>
      </c>
      <c r="G29" s="366">
        <v>1</v>
      </c>
      <c r="H29" s="292">
        <v>15</v>
      </c>
      <c r="J29" s="377">
        <v>16</v>
      </c>
      <c r="K29" s="336">
        <f t="shared" si="1"/>
        <v>6.25</v>
      </c>
      <c r="L29" s="336">
        <f t="shared" si="1"/>
        <v>93.75</v>
      </c>
      <c r="M29" s="336">
        <f t="shared" si="1"/>
        <v>0</v>
      </c>
      <c r="N29" s="368">
        <f t="shared" si="2"/>
        <v>100</v>
      </c>
      <c r="O29" s="335"/>
      <c r="P29" s="336">
        <v>57.2</v>
      </c>
      <c r="Q29" s="336"/>
      <c r="R29" s="337">
        <f t="shared" si="3"/>
        <v>57.2</v>
      </c>
      <c r="S29" s="292">
        <v>1</v>
      </c>
      <c r="T29" s="838"/>
      <c r="U29" s="836"/>
      <c r="V29" s="299" t="s">
        <v>131</v>
      </c>
      <c r="W29" s="292" t="s">
        <v>22</v>
      </c>
      <c r="X29" s="292" t="s">
        <v>18</v>
      </c>
      <c r="Y29" s="300">
        <v>57.2</v>
      </c>
      <c r="Z29" s="381" t="s">
        <v>333</v>
      </c>
      <c r="AA29" s="381" t="s">
        <v>74</v>
      </c>
      <c r="AB29" s="381" t="s">
        <v>11</v>
      </c>
      <c r="AC29" s="381">
        <v>42.8</v>
      </c>
      <c r="AD29" s="299"/>
      <c r="AG29" s="300"/>
      <c r="AL29" s="299"/>
      <c r="AO29" s="300"/>
      <c r="AP29" s="299"/>
      <c r="AS29" s="300"/>
      <c r="AW29" s="300"/>
      <c r="BA29" s="301"/>
    </row>
    <row r="30" spans="1:53" s="292" customFormat="1">
      <c r="A30" s="338">
        <v>1967.62857142857</v>
      </c>
      <c r="B30" s="865">
        <v>25147</v>
      </c>
      <c r="C30" s="916" t="s">
        <v>578</v>
      </c>
      <c r="D30" s="916"/>
      <c r="E30" s="292">
        <v>46</v>
      </c>
      <c r="F30" s="381" t="s">
        <v>330</v>
      </c>
      <c r="G30" s="366">
        <v>1</v>
      </c>
      <c r="H30" s="292">
        <v>15</v>
      </c>
      <c r="J30" s="377">
        <v>16</v>
      </c>
      <c r="K30" s="336">
        <f>G30/$J30*100</f>
        <v>6.25</v>
      </c>
      <c r="L30" s="336">
        <f>H30/$J30*100</f>
        <v>93.75</v>
      </c>
      <c r="M30" s="336">
        <f>I30/$J30*100</f>
        <v>0</v>
      </c>
      <c r="N30" s="368">
        <f>K30+L30+M30</f>
        <v>100</v>
      </c>
      <c r="O30" s="335"/>
      <c r="P30" s="336">
        <v>55.9</v>
      </c>
      <c r="Q30" s="336"/>
      <c r="R30" s="337">
        <f>O30+P30+Q30</f>
        <v>55.9</v>
      </c>
      <c r="S30" s="292">
        <v>1</v>
      </c>
      <c r="T30" s="838">
        <v>25147</v>
      </c>
      <c r="U30" s="836"/>
      <c r="V30" s="299" t="s">
        <v>131</v>
      </c>
      <c r="W30" s="292" t="s">
        <v>22</v>
      </c>
      <c r="X30" s="292" t="s">
        <v>18</v>
      </c>
      <c r="Y30" s="300">
        <v>55.9</v>
      </c>
      <c r="Z30" s="381" t="s">
        <v>333</v>
      </c>
      <c r="AA30" s="381" t="s">
        <v>74</v>
      </c>
      <c r="AB30" s="381" t="s">
        <v>11</v>
      </c>
      <c r="AC30" s="381">
        <v>44.1</v>
      </c>
      <c r="AD30" s="299"/>
      <c r="AG30" s="300"/>
      <c r="AL30" s="299"/>
      <c r="AO30" s="300"/>
      <c r="AP30" s="299"/>
      <c r="AS30" s="300"/>
      <c r="AW30" s="300"/>
      <c r="BA30" s="301"/>
    </row>
    <row r="31" spans="1:53" s="292" customFormat="1">
      <c r="A31" s="338">
        <v>1967.62857142857</v>
      </c>
      <c r="B31" s="865">
        <v>25193</v>
      </c>
      <c r="C31" s="916" t="s">
        <v>578</v>
      </c>
      <c r="D31" s="916"/>
      <c r="E31" s="292">
        <v>11</v>
      </c>
      <c r="F31" s="381">
        <v>0</v>
      </c>
      <c r="G31" s="366"/>
      <c r="H31" s="292">
        <v>16</v>
      </c>
      <c r="J31" s="377">
        <v>16</v>
      </c>
      <c r="K31" s="336">
        <f t="shared" si="1"/>
        <v>0</v>
      </c>
      <c r="L31" s="336">
        <f t="shared" si="1"/>
        <v>100</v>
      </c>
      <c r="M31" s="336">
        <f t="shared" si="1"/>
        <v>0</v>
      </c>
      <c r="N31" s="368">
        <f t="shared" si="2"/>
        <v>100</v>
      </c>
      <c r="O31" s="335"/>
      <c r="P31" s="336">
        <v>55.9</v>
      </c>
      <c r="Q31" s="336"/>
      <c r="R31" s="337">
        <f t="shared" si="3"/>
        <v>55.9</v>
      </c>
      <c r="S31" s="292">
        <v>1</v>
      </c>
      <c r="T31" s="838"/>
      <c r="U31" s="836"/>
      <c r="V31" s="299" t="s">
        <v>131</v>
      </c>
      <c r="W31" s="292" t="s">
        <v>22</v>
      </c>
      <c r="X31" s="292" t="s">
        <v>18</v>
      </c>
      <c r="Y31" s="300">
        <v>55.9</v>
      </c>
      <c r="Z31" s="381" t="s">
        <v>333</v>
      </c>
      <c r="AA31" s="381" t="s">
        <v>74</v>
      </c>
      <c r="AB31" s="381" t="s">
        <v>11</v>
      </c>
      <c r="AC31" s="381">
        <v>44.1</v>
      </c>
      <c r="AD31" s="299"/>
      <c r="AG31" s="300"/>
      <c r="AL31" s="299"/>
      <c r="AO31" s="300"/>
      <c r="AP31" s="299"/>
      <c r="AS31" s="300"/>
      <c r="AW31" s="300"/>
      <c r="BA31" s="301"/>
    </row>
    <row r="32" spans="1:53" s="292" customFormat="1">
      <c r="A32" s="338">
        <v>1969</v>
      </c>
      <c r="B32" s="836"/>
      <c r="C32" s="916" t="s">
        <v>578</v>
      </c>
      <c r="D32" s="916"/>
      <c r="E32" s="292">
        <v>19</v>
      </c>
      <c r="G32" s="366"/>
      <c r="H32" s="292">
        <v>16</v>
      </c>
      <c r="J32" s="377">
        <v>16</v>
      </c>
      <c r="K32" s="336">
        <f t="shared" si="1"/>
        <v>0</v>
      </c>
      <c r="L32" s="336">
        <f t="shared" si="1"/>
        <v>100</v>
      </c>
      <c r="M32" s="336">
        <f t="shared" si="1"/>
        <v>0</v>
      </c>
      <c r="N32" s="368">
        <f t="shared" si="2"/>
        <v>100</v>
      </c>
      <c r="O32" s="335"/>
      <c r="P32" s="336">
        <v>55.9</v>
      </c>
      <c r="Q32" s="336"/>
      <c r="R32" s="337">
        <f t="shared" si="3"/>
        <v>55.9</v>
      </c>
      <c r="S32" s="292">
        <v>1</v>
      </c>
      <c r="T32" s="838"/>
      <c r="U32" s="836"/>
      <c r="V32" s="299" t="s">
        <v>131</v>
      </c>
      <c r="W32" s="292" t="s">
        <v>22</v>
      </c>
      <c r="X32" s="292" t="s">
        <v>18</v>
      </c>
      <c r="Y32" s="300">
        <v>55.9</v>
      </c>
      <c r="Z32" s="381" t="s">
        <v>333</v>
      </c>
      <c r="AA32" s="381" t="s">
        <v>74</v>
      </c>
      <c r="AB32" s="381" t="s">
        <v>11</v>
      </c>
      <c r="AC32" s="381">
        <v>44.1</v>
      </c>
      <c r="AD32" s="299"/>
      <c r="AG32" s="300"/>
      <c r="AL32" s="299"/>
      <c r="AO32" s="300"/>
      <c r="AP32" s="299"/>
      <c r="AS32" s="300"/>
      <c r="AW32" s="300"/>
      <c r="BA32" s="301"/>
    </row>
    <row r="33" spans="1:53" s="185" customFormat="1">
      <c r="A33" s="101">
        <v>1968.5428571428599</v>
      </c>
      <c r="B33" s="852">
        <v>25223</v>
      </c>
      <c r="C33" s="917" t="s">
        <v>579</v>
      </c>
      <c r="D33" s="917"/>
      <c r="E33" s="185">
        <f xml:space="preserve"> 365-E32</f>
        <v>346</v>
      </c>
      <c r="F33" s="185">
        <v>1</v>
      </c>
      <c r="G33" s="119">
        <v>14</v>
      </c>
      <c r="J33" s="126">
        <v>14</v>
      </c>
      <c r="K33" s="92">
        <f t="shared" si="1"/>
        <v>100</v>
      </c>
      <c r="L33" s="92">
        <f t="shared" si="1"/>
        <v>0</v>
      </c>
      <c r="M33" s="92">
        <f t="shared" si="1"/>
        <v>0</v>
      </c>
      <c r="N33" s="121">
        <f t="shared" si="2"/>
        <v>100</v>
      </c>
      <c r="O33" s="91">
        <v>44.1</v>
      </c>
      <c r="P33" s="92"/>
      <c r="Q33" s="92"/>
      <c r="R33" s="93">
        <f t="shared" si="3"/>
        <v>44.1</v>
      </c>
      <c r="S33" s="185">
        <v>1</v>
      </c>
      <c r="T33" s="839"/>
      <c r="U33" s="852">
        <v>25223</v>
      </c>
      <c r="V33" s="82" t="s">
        <v>333</v>
      </c>
      <c r="W33" s="185" t="s">
        <v>74</v>
      </c>
      <c r="X33" s="185" t="s">
        <v>11</v>
      </c>
      <c r="Y33" s="83">
        <v>44.1</v>
      </c>
      <c r="AD33" s="82"/>
      <c r="AG33" s="83"/>
      <c r="AL33" s="82"/>
      <c r="AO33" s="83"/>
      <c r="AP33" s="82"/>
      <c r="AS33" s="83"/>
      <c r="AW33" s="83"/>
      <c r="BA33" s="84"/>
    </row>
    <row r="34" spans="1:53" s="185" customFormat="1">
      <c r="A34" s="101">
        <v>1970</v>
      </c>
      <c r="B34" s="852"/>
      <c r="C34" s="917" t="s">
        <v>579</v>
      </c>
      <c r="D34" s="917"/>
      <c r="E34" s="185">
        <v>306</v>
      </c>
      <c r="G34" s="119">
        <v>14</v>
      </c>
      <c r="J34" s="126">
        <v>14</v>
      </c>
      <c r="K34" s="92">
        <f t="shared" si="1"/>
        <v>100</v>
      </c>
      <c r="L34" s="92">
        <f t="shared" si="1"/>
        <v>0</v>
      </c>
      <c r="M34" s="92">
        <f t="shared" si="1"/>
        <v>0</v>
      </c>
      <c r="N34" s="121">
        <f t="shared" si="2"/>
        <v>100</v>
      </c>
      <c r="O34" s="91">
        <v>44.1</v>
      </c>
      <c r="P34" s="92"/>
      <c r="Q34" s="92"/>
      <c r="R34" s="93">
        <f t="shared" si="3"/>
        <v>44.1</v>
      </c>
      <c r="S34" s="185">
        <v>1</v>
      </c>
      <c r="T34" s="839"/>
      <c r="U34" s="852"/>
      <c r="V34" s="82" t="s">
        <v>333</v>
      </c>
      <c r="W34" s="185" t="s">
        <v>74</v>
      </c>
      <c r="X34" s="185" t="s">
        <v>11</v>
      </c>
      <c r="Y34" s="83">
        <v>44.1</v>
      </c>
      <c r="AD34" s="82"/>
      <c r="AG34" s="83"/>
      <c r="AL34" s="82"/>
      <c r="AO34" s="83"/>
      <c r="AP34" s="82"/>
      <c r="AS34" s="83"/>
      <c r="AW34" s="83"/>
      <c r="BA34" s="84"/>
    </row>
    <row r="35" spans="1:53" s="185" customFormat="1">
      <c r="A35" s="101">
        <v>1970</v>
      </c>
      <c r="B35" s="860">
        <v>25875</v>
      </c>
      <c r="C35" s="917" t="s">
        <v>579</v>
      </c>
      <c r="D35" s="917"/>
      <c r="E35" s="185">
        <v>59</v>
      </c>
      <c r="F35" s="139" t="s">
        <v>330</v>
      </c>
      <c r="G35" s="119">
        <v>14</v>
      </c>
      <c r="J35" s="126">
        <v>14</v>
      </c>
      <c r="K35" s="92">
        <f t="shared" si="1"/>
        <v>100</v>
      </c>
      <c r="L35" s="92">
        <f t="shared" si="1"/>
        <v>0</v>
      </c>
      <c r="M35" s="92">
        <f t="shared" si="1"/>
        <v>0</v>
      </c>
      <c r="N35" s="121">
        <f t="shared" si="2"/>
        <v>100</v>
      </c>
      <c r="O35" s="91">
        <v>41.4</v>
      </c>
      <c r="P35" s="92"/>
      <c r="Q35" s="92"/>
      <c r="R35" s="93">
        <f t="shared" si="3"/>
        <v>41.4</v>
      </c>
      <c r="S35" s="185">
        <v>1</v>
      </c>
      <c r="T35" s="839">
        <v>25875</v>
      </c>
      <c r="U35" s="852"/>
      <c r="V35" s="82" t="s">
        <v>333</v>
      </c>
      <c r="W35" s="185" t="s">
        <v>74</v>
      </c>
      <c r="X35" s="185" t="s">
        <v>11</v>
      </c>
      <c r="Y35" s="83">
        <v>41.4</v>
      </c>
      <c r="AD35" s="82"/>
      <c r="AG35" s="83"/>
      <c r="AL35" s="82"/>
      <c r="AO35" s="83"/>
      <c r="AP35" s="82"/>
      <c r="AS35" s="83"/>
      <c r="AW35" s="83"/>
      <c r="BA35" s="84"/>
    </row>
    <row r="36" spans="1:53" s="185" customFormat="1">
      <c r="A36" s="101">
        <v>1971</v>
      </c>
      <c r="B36" s="852"/>
      <c r="C36" s="917" t="s">
        <v>579</v>
      </c>
      <c r="D36" s="917"/>
      <c r="E36" s="185">
        <v>0</v>
      </c>
      <c r="G36" s="119">
        <v>14</v>
      </c>
      <c r="J36" s="126">
        <v>14</v>
      </c>
      <c r="K36" s="92">
        <f t="shared" si="1"/>
        <v>100</v>
      </c>
      <c r="L36" s="92">
        <f t="shared" si="1"/>
        <v>0</v>
      </c>
      <c r="M36" s="92">
        <f t="shared" si="1"/>
        <v>0</v>
      </c>
      <c r="N36" s="121">
        <f t="shared" si="2"/>
        <v>100</v>
      </c>
      <c r="O36" s="91">
        <v>41.4</v>
      </c>
      <c r="P36" s="92"/>
      <c r="Q36" s="92"/>
      <c r="R36" s="93">
        <f t="shared" si="3"/>
        <v>41.4</v>
      </c>
      <c r="S36" s="185">
        <v>1</v>
      </c>
      <c r="T36" s="839"/>
      <c r="U36" s="852"/>
      <c r="V36" s="82" t="s">
        <v>333</v>
      </c>
      <c r="W36" s="185" t="s">
        <v>74</v>
      </c>
      <c r="X36" s="185" t="s">
        <v>11</v>
      </c>
      <c r="Y36" s="83">
        <v>41.4</v>
      </c>
      <c r="AD36" s="82"/>
      <c r="AG36" s="83"/>
      <c r="AL36" s="82"/>
      <c r="AO36" s="83"/>
      <c r="AP36" s="82"/>
      <c r="AS36" s="83"/>
      <c r="AW36" s="83"/>
      <c r="BA36" s="84"/>
    </row>
    <row r="37" spans="1:53" s="185" customFormat="1">
      <c r="A37" s="101">
        <v>1971</v>
      </c>
      <c r="B37" s="852"/>
      <c r="C37" s="917" t="s">
        <v>579</v>
      </c>
      <c r="D37" s="917"/>
      <c r="E37" s="185">
        <v>365</v>
      </c>
      <c r="G37" s="119">
        <v>14</v>
      </c>
      <c r="J37" s="126">
        <v>14</v>
      </c>
      <c r="K37" s="92">
        <f t="shared" si="1"/>
        <v>100</v>
      </c>
      <c r="L37" s="92">
        <f t="shared" si="1"/>
        <v>0</v>
      </c>
      <c r="M37" s="92">
        <f t="shared" si="1"/>
        <v>0</v>
      </c>
      <c r="N37" s="121">
        <f t="shared" si="2"/>
        <v>100</v>
      </c>
      <c r="O37" s="91">
        <v>41.4</v>
      </c>
      <c r="P37" s="92"/>
      <c r="Q37" s="92"/>
      <c r="R37" s="93">
        <f t="shared" si="3"/>
        <v>41.4</v>
      </c>
      <c r="S37" s="185">
        <v>1</v>
      </c>
      <c r="T37" s="839"/>
      <c r="U37" s="852"/>
      <c r="V37" s="82" t="s">
        <v>333</v>
      </c>
      <c r="W37" s="185" t="s">
        <v>74</v>
      </c>
      <c r="X37" s="185" t="s">
        <v>11</v>
      </c>
      <c r="Y37" s="83">
        <v>41.4</v>
      </c>
      <c r="AD37" s="82"/>
      <c r="AG37" s="83"/>
      <c r="AL37" s="82"/>
      <c r="AO37" s="83"/>
      <c r="AP37" s="82"/>
      <c r="AS37" s="83"/>
      <c r="AW37" s="83"/>
      <c r="BA37" s="84"/>
    </row>
    <row r="38" spans="1:53" s="185" customFormat="1">
      <c r="A38" s="101">
        <v>1972</v>
      </c>
      <c r="B38" s="852"/>
      <c r="C38" s="917" t="s">
        <v>579</v>
      </c>
      <c r="D38" s="917"/>
      <c r="E38" s="185">
        <v>311</v>
      </c>
      <c r="G38" s="119">
        <v>14</v>
      </c>
      <c r="J38" s="126">
        <v>14</v>
      </c>
      <c r="K38" s="92">
        <f t="shared" si="1"/>
        <v>100</v>
      </c>
      <c r="L38" s="92">
        <f t="shared" si="1"/>
        <v>0</v>
      </c>
      <c r="M38" s="92">
        <f t="shared" si="1"/>
        <v>0</v>
      </c>
      <c r="N38" s="121">
        <f t="shared" si="2"/>
        <v>100</v>
      </c>
      <c r="O38" s="91">
        <v>41.4</v>
      </c>
      <c r="P38" s="92"/>
      <c r="Q38" s="92"/>
      <c r="R38" s="93">
        <f t="shared" si="3"/>
        <v>41.4</v>
      </c>
      <c r="S38" s="185">
        <v>1</v>
      </c>
      <c r="T38" s="839"/>
      <c r="U38" s="852"/>
      <c r="V38" s="82" t="s">
        <v>333</v>
      </c>
      <c r="W38" s="185" t="s">
        <v>74</v>
      </c>
      <c r="X38" s="185" t="s">
        <v>11</v>
      </c>
      <c r="Y38" s="83">
        <v>41.4</v>
      </c>
      <c r="AD38" s="82"/>
      <c r="AG38" s="83"/>
      <c r="AL38" s="82"/>
      <c r="AO38" s="83"/>
      <c r="AP38" s="82"/>
      <c r="AS38" s="83"/>
      <c r="AW38" s="83"/>
      <c r="BA38" s="84"/>
    </row>
    <row r="39" spans="1:53" s="185" customFormat="1">
      <c r="A39" s="101">
        <v>1972</v>
      </c>
      <c r="B39" s="860">
        <v>26610</v>
      </c>
      <c r="C39" s="917" t="s">
        <v>579</v>
      </c>
      <c r="D39" s="917"/>
      <c r="E39" s="185">
        <v>55</v>
      </c>
      <c r="F39" s="139" t="s">
        <v>330</v>
      </c>
      <c r="G39" s="119">
        <v>14</v>
      </c>
      <c r="J39" s="126">
        <v>14</v>
      </c>
      <c r="K39" s="92">
        <f t="shared" si="1"/>
        <v>100</v>
      </c>
      <c r="L39" s="92">
        <f t="shared" si="1"/>
        <v>0</v>
      </c>
      <c r="M39" s="92">
        <f t="shared" si="1"/>
        <v>0</v>
      </c>
      <c r="N39" s="121">
        <f t="shared" si="2"/>
        <v>100</v>
      </c>
      <c r="O39" s="91">
        <v>44.1</v>
      </c>
      <c r="P39" s="92"/>
      <c r="Q39" s="92"/>
      <c r="R39" s="93">
        <f t="shared" si="3"/>
        <v>44.1</v>
      </c>
      <c r="S39" s="185">
        <v>1</v>
      </c>
      <c r="T39" s="839">
        <v>26610</v>
      </c>
      <c r="U39" s="852"/>
      <c r="V39" s="82" t="s">
        <v>333</v>
      </c>
      <c r="W39" s="185" t="s">
        <v>74</v>
      </c>
      <c r="X39" s="185" t="s">
        <v>11</v>
      </c>
      <c r="Y39" s="83">
        <v>44.1</v>
      </c>
      <c r="AD39" s="82"/>
      <c r="AG39" s="83"/>
      <c r="AL39" s="82"/>
      <c r="AO39" s="83"/>
      <c r="AP39" s="82"/>
      <c r="AS39" s="83"/>
      <c r="AW39" s="83"/>
      <c r="BA39" s="84"/>
    </row>
    <row r="40" spans="1:53" s="185" customFormat="1">
      <c r="A40" s="101">
        <v>1973</v>
      </c>
      <c r="B40" s="852"/>
      <c r="C40" s="917" t="s">
        <v>579</v>
      </c>
      <c r="D40" s="917"/>
      <c r="E40" s="185">
        <v>19</v>
      </c>
      <c r="G40" s="119">
        <v>14</v>
      </c>
      <c r="J40" s="126">
        <v>14</v>
      </c>
      <c r="K40" s="92">
        <f t="shared" si="1"/>
        <v>100</v>
      </c>
      <c r="L40" s="92">
        <f t="shared" si="1"/>
        <v>0</v>
      </c>
      <c r="M40" s="92">
        <f t="shared" si="1"/>
        <v>0</v>
      </c>
      <c r="N40" s="121">
        <f t="shared" si="2"/>
        <v>100</v>
      </c>
      <c r="O40" s="91">
        <v>44.1</v>
      </c>
      <c r="P40" s="92"/>
      <c r="Q40" s="92"/>
      <c r="R40" s="93">
        <f t="shared" si="3"/>
        <v>44.1</v>
      </c>
      <c r="S40" s="185">
        <v>1</v>
      </c>
      <c r="T40" s="839"/>
      <c r="U40" s="852"/>
      <c r="V40" s="82" t="s">
        <v>333</v>
      </c>
      <c r="W40" s="185" t="s">
        <v>74</v>
      </c>
      <c r="X40" s="185" t="s">
        <v>11</v>
      </c>
      <c r="Y40" s="83">
        <v>44.1</v>
      </c>
      <c r="AD40" s="82"/>
      <c r="AG40" s="83"/>
      <c r="AL40" s="82"/>
      <c r="AO40" s="83"/>
      <c r="AP40" s="82"/>
      <c r="AS40" s="83"/>
      <c r="AW40" s="83"/>
      <c r="BA40" s="84"/>
    </row>
    <row r="41" spans="1:53" s="292" customFormat="1">
      <c r="A41" s="338">
        <v>1973</v>
      </c>
      <c r="B41" s="836">
        <v>26684</v>
      </c>
      <c r="C41" s="916" t="s">
        <v>580</v>
      </c>
      <c r="D41" s="916"/>
      <c r="E41" s="292">
        <v>13</v>
      </c>
      <c r="F41" s="292">
        <v>1</v>
      </c>
      <c r="G41" s="366">
        <v>14</v>
      </c>
      <c r="J41" s="377">
        <v>14</v>
      </c>
      <c r="K41" s="336">
        <f t="shared" si="1"/>
        <v>100</v>
      </c>
      <c r="L41" s="336">
        <f t="shared" si="1"/>
        <v>0</v>
      </c>
      <c r="M41" s="336">
        <f t="shared" si="1"/>
        <v>0</v>
      </c>
      <c r="N41" s="368">
        <f t="shared" si="2"/>
        <v>100</v>
      </c>
      <c r="O41" s="335">
        <v>44.1</v>
      </c>
      <c r="P41" s="336"/>
      <c r="Q41" s="336"/>
      <c r="R41" s="337">
        <f t="shared" si="3"/>
        <v>44.1</v>
      </c>
      <c r="S41" s="292">
        <v>1</v>
      </c>
      <c r="T41" s="838"/>
      <c r="U41" s="836">
        <v>26684</v>
      </c>
      <c r="V41" s="299" t="s">
        <v>333</v>
      </c>
      <c r="W41" s="292" t="s">
        <v>74</v>
      </c>
      <c r="X41" s="292" t="s">
        <v>11</v>
      </c>
      <c r="Y41" s="300">
        <v>44.1</v>
      </c>
      <c r="AD41" s="299"/>
      <c r="AG41" s="300"/>
      <c r="AL41" s="299"/>
      <c r="AO41" s="300"/>
      <c r="AP41" s="299"/>
      <c r="AS41" s="300"/>
      <c r="AW41" s="300"/>
      <c r="BA41" s="301"/>
    </row>
    <row r="42" spans="1:53" s="292" customFormat="1">
      <c r="A42" s="338">
        <v>1973</v>
      </c>
      <c r="B42" s="865">
        <v>26697</v>
      </c>
      <c r="C42" s="916" t="s">
        <v>580</v>
      </c>
      <c r="D42" s="916"/>
      <c r="E42" s="292">
        <f xml:space="preserve"> 365-E41-E40</f>
        <v>333</v>
      </c>
      <c r="F42" s="381">
        <v>0</v>
      </c>
      <c r="G42" s="366">
        <v>13</v>
      </c>
      <c r="H42" s="292">
        <v>1</v>
      </c>
      <c r="J42" s="377">
        <v>14</v>
      </c>
      <c r="K42" s="336">
        <f t="shared" si="1"/>
        <v>92.857142857142861</v>
      </c>
      <c r="L42" s="336">
        <f t="shared" si="1"/>
        <v>7.1428571428571423</v>
      </c>
      <c r="M42" s="336">
        <f t="shared" si="1"/>
        <v>0</v>
      </c>
      <c r="N42" s="368">
        <f t="shared" si="2"/>
        <v>100</v>
      </c>
      <c r="O42" s="335">
        <v>44.1</v>
      </c>
      <c r="P42" s="336"/>
      <c r="Q42" s="336"/>
      <c r="R42" s="337">
        <f t="shared" si="3"/>
        <v>44.1</v>
      </c>
      <c r="S42" s="292">
        <v>1</v>
      </c>
      <c r="T42" s="838"/>
      <c r="U42" s="836"/>
      <c r="V42" s="299" t="s">
        <v>333</v>
      </c>
      <c r="W42" s="292" t="s">
        <v>74</v>
      </c>
      <c r="X42" s="292" t="s">
        <v>11</v>
      </c>
      <c r="Y42" s="300">
        <v>44.1</v>
      </c>
      <c r="Z42" s="381" t="s">
        <v>131</v>
      </c>
      <c r="AA42" s="381" t="s">
        <v>22</v>
      </c>
      <c r="AB42" s="381" t="s">
        <v>18</v>
      </c>
      <c r="AC42" s="381">
        <v>55.9</v>
      </c>
      <c r="AD42" s="299"/>
      <c r="AG42" s="300"/>
      <c r="AL42" s="299"/>
      <c r="AO42" s="300"/>
      <c r="AP42" s="299"/>
      <c r="AS42" s="300"/>
      <c r="AW42" s="300"/>
      <c r="BA42" s="301"/>
    </row>
    <row r="43" spans="1:53" s="292" customFormat="1">
      <c r="A43" s="338">
        <v>1974</v>
      </c>
      <c r="B43" s="836"/>
      <c r="C43" s="916" t="s">
        <v>580</v>
      </c>
      <c r="D43" s="916"/>
      <c r="E43" s="292">
        <v>220</v>
      </c>
      <c r="G43" s="366">
        <v>13</v>
      </c>
      <c r="H43" s="292">
        <v>1</v>
      </c>
      <c r="J43" s="377">
        <v>14</v>
      </c>
      <c r="K43" s="336">
        <f t="shared" si="1"/>
        <v>92.857142857142861</v>
      </c>
      <c r="L43" s="336">
        <f t="shared" si="1"/>
        <v>7.1428571428571423</v>
      </c>
      <c r="M43" s="336">
        <f t="shared" si="1"/>
        <v>0</v>
      </c>
      <c r="N43" s="368">
        <f t="shared" si="2"/>
        <v>100</v>
      </c>
      <c r="O43" s="335">
        <v>44.1</v>
      </c>
      <c r="P43" s="336"/>
      <c r="Q43" s="336"/>
      <c r="R43" s="337">
        <f t="shared" si="3"/>
        <v>44.1</v>
      </c>
      <c r="S43" s="292">
        <v>1</v>
      </c>
      <c r="T43" s="838"/>
      <c r="U43" s="836"/>
      <c r="V43" s="299" t="s">
        <v>333</v>
      </c>
      <c r="W43" s="292" t="s">
        <v>74</v>
      </c>
      <c r="X43" s="292" t="s">
        <v>11</v>
      </c>
      <c r="Y43" s="300">
        <v>44.1</v>
      </c>
      <c r="Z43" s="381" t="s">
        <v>131</v>
      </c>
      <c r="AA43" s="381" t="s">
        <v>22</v>
      </c>
      <c r="AB43" s="381" t="s">
        <v>18</v>
      </c>
      <c r="AC43" s="381">
        <v>55.9</v>
      </c>
      <c r="AD43" s="299"/>
      <c r="AG43" s="300"/>
      <c r="AL43" s="299"/>
      <c r="AO43" s="300"/>
      <c r="AP43" s="299"/>
      <c r="AS43" s="300"/>
      <c r="AW43" s="300"/>
      <c r="BA43" s="301"/>
    </row>
    <row r="44" spans="1:53" s="185" customFormat="1">
      <c r="A44" s="101">
        <v>1974</v>
      </c>
      <c r="B44" s="852">
        <v>27250</v>
      </c>
      <c r="C44" s="917" t="s">
        <v>581</v>
      </c>
      <c r="D44" s="917"/>
      <c r="E44" s="185">
        <v>88</v>
      </c>
      <c r="F44" s="185">
        <v>2</v>
      </c>
      <c r="G44" s="119">
        <v>12</v>
      </c>
      <c r="H44" s="185">
        <v>1</v>
      </c>
      <c r="J44" s="126">
        <v>13</v>
      </c>
      <c r="K44" s="92">
        <f>G44/$J44*100</f>
        <v>92.307692307692307</v>
      </c>
      <c r="L44" s="92">
        <f>H44/$J44*100</f>
        <v>7.6923076923076925</v>
      </c>
      <c r="M44" s="92">
        <f>I44/$J44*100</f>
        <v>0</v>
      </c>
      <c r="N44" s="121">
        <f>K44+L44+M44</f>
        <v>100</v>
      </c>
      <c r="O44" s="91">
        <v>44.1</v>
      </c>
      <c r="P44" s="92"/>
      <c r="Q44" s="92"/>
      <c r="R44" s="93">
        <f t="shared" si="3"/>
        <v>44.1</v>
      </c>
      <c r="S44" s="185">
        <v>1</v>
      </c>
      <c r="T44" s="839"/>
      <c r="U44" s="852">
        <v>27250</v>
      </c>
      <c r="V44" s="82" t="s">
        <v>333</v>
      </c>
      <c r="W44" s="185" t="s">
        <v>74</v>
      </c>
      <c r="X44" s="185" t="s">
        <v>11</v>
      </c>
      <c r="Y44" s="83">
        <v>44.1</v>
      </c>
      <c r="Z44" s="139" t="s">
        <v>131</v>
      </c>
      <c r="AA44" s="139" t="s">
        <v>22</v>
      </c>
      <c r="AB44" s="139" t="s">
        <v>18</v>
      </c>
      <c r="AC44" s="139">
        <v>55.9</v>
      </c>
      <c r="AD44" s="82"/>
      <c r="AG44" s="83"/>
      <c r="AL44" s="82"/>
      <c r="AO44" s="83"/>
      <c r="AP44" s="82"/>
      <c r="AS44" s="83"/>
      <c r="AW44" s="83"/>
      <c r="BA44" s="84"/>
    </row>
    <row r="45" spans="1:53" s="185" customFormat="1">
      <c r="A45" s="101">
        <v>1974</v>
      </c>
      <c r="B45" s="882">
        <v>27338</v>
      </c>
      <c r="C45" s="917" t="s">
        <v>581</v>
      </c>
      <c r="D45" s="917"/>
      <c r="E45" s="185">
        <v>57</v>
      </c>
      <c r="F45" s="139" t="s">
        <v>330</v>
      </c>
      <c r="G45" s="119">
        <v>12</v>
      </c>
      <c r="H45" s="185">
        <v>1</v>
      </c>
      <c r="J45" s="126">
        <v>13</v>
      </c>
      <c r="K45" s="92">
        <f t="shared" si="1"/>
        <v>92.307692307692307</v>
      </c>
      <c r="L45" s="92">
        <f t="shared" si="1"/>
        <v>7.6923076923076925</v>
      </c>
      <c r="M45" s="92">
        <f t="shared" si="1"/>
        <v>0</v>
      </c>
      <c r="N45" s="121">
        <f t="shared" si="2"/>
        <v>100</v>
      </c>
      <c r="O45" s="91">
        <v>33.1</v>
      </c>
      <c r="P45" s="92"/>
      <c r="Q45" s="92"/>
      <c r="R45" s="93">
        <f t="shared" si="3"/>
        <v>33.1</v>
      </c>
      <c r="S45" s="185">
        <v>1</v>
      </c>
      <c r="T45" s="839">
        <v>27338</v>
      </c>
      <c r="U45" s="852"/>
      <c r="V45" s="82" t="s">
        <v>333</v>
      </c>
      <c r="W45" s="185" t="s">
        <v>74</v>
      </c>
      <c r="X45" s="185" t="s">
        <v>11</v>
      </c>
      <c r="Y45" s="83">
        <v>33.1</v>
      </c>
      <c r="Z45" s="139" t="s">
        <v>131</v>
      </c>
      <c r="AA45" s="139" t="s">
        <v>22</v>
      </c>
      <c r="AB45" s="139" t="s">
        <v>18</v>
      </c>
      <c r="AC45" s="139">
        <v>66.900000000000006</v>
      </c>
      <c r="AD45" s="82"/>
      <c r="AG45" s="83"/>
      <c r="AL45" s="82"/>
      <c r="AO45" s="83"/>
      <c r="AP45" s="82"/>
      <c r="AS45" s="83"/>
      <c r="AW45" s="83"/>
      <c r="BA45" s="84"/>
    </row>
    <row r="46" spans="1:53" s="185" customFormat="1">
      <c r="A46" s="101">
        <v>1975</v>
      </c>
      <c r="B46" s="852"/>
      <c r="C46" s="917" t="s">
        <v>581</v>
      </c>
      <c r="D46" s="917"/>
      <c r="E46" s="185">
        <v>37</v>
      </c>
      <c r="G46" s="119">
        <v>12</v>
      </c>
      <c r="H46" s="185">
        <v>1</v>
      </c>
      <c r="J46" s="126">
        <v>13</v>
      </c>
      <c r="K46" s="92">
        <f t="shared" si="1"/>
        <v>92.307692307692307</v>
      </c>
      <c r="L46" s="92">
        <f t="shared" si="1"/>
        <v>7.6923076923076925</v>
      </c>
      <c r="M46" s="92">
        <f t="shared" si="1"/>
        <v>0</v>
      </c>
      <c r="N46" s="121">
        <f t="shared" si="2"/>
        <v>100</v>
      </c>
      <c r="O46" s="91">
        <v>33.1</v>
      </c>
      <c r="P46" s="92"/>
      <c r="Q46" s="92"/>
      <c r="R46" s="93">
        <f t="shared" si="3"/>
        <v>33.1</v>
      </c>
      <c r="S46" s="185">
        <v>1</v>
      </c>
      <c r="T46" s="839"/>
      <c r="U46" s="852"/>
      <c r="V46" s="82" t="s">
        <v>333</v>
      </c>
      <c r="W46" s="185" t="s">
        <v>74</v>
      </c>
      <c r="X46" s="185" t="s">
        <v>11</v>
      </c>
      <c r="Y46" s="83">
        <v>33.1</v>
      </c>
      <c r="Z46" s="139" t="s">
        <v>131</v>
      </c>
      <c r="AA46" s="139" t="s">
        <v>22</v>
      </c>
      <c r="AB46" s="139" t="s">
        <v>18</v>
      </c>
      <c r="AC46" s="139">
        <v>66.900000000000006</v>
      </c>
      <c r="AD46" s="82"/>
      <c r="AG46" s="83"/>
      <c r="AL46" s="82"/>
      <c r="AO46" s="83"/>
      <c r="AP46" s="82"/>
      <c r="AS46" s="83"/>
      <c r="AW46" s="83"/>
      <c r="BA46" s="84"/>
    </row>
    <row r="47" spans="1:53" s="185" customFormat="1">
      <c r="A47" s="101">
        <v>1975</v>
      </c>
      <c r="B47" s="860">
        <v>27432</v>
      </c>
      <c r="C47" s="917" t="s">
        <v>581</v>
      </c>
      <c r="D47" s="917"/>
      <c r="E47" s="185">
        <v>182</v>
      </c>
      <c r="F47" s="139">
        <v>0</v>
      </c>
      <c r="G47" s="119">
        <v>11</v>
      </c>
      <c r="H47" s="185">
        <v>2</v>
      </c>
      <c r="J47" s="126">
        <v>13</v>
      </c>
      <c r="K47" s="92">
        <f t="shared" si="1"/>
        <v>84.615384615384613</v>
      </c>
      <c r="L47" s="92">
        <f t="shared" si="1"/>
        <v>15.384615384615385</v>
      </c>
      <c r="M47" s="92">
        <f t="shared" si="1"/>
        <v>0</v>
      </c>
      <c r="N47" s="121">
        <f t="shared" si="2"/>
        <v>100</v>
      </c>
      <c r="O47" s="91">
        <v>33.1</v>
      </c>
      <c r="P47" s="92"/>
      <c r="Q47" s="92"/>
      <c r="R47" s="93">
        <f t="shared" si="3"/>
        <v>33.1</v>
      </c>
      <c r="S47" s="185">
        <v>1</v>
      </c>
      <c r="T47" s="839"/>
      <c r="U47" s="852"/>
      <c r="V47" s="82" t="s">
        <v>333</v>
      </c>
      <c r="W47" s="185" t="s">
        <v>74</v>
      </c>
      <c r="X47" s="185" t="s">
        <v>11</v>
      </c>
      <c r="Y47" s="83">
        <v>33.1</v>
      </c>
      <c r="Z47" s="139" t="s">
        <v>131</v>
      </c>
      <c r="AA47" s="139" t="s">
        <v>22</v>
      </c>
      <c r="AB47" s="139" t="s">
        <v>18</v>
      </c>
      <c r="AC47" s="139">
        <v>66.900000000000006</v>
      </c>
      <c r="AD47" s="82"/>
      <c r="AG47" s="83"/>
      <c r="AL47" s="82"/>
      <c r="AO47" s="83"/>
      <c r="AP47" s="82"/>
      <c r="AS47" s="83"/>
      <c r="AW47" s="83"/>
      <c r="BA47" s="84"/>
    </row>
    <row r="48" spans="1:53" s="185" customFormat="1">
      <c r="A48" s="101">
        <v>1975</v>
      </c>
      <c r="B48" s="860">
        <v>27614</v>
      </c>
      <c r="C48" s="917" t="s">
        <v>581</v>
      </c>
      <c r="D48" s="917"/>
      <c r="E48" s="185">
        <f xml:space="preserve"> 365-E47-E46</f>
        <v>146</v>
      </c>
      <c r="F48" s="139">
        <v>0</v>
      </c>
      <c r="G48" s="119">
        <v>10</v>
      </c>
      <c r="H48" s="185">
        <v>3</v>
      </c>
      <c r="J48" s="126">
        <v>13</v>
      </c>
      <c r="K48" s="92">
        <f t="shared" si="1"/>
        <v>76.923076923076934</v>
      </c>
      <c r="L48" s="92">
        <f t="shared" si="1"/>
        <v>23.076923076923077</v>
      </c>
      <c r="M48" s="92">
        <f t="shared" si="1"/>
        <v>0</v>
      </c>
      <c r="N48" s="121">
        <f t="shared" si="2"/>
        <v>100.00000000000001</v>
      </c>
      <c r="O48" s="91">
        <v>33.1</v>
      </c>
      <c r="P48" s="92"/>
      <c r="Q48" s="92"/>
      <c r="R48" s="93">
        <f t="shared" si="3"/>
        <v>33.1</v>
      </c>
      <c r="S48" s="185">
        <v>1</v>
      </c>
      <c r="T48" s="839"/>
      <c r="U48" s="852"/>
      <c r="V48" s="82" t="s">
        <v>333</v>
      </c>
      <c r="W48" s="185" t="s">
        <v>74</v>
      </c>
      <c r="X48" s="185" t="s">
        <v>11</v>
      </c>
      <c r="Y48" s="83">
        <v>33.1</v>
      </c>
      <c r="Z48" s="139" t="s">
        <v>131</v>
      </c>
      <c r="AA48" s="139" t="s">
        <v>22</v>
      </c>
      <c r="AB48" s="139" t="s">
        <v>18</v>
      </c>
      <c r="AC48" s="139">
        <v>66.900000000000006</v>
      </c>
      <c r="AD48" s="82"/>
      <c r="AG48" s="83"/>
      <c r="AL48" s="82"/>
      <c r="AO48" s="83"/>
      <c r="AP48" s="82"/>
      <c r="AS48" s="83"/>
      <c r="AW48" s="83"/>
      <c r="BA48" s="84"/>
    </row>
    <row r="49" spans="1:53" s="185" customFormat="1">
      <c r="A49" s="101">
        <v>1976</v>
      </c>
      <c r="B49" s="852"/>
      <c r="C49" s="917" t="s">
        <v>581</v>
      </c>
      <c r="D49" s="917"/>
      <c r="E49" s="185">
        <v>306</v>
      </c>
      <c r="G49" s="119">
        <v>10</v>
      </c>
      <c r="H49" s="185">
        <v>3</v>
      </c>
      <c r="J49" s="126">
        <v>13</v>
      </c>
      <c r="K49" s="92">
        <f t="shared" si="1"/>
        <v>76.923076923076934</v>
      </c>
      <c r="L49" s="92">
        <f t="shared" si="1"/>
        <v>23.076923076923077</v>
      </c>
      <c r="M49" s="92">
        <f t="shared" si="1"/>
        <v>0</v>
      </c>
      <c r="N49" s="121">
        <f t="shared" si="2"/>
        <v>100.00000000000001</v>
      </c>
      <c r="O49" s="91">
        <v>33.1</v>
      </c>
      <c r="P49" s="92"/>
      <c r="Q49" s="92"/>
      <c r="R49" s="93">
        <f t="shared" si="3"/>
        <v>33.1</v>
      </c>
      <c r="S49" s="185">
        <v>1</v>
      </c>
      <c r="T49" s="839"/>
      <c r="U49" s="852"/>
      <c r="V49" s="82" t="s">
        <v>333</v>
      </c>
      <c r="W49" s="185" t="s">
        <v>74</v>
      </c>
      <c r="X49" s="185" t="s">
        <v>11</v>
      </c>
      <c r="Y49" s="83">
        <v>33.1</v>
      </c>
      <c r="Z49" s="139" t="s">
        <v>131</v>
      </c>
      <c r="AA49" s="139" t="s">
        <v>22</v>
      </c>
      <c r="AB49" s="139" t="s">
        <v>18</v>
      </c>
      <c r="AC49" s="139">
        <v>66.900000000000006</v>
      </c>
      <c r="AD49" s="82"/>
      <c r="AG49" s="83"/>
      <c r="AL49" s="82"/>
      <c r="AO49" s="83"/>
      <c r="AP49" s="82"/>
      <c r="AS49" s="83"/>
      <c r="AW49" s="83"/>
      <c r="BA49" s="84"/>
    </row>
    <row r="50" spans="1:53" s="185" customFormat="1">
      <c r="A50" s="101">
        <v>1976</v>
      </c>
      <c r="B50" s="860">
        <v>28066</v>
      </c>
      <c r="C50" s="917" t="s">
        <v>581</v>
      </c>
      <c r="D50" s="917"/>
      <c r="E50" s="185">
        <v>60</v>
      </c>
      <c r="F50" s="139" t="s">
        <v>330</v>
      </c>
      <c r="G50" s="119">
        <v>10</v>
      </c>
      <c r="H50" s="185">
        <v>3</v>
      </c>
      <c r="J50" s="126">
        <v>13</v>
      </c>
      <c r="K50" s="92">
        <f t="shared" si="1"/>
        <v>76.923076923076934</v>
      </c>
      <c r="L50" s="92">
        <f t="shared" si="1"/>
        <v>23.076923076923077</v>
      </c>
      <c r="M50" s="92">
        <f t="shared" si="1"/>
        <v>0</v>
      </c>
      <c r="N50" s="121">
        <f t="shared" si="2"/>
        <v>100.00000000000001</v>
      </c>
      <c r="O50" s="91">
        <v>32.9</v>
      </c>
      <c r="P50" s="92"/>
      <c r="Q50" s="92"/>
      <c r="R50" s="93">
        <f t="shared" si="3"/>
        <v>32.9</v>
      </c>
      <c r="S50" s="185">
        <v>1</v>
      </c>
      <c r="T50" s="839">
        <v>28066</v>
      </c>
      <c r="U50" s="852"/>
      <c r="V50" s="82" t="s">
        <v>333</v>
      </c>
      <c r="W50" s="185" t="s">
        <v>74</v>
      </c>
      <c r="X50" s="185" t="s">
        <v>11</v>
      </c>
      <c r="Y50" s="83">
        <v>32.9</v>
      </c>
      <c r="Z50" s="139" t="s">
        <v>131</v>
      </c>
      <c r="AA50" s="139" t="s">
        <v>22</v>
      </c>
      <c r="AB50" s="139" t="s">
        <v>18</v>
      </c>
      <c r="AC50" s="139">
        <v>67.099999999999994</v>
      </c>
      <c r="AD50" s="82"/>
      <c r="AG50" s="83"/>
      <c r="AL50" s="82"/>
      <c r="AO50" s="83"/>
      <c r="AP50" s="82"/>
      <c r="AS50" s="83"/>
      <c r="AW50" s="83"/>
      <c r="BA50" s="84"/>
    </row>
    <row r="51" spans="1:53" s="185" customFormat="1">
      <c r="A51" s="101">
        <v>1977</v>
      </c>
      <c r="B51" s="852"/>
      <c r="C51" s="917" t="s">
        <v>581</v>
      </c>
      <c r="D51" s="917"/>
      <c r="E51" s="185">
        <v>19</v>
      </c>
      <c r="G51" s="119">
        <v>10</v>
      </c>
      <c r="H51" s="185">
        <v>3</v>
      </c>
      <c r="J51" s="126">
        <v>13</v>
      </c>
      <c r="K51" s="92">
        <f t="shared" si="1"/>
        <v>76.923076923076934</v>
      </c>
      <c r="L51" s="92">
        <f t="shared" si="1"/>
        <v>23.076923076923077</v>
      </c>
      <c r="M51" s="92">
        <f t="shared" si="1"/>
        <v>0</v>
      </c>
      <c r="N51" s="121">
        <f t="shared" si="2"/>
        <v>100.00000000000001</v>
      </c>
      <c r="O51" s="91">
        <v>32.9</v>
      </c>
      <c r="P51" s="92"/>
      <c r="Q51" s="92"/>
      <c r="R51" s="93">
        <f t="shared" si="3"/>
        <v>32.9</v>
      </c>
      <c r="S51" s="185">
        <v>1</v>
      </c>
      <c r="T51" s="839"/>
      <c r="U51" s="852"/>
      <c r="V51" s="82" t="s">
        <v>333</v>
      </c>
      <c r="W51" s="185" t="s">
        <v>74</v>
      </c>
      <c r="X51" s="185" t="s">
        <v>11</v>
      </c>
      <c r="Y51" s="83">
        <v>32.9</v>
      </c>
      <c r="Z51" s="139" t="s">
        <v>131</v>
      </c>
      <c r="AA51" s="139" t="s">
        <v>22</v>
      </c>
      <c r="AB51" s="139" t="s">
        <v>18</v>
      </c>
      <c r="AC51" s="139">
        <v>67.099999999999994</v>
      </c>
      <c r="AD51" s="82"/>
      <c r="AG51" s="83"/>
      <c r="AL51" s="82"/>
      <c r="AO51" s="83"/>
      <c r="AP51" s="82"/>
      <c r="AS51" s="83"/>
      <c r="AW51" s="83"/>
      <c r="BA51" s="84"/>
    </row>
    <row r="52" spans="1:53" s="292" customFormat="1">
      <c r="A52" s="338">
        <v>1977</v>
      </c>
      <c r="B52" s="836">
        <v>28145</v>
      </c>
      <c r="C52" s="916" t="s">
        <v>582</v>
      </c>
      <c r="D52" s="916"/>
      <c r="E52" s="292">
        <f xml:space="preserve"> 365-E51</f>
        <v>346</v>
      </c>
      <c r="F52" s="292">
        <v>1</v>
      </c>
      <c r="G52" s="366">
        <v>1</v>
      </c>
      <c r="H52" s="292">
        <v>13</v>
      </c>
      <c r="J52" s="377">
        <v>14</v>
      </c>
      <c r="K52" s="336">
        <f t="shared" si="1"/>
        <v>7.1428571428571423</v>
      </c>
      <c r="L52" s="336">
        <f t="shared" si="1"/>
        <v>92.857142857142861</v>
      </c>
      <c r="M52" s="336">
        <f t="shared" si="1"/>
        <v>0</v>
      </c>
      <c r="N52" s="368">
        <f t="shared" si="2"/>
        <v>100</v>
      </c>
      <c r="O52" s="335"/>
      <c r="P52" s="336">
        <v>67.099999999999994</v>
      </c>
      <c r="Q52" s="336"/>
      <c r="R52" s="337">
        <f t="shared" si="3"/>
        <v>67.099999999999994</v>
      </c>
      <c r="S52" s="292">
        <v>1</v>
      </c>
      <c r="T52" s="838"/>
      <c r="U52" s="836">
        <v>28145</v>
      </c>
      <c r="V52" s="299" t="s">
        <v>131</v>
      </c>
      <c r="W52" s="292" t="s">
        <v>22</v>
      </c>
      <c r="X52" s="292" t="s">
        <v>18</v>
      </c>
      <c r="Y52" s="300">
        <v>67.099999999999994</v>
      </c>
      <c r="Z52" s="381" t="s">
        <v>333</v>
      </c>
      <c r="AA52" s="381" t="s">
        <v>74</v>
      </c>
      <c r="AB52" s="381" t="s">
        <v>11</v>
      </c>
      <c r="AC52" s="381">
        <v>32.9</v>
      </c>
      <c r="AD52" s="299"/>
      <c r="AG52" s="300"/>
      <c r="AL52" s="299"/>
      <c r="AO52" s="300"/>
      <c r="AP52" s="299"/>
      <c r="AS52" s="300"/>
      <c r="AW52" s="300"/>
      <c r="BA52" s="301"/>
    </row>
    <row r="53" spans="1:53" s="292" customFormat="1">
      <c r="A53" s="338">
        <v>1978</v>
      </c>
      <c r="B53" s="836"/>
      <c r="C53" s="916" t="s">
        <v>582</v>
      </c>
      <c r="D53" s="916"/>
      <c r="E53" s="292">
        <v>311</v>
      </c>
      <c r="G53" s="366">
        <v>1</v>
      </c>
      <c r="H53" s="292">
        <v>13</v>
      </c>
      <c r="J53" s="377">
        <v>14</v>
      </c>
      <c r="K53" s="336">
        <f t="shared" si="1"/>
        <v>7.1428571428571423</v>
      </c>
      <c r="L53" s="336">
        <f t="shared" si="1"/>
        <v>92.857142857142861</v>
      </c>
      <c r="M53" s="336">
        <f t="shared" si="1"/>
        <v>0</v>
      </c>
      <c r="N53" s="368">
        <f t="shared" si="2"/>
        <v>100</v>
      </c>
      <c r="O53" s="335"/>
      <c r="P53" s="336">
        <v>67.099999999999994</v>
      </c>
      <c r="Q53" s="336"/>
      <c r="R53" s="337">
        <f t="shared" si="3"/>
        <v>67.099999999999994</v>
      </c>
      <c r="S53" s="292">
        <v>1</v>
      </c>
      <c r="T53" s="838"/>
      <c r="U53" s="836"/>
      <c r="V53" s="299" t="s">
        <v>131</v>
      </c>
      <c r="W53" s="292" t="s">
        <v>22</v>
      </c>
      <c r="X53" s="292" t="s">
        <v>18</v>
      </c>
      <c r="Y53" s="300">
        <v>67.099999999999994</v>
      </c>
      <c r="Z53" s="381" t="s">
        <v>333</v>
      </c>
      <c r="AA53" s="381" t="s">
        <v>74</v>
      </c>
      <c r="AB53" s="381" t="s">
        <v>11</v>
      </c>
      <c r="AC53" s="381">
        <v>32.9</v>
      </c>
      <c r="AD53" s="299"/>
      <c r="AG53" s="300"/>
      <c r="AL53" s="299"/>
      <c r="AO53" s="300"/>
      <c r="AP53" s="299"/>
      <c r="AS53" s="300"/>
      <c r="AW53" s="300"/>
      <c r="BA53" s="301"/>
    </row>
    <row r="54" spans="1:53" s="292" customFormat="1">
      <c r="A54" s="338">
        <v>1978</v>
      </c>
      <c r="B54" s="865">
        <v>28802</v>
      </c>
      <c r="C54" s="916" t="s">
        <v>582</v>
      </c>
      <c r="D54" s="916"/>
      <c r="E54" s="292">
        <v>54</v>
      </c>
      <c r="F54" s="381" t="s">
        <v>330</v>
      </c>
      <c r="G54" s="366">
        <v>1</v>
      </c>
      <c r="H54" s="292">
        <v>13</v>
      </c>
      <c r="J54" s="377">
        <v>14</v>
      </c>
      <c r="K54" s="336">
        <f t="shared" si="1"/>
        <v>7.1428571428571423</v>
      </c>
      <c r="L54" s="336">
        <f t="shared" si="1"/>
        <v>92.857142857142861</v>
      </c>
      <c r="M54" s="336">
        <f t="shared" si="1"/>
        <v>0</v>
      </c>
      <c r="N54" s="368">
        <f t="shared" si="2"/>
        <v>100</v>
      </c>
      <c r="O54" s="335"/>
      <c r="P54" s="336">
        <v>63.7</v>
      </c>
      <c r="Q54" s="336"/>
      <c r="R54" s="337">
        <f t="shared" si="3"/>
        <v>63.7</v>
      </c>
      <c r="S54" s="292">
        <v>1</v>
      </c>
      <c r="T54" s="838">
        <v>28802</v>
      </c>
      <c r="U54" s="836"/>
      <c r="V54" s="299" t="s">
        <v>131</v>
      </c>
      <c r="W54" s="292" t="s">
        <v>22</v>
      </c>
      <c r="X54" s="292" t="s">
        <v>18</v>
      </c>
      <c r="Y54" s="300">
        <v>63.7</v>
      </c>
      <c r="Z54" s="381" t="s">
        <v>333</v>
      </c>
      <c r="AA54" s="381" t="s">
        <v>74</v>
      </c>
      <c r="AB54" s="381" t="s">
        <v>11</v>
      </c>
      <c r="AC54" s="381">
        <v>36.299999999999997</v>
      </c>
      <c r="AD54" s="299"/>
      <c r="AG54" s="300"/>
      <c r="AL54" s="299"/>
      <c r="AO54" s="300"/>
      <c r="AP54" s="299"/>
      <c r="AS54" s="300"/>
      <c r="AW54" s="300"/>
      <c r="BA54" s="301"/>
    </row>
    <row r="55" spans="1:53" s="292" customFormat="1">
      <c r="A55" s="338">
        <v>1979</v>
      </c>
      <c r="B55" s="836"/>
      <c r="C55" s="916" t="s">
        <v>582</v>
      </c>
      <c r="D55" s="916"/>
      <c r="E55" s="292">
        <v>235</v>
      </c>
      <c r="G55" s="366">
        <v>1</v>
      </c>
      <c r="H55" s="292">
        <v>13</v>
      </c>
      <c r="J55" s="377">
        <v>14</v>
      </c>
      <c r="K55" s="336">
        <f t="shared" si="1"/>
        <v>7.1428571428571423</v>
      </c>
      <c r="L55" s="336">
        <f t="shared" si="1"/>
        <v>92.857142857142861</v>
      </c>
      <c r="M55" s="336">
        <f t="shared" si="1"/>
        <v>0</v>
      </c>
      <c r="N55" s="368">
        <f t="shared" si="2"/>
        <v>100</v>
      </c>
      <c r="O55" s="335"/>
      <c r="P55" s="336">
        <v>63.7</v>
      </c>
      <c r="Q55" s="336"/>
      <c r="R55" s="337">
        <f t="shared" si="3"/>
        <v>63.7</v>
      </c>
      <c r="S55" s="292">
        <v>1</v>
      </c>
      <c r="T55" s="838"/>
      <c r="U55" s="836"/>
      <c r="V55" s="299" t="s">
        <v>131</v>
      </c>
      <c r="W55" s="292" t="s">
        <v>22</v>
      </c>
      <c r="X55" s="292" t="s">
        <v>18</v>
      </c>
      <c r="Y55" s="300">
        <v>63.7</v>
      </c>
      <c r="Z55" s="381" t="s">
        <v>333</v>
      </c>
      <c r="AA55" s="381" t="s">
        <v>74</v>
      </c>
      <c r="AB55" s="381" t="s">
        <v>11</v>
      </c>
      <c r="AC55" s="381">
        <v>36.299999999999997</v>
      </c>
      <c r="AD55" s="299"/>
      <c r="AG55" s="300"/>
      <c r="AL55" s="299"/>
      <c r="AO55" s="300"/>
      <c r="AP55" s="299"/>
      <c r="AS55" s="300"/>
      <c r="AW55" s="300"/>
      <c r="BA55" s="301"/>
    </row>
    <row r="56" spans="1:53" s="292" customFormat="1">
      <c r="A56" s="338">
        <v>1979</v>
      </c>
      <c r="B56" s="865">
        <v>29091</v>
      </c>
      <c r="C56" s="916" t="s">
        <v>582</v>
      </c>
      <c r="D56" s="916"/>
      <c r="E56" s="292">
        <v>67</v>
      </c>
      <c r="F56" s="381">
        <v>0</v>
      </c>
      <c r="G56" s="366"/>
      <c r="H56" s="292">
        <v>14</v>
      </c>
      <c r="J56" s="377">
        <v>14</v>
      </c>
      <c r="K56" s="336">
        <f t="shared" si="1"/>
        <v>0</v>
      </c>
      <c r="L56" s="336">
        <f t="shared" si="1"/>
        <v>100</v>
      </c>
      <c r="M56" s="336">
        <f t="shared" si="1"/>
        <v>0</v>
      </c>
      <c r="N56" s="368">
        <f t="shared" si="2"/>
        <v>100</v>
      </c>
      <c r="O56" s="335"/>
      <c r="P56" s="336">
        <v>63.7</v>
      </c>
      <c r="Q56" s="336"/>
      <c r="R56" s="337">
        <f t="shared" si="3"/>
        <v>63.7</v>
      </c>
      <c r="S56" s="292">
        <v>1</v>
      </c>
      <c r="T56" s="838"/>
      <c r="U56" s="836"/>
      <c r="V56" s="299" t="s">
        <v>131</v>
      </c>
      <c r="W56" s="292" t="s">
        <v>22</v>
      </c>
      <c r="X56" s="292" t="s">
        <v>18</v>
      </c>
      <c r="Y56" s="300">
        <v>63.7</v>
      </c>
      <c r="AD56" s="299"/>
      <c r="AG56" s="300"/>
      <c r="AL56" s="299"/>
      <c r="AO56" s="300"/>
      <c r="AP56" s="299"/>
      <c r="AS56" s="300"/>
      <c r="AW56" s="300"/>
      <c r="BA56" s="301"/>
    </row>
    <row r="57" spans="1:53" s="292" customFormat="1">
      <c r="A57" s="338">
        <v>1979</v>
      </c>
      <c r="B57" s="865">
        <v>29158</v>
      </c>
      <c r="C57" s="916" t="s">
        <v>582</v>
      </c>
      <c r="D57" s="916"/>
      <c r="E57" s="292">
        <f>365-E56-E55</f>
        <v>63</v>
      </c>
      <c r="F57" s="381">
        <v>0</v>
      </c>
      <c r="G57" s="366"/>
      <c r="H57" s="292">
        <v>16</v>
      </c>
      <c r="J57" s="377">
        <v>16</v>
      </c>
      <c r="K57" s="336">
        <f t="shared" si="1"/>
        <v>0</v>
      </c>
      <c r="L57" s="336">
        <f t="shared" si="1"/>
        <v>100</v>
      </c>
      <c r="M57" s="336">
        <f t="shared" si="1"/>
        <v>0</v>
      </c>
      <c r="N57" s="368">
        <f t="shared" si="2"/>
        <v>100</v>
      </c>
      <c r="O57" s="335"/>
      <c r="P57" s="336">
        <v>63.7</v>
      </c>
      <c r="Q57" s="336"/>
      <c r="R57" s="337">
        <f t="shared" si="3"/>
        <v>63.7</v>
      </c>
      <c r="S57" s="292">
        <v>1</v>
      </c>
      <c r="T57" s="838"/>
      <c r="U57" s="836"/>
      <c r="V57" s="299" t="s">
        <v>131</v>
      </c>
      <c r="W57" s="292" t="s">
        <v>22</v>
      </c>
      <c r="X57" s="292" t="s">
        <v>18</v>
      </c>
      <c r="Y57" s="300">
        <v>63.7</v>
      </c>
      <c r="AD57" s="299"/>
      <c r="AG57" s="300"/>
      <c r="AL57" s="299"/>
      <c r="AO57" s="300"/>
      <c r="AP57" s="299"/>
      <c r="AS57" s="300"/>
      <c r="AW57" s="300"/>
      <c r="BA57" s="301"/>
    </row>
    <row r="58" spans="1:53" s="292" customFormat="1">
      <c r="A58" s="338">
        <v>1980</v>
      </c>
      <c r="B58" s="836"/>
      <c r="C58" s="916" t="s">
        <v>582</v>
      </c>
      <c r="D58" s="916"/>
      <c r="E58" s="292">
        <v>308</v>
      </c>
      <c r="G58" s="366"/>
      <c r="H58" s="292">
        <v>16</v>
      </c>
      <c r="J58" s="377">
        <v>16</v>
      </c>
      <c r="K58" s="336">
        <f t="shared" si="1"/>
        <v>0</v>
      </c>
      <c r="L58" s="336">
        <f t="shared" si="1"/>
        <v>100</v>
      </c>
      <c r="M58" s="336">
        <f t="shared" si="1"/>
        <v>0</v>
      </c>
      <c r="N58" s="368">
        <f t="shared" si="2"/>
        <v>100</v>
      </c>
      <c r="O58" s="335"/>
      <c r="P58" s="336">
        <v>63.7</v>
      </c>
      <c r="Q58" s="336"/>
      <c r="R58" s="337">
        <f t="shared" si="3"/>
        <v>63.7</v>
      </c>
      <c r="S58" s="292">
        <v>1</v>
      </c>
      <c r="T58" s="838"/>
      <c r="U58" s="836"/>
      <c r="V58" s="299" t="s">
        <v>131</v>
      </c>
      <c r="W58" s="292" t="s">
        <v>22</v>
      </c>
      <c r="X58" s="292" t="s">
        <v>18</v>
      </c>
      <c r="Y58" s="300">
        <v>63.7</v>
      </c>
      <c r="AD58" s="299"/>
      <c r="AG58" s="300"/>
      <c r="AL58" s="299"/>
      <c r="AO58" s="300"/>
      <c r="AP58" s="299"/>
      <c r="AS58" s="300"/>
      <c r="AW58" s="300"/>
      <c r="BA58" s="301"/>
    </row>
    <row r="59" spans="1:53" s="292" customFormat="1">
      <c r="A59" s="338">
        <v>1980</v>
      </c>
      <c r="B59" s="865">
        <v>29529</v>
      </c>
      <c r="C59" s="916" t="s">
        <v>582</v>
      </c>
      <c r="D59" s="916"/>
      <c r="E59" s="292">
        <v>58</v>
      </c>
      <c r="F59" s="381" t="s">
        <v>330</v>
      </c>
      <c r="G59" s="366"/>
      <c r="H59" s="292">
        <v>16</v>
      </c>
      <c r="J59" s="377">
        <v>16</v>
      </c>
      <c r="K59" s="336">
        <f t="shared" si="1"/>
        <v>0</v>
      </c>
      <c r="L59" s="336">
        <f t="shared" si="1"/>
        <v>100</v>
      </c>
      <c r="M59" s="336">
        <f t="shared" si="1"/>
        <v>0</v>
      </c>
      <c r="N59" s="368">
        <f t="shared" si="2"/>
        <v>100</v>
      </c>
      <c r="O59" s="335"/>
      <c r="P59" s="336">
        <v>55.9</v>
      </c>
      <c r="Q59" s="336"/>
      <c r="R59" s="337">
        <f t="shared" si="3"/>
        <v>55.9</v>
      </c>
      <c r="S59" s="292">
        <v>1</v>
      </c>
      <c r="T59" s="838">
        <v>29529</v>
      </c>
      <c r="U59" s="836"/>
      <c r="V59" s="299" t="s">
        <v>131</v>
      </c>
      <c r="W59" s="292" t="s">
        <v>22</v>
      </c>
      <c r="X59" s="292" t="s">
        <v>18</v>
      </c>
      <c r="Y59" s="300">
        <v>55.9</v>
      </c>
      <c r="AD59" s="299"/>
      <c r="AG59" s="300"/>
      <c r="AL59" s="299"/>
      <c r="AO59" s="300"/>
      <c r="AP59" s="299"/>
      <c r="AS59" s="300"/>
      <c r="AW59" s="300"/>
      <c r="BA59" s="301"/>
    </row>
    <row r="60" spans="1:53" s="292" customFormat="1">
      <c r="A60" s="338">
        <v>1981</v>
      </c>
      <c r="B60" s="836"/>
      <c r="C60" s="916" t="s">
        <v>582</v>
      </c>
      <c r="D60" s="916"/>
      <c r="E60" s="292">
        <v>19</v>
      </c>
      <c r="G60" s="366"/>
      <c r="H60" s="292">
        <v>16</v>
      </c>
      <c r="J60" s="377">
        <v>16</v>
      </c>
      <c r="K60" s="336">
        <f t="shared" si="1"/>
        <v>0</v>
      </c>
      <c r="L60" s="336">
        <f t="shared" si="1"/>
        <v>100</v>
      </c>
      <c r="M60" s="336">
        <f t="shared" si="1"/>
        <v>0</v>
      </c>
      <c r="N60" s="368">
        <f t="shared" si="2"/>
        <v>100</v>
      </c>
      <c r="O60" s="335"/>
      <c r="P60" s="336">
        <v>55.9</v>
      </c>
      <c r="Q60" s="336"/>
      <c r="R60" s="337">
        <f t="shared" si="3"/>
        <v>55.9</v>
      </c>
      <c r="S60" s="292">
        <v>1</v>
      </c>
      <c r="T60" s="838"/>
      <c r="U60" s="836"/>
      <c r="V60" s="299" t="s">
        <v>131</v>
      </c>
      <c r="W60" s="292" t="s">
        <v>22</v>
      </c>
      <c r="X60" s="292" t="s">
        <v>18</v>
      </c>
      <c r="Y60" s="300">
        <v>55.9</v>
      </c>
      <c r="AD60" s="299"/>
      <c r="AG60" s="300"/>
      <c r="AL60" s="299"/>
      <c r="AO60" s="300"/>
      <c r="AP60" s="299"/>
      <c r="AS60" s="300"/>
      <c r="AW60" s="300"/>
      <c r="BA60" s="301"/>
    </row>
    <row r="61" spans="1:53" s="185" customFormat="1">
      <c r="A61" s="101">
        <v>1981</v>
      </c>
      <c r="B61" s="852">
        <v>29606</v>
      </c>
      <c r="C61" s="917" t="s">
        <v>583</v>
      </c>
      <c r="D61" s="917"/>
      <c r="E61" s="185">
        <f xml:space="preserve"> 365-E60</f>
        <v>346</v>
      </c>
      <c r="F61" s="185">
        <v>1</v>
      </c>
      <c r="G61" s="119">
        <v>19</v>
      </c>
      <c r="J61" s="126">
        <v>19</v>
      </c>
      <c r="K61" s="92">
        <f t="shared" si="1"/>
        <v>100</v>
      </c>
      <c r="L61" s="92">
        <f t="shared" si="1"/>
        <v>0</v>
      </c>
      <c r="M61" s="92">
        <f t="shared" si="1"/>
        <v>0</v>
      </c>
      <c r="N61" s="121">
        <f t="shared" si="2"/>
        <v>100</v>
      </c>
      <c r="O61" s="91">
        <v>44.1</v>
      </c>
      <c r="P61" s="92"/>
      <c r="Q61" s="92"/>
      <c r="R61" s="93">
        <f t="shared" si="3"/>
        <v>44.1</v>
      </c>
      <c r="S61" s="185">
        <v>1</v>
      </c>
      <c r="T61" s="839"/>
      <c r="U61" s="852">
        <v>29606</v>
      </c>
      <c r="V61" s="82" t="s">
        <v>333</v>
      </c>
      <c r="W61" s="185" t="s">
        <v>74</v>
      </c>
      <c r="X61" s="185" t="s">
        <v>11</v>
      </c>
      <c r="Y61" s="83">
        <v>44.1</v>
      </c>
      <c r="AD61" s="82"/>
      <c r="AG61" s="83"/>
      <c r="AL61" s="82"/>
      <c r="AO61" s="83"/>
      <c r="AP61" s="82"/>
      <c r="AS61" s="83"/>
      <c r="AW61" s="83"/>
      <c r="BA61" s="84"/>
    </row>
    <row r="62" spans="1:53" s="185" customFormat="1">
      <c r="A62" s="101">
        <v>1982</v>
      </c>
      <c r="B62" s="852"/>
      <c r="C62" s="917" t="s">
        <v>583</v>
      </c>
      <c r="D62" s="917"/>
      <c r="E62" s="185">
        <v>305</v>
      </c>
      <c r="G62" s="119">
        <v>19</v>
      </c>
      <c r="J62" s="126">
        <v>19</v>
      </c>
      <c r="K62" s="92">
        <f t="shared" si="1"/>
        <v>100</v>
      </c>
      <c r="L62" s="92">
        <f t="shared" si="1"/>
        <v>0</v>
      </c>
      <c r="M62" s="92">
        <f t="shared" si="1"/>
        <v>0</v>
      </c>
      <c r="N62" s="121">
        <f t="shared" si="2"/>
        <v>100</v>
      </c>
      <c r="O62" s="91">
        <v>44.1</v>
      </c>
      <c r="P62" s="92"/>
      <c r="Q62" s="92"/>
      <c r="R62" s="93">
        <f t="shared" si="3"/>
        <v>44.1</v>
      </c>
      <c r="S62" s="185">
        <v>1</v>
      </c>
      <c r="T62" s="839"/>
      <c r="U62" s="852"/>
      <c r="V62" s="82" t="s">
        <v>333</v>
      </c>
      <c r="W62" s="185" t="s">
        <v>74</v>
      </c>
      <c r="X62" s="185" t="s">
        <v>11</v>
      </c>
      <c r="Y62" s="83">
        <v>44.1</v>
      </c>
      <c r="AD62" s="82"/>
      <c r="AG62" s="83"/>
      <c r="AL62" s="82"/>
      <c r="AO62" s="83"/>
      <c r="AP62" s="82"/>
      <c r="AS62" s="83"/>
      <c r="AW62" s="83"/>
      <c r="BA62" s="84"/>
    </row>
    <row r="63" spans="1:53" s="185" customFormat="1">
      <c r="A63" s="101">
        <v>1982</v>
      </c>
      <c r="B63" s="860">
        <v>30257</v>
      </c>
      <c r="C63" s="917" t="s">
        <v>583</v>
      </c>
      <c r="D63" s="917"/>
      <c r="E63" s="185">
        <v>60</v>
      </c>
      <c r="F63" s="139" t="s">
        <v>330</v>
      </c>
      <c r="G63" s="119">
        <v>19</v>
      </c>
      <c r="J63" s="126">
        <v>19</v>
      </c>
      <c r="K63" s="92">
        <f t="shared" si="1"/>
        <v>100</v>
      </c>
      <c r="L63" s="92">
        <f t="shared" si="1"/>
        <v>0</v>
      </c>
      <c r="M63" s="92">
        <f t="shared" si="1"/>
        <v>0</v>
      </c>
      <c r="N63" s="121">
        <f t="shared" si="2"/>
        <v>100</v>
      </c>
      <c r="O63" s="91">
        <v>38.200000000000003</v>
      </c>
      <c r="P63" s="92"/>
      <c r="Q63" s="92"/>
      <c r="R63" s="93">
        <f t="shared" si="3"/>
        <v>38.200000000000003</v>
      </c>
      <c r="S63" s="185">
        <v>1</v>
      </c>
      <c r="T63" s="839">
        <v>30257</v>
      </c>
      <c r="U63" s="852"/>
      <c r="V63" s="82" t="s">
        <v>333</v>
      </c>
      <c r="W63" s="185" t="s">
        <v>74</v>
      </c>
      <c r="X63" s="185" t="s">
        <v>11</v>
      </c>
      <c r="Y63" s="83">
        <v>38.200000000000003</v>
      </c>
      <c r="AD63" s="82"/>
      <c r="AG63" s="83"/>
      <c r="AL63" s="82"/>
      <c r="AO63" s="83"/>
      <c r="AP63" s="82"/>
      <c r="AS63" s="83"/>
      <c r="AW63" s="83"/>
      <c r="BA63" s="84"/>
    </row>
    <row r="64" spans="1:53" s="185" customFormat="1">
      <c r="A64" s="101">
        <v>1983</v>
      </c>
      <c r="B64" s="852"/>
      <c r="C64" s="917" t="s">
        <v>583</v>
      </c>
      <c r="D64" s="917"/>
      <c r="E64" s="185">
        <v>0</v>
      </c>
      <c r="G64" s="119">
        <v>19</v>
      </c>
      <c r="J64" s="126">
        <v>19</v>
      </c>
      <c r="K64" s="92">
        <f t="shared" si="1"/>
        <v>100</v>
      </c>
      <c r="L64" s="92">
        <f t="shared" si="1"/>
        <v>0</v>
      </c>
      <c r="M64" s="92">
        <f t="shared" si="1"/>
        <v>0</v>
      </c>
      <c r="N64" s="121">
        <f t="shared" si="2"/>
        <v>100</v>
      </c>
      <c r="O64" s="91">
        <v>38.200000000000003</v>
      </c>
      <c r="P64" s="92"/>
      <c r="Q64" s="92"/>
      <c r="R64" s="93">
        <f t="shared" si="3"/>
        <v>38.200000000000003</v>
      </c>
      <c r="S64" s="185">
        <v>1</v>
      </c>
      <c r="T64" s="839"/>
      <c r="U64" s="852"/>
      <c r="V64" s="82" t="s">
        <v>333</v>
      </c>
      <c r="W64" s="185" t="s">
        <v>74</v>
      </c>
      <c r="X64" s="185" t="s">
        <v>11</v>
      </c>
      <c r="Y64" s="83">
        <v>38.200000000000003</v>
      </c>
      <c r="AD64" s="82"/>
      <c r="AG64" s="83"/>
      <c r="AL64" s="82"/>
      <c r="AO64" s="83"/>
      <c r="AP64" s="82"/>
      <c r="AS64" s="83"/>
      <c r="AW64" s="83"/>
      <c r="BA64" s="84"/>
    </row>
    <row r="65" spans="1:53" s="185" customFormat="1">
      <c r="A65" s="101">
        <v>1983</v>
      </c>
      <c r="B65" s="852"/>
      <c r="C65" s="917" t="s">
        <v>583</v>
      </c>
      <c r="D65" s="917"/>
      <c r="E65" s="185">
        <v>365</v>
      </c>
      <c r="G65" s="119">
        <v>19</v>
      </c>
      <c r="J65" s="126">
        <v>19</v>
      </c>
      <c r="K65" s="92">
        <f t="shared" si="1"/>
        <v>100</v>
      </c>
      <c r="L65" s="92">
        <f t="shared" si="1"/>
        <v>0</v>
      </c>
      <c r="M65" s="92">
        <f t="shared" si="1"/>
        <v>0</v>
      </c>
      <c r="N65" s="121">
        <f t="shared" si="2"/>
        <v>100</v>
      </c>
      <c r="O65" s="91">
        <v>38.200000000000003</v>
      </c>
      <c r="P65" s="92"/>
      <c r="Q65" s="92"/>
      <c r="R65" s="93">
        <f t="shared" si="3"/>
        <v>38.200000000000003</v>
      </c>
      <c r="S65" s="185">
        <v>1</v>
      </c>
      <c r="T65" s="839"/>
      <c r="U65" s="852"/>
      <c r="V65" s="82" t="s">
        <v>333</v>
      </c>
      <c r="W65" s="185" t="s">
        <v>74</v>
      </c>
      <c r="X65" s="185" t="s">
        <v>11</v>
      </c>
      <c r="Y65" s="83">
        <v>38.200000000000003</v>
      </c>
      <c r="AD65" s="82"/>
      <c r="AG65" s="83"/>
      <c r="AL65" s="82"/>
      <c r="AO65" s="83"/>
      <c r="AP65" s="82"/>
      <c r="AS65" s="83"/>
      <c r="AW65" s="83"/>
      <c r="BA65" s="84"/>
    </row>
    <row r="66" spans="1:53" s="185" customFormat="1">
      <c r="A66" s="101">
        <v>1984</v>
      </c>
      <c r="B66" s="852"/>
      <c r="C66" s="917" t="s">
        <v>583</v>
      </c>
      <c r="D66" s="917"/>
      <c r="E66" s="185">
        <v>310</v>
      </c>
      <c r="G66" s="119">
        <v>19</v>
      </c>
      <c r="J66" s="126">
        <v>19</v>
      </c>
      <c r="K66" s="92">
        <f t="shared" si="1"/>
        <v>100</v>
      </c>
      <c r="L66" s="92">
        <f t="shared" si="1"/>
        <v>0</v>
      </c>
      <c r="M66" s="92">
        <f t="shared" si="1"/>
        <v>0</v>
      </c>
      <c r="N66" s="121">
        <f t="shared" si="2"/>
        <v>100</v>
      </c>
      <c r="O66" s="91">
        <v>38.200000000000003</v>
      </c>
      <c r="P66" s="92"/>
      <c r="Q66" s="92"/>
      <c r="R66" s="93">
        <f t="shared" si="3"/>
        <v>38.200000000000003</v>
      </c>
      <c r="S66" s="185">
        <v>1</v>
      </c>
      <c r="T66" s="839"/>
      <c r="U66" s="852"/>
      <c r="V66" s="82" t="s">
        <v>333</v>
      </c>
      <c r="W66" s="185" t="s">
        <v>74</v>
      </c>
      <c r="X66" s="185" t="s">
        <v>11</v>
      </c>
      <c r="Y66" s="83">
        <v>38.200000000000003</v>
      </c>
      <c r="AD66" s="82"/>
      <c r="AG66" s="83"/>
      <c r="AL66" s="82"/>
      <c r="AO66" s="83"/>
      <c r="AP66" s="82"/>
      <c r="AS66" s="83"/>
      <c r="AW66" s="83"/>
      <c r="BA66" s="84"/>
    </row>
    <row r="67" spans="1:53" s="185" customFormat="1">
      <c r="A67" s="101">
        <v>1984</v>
      </c>
      <c r="B67" s="860">
        <v>30992</v>
      </c>
      <c r="C67" s="917" t="s">
        <v>583</v>
      </c>
      <c r="D67" s="917"/>
      <c r="E67" s="185">
        <v>56</v>
      </c>
      <c r="F67" s="139" t="s">
        <v>330</v>
      </c>
      <c r="G67" s="119">
        <v>19</v>
      </c>
      <c r="J67" s="126">
        <v>19</v>
      </c>
      <c r="K67" s="92">
        <f t="shared" si="1"/>
        <v>100</v>
      </c>
      <c r="L67" s="92">
        <f t="shared" si="1"/>
        <v>0</v>
      </c>
      <c r="M67" s="92">
        <f t="shared" si="1"/>
        <v>0</v>
      </c>
      <c r="N67" s="121">
        <f t="shared" si="2"/>
        <v>100</v>
      </c>
      <c r="O67" s="91">
        <v>41.8</v>
      </c>
      <c r="P67" s="92"/>
      <c r="Q67" s="92"/>
      <c r="R67" s="93">
        <f t="shared" si="3"/>
        <v>41.8</v>
      </c>
      <c r="S67" s="185">
        <v>1</v>
      </c>
      <c r="T67" s="839">
        <v>30992</v>
      </c>
      <c r="U67" s="852"/>
      <c r="V67" s="82" t="s">
        <v>333</v>
      </c>
      <c r="W67" s="185" t="s">
        <v>74</v>
      </c>
      <c r="X67" s="185" t="s">
        <v>11</v>
      </c>
      <c r="Y67" s="83">
        <v>41.8</v>
      </c>
      <c r="AD67" s="82"/>
      <c r="AG67" s="83"/>
      <c r="AL67" s="82"/>
      <c r="AO67" s="83"/>
      <c r="AP67" s="82"/>
      <c r="AS67" s="83"/>
      <c r="AW67" s="83"/>
      <c r="BA67" s="84"/>
    </row>
    <row r="68" spans="1:53" s="185" customFormat="1">
      <c r="A68" s="101">
        <v>1985</v>
      </c>
      <c r="B68" s="852"/>
      <c r="C68" s="917" t="s">
        <v>583</v>
      </c>
      <c r="D68" s="917"/>
      <c r="E68" s="185">
        <v>20</v>
      </c>
      <c r="G68" s="119">
        <v>19</v>
      </c>
      <c r="J68" s="126">
        <v>19</v>
      </c>
      <c r="K68" s="92">
        <f t="shared" si="1"/>
        <v>100</v>
      </c>
      <c r="L68" s="92">
        <f t="shared" si="1"/>
        <v>0</v>
      </c>
      <c r="M68" s="92">
        <f t="shared" si="1"/>
        <v>0</v>
      </c>
      <c r="N68" s="121">
        <f t="shared" si="2"/>
        <v>100</v>
      </c>
      <c r="O68" s="91">
        <v>41.8</v>
      </c>
      <c r="P68" s="92"/>
      <c r="Q68" s="92"/>
      <c r="R68" s="93">
        <f t="shared" si="3"/>
        <v>41.8</v>
      </c>
      <c r="S68" s="185">
        <v>1</v>
      </c>
      <c r="T68" s="839"/>
      <c r="U68" s="852"/>
      <c r="V68" s="82" t="s">
        <v>333</v>
      </c>
      <c r="W68" s="185" t="s">
        <v>74</v>
      </c>
      <c r="X68" s="185" t="s">
        <v>11</v>
      </c>
      <c r="Y68" s="83">
        <v>41.8</v>
      </c>
      <c r="AD68" s="82"/>
      <c r="AG68" s="83"/>
      <c r="AL68" s="82"/>
      <c r="AO68" s="83"/>
      <c r="AP68" s="82"/>
      <c r="AS68" s="83"/>
      <c r="AW68" s="83"/>
      <c r="BA68" s="84"/>
    </row>
    <row r="69" spans="1:53" s="292" customFormat="1">
      <c r="A69" s="338">
        <v>1985</v>
      </c>
      <c r="B69" s="836">
        <v>31068</v>
      </c>
      <c r="C69" s="916" t="s">
        <v>584</v>
      </c>
      <c r="D69" s="916"/>
      <c r="E69" s="292">
        <f xml:space="preserve"> 365-E68</f>
        <v>345</v>
      </c>
      <c r="F69" s="292">
        <v>1</v>
      </c>
      <c r="G69" s="366">
        <v>19</v>
      </c>
      <c r="J69" s="377">
        <v>19</v>
      </c>
      <c r="K69" s="336">
        <f t="shared" si="1"/>
        <v>100</v>
      </c>
      <c r="L69" s="336">
        <f t="shared" si="1"/>
        <v>0</v>
      </c>
      <c r="M69" s="336">
        <f t="shared" si="1"/>
        <v>0</v>
      </c>
      <c r="N69" s="368">
        <f t="shared" si="2"/>
        <v>100</v>
      </c>
      <c r="O69" s="335">
        <v>41.8</v>
      </c>
      <c r="P69" s="336"/>
      <c r="Q69" s="336"/>
      <c r="R69" s="337">
        <f t="shared" si="3"/>
        <v>41.8</v>
      </c>
      <c r="S69" s="292">
        <v>1</v>
      </c>
      <c r="T69" s="838"/>
      <c r="U69" s="836">
        <v>31068</v>
      </c>
      <c r="V69" s="299" t="s">
        <v>333</v>
      </c>
      <c r="W69" s="292" t="s">
        <v>74</v>
      </c>
      <c r="X69" s="292" t="s">
        <v>11</v>
      </c>
      <c r="Y69" s="300">
        <v>41.8</v>
      </c>
      <c r="AD69" s="299"/>
      <c r="AG69" s="300"/>
      <c r="AL69" s="299"/>
      <c r="AO69" s="300"/>
      <c r="AP69" s="299"/>
      <c r="AS69" s="300"/>
      <c r="AW69" s="300"/>
      <c r="BA69" s="301"/>
    </row>
    <row r="70" spans="1:53" s="292" customFormat="1">
      <c r="A70" s="338">
        <v>1986</v>
      </c>
      <c r="B70" s="836"/>
      <c r="C70" s="916" t="s">
        <v>584</v>
      </c>
      <c r="D70" s="916"/>
      <c r="E70" s="292">
        <v>304</v>
      </c>
      <c r="G70" s="366">
        <v>19</v>
      </c>
      <c r="J70" s="377">
        <v>19</v>
      </c>
      <c r="K70" s="336">
        <f t="shared" ref="K70:M119" si="4">G70/$J70*100</f>
        <v>100</v>
      </c>
      <c r="L70" s="336">
        <f t="shared" si="4"/>
        <v>0</v>
      </c>
      <c r="M70" s="336">
        <f t="shared" si="4"/>
        <v>0</v>
      </c>
      <c r="N70" s="368">
        <f t="shared" si="2"/>
        <v>100</v>
      </c>
      <c r="O70" s="335">
        <v>41.8</v>
      </c>
      <c r="P70" s="336"/>
      <c r="Q70" s="336"/>
      <c r="R70" s="337">
        <f t="shared" si="3"/>
        <v>41.8</v>
      </c>
      <c r="S70" s="292">
        <v>1</v>
      </c>
      <c r="T70" s="838"/>
      <c r="U70" s="836"/>
      <c r="V70" s="299" t="s">
        <v>333</v>
      </c>
      <c r="W70" s="292" t="s">
        <v>74</v>
      </c>
      <c r="X70" s="292" t="s">
        <v>11</v>
      </c>
      <c r="Y70" s="300">
        <v>41.8</v>
      </c>
      <c r="AD70" s="299"/>
      <c r="AG70" s="300"/>
      <c r="AL70" s="299"/>
      <c r="AO70" s="300"/>
      <c r="AP70" s="299"/>
      <c r="AS70" s="300"/>
      <c r="AW70" s="300"/>
      <c r="BA70" s="301"/>
    </row>
    <row r="71" spans="1:53" s="292" customFormat="1">
      <c r="A71" s="338">
        <v>1986</v>
      </c>
      <c r="B71" s="865">
        <v>31717</v>
      </c>
      <c r="C71" s="916" t="s">
        <v>584</v>
      </c>
      <c r="D71" s="916"/>
      <c r="E71" s="292">
        <v>61</v>
      </c>
      <c r="F71" s="381" t="s">
        <v>330</v>
      </c>
      <c r="G71" s="366">
        <v>19</v>
      </c>
      <c r="J71" s="377">
        <v>19</v>
      </c>
      <c r="K71" s="336">
        <f t="shared" si="4"/>
        <v>100</v>
      </c>
      <c r="L71" s="336">
        <f t="shared" si="4"/>
        <v>0</v>
      </c>
      <c r="M71" s="336">
        <f t="shared" si="4"/>
        <v>0</v>
      </c>
      <c r="N71" s="368">
        <f t="shared" si="2"/>
        <v>100</v>
      </c>
      <c r="O71" s="335">
        <v>40.700000000000003</v>
      </c>
      <c r="P71" s="336"/>
      <c r="Q71" s="336"/>
      <c r="R71" s="337">
        <f t="shared" si="3"/>
        <v>40.700000000000003</v>
      </c>
      <c r="S71" s="292">
        <v>1</v>
      </c>
      <c r="T71" s="838">
        <v>31717</v>
      </c>
      <c r="U71" s="836"/>
      <c r="V71" s="299" t="s">
        <v>333</v>
      </c>
      <c r="W71" s="292" t="s">
        <v>74</v>
      </c>
      <c r="X71" s="292" t="s">
        <v>11</v>
      </c>
      <c r="Y71" s="300">
        <v>40.700000000000003</v>
      </c>
      <c r="AD71" s="299"/>
      <c r="AG71" s="300"/>
      <c r="AL71" s="299"/>
      <c r="AO71" s="300"/>
      <c r="AP71" s="299"/>
      <c r="AS71" s="300"/>
      <c r="AW71" s="300"/>
      <c r="BA71" s="301"/>
    </row>
    <row r="72" spans="1:53" s="292" customFormat="1">
      <c r="A72" s="338">
        <v>1987</v>
      </c>
      <c r="B72" s="836"/>
      <c r="C72" s="916" t="s">
        <v>584</v>
      </c>
      <c r="D72" s="916"/>
      <c r="E72" s="292">
        <v>301</v>
      </c>
      <c r="G72" s="366">
        <v>19</v>
      </c>
      <c r="J72" s="377">
        <v>19</v>
      </c>
      <c r="K72" s="336">
        <f t="shared" si="4"/>
        <v>100</v>
      </c>
      <c r="L72" s="336">
        <f t="shared" si="4"/>
        <v>0</v>
      </c>
      <c r="M72" s="336">
        <f t="shared" si="4"/>
        <v>0</v>
      </c>
      <c r="N72" s="368">
        <f t="shared" si="2"/>
        <v>100</v>
      </c>
      <c r="O72" s="335">
        <v>40.700000000000003</v>
      </c>
      <c r="P72" s="336"/>
      <c r="Q72" s="336"/>
      <c r="R72" s="337">
        <f t="shared" si="3"/>
        <v>40.700000000000003</v>
      </c>
      <c r="S72" s="292">
        <v>1</v>
      </c>
      <c r="T72" s="838"/>
      <c r="U72" s="836"/>
      <c r="V72" s="299" t="s">
        <v>333</v>
      </c>
      <c r="W72" s="292" t="s">
        <v>74</v>
      </c>
      <c r="X72" s="292" t="s">
        <v>11</v>
      </c>
      <c r="Y72" s="300">
        <v>40.700000000000003</v>
      </c>
      <c r="AD72" s="299"/>
      <c r="AG72" s="300"/>
      <c r="AL72" s="299"/>
      <c r="AO72" s="300"/>
      <c r="AP72" s="299"/>
      <c r="AS72" s="300"/>
      <c r="AW72" s="300"/>
      <c r="BA72" s="301"/>
    </row>
    <row r="73" spans="1:53" s="292" customFormat="1">
      <c r="A73" s="338">
        <v>1987</v>
      </c>
      <c r="B73" s="865">
        <v>32079</v>
      </c>
      <c r="C73" s="916" t="s">
        <v>584</v>
      </c>
      <c r="D73" s="916"/>
      <c r="E73" s="292">
        <f>365-E72</f>
        <v>64</v>
      </c>
      <c r="F73" s="381">
        <v>0</v>
      </c>
      <c r="G73" s="366">
        <v>20</v>
      </c>
      <c r="J73" s="377">
        <v>20</v>
      </c>
      <c r="K73" s="336">
        <f t="shared" si="4"/>
        <v>100</v>
      </c>
      <c r="L73" s="336">
        <f t="shared" si="4"/>
        <v>0</v>
      </c>
      <c r="M73" s="336">
        <f t="shared" si="4"/>
        <v>0</v>
      </c>
      <c r="N73" s="368">
        <f t="shared" si="2"/>
        <v>100</v>
      </c>
      <c r="O73" s="335">
        <v>40.700000000000003</v>
      </c>
      <c r="P73" s="336"/>
      <c r="Q73" s="336"/>
      <c r="R73" s="337">
        <f t="shared" si="3"/>
        <v>40.700000000000003</v>
      </c>
      <c r="S73" s="292">
        <v>1</v>
      </c>
      <c r="T73" s="838"/>
      <c r="U73" s="836"/>
      <c r="V73" s="299" t="s">
        <v>333</v>
      </c>
      <c r="W73" s="292" t="s">
        <v>74</v>
      </c>
      <c r="X73" s="292" t="s">
        <v>11</v>
      </c>
      <c r="Y73" s="300">
        <v>40.700000000000003</v>
      </c>
      <c r="AD73" s="299"/>
      <c r="AG73" s="300"/>
      <c r="AL73" s="299"/>
      <c r="AO73" s="300"/>
      <c r="AP73" s="299"/>
      <c r="AS73" s="300"/>
      <c r="AW73" s="300"/>
      <c r="BA73" s="301"/>
    </row>
    <row r="74" spans="1:53" s="292" customFormat="1">
      <c r="A74" s="338">
        <v>1988</v>
      </c>
      <c r="B74" s="836"/>
      <c r="C74" s="916" t="s">
        <v>584</v>
      </c>
      <c r="D74" s="916"/>
      <c r="E74" s="292">
        <v>312</v>
      </c>
      <c r="G74" s="366">
        <v>20</v>
      </c>
      <c r="J74" s="377">
        <v>20</v>
      </c>
      <c r="K74" s="336">
        <f t="shared" si="4"/>
        <v>100</v>
      </c>
      <c r="L74" s="336">
        <f t="shared" si="4"/>
        <v>0</v>
      </c>
      <c r="M74" s="336">
        <f t="shared" si="4"/>
        <v>0</v>
      </c>
      <c r="N74" s="368">
        <f t="shared" si="2"/>
        <v>100</v>
      </c>
      <c r="O74" s="335">
        <v>40.700000000000003</v>
      </c>
      <c r="P74" s="336"/>
      <c r="Q74" s="336"/>
      <c r="R74" s="337">
        <f t="shared" si="3"/>
        <v>40.700000000000003</v>
      </c>
      <c r="S74" s="292">
        <v>1</v>
      </c>
      <c r="T74" s="838"/>
      <c r="U74" s="836"/>
      <c r="V74" s="299" t="s">
        <v>333</v>
      </c>
      <c r="W74" s="292" t="s">
        <v>74</v>
      </c>
      <c r="X74" s="292" t="s">
        <v>11</v>
      </c>
      <c r="Y74" s="300">
        <v>40.700000000000003</v>
      </c>
      <c r="AD74" s="299"/>
      <c r="AG74" s="300"/>
      <c r="AL74" s="299"/>
      <c r="AO74" s="300"/>
      <c r="AP74" s="299"/>
      <c r="AS74" s="300"/>
      <c r="AW74" s="300"/>
      <c r="BA74" s="301"/>
    </row>
    <row r="75" spans="1:53" s="292" customFormat="1">
      <c r="A75" s="338">
        <v>1988</v>
      </c>
      <c r="B75" s="865">
        <v>32455</v>
      </c>
      <c r="C75" s="916" t="s">
        <v>584</v>
      </c>
      <c r="D75" s="916"/>
      <c r="E75" s="292">
        <v>54</v>
      </c>
      <c r="F75" s="381" t="s">
        <v>330</v>
      </c>
      <c r="G75" s="366">
        <v>20</v>
      </c>
      <c r="J75" s="377">
        <v>20</v>
      </c>
      <c r="K75" s="336">
        <f t="shared" si="4"/>
        <v>100</v>
      </c>
      <c r="L75" s="336">
        <f t="shared" si="4"/>
        <v>0</v>
      </c>
      <c r="M75" s="336">
        <f t="shared" si="4"/>
        <v>0</v>
      </c>
      <c r="N75" s="368">
        <f t="shared" si="2"/>
        <v>100</v>
      </c>
      <c r="O75" s="335">
        <v>40.200000000000003</v>
      </c>
      <c r="P75" s="336"/>
      <c r="Q75" s="336"/>
      <c r="R75" s="337">
        <f t="shared" si="3"/>
        <v>40.200000000000003</v>
      </c>
      <c r="S75" s="292">
        <v>1</v>
      </c>
      <c r="T75" s="838">
        <v>32455</v>
      </c>
      <c r="U75" s="836"/>
      <c r="V75" s="299" t="s">
        <v>333</v>
      </c>
      <c r="W75" s="292" t="s">
        <v>74</v>
      </c>
      <c r="X75" s="292" t="s">
        <v>11</v>
      </c>
      <c r="Y75" s="300">
        <v>40.200000000000003</v>
      </c>
      <c r="AD75" s="299"/>
      <c r="AG75" s="300"/>
      <c r="AL75" s="299"/>
      <c r="AO75" s="300"/>
      <c r="AP75" s="299"/>
      <c r="AS75" s="300"/>
      <c r="AW75" s="300"/>
      <c r="BA75" s="301"/>
    </row>
    <row r="76" spans="1:53" s="292" customFormat="1">
      <c r="A76" s="338">
        <v>1989</v>
      </c>
      <c r="B76" s="836"/>
      <c r="C76" s="916" t="s">
        <v>584</v>
      </c>
      <c r="D76" s="916"/>
      <c r="E76" s="292">
        <v>19</v>
      </c>
      <c r="G76" s="366">
        <v>20</v>
      </c>
      <c r="J76" s="377">
        <v>20</v>
      </c>
      <c r="K76" s="336">
        <f t="shared" si="4"/>
        <v>100</v>
      </c>
      <c r="L76" s="336">
        <f t="shared" si="4"/>
        <v>0</v>
      </c>
      <c r="M76" s="336">
        <f t="shared" si="4"/>
        <v>0</v>
      </c>
      <c r="N76" s="368">
        <f t="shared" ref="N76:N119" si="5">K76+L76+M76</f>
        <v>100</v>
      </c>
      <c r="O76" s="335">
        <v>40.200000000000003</v>
      </c>
      <c r="P76" s="336"/>
      <c r="Q76" s="336"/>
      <c r="R76" s="337">
        <f t="shared" ref="R76:R137" si="6">O76+P76+Q76</f>
        <v>40.200000000000003</v>
      </c>
      <c r="S76" s="292">
        <v>1</v>
      </c>
      <c r="T76" s="838"/>
      <c r="U76" s="836"/>
      <c r="V76" s="299" t="s">
        <v>333</v>
      </c>
      <c r="W76" s="292" t="s">
        <v>74</v>
      </c>
      <c r="X76" s="292" t="s">
        <v>11</v>
      </c>
      <c r="Y76" s="300">
        <v>40.200000000000003</v>
      </c>
      <c r="AD76" s="299"/>
      <c r="AG76" s="300"/>
      <c r="AL76" s="299"/>
      <c r="AO76" s="300"/>
      <c r="AP76" s="299"/>
      <c r="AS76" s="300"/>
      <c r="AW76" s="300"/>
      <c r="BA76" s="301"/>
    </row>
    <row r="77" spans="1:53" s="188" customFormat="1" ht="9" customHeight="1">
      <c r="A77" s="148">
        <v>1989</v>
      </c>
      <c r="B77" s="859">
        <v>32528</v>
      </c>
      <c r="C77" s="957" t="s">
        <v>1272</v>
      </c>
      <c r="D77" s="957"/>
      <c r="E77" s="188">
        <f xml:space="preserve"> 365-E76</f>
        <v>346</v>
      </c>
      <c r="F77" s="188">
        <v>1</v>
      </c>
      <c r="G77" s="129">
        <v>16</v>
      </c>
      <c r="J77" s="130">
        <v>16</v>
      </c>
      <c r="K77" s="131">
        <f t="shared" si="4"/>
        <v>100</v>
      </c>
      <c r="L77" s="131">
        <f t="shared" si="4"/>
        <v>0</v>
      </c>
      <c r="M77" s="131">
        <f t="shared" si="4"/>
        <v>0</v>
      </c>
      <c r="N77" s="132">
        <f t="shared" si="5"/>
        <v>100</v>
      </c>
      <c r="O77" s="133">
        <v>40.200000000000003</v>
      </c>
      <c r="P77" s="131"/>
      <c r="Q77" s="131"/>
      <c r="R77" s="134">
        <f t="shared" si="6"/>
        <v>40.200000000000003</v>
      </c>
      <c r="S77" s="188">
        <v>1</v>
      </c>
      <c r="T77" s="861"/>
      <c r="U77" s="859">
        <v>32528</v>
      </c>
      <c r="V77" s="136" t="s">
        <v>333</v>
      </c>
      <c r="W77" s="188" t="s">
        <v>74</v>
      </c>
      <c r="X77" s="188" t="s">
        <v>11</v>
      </c>
      <c r="Y77" s="137">
        <v>40.200000000000003</v>
      </c>
      <c r="AD77" s="136"/>
      <c r="AG77" s="137"/>
      <c r="AL77" s="136"/>
      <c r="AO77" s="137"/>
      <c r="AP77" s="136"/>
      <c r="AS77" s="137"/>
      <c r="AW77" s="137"/>
      <c r="BA77" s="138"/>
    </row>
    <row r="78" spans="1:53" s="185" customFormat="1">
      <c r="A78" s="185">
        <v>1990</v>
      </c>
      <c r="B78" s="852"/>
      <c r="C78" s="917" t="s">
        <v>1272</v>
      </c>
      <c r="D78" s="917"/>
      <c r="E78" s="185">
        <v>305</v>
      </c>
      <c r="G78" s="119">
        <v>16</v>
      </c>
      <c r="J78" s="126">
        <v>16</v>
      </c>
      <c r="K78" s="92">
        <f t="shared" si="4"/>
        <v>100</v>
      </c>
      <c r="L78" s="92">
        <f t="shared" si="4"/>
        <v>0</v>
      </c>
      <c r="M78" s="92">
        <f t="shared" si="4"/>
        <v>0</v>
      </c>
      <c r="N78" s="121">
        <f t="shared" si="5"/>
        <v>100</v>
      </c>
      <c r="O78" s="91">
        <v>40.200000000000003</v>
      </c>
      <c r="P78" s="92"/>
      <c r="Q78" s="92"/>
      <c r="R78" s="93">
        <f t="shared" si="6"/>
        <v>40.200000000000003</v>
      </c>
      <c r="S78" s="185">
        <v>1</v>
      </c>
      <c r="T78" s="839"/>
      <c r="U78" s="852"/>
      <c r="V78" s="82" t="s">
        <v>333</v>
      </c>
      <c r="W78" s="185" t="s">
        <v>74</v>
      </c>
      <c r="X78" s="185" t="s">
        <v>11</v>
      </c>
      <c r="Y78" s="83">
        <v>40.200000000000003</v>
      </c>
      <c r="AD78" s="82"/>
      <c r="AG78" s="83"/>
      <c r="AL78" s="82"/>
      <c r="AO78" s="83"/>
      <c r="AP78" s="82"/>
      <c r="AS78" s="83"/>
      <c r="AW78" s="83"/>
      <c r="BA78" s="84"/>
    </row>
    <row r="79" spans="1:53" s="185" customFormat="1">
      <c r="A79" s="185">
        <v>1990</v>
      </c>
      <c r="B79" s="860">
        <v>33183</v>
      </c>
      <c r="C79" s="917" t="s">
        <v>1272</v>
      </c>
      <c r="D79" s="917"/>
      <c r="E79" s="185">
        <f>365-E78</f>
        <v>60</v>
      </c>
      <c r="F79" s="139" t="s">
        <v>330</v>
      </c>
      <c r="G79" s="119">
        <v>16</v>
      </c>
      <c r="J79" s="126">
        <v>16</v>
      </c>
      <c r="K79" s="92">
        <f t="shared" si="4"/>
        <v>100</v>
      </c>
      <c r="L79" s="92">
        <f t="shared" si="4"/>
        <v>0</v>
      </c>
      <c r="M79" s="92">
        <f t="shared" si="4"/>
        <v>0</v>
      </c>
      <c r="N79" s="121">
        <f t="shared" si="5"/>
        <v>100</v>
      </c>
      <c r="O79" s="91">
        <v>38.4</v>
      </c>
      <c r="P79" s="92"/>
      <c r="Q79" s="92"/>
      <c r="R79" s="93">
        <f t="shared" si="6"/>
        <v>38.4</v>
      </c>
      <c r="S79" s="185">
        <v>1</v>
      </c>
      <c r="T79" s="839">
        <v>33183</v>
      </c>
      <c r="U79" s="852"/>
      <c r="V79" s="82" t="s">
        <v>333</v>
      </c>
      <c r="W79" s="185" t="s">
        <v>74</v>
      </c>
      <c r="X79" s="185" t="s">
        <v>11</v>
      </c>
      <c r="Y79" s="83">
        <v>38.4</v>
      </c>
      <c r="AD79" s="82"/>
      <c r="AG79" s="83"/>
      <c r="AL79" s="82"/>
      <c r="AO79" s="83"/>
      <c r="AP79" s="82"/>
      <c r="AS79" s="83"/>
      <c r="AW79" s="83"/>
      <c r="BA79" s="84"/>
    </row>
    <row r="80" spans="1:53" s="185" customFormat="1">
      <c r="A80" s="185">
        <v>1991</v>
      </c>
      <c r="B80" s="852"/>
      <c r="C80" s="917" t="s">
        <v>1272</v>
      </c>
      <c r="D80" s="917"/>
      <c r="E80" s="185">
        <v>0</v>
      </c>
      <c r="G80" s="119">
        <v>16</v>
      </c>
      <c r="J80" s="126">
        <v>16</v>
      </c>
      <c r="K80" s="92">
        <f t="shared" si="4"/>
        <v>100</v>
      </c>
      <c r="L80" s="92">
        <f t="shared" si="4"/>
        <v>0</v>
      </c>
      <c r="M80" s="92">
        <f t="shared" si="4"/>
        <v>0</v>
      </c>
      <c r="N80" s="121">
        <f t="shared" si="5"/>
        <v>100</v>
      </c>
      <c r="O80" s="91">
        <v>38.4</v>
      </c>
      <c r="P80" s="92"/>
      <c r="Q80" s="92"/>
      <c r="R80" s="93">
        <f t="shared" si="6"/>
        <v>38.4</v>
      </c>
      <c r="S80" s="185">
        <v>1</v>
      </c>
      <c r="T80" s="839"/>
      <c r="U80" s="852"/>
      <c r="V80" s="82" t="s">
        <v>333</v>
      </c>
      <c r="W80" s="185" t="s">
        <v>74</v>
      </c>
      <c r="X80" s="185" t="s">
        <v>11</v>
      </c>
      <c r="Y80" s="83">
        <v>38.4</v>
      </c>
      <c r="AD80" s="82"/>
      <c r="AG80" s="83"/>
      <c r="AL80" s="82"/>
      <c r="AO80" s="83"/>
      <c r="AP80" s="82"/>
      <c r="AS80" s="83"/>
      <c r="AW80" s="83"/>
      <c r="BA80" s="84"/>
    </row>
    <row r="81" spans="1:53" s="185" customFormat="1">
      <c r="A81" s="185">
        <v>1991</v>
      </c>
      <c r="B81" s="852"/>
      <c r="C81" s="917" t="s">
        <v>1272</v>
      </c>
      <c r="D81" s="917"/>
      <c r="E81" s="185">
        <f>365-E80</f>
        <v>365</v>
      </c>
      <c r="G81" s="119">
        <v>16</v>
      </c>
      <c r="J81" s="126">
        <v>16</v>
      </c>
      <c r="K81" s="92">
        <f t="shared" si="4"/>
        <v>100</v>
      </c>
      <c r="L81" s="92">
        <f t="shared" si="4"/>
        <v>0</v>
      </c>
      <c r="M81" s="92">
        <f t="shared" si="4"/>
        <v>0</v>
      </c>
      <c r="N81" s="121">
        <f t="shared" si="5"/>
        <v>100</v>
      </c>
      <c r="O81" s="91">
        <v>38.4</v>
      </c>
      <c r="P81" s="92"/>
      <c r="Q81" s="92"/>
      <c r="R81" s="93">
        <f t="shared" si="6"/>
        <v>38.4</v>
      </c>
      <c r="S81" s="185">
        <v>1</v>
      </c>
      <c r="T81" s="839"/>
      <c r="U81" s="852"/>
      <c r="V81" s="82" t="s">
        <v>333</v>
      </c>
      <c r="W81" s="185" t="s">
        <v>74</v>
      </c>
      <c r="X81" s="185" t="s">
        <v>11</v>
      </c>
      <c r="Y81" s="83">
        <v>38.4</v>
      </c>
      <c r="AD81" s="82"/>
      <c r="AG81" s="83"/>
      <c r="AL81" s="82"/>
      <c r="AO81" s="83"/>
      <c r="AP81" s="82"/>
      <c r="AS81" s="83"/>
      <c r="AW81" s="83"/>
      <c r="BA81" s="84"/>
    </row>
    <row r="82" spans="1:53" s="185" customFormat="1">
      <c r="A82" s="185">
        <v>1992</v>
      </c>
      <c r="B82" s="852"/>
      <c r="C82" s="917" t="s">
        <v>1272</v>
      </c>
      <c r="D82" s="917"/>
      <c r="E82" s="185">
        <v>307</v>
      </c>
      <c r="G82" s="119">
        <v>16</v>
      </c>
      <c r="J82" s="126">
        <v>16</v>
      </c>
      <c r="K82" s="92">
        <f t="shared" si="4"/>
        <v>100</v>
      </c>
      <c r="L82" s="92">
        <f t="shared" si="4"/>
        <v>0</v>
      </c>
      <c r="M82" s="92">
        <f t="shared" si="4"/>
        <v>0</v>
      </c>
      <c r="N82" s="121">
        <f t="shared" si="5"/>
        <v>100</v>
      </c>
      <c r="O82" s="91">
        <v>38.4</v>
      </c>
      <c r="P82" s="92"/>
      <c r="Q82" s="92"/>
      <c r="R82" s="93">
        <f t="shared" si="6"/>
        <v>38.4</v>
      </c>
      <c r="S82" s="185">
        <v>1</v>
      </c>
      <c r="T82" s="839"/>
      <c r="U82" s="852"/>
      <c r="V82" s="82" t="s">
        <v>333</v>
      </c>
      <c r="W82" s="185" t="s">
        <v>74</v>
      </c>
      <c r="X82" s="185" t="s">
        <v>11</v>
      </c>
      <c r="Y82" s="83">
        <v>38.4</v>
      </c>
      <c r="AD82" s="82"/>
      <c r="AG82" s="83"/>
      <c r="AL82" s="82"/>
      <c r="AO82" s="83"/>
      <c r="AP82" s="82"/>
      <c r="AS82" s="83"/>
      <c r="AW82" s="83"/>
      <c r="BA82" s="84"/>
    </row>
    <row r="83" spans="1:53" s="185" customFormat="1">
      <c r="A83" s="185">
        <v>1992</v>
      </c>
      <c r="B83" s="860">
        <v>33911</v>
      </c>
      <c r="C83" s="917" t="s">
        <v>1272</v>
      </c>
      <c r="D83" s="917"/>
      <c r="E83" s="185">
        <v>59</v>
      </c>
      <c r="F83" s="139" t="s">
        <v>330</v>
      </c>
      <c r="G83" s="119">
        <v>16</v>
      </c>
      <c r="J83" s="126">
        <v>16</v>
      </c>
      <c r="K83" s="92">
        <f t="shared" si="4"/>
        <v>100</v>
      </c>
      <c r="L83" s="92">
        <f t="shared" si="4"/>
        <v>0</v>
      </c>
      <c r="M83" s="92">
        <f t="shared" si="4"/>
        <v>0</v>
      </c>
      <c r="N83" s="121">
        <f t="shared" si="5"/>
        <v>100</v>
      </c>
      <c r="O83" s="91">
        <v>40.5</v>
      </c>
      <c r="P83" s="92"/>
      <c r="Q83" s="92"/>
      <c r="R83" s="93">
        <f t="shared" si="6"/>
        <v>40.5</v>
      </c>
      <c r="S83" s="185">
        <v>1</v>
      </c>
      <c r="T83" s="839">
        <v>33911</v>
      </c>
      <c r="U83" s="852"/>
      <c r="V83" s="82" t="s">
        <v>333</v>
      </c>
      <c r="W83" s="185" t="s">
        <v>74</v>
      </c>
      <c r="X83" s="185" t="s">
        <v>11</v>
      </c>
      <c r="Y83" s="83">
        <v>40.5</v>
      </c>
      <c r="AD83" s="82"/>
      <c r="AG83" s="83"/>
      <c r="AL83" s="82"/>
      <c r="AO83" s="83"/>
      <c r="AP83" s="82"/>
      <c r="AS83" s="83"/>
      <c r="AW83" s="83"/>
      <c r="BA83" s="84"/>
    </row>
    <row r="84" spans="1:53" s="185" customFormat="1">
      <c r="A84" s="185">
        <v>1993</v>
      </c>
      <c r="B84" s="852"/>
      <c r="C84" s="917" t="s">
        <v>1272</v>
      </c>
      <c r="D84" s="917"/>
      <c r="E84" s="185">
        <v>19</v>
      </c>
      <c r="G84" s="119">
        <v>16</v>
      </c>
      <c r="J84" s="126">
        <v>16</v>
      </c>
      <c r="K84" s="92">
        <f t="shared" si="4"/>
        <v>100</v>
      </c>
      <c r="L84" s="92">
        <f t="shared" si="4"/>
        <v>0</v>
      </c>
      <c r="M84" s="92">
        <f t="shared" si="4"/>
        <v>0</v>
      </c>
      <c r="N84" s="121">
        <f t="shared" si="5"/>
        <v>100</v>
      </c>
      <c r="O84" s="91">
        <v>40.5</v>
      </c>
      <c r="P84" s="92"/>
      <c r="Q84" s="92"/>
      <c r="R84" s="93">
        <f t="shared" si="6"/>
        <v>40.5</v>
      </c>
      <c r="S84" s="185">
        <v>1</v>
      </c>
      <c r="T84" s="839"/>
      <c r="U84" s="852"/>
      <c r="V84" s="82" t="s">
        <v>333</v>
      </c>
      <c r="W84" s="185" t="s">
        <v>74</v>
      </c>
      <c r="X84" s="185" t="s">
        <v>11</v>
      </c>
      <c r="Y84" s="83">
        <v>40.5</v>
      </c>
      <c r="AD84" s="82"/>
      <c r="AG84" s="83"/>
      <c r="AL84" s="82"/>
      <c r="AO84" s="83"/>
      <c r="AP84" s="82"/>
      <c r="AS84" s="83"/>
      <c r="AW84" s="83"/>
      <c r="BA84" s="84"/>
    </row>
    <row r="85" spans="1:53" s="292" customFormat="1">
      <c r="A85" s="292">
        <v>1993</v>
      </c>
      <c r="B85" s="836">
        <v>33989</v>
      </c>
      <c r="C85" s="916" t="s">
        <v>585</v>
      </c>
      <c r="D85" s="916"/>
      <c r="E85" s="292">
        <f>365-E84</f>
        <v>346</v>
      </c>
      <c r="F85" s="292">
        <v>1</v>
      </c>
      <c r="G85" s="366"/>
      <c r="H85" s="292">
        <v>18</v>
      </c>
      <c r="J85" s="377">
        <v>18</v>
      </c>
      <c r="K85" s="336">
        <f t="shared" si="4"/>
        <v>0</v>
      </c>
      <c r="L85" s="336">
        <f t="shared" si="4"/>
        <v>100</v>
      </c>
      <c r="M85" s="336">
        <f t="shared" si="4"/>
        <v>0</v>
      </c>
      <c r="N85" s="368">
        <f t="shared" si="5"/>
        <v>100</v>
      </c>
      <c r="O85" s="335"/>
      <c r="P85" s="336">
        <v>59.3</v>
      </c>
      <c r="Q85" s="336"/>
      <c r="R85" s="337">
        <f t="shared" si="6"/>
        <v>59.3</v>
      </c>
      <c r="S85" s="292">
        <v>1</v>
      </c>
      <c r="T85" s="838"/>
      <c r="U85" s="836">
        <v>33989</v>
      </c>
      <c r="V85" s="299" t="s">
        <v>131</v>
      </c>
      <c r="W85" s="292" t="s">
        <v>22</v>
      </c>
      <c r="X85" s="292" t="s">
        <v>18</v>
      </c>
      <c r="Y85" s="300">
        <v>59.3</v>
      </c>
      <c r="AD85" s="299"/>
      <c r="AG85" s="300"/>
      <c r="AL85" s="299"/>
      <c r="AO85" s="300"/>
      <c r="AP85" s="299"/>
      <c r="AS85" s="300"/>
      <c r="AW85" s="300"/>
      <c r="BA85" s="301"/>
    </row>
    <row r="86" spans="1:53" s="292" customFormat="1">
      <c r="A86" s="292">
        <v>1994</v>
      </c>
      <c r="B86" s="836"/>
      <c r="C86" s="916" t="s">
        <v>585</v>
      </c>
      <c r="D86" s="916"/>
      <c r="E86" s="292">
        <v>311</v>
      </c>
      <c r="G86" s="366"/>
      <c r="H86" s="292">
        <v>18</v>
      </c>
      <c r="J86" s="377">
        <v>18</v>
      </c>
      <c r="K86" s="336">
        <f t="shared" si="4"/>
        <v>0</v>
      </c>
      <c r="L86" s="336">
        <f t="shared" si="4"/>
        <v>100</v>
      </c>
      <c r="M86" s="336">
        <f t="shared" si="4"/>
        <v>0</v>
      </c>
      <c r="N86" s="368">
        <f t="shared" si="5"/>
        <v>100</v>
      </c>
      <c r="O86" s="335"/>
      <c r="P86" s="336">
        <v>59.3</v>
      </c>
      <c r="Q86" s="336"/>
      <c r="R86" s="337">
        <f t="shared" si="6"/>
        <v>59.3</v>
      </c>
      <c r="S86" s="292">
        <v>1</v>
      </c>
      <c r="T86" s="838"/>
      <c r="U86" s="836"/>
      <c r="V86" s="299" t="s">
        <v>131</v>
      </c>
      <c r="W86" s="292" t="s">
        <v>22</v>
      </c>
      <c r="X86" s="292" t="s">
        <v>18</v>
      </c>
      <c r="Y86" s="300">
        <v>59.3</v>
      </c>
      <c r="AD86" s="299"/>
      <c r="AG86" s="300"/>
      <c r="AL86" s="299"/>
      <c r="AO86" s="300"/>
      <c r="AP86" s="299"/>
      <c r="AS86" s="300"/>
      <c r="AW86" s="300"/>
      <c r="BA86" s="301"/>
    </row>
    <row r="87" spans="1:53" s="292" customFormat="1">
      <c r="A87" s="292">
        <v>1994</v>
      </c>
      <c r="B87" s="865">
        <v>34646</v>
      </c>
      <c r="C87" s="916" t="s">
        <v>585</v>
      </c>
      <c r="D87" s="916"/>
      <c r="E87" s="292">
        <f>365-E86</f>
        <v>54</v>
      </c>
      <c r="F87" s="381" t="s">
        <v>330</v>
      </c>
      <c r="G87" s="366"/>
      <c r="H87" s="292">
        <v>18</v>
      </c>
      <c r="J87" s="377">
        <v>18</v>
      </c>
      <c r="K87" s="336">
        <f t="shared" si="4"/>
        <v>0</v>
      </c>
      <c r="L87" s="336">
        <f t="shared" si="4"/>
        <v>100</v>
      </c>
      <c r="M87" s="336">
        <f t="shared" si="4"/>
        <v>0</v>
      </c>
      <c r="N87" s="368">
        <f t="shared" si="5"/>
        <v>100</v>
      </c>
      <c r="O87" s="335"/>
      <c r="P87" s="336">
        <v>46.9</v>
      </c>
      <c r="Q87" s="336"/>
      <c r="R87" s="337">
        <f t="shared" si="6"/>
        <v>46.9</v>
      </c>
      <c r="S87" s="292">
        <v>1</v>
      </c>
      <c r="T87" s="838">
        <v>34646</v>
      </c>
      <c r="U87" s="836"/>
      <c r="V87" s="299" t="s">
        <v>131</v>
      </c>
      <c r="W87" s="292" t="s">
        <v>22</v>
      </c>
      <c r="X87" s="292" t="s">
        <v>18</v>
      </c>
      <c r="Y87" s="300">
        <v>46.9</v>
      </c>
      <c r="AD87" s="299"/>
      <c r="AG87" s="300"/>
      <c r="AL87" s="299"/>
      <c r="AO87" s="300"/>
      <c r="AP87" s="299"/>
      <c r="AS87" s="300"/>
      <c r="AW87" s="300"/>
      <c r="BA87" s="301"/>
    </row>
    <row r="88" spans="1:53" s="292" customFormat="1">
      <c r="A88" s="292">
        <v>1995</v>
      </c>
      <c r="B88" s="836"/>
      <c r="C88" s="916" t="s">
        <v>585</v>
      </c>
      <c r="D88" s="916"/>
      <c r="E88" s="292">
        <v>0</v>
      </c>
      <c r="G88" s="366"/>
      <c r="H88" s="292">
        <v>18</v>
      </c>
      <c r="J88" s="377">
        <v>18</v>
      </c>
      <c r="K88" s="336">
        <f t="shared" si="4"/>
        <v>0</v>
      </c>
      <c r="L88" s="336">
        <f t="shared" si="4"/>
        <v>100</v>
      </c>
      <c r="M88" s="336">
        <f t="shared" si="4"/>
        <v>0</v>
      </c>
      <c r="N88" s="368">
        <f t="shared" si="5"/>
        <v>100</v>
      </c>
      <c r="O88" s="335"/>
      <c r="P88" s="336">
        <v>46.9</v>
      </c>
      <c r="Q88" s="336"/>
      <c r="R88" s="337">
        <f t="shared" si="6"/>
        <v>46.9</v>
      </c>
      <c r="S88" s="292">
        <v>1</v>
      </c>
      <c r="T88" s="838"/>
      <c r="U88" s="836"/>
      <c r="V88" s="299" t="s">
        <v>131</v>
      </c>
      <c r="W88" s="292" t="s">
        <v>22</v>
      </c>
      <c r="X88" s="292" t="s">
        <v>18</v>
      </c>
      <c r="Y88" s="300">
        <v>46.9</v>
      </c>
      <c r="AD88" s="299"/>
      <c r="AG88" s="300"/>
      <c r="AL88" s="299"/>
      <c r="AO88" s="300"/>
      <c r="AP88" s="299"/>
      <c r="AS88" s="300"/>
      <c r="AW88" s="300"/>
      <c r="BA88" s="301"/>
    </row>
    <row r="89" spans="1:53" s="292" customFormat="1">
      <c r="A89" s="292">
        <v>1995</v>
      </c>
      <c r="B89" s="836"/>
      <c r="C89" s="916" t="s">
        <v>585</v>
      </c>
      <c r="D89" s="916"/>
      <c r="E89" s="292">
        <f>365-E88</f>
        <v>365</v>
      </c>
      <c r="G89" s="366"/>
      <c r="H89" s="292">
        <v>18</v>
      </c>
      <c r="J89" s="377">
        <v>18</v>
      </c>
      <c r="K89" s="336">
        <f t="shared" si="4"/>
        <v>0</v>
      </c>
      <c r="L89" s="336">
        <f t="shared" si="4"/>
        <v>100</v>
      </c>
      <c r="M89" s="336">
        <f t="shared" si="4"/>
        <v>0</v>
      </c>
      <c r="N89" s="368">
        <f t="shared" si="5"/>
        <v>100</v>
      </c>
      <c r="O89" s="335"/>
      <c r="P89" s="336">
        <v>46.9</v>
      </c>
      <c r="Q89" s="336"/>
      <c r="R89" s="337">
        <f t="shared" si="6"/>
        <v>46.9</v>
      </c>
      <c r="S89" s="292">
        <v>1</v>
      </c>
      <c r="T89" s="838"/>
      <c r="U89" s="836"/>
      <c r="V89" s="299" t="s">
        <v>131</v>
      </c>
      <c r="W89" s="292" t="s">
        <v>22</v>
      </c>
      <c r="X89" s="292" t="s">
        <v>18</v>
      </c>
      <c r="Y89" s="300">
        <v>46.9</v>
      </c>
      <c r="AD89" s="299"/>
      <c r="AG89" s="300"/>
      <c r="AL89" s="299"/>
      <c r="AO89" s="300"/>
      <c r="AP89" s="299"/>
      <c r="AS89" s="300"/>
      <c r="AW89" s="300"/>
      <c r="BA89" s="301"/>
    </row>
    <row r="90" spans="1:53" s="292" customFormat="1">
      <c r="A90" s="292">
        <v>1996</v>
      </c>
      <c r="B90" s="836"/>
      <c r="C90" s="916" t="s">
        <v>585</v>
      </c>
      <c r="D90" s="916"/>
      <c r="E90" s="292">
        <v>309</v>
      </c>
      <c r="G90" s="366"/>
      <c r="H90" s="292">
        <v>18</v>
      </c>
      <c r="J90" s="377">
        <v>18</v>
      </c>
      <c r="K90" s="336">
        <f t="shared" si="4"/>
        <v>0</v>
      </c>
      <c r="L90" s="336">
        <f t="shared" si="4"/>
        <v>100</v>
      </c>
      <c r="M90" s="336">
        <f t="shared" si="4"/>
        <v>0</v>
      </c>
      <c r="N90" s="368">
        <f t="shared" si="5"/>
        <v>100</v>
      </c>
      <c r="O90" s="335"/>
      <c r="P90" s="336">
        <v>46.9</v>
      </c>
      <c r="Q90" s="336"/>
      <c r="R90" s="337">
        <f t="shared" si="6"/>
        <v>46.9</v>
      </c>
      <c r="S90" s="292">
        <v>1</v>
      </c>
      <c r="T90" s="838"/>
      <c r="U90" s="836"/>
      <c r="V90" s="299" t="s">
        <v>131</v>
      </c>
      <c r="W90" s="292" t="s">
        <v>22</v>
      </c>
      <c r="X90" s="292" t="s">
        <v>18</v>
      </c>
      <c r="Y90" s="300">
        <v>46.9</v>
      </c>
      <c r="AD90" s="299"/>
      <c r="AG90" s="300"/>
      <c r="AL90" s="299"/>
      <c r="AO90" s="300"/>
      <c r="AP90" s="299"/>
      <c r="AS90" s="300"/>
      <c r="AW90" s="300"/>
      <c r="BA90" s="301"/>
    </row>
    <row r="91" spans="1:53" s="292" customFormat="1">
      <c r="A91" s="292">
        <v>1996</v>
      </c>
      <c r="B91" s="865">
        <v>35374</v>
      </c>
      <c r="C91" s="916" t="s">
        <v>585</v>
      </c>
      <c r="D91" s="916"/>
      <c r="E91" s="292">
        <v>57</v>
      </c>
      <c r="F91" s="381" t="s">
        <v>330</v>
      </c>
      <c r="G91" s="366"/>
      <c r="H91" s="292">
        <v>18</v>
      </c>
      <c r="J91" s="377">
        <v>18</v>
      </c>
      <c r="K91" s="336">
        <f t="shared" si="4"/>
        <v>0</v>
      </c>
      <c r="L91" s="336">
        <f t="shared" si="4"/>
        <v>100</v>
      </c>
      <c r="M91" s="336">
        <f t="shared" si="4"/>
        <v>0</v>
      </c>
      <c r="N91" s="368">
        <f t="shared" si="5"/>
        <v>100</v>
      </c>
      <c r="O91" s="335"/>
      <c r="P91" s="336">
        <v>47.6</v>
      </c>
      <c r="Q91" s="336"/>
      <c r="R91" s="337">
        <f t="shared" si="6"/>
        <v>47.6</v>
      </c>
      <c r="S91" s="292">
        <v>1</v>
      </c>
      <c r="T91" s="838">
        <v>35374</v>
      </c>
      <c r="U91" s="836"/>
      <c r="V91" s="299" t="s">
        <v>131</v>
      </c>
      <c r="W91" s="292" t="s">
        <v>22</v>
      </c>
      <c r="X91" s="292" t="s">
        <v>18</v>
      </c>
      <c r="Y91" s="300">
        <v>47.6</v>
      </c>
      <c r="AD91" s="299"/>
      <c r="AG91" s="300"/>
      <c r="AL91" s="299"/>
      <c r="AO91" s="300"/>
      <c r="AP91" s="299"/>
      <c r="AS91" s="300"/>
      <c r="AW91" s="300"/>
      <c r="BA91" s="301"/>
    </row>
    <row r="92" spans="1:53" s="292" customFormat="1">
      <c r="A92" s="292">
        <v>1997</v>
      </c>
      <c r="B92" s="836"/>
      <c r="C92" s="916" t="s">
        <v>585</v>
      </c>
      <c r="D92" s="916"/>
      <c r="E92" s="292">
        <v>19</v>
      </c>
      <c r="G92" s="366"/>
      <c r="H92" s="292">
        <v>18</v>
      </c>
      <c r="J92" s="377">
        <v>18</v>
      </c>
      <c r="K92" s="336">
        <f t="shared" si="4"/>
        <v>0</v>
      </c>
      <c r="L92" s="336">
        <f t="shared" si="4"/>
        <v>100</v>
      </c>
      <c r="M92" s="336">
        <f t="shared" si="4"/>
        <v>0</v>
      </c>
      <c r="N92" s="368">
        <f t="shared" si="5"/>
        <v>100</v>
      </c>
      <c r="O92" s="335"/>
      <c r="P92" s="336">
        <v>47.6</v>
      </c>
      <c r="Q92" s="336"/>
      <c r="R92" s="337">
        <f t="shared" si="6"/>
        <v>47.6</v>
      </c>
      <c r="S92" s="292">
        <v>1</v>
      </c>
      <c r="T92" s="838"/>
      <c r="U92" s="836"/>
      <c r="V92" s="299" t="s">
        <v>131</v>
      </c>
      <c r="W92" s="292" t="s">
        <v>22</v>
      </c>
      <c r="X92" s="292" t="s">
        <v>18</v>
      </c>
      <c r="Y92" s="300">
        <v>47.6</v>
      </c>
      <c r="AD92" s="299"/>
      <c r="AG92" s="300"/>
      <c r="AL92" s="299"/>
      <c r="AO92" s="300"/>
      <c r="AP92" s="299"/>
      <c r="AS92" s="300"/>
      <c r="AW92" s="300"/>
      <c r="BA92" s="301"/>
    </row>
    <row r="93" spans="1:53" s="185" customFormat="1">
      <c r="A93" s="185">
        <v>1997</v>
      </c>
      <c r="B93" s="852">
        <v>35450</v>
      </c>
      <c r="C93" s="917" t="s">
        <v>586</v>
      </c>
      <c r="D93" s="917"/>
      <c r="E93" s="185">
        <v>346</v>
      </c>
      <c r="F93" s="185">
        <v>1</v>
      </c>
      <c r="G93" s="119">
        <v>1</v>
      </c>
      <c r="H93" s="185">
        <v>17</v>
      </c>
      <c r="J93" s="126">
        <v>18</v>
      </c>
      <c r="K93" s="92">
        <f t="shared" si="4"/>
        <v>5.5555555555555554</v>
      </c>
      <c r="L93" s="92">
        <f t="shared" si="4"/>
        <v>94.444444444444443</v>
      </c>
      <c r="M93" s="92">
        <f t="shared" si="4"/>
        <v>0</v>
      </c>
      <c r="N93" s="121">
        <f t="shared" si="5"/>
        <v>100</v>
      </c>
      <c r="O93" s="91"/>
      <c r="P93" s="92">
        <v>47.6</v>
      </c>
      <c r="Q93" s="92"/>
      <c r="R93" s="93">
        <f t="shared" si="6"/>
        <v>47.6</v>
      </c>
      <c r="S93" s="185">
        <v>1</v>
      </c>
      <c r="T93" s="839"/>
      <c r="U93" s="852">
        <v>35450</v>
      </c>
      <c r="V93" s="82" t="s">
        <v>131</v>
      </c>
      <c r="W93" s="185" t="s">
        <v>22</v>
      </c>
      <c r="X93" s="185" t="s">
        <v>18</v>
      </c>
      <c r="Y93" s="83">
        <v>47.6</v>
      </c>
      <c r="AD93" s="82"/>
      <c r="AG93" s="83"/>
      <c r="AL93" s="82"/>
      <c r="AO93" s="83"/>
      <c r="AP93" s="82"/>
      <c r="AS93" s="83"/>
      <c r="AW93" s="83"/>
      <c r="BA93" s="84"/>
    </row>
    <row r="94" spans="1:53" s="185" customFormat="1">
      <c r="A94" s="185">
        <v>1998</v>
      </c>
      <c r="B94" s="852"/>
      <c r="C94" s="917" t="s">
        <v>586</v>
      </c>
      <c r="D94" s="917"/>
      <c r="E94" s="185">
        <v>306</v>
      </c>
      <c r="G94" s="119">
        <v>1</v>
      </c>
      <c r="H94" s="185">
        <v>17</v>
      </c>
      <c r="J94" s="126">
        <v>18</v>
      </c>
      <c r="K94" s="92">
        <f t="shared" si="4"/>
        <v>5.5555555555555554</v>
      </c>
      <c r="L94" s="92">
        <f t="shared" si="4"/>
        <v>94.444444444444443</v>
      </c>
      <c r="M94" s="92">
        <f t="shared" si="4"/>
        <v>0</v>
      </c>
      <c r="N94" s="121">
        <f t="shared" si="5"/>
        <v>100</v>
      </c>
      <c r="O94" s="91"/>
      <c r="P94" s="92">
        <v>47.6</v>
      </c>
      <c r="Q94" s="92"/>
      <c r="R94" s="93">
        <f t="shared" si="6"/>
        <v>47.6</v>
      </c>
      <c r="S94" s="185">
        <v>1</v>
      </c>
      <c r="T94" s="839"/>
      <c r="U94" s="852"/>
      <c r="V94" s="82" t="s">
        <v>131</v>
      </c>
      <c r="W94" s="185" t="s">
        <v>22</v>
      </c>
      <c r="X94" s="185" t="s">
        <v>18</v>
      </c>
      <c r="Y94" s="83">
        <v>47.6</v>
      </c>
      <c r="Z94" s="139" t="s">
        <v>333</v>
      </c>
      <c r="AA94" s="139" t="s">
        <v>74</v>
      </c>
      <c r="AB94" s="139" t="s">
        <v>11</v>
      </c>
      <c r="AC94" s="139">
        <v>52.2</v>
      </c>
      <c r="AD94" s="82"/>
      <c r="AG94" s="83"/>
      <c r="AL94" s="82"/>
      <c r="AO94" s="83"/>
      <c r="AP94" s="82"/>
      <c r="AS94" s="83"/>
      <c r="AW94" s="83"/>
      <c r="BA94" s="84"/>
    </row>
    <row r="95" spans="1:53" s="185" customFormat="1">
      <c r="A95" s="185">
        <v>1998</v>
      </c>
      <c r="B95" s="860">
        <v>36102</v>
      </c>
      <c r="C95" s="917" t="s">
        <v>586</v>
      </c>
      <c r="D95" s="917"/>
      <c r="E95" s="185">
        <v>59</v>
      </c>
      <c r="F95" s="139" t="s">
        <v>330</v>
      </c>
      <c r="G95" s="119">
        <v>1</v>
      </c>
      <c r="H95" s="185">
        <v>17</v>
      </c>
      <c r="J95" s="126">
        <v>18</v>
      </c>
      <c r="K95" s="92">
        <f t="shared" si="4"/>
        <v>5.5555555555555554</v>
      </c>
      <c r="L95" s="92">
        <f t="shared" si="4"/>
        <v>94.444444444444443</v>
      </c>
      <c r="M95" s="92">
        <f t="shared" si="4"/>
        <v>0</v>
      </c>
      <c r="N95" s="121">
        <f t="shared" si="5"/>
        <v>100</v>
      </c>
      <c r="O95" s="91"/>
      <c r="P95" s="92">
        <v>48.5</v>
      </c>
      <c r="Q95" s="92"/>
      <c r="R95" s="93">
        <f t="shared" si="6"/>
        <v>48.5</v>
      </c>
      <c r="S95" s="185">
        <v>1</v>
      </c>
      <c r="T95" s="839">
        <v>36102</v>
      </c>
      <c r="U95" s="852"/>
      <c r="V95" s="82" t="s">
        <v>131</v>
      </c>
      <c r="W95" s="185" t="s">
        <v>22</v>
      </c>
      <c r="X95" s="185" t="s">
        <v>18</v>
      </c>
      <c r="Y95" s="83">
        <v>48.5</v>
      </c>
      <c r="Z95" s="139" t="s">
        <v>333</v>
      </c>
      <c r="AA95" s="139" t="s">
        <v>74</v>
      </c>
      <c r="AB95" s="139" t="s">
        <v>11</v>
      </c>
      <c r="AC95" s="139">
        <v>51.3</v>
      </c>
      <c r="AD95" s="82"/>
      <c r="AG95" s="83"/>
      <c r="AL95" s="82"/>
      <c r="AO95" s="83"/>
      <c r="AP95" s="82"/>
      <c r="AS95" s="83"/>
      <c r="AW95" s="83"/>
      <c r="BA95" s="84"/>
    </row>
    <row r="96" spans="1:53" s="185" customFormat="1">
      <c r="A96" s="185">
        <v>1999</v>
      </c>
      <c r="B96" s="860"/>
      <c r="C96" s="917" t="s">
        <v>586</v>
      </c>
      <c r="D96" s="917"/>
      <c r="E96" s="185">
        <v>0</v>
      </c>
      <c r="G96" s="119">
        <v>1</v>
      </c>
      <c r="H96" s="185">
        <v>17</v>
      </c>
      <c r="J96" s="126">
        <v>18</v>
      </c>
      <c r="K96" s="92">
        <f t="shared" si="4"/>
        <v>5.5555555555555554</v>
      </c>
      <c r="L96" s="92">
        <f t="shared" si="4"/>
        <v>94.444444444444443</v>
      </c>
      <c r="M96" s="92">
        <f t="shared" si="4"/>
        <v>0</v>
      </c>
      <c r="N96" s="121">
        <f t="shared" si="5"/>
        <v>100</v>
      </c>
      <c r="O96" s="91"/>
      <c r="P96" s="92">
        <v>48.5</v>
      </c>
      <c r="Q96" s="92"/>
      <c r="R96" s="93">
        <f t="shared" si="6"/>
        <v>48.5</v>
      </c>
      <c r="S96" s="185">
        <v>1</v>
      </c>
      <c r="T96" s="839"/>
      <c r="U96" s="852"/>
      <c r="V96" s="82" t="s">
        <v>131</v>
      </c>
      <c r="W96" s="185" t="s">
        <v>22</v>
      </c>
      <c r="X96" s="185" t="s">
        <v>18</v>
      </c>
      <c r="Y96" s="83">
        <v>48.5</v>
      </c>
      <c r="Z96" s="139" t="s">
        <v>333</v>
      </c>
      <c r="AA96" s="139" t="s">
        <v>74</v>
      </c>
      <c r="AB96" s="139" t="s">
        <v>11</v>
      </c>
      <c r="AC96" s="139">
        <v>51.3</v>
      </c>
      <c r="AD96" s="82"/>
      <c r="AG96" s="83"/>
      <c r="AL96" s="82"/>
      <c r="AO96" s="83"/>
      <c r="AP96" s="82"/>
      <c r="AS96" s="83"/>
      <c r="AW96" s="83"/>
      <c r="BA96" s="84"/>
    </row>
    <row r="97" spans="1:53" s="185" customFormat="1">
      <c r="A97" s="185">
        <v>1999</v>
      </c>
      <c r="B97" s="852"/>
      <c r="C97" s="917" t="s">
        <v>586</v>
      </c>
      <c r="D97" s="917"/>
      <c r="E97" s="185">
        <f>365-E96</f>
        <v>365</v>
      </c>
      <c r="G97" s="119">
        <v>1</v>
      </c>
      <c r="H97" s="185">
        <v>17</v>
      </c>
      <c r="J97" s="126">
        <v>18</v>
      </c>
      <c r="K97" s="92">
        <f t="shared" si="4"/>
        <v>5.5555555555555554</v>
      </c>
      <c r="L97" s="92">
        <f t="shared" si="4"/>
        <v>94.444444444444443</v>
      </c>
      <c r="M97" s="92">
        <f t="shared" si="4"/>
        <v>0</v>
      </c>
      <c r="N97" s="121">
        <f t="shared" si="5"/>
        <v>100</v>
      </c>
      <c r="O97" s="91"/>
      <c r="P97" s="92">
        <v>48.5</v>
      </c>
      <c r="Q97" s="92"/>
      <c r="R97" s="93">
        <f t="shared" si="6"/>
        <v>48.5</v>
      </c>
      <c r="S97" s="185">
        <v>1</v>
      </c>
      <c r="T97" s="839"/>
      <c r="U97" s="852"/>
      <c r="V97" s="82" t="s">
        <v>131</v>
      </c>
      <c r="W97" s="185" t="s">
        <v>22</v>
      </c>
      <c r="X97" s="185" t="s">
        <v>18</v>
      </c>
      <c r="Y97" s="83">
        <v>48.5</v>
      </c>
      <c r="Z97" s="139" t="s">
        <v>333</v>
      </c>
      <c r="AA97" s="139" t="s">
        <v>74</v>
      </c>
      <c r="AB97" s="139" t="s">
        <v>11</v>
      </c>
      <c r="AC97" s="139">
        <v>51.3</v>
      </c>
      <c r="AD97" s="82"/>
      <c r="AG97" s="83"/>
      <c r="AL97" s="82"/>
      <c r="AO97" s="83"/>
      <c r="AP97" s="82"/>
      <c r="AS97" s="83"/>
      <c r="AW97" s="83"/>
      <c r="BA97" s="84"/>
    </row>
    <row r="98" spans="1:53" s="185" customFormat="1">
      <c r="A98" s="185">
        <v>2000</v>
      </c>
      <c r="B98" s="852"/>
      <c r="C98" s="917" t="s">
        <v>586</v>
      </c>
      <c r="D98" s="917"/>
      <c r="E98" s="185">
        <v>311</v>
      </c>
      <c r="G98" s="119">
        <v>1</v>
      </c>
      <c r="H98" s="185">
        <v>17</v>
      </c>
      <c r="J98" s="126">
        <v>18</v>
      </c>
      <c r="K98" s="92">
        <f t="shared" si="4"/>
        <v>5.5555555555555554</v>
      </c>
      <c r="L98" s="92">
        <f t="shared" si="4"/>
        <v>94.444444444444443</v>
      </c>
      <c r="M98" s="92">
        <f t="shared" si="4"/>
        <v>0</v>
      </c>
      <c r="N98" s="121">
        <f t="shared" si="5"/>
        <v>100</v>
      </c>
      <c r="O98" s="91"/>
      <c r="P98" s="92">
        <v>48.5</v>
      </c>
      <c r="Q98" s="92"/>
      <c r="R98" s="93">
        <f t="shared" si="6"/>
        <v>48.5</v>
      </c>
      <c r="S98" s="185">
        <v>1</v>
      </c>
      <c r="T98" s="839"/>
      <c r="U98" s="852"/>
      <c r="V98" s="82" t="s">
        <v>131</v>
      </c>
      <c r="W98" s="185" t="s">
        <v>22</v>
      </c>
      <c r="X98" s="185" t="s">
        <v>18</v>
      </c>
      <c r="Y98" s="83">
        <v>48.5</v>
      </c>
      <c r="Z98" s="139" t="s">
        <v>333</v>
      </c>
      <c r="AA98" s="139" t="s">
        <v>74</v>
      </c>
      <c r="AB98" s="139" t="s">
        <v>11</v>
      </c>
      <c r="AC98" s="139">
        <v>51.3</v>
      </c>
      <c r="AD98" s="82"/>
      <c r="AG98" s="83"/>
      <c r="AL98" s="82"/>
      <c r="AO98" s="83"/>
      <c r="AP98" s="82"/>
      <c r="AS98" s="83"/>
      <c r="AW98" s="83"/>
      <c r="BA98" s="84"/>
    </row>
    <row r="99" spans="1:53" s="185" customFormat="1">
      <c r="A99" s="185">
        <v>2000</v>
      </c>
      <c r="B99" s="860">
        <v>36837</v>
      </c>
      <c r="C99" s="917" t="s">
        <v>586</v>
      </c>
      <c r="D99" s="917"/>
      <c r="E99" s="185">
        <v>55</v>
      </c>
      <c r="F99" s="139" t="s">
        <v>330</v>
      </c>
      <c r="G99" s="119">
        <v>1</v>
      </c>
      <c r="H99" s="185">
        <v>17</v>
      </c>
      <c r="J99" s="126">
        <v>18</v>
      </c>
      <c r="K99" s="92">
        <f t="shared" si="4"/>
        <v>5.5555555555555554</v>
      </c>
      <c r="L99" s="92">
        <f t="shared" si="4"/>
        <v>94.444444444444443</v>
      </c>
      <c r="M99" s="92">
        <f t="shared" si="4"/>
        <v>0</v>
      </c>
      <c r="N99" s="121">
        <f t="shared" si="5"/>
        <v>100</v>
      </c>
      <c r="O99" s="91"/>
      <c r="P99" s="92">
        <v>48.7</v>
      </c>
      <c r="Q99" s="92"/>
      <c r="R99" s="93">
        <f t="shared" si="6"/>
        <v>48.7</v>
      </c>
      <c r="S99" s="185">
        <v>1</v>
      </c>
      <c r="T99" s="839">
        <v>36837</v>
      </c>
      <c r="U99" s="852"/>
      <c r="V99" s="82" t="s">
        <v>131</v>
      </c>
      <c r="W99" s="185" t="s">
        <v>22</v>
      </c>
      <c r="X99" s="185" t="s">
        <v>18</v>
      </c>
      <c r="Y99" s="83">
        <v>48.7</v>
      </c>
      <c r="Z99" s="139" t="s">
        <v>333</v>
      </c>
      <c r="AA99" s="139" t="s">
        <v>74</v>
      </c>
      <c r="AB99" s="139" t="s">
        <v>11</v>
      </c>
      <c r="AC99" s="139">
        <v>50.8</v>
      </c>
      <c r="AD99" s="82"/>
      <c r="AG99" s="83"/>
      <c r="AL99" s="82"/>
      <c r="AO99" s="83"/>
      <c r="AP99" s="82"/>
      <c r="AS99" s="83"/>
      <c r="AW99" s="83"/>
      <c r="BA99" s="84"/>
    </row>
    <row r="100" spans="1:53" s="185" customFormat="1">
      <c r="A100" s="185">
        <v>2001</v>
      </c>
      <c r="B100" s="852"/>
      <c r="C100" s="917" t="s">
        <v>586</v>
      </c>
      <c r="D100" s="917"/>
      <c r="E100" s="185">
        <v>19</v>
      </c>
      <c r="G100" s="119">
        <v>1</v>
      </c>
      <c r="H100" s="185">
        <v>17</v>
      </c>
      <c r="J100" s="126">
        <v>18</v>
      </c>
      <c r="K100" s="92">
        <f t="shared" si="4"/>
        <v>5.5555555555555554</v>
      </c>
      <c r="L100" s="92">
        <f t="shared" si="4"/>
        <v>94.444444444444443</v>
      </c>
      <c r="M100" s="92">
        <f t="shared" si="4"/>
        <v>0</v>
      </c>
      <c r="N100" s="121">
        <f t="shared" si="5"/>
        <v>100</v>
      </c>
      <c r="O100" s="91"/>
      <c r="P100" s="92">
        <v>48.7</v>
      </c>
      <c r="Q100" s="92"/>
      <c r="R100" s="93">
        <f t="shared" si="6"/>
        <v>48.7</v>
      </c>
      <c r="S100" s="185">
        <v>1</v>
      </c>
      <c r="T100" s="839"/>
      <c r="U100" s="852"/>
      <c r="V100" s="82" t="s">
        <v>131</v>
      </c>
      <c r="W100" s="185" t="s">
        <v>22</v>
      </c>
      <c r="X100" s="185" t="s">
        <v>18</v>
      </c>
      <c r="Y100" s="83">
        <v>48.7</v>
      </c>
      <c r="Z100" s="139" t="s">
        <v>333</v>
      </c>
      <c r="AA100" s="139" t="s">
        <v>74</v>
      </c>
      <c r="AB100" s="139" t="s">
        <v>11</v>
      </c>
      <c r="AC100" s="139">
        <v>50.8</v>
      </c>
      <c r="AD100" s="82"/>
      <c r="AG100" s="83"/>
      <c r="AL100" s="82"/>
      <c r="AO100" s="83"/>
      <c r="AP100" s="82"/>
      <c r="AS100" s="83"/>
      <c r="AW100" s="83"/>
      <c r="BA100" s="84"/>
    </row>
    <row r="101" spans="1:53" s="292" customFormat="1">
      <c r="A101" s="292">
        <v>2001</v>
      </c>
      <c r="B101" s="836">
        <v>36911</v>
      </c>
      <c r="C101" s="916" t="s">
        <v>1270</v>
      </c>
      <c r="D101" s="916"/>
      <c r="E101" s="292">
        <f>365-E100</f>
        <v>346</v>
      </c>
      <c r="F101" s="292">
        <v>1</v>
      </c>
      <c r="G101" s="366">
        <v>17</v>
      </c>
      <c r="H101" s="292">
        <v>1</v>
      </c>
      <c r="J101" s="377">
        <v>18</v>
      </c>
      <c r="K101" s="336">
        <f t="shared" si="4"/>
        <v>94.444444444444443</v>
      </c>
      <c r="L101" s="336">
        <f t="shared" si="4"/>
        <v>5.5555555555555554</v>
      </c>
      <c r="M101" s="336">
        <f t="shared" si="4"/>
        <v>0</v>
      </c>
      <c r="N101" s="368">
        <f t="shared" si="5"/>
        <v>100</v>
      </c>
      <c r="O101" s="335">
        <v>50.8</v>
      </c>
      <c r="P101" s="336"/>
      <c r="Q101" s="336"/>
      <c r="R101" s="337">
        <f t="shared" si="6"/>
        <v>50.8</v>
      </c>
      <c r="S101" s="292">
        <v>1</v>
      </c>
      <c r="T101" s="838"/>
      <c r="U101" s="836">
        <v>36911</v>
      </c>
      <c r="V101" s="299" t="s">
        <v>333</v>
      </c>
      <c r="W101" s="292" t="s">
        <v>74</v>
      </c>
      <c r="X101" s="292" t="s">
        <v>11</v>
      </c>
      <c r="Y101" s="300">
        <v>50.8</v>
      </c>
      <c r="Z101" s="381" t="s">
        <v>131</v>
      </c>
      <c r="AA101" s="381" t="s">
        <v>22</v>
      </c>
      <c r="AB101" s="381" t="s">
        <v>18</v>
      </c>
      <c r="AC101" s="381">
        <v>48.7</v>
      </c>
      <c r="AD101" s="299"/>
      <c r="AG101" s="300"/>
      <c r="AL101" s="299"/>
      <c r="AO101" s="300"/>
      <c r="AP101" s="299"/>
      <c r="AS101" s="300"/>
      <c r="AW101" s="300"/>
      <c r="BA101" s="301"/>
    </row>
    <row r="102" spans="1:53" s="292" customFormat="1">
      <c r="A102" s="292">
        <v>2002</v>
      </c>
      <c r="B102" s="836"/>
      <c r="C102" s="916" t="s">
        <v>1270</v>
      </c>
      <c r="D102" s="916"/>
      <c r="E102" s="292">
        <v>308</v>
      </c>
      <c r="G102" s="366">
        <v>17</v>
      </c>
      <c r="H102" s="292">
        <v>1</v>
      </c>
      <c r="J102" s="377">
        <v>18</v>
      </c>
      <c r="K102" s="336">
        <f t="shared" si="4"/>
        <v>94.444444444444443</v>
      </c>
      <c r="L102" s="336">
        <f t="shared" si="4"/>
        <v>5.5555555555555554</v>
      </c>
      <c r="M102" s="336">
        <f t="shared" si="4"/>
        <v>0</v>
      </c>
      <c r="N102" s="368">
        <f t="shared" si="5"/>
        <v>100</v>
      </c>
      <c r="O102" s="335">
        <v>50.8</v>
      </c>
      <c r="P102" s="336"/>
      <c r="Q102" s="336"/>
      <c r="R102" s="337">
        <f t="shared" si="6"/>
        <v>50.8</v>
      </c>
      <c r="S102" s="292">
        <v>1</v>
      </c>
      <c r="T102" s="838"/>
      <c r="U102" s="836"/>
      <c r="V102" s="299" t="s">
        <v>333</v>
      </c>
      <c r="W102" s="292" t="s">
        <v>74</v>
      </c>
      <c r="X102" s="292" t="s">
        <v>11</v>
      </c>
      <c r="Y102" s="300">
        <v>50.8</v>
      </c>
      <c r="Z102" s="381" t="s">
        <v>131</v>
      </c>
      <c r="AA102" s="381" t="s">
        <v>22</v>
      </c>
      <c r="AB102" s="381" t="s">
        <v>18</v>
      </c>
      <c r="AC102" s="381">
        <v>48.7</v>
      </c>
      <c r="AD102" s="299"/>
      <c r="AG102" s="300"/>
      <c r="AL102" s="299"/>
      <c r="AO102" s="300"/>
      <c r="AP102" s="299"/>
      <c r="AS102" s="300"/>
      <c r="AW102" s="300"/>
      <c r="BA102" s="301"/>
    </row>
    <row r="103" spans="1:53" s="292" customFormat="1">
      <c r="A103" s="292">
        <v>2002</v>
      </c>
      <c r="B103" s="865">
        <v>37565</v>
      </c>
      <c r="C103" s="916" t="s">
        <v>1270</v>
      </c>
      <c r="D103" s="916"/>
      <c r="E103" s="292">
        <f>365-E102</f>
        <v>57</v>
      </c>
      <c r="F103" s="381" t="s">
        <v>330</v>
      </c>
      <c r="G103" s="366">
        <v>17</v>
      </c>
      <c r="H103" s="292">
        <v>1</v>
      </c>
      <c r="J103" s="377">
        <v>18</v>
      </c>
      <c r="K103" s="336">
        <f t="shared" si="4"/>
        <v>94.444444444444443</v>
      </c>
      <c r="L103" s="336">
        <f t="shared" si="4"/>
        <v>5.5555555555555554</v>
      </c>
      <c r="M103" s="336">
        <f t="shared" si="4"/>
        <v>0</v>
      </c>
      <c r="N103" s="368">
        <f t="shared" si="5"/>
        <v>100</v>
      </c>
      <c r="O103" s="335">
        <v>52.6</v>
      </c>
      <c r="P103" s="336"/>
      <c r="Q103" s="336"/>
      <c r="R103" s="337">
        <f t="shared" si="6"/>
        <v>52.6</v>
      </c>
      <c r="S103" s="292">
        <v>1</v>
      </c>
      <c r="T103" s="838">
        <v>37565</v>
      </c>
      <c r="U103" s="836"/>
      <c r="V103" s="299" t="s">
        <v>333</v>
      </c>
      <c r="W103" s="292" t="s">
        <v>74</v>
      </c>
      <c r="X103" s="292" t="s">
        <v>11</v>
      </c>
      <c r="Y103" s="300">
        <v>52.6</v>
      </c>
      <c r="Z103" s="381" t="s">
        <v>131</v>
      </c>
      <c r="AA103" s="381" t="s">
        <v>22</v>
      </c>
      <c r="AB103" s="381" t="s">
        <v>18</v>
      </c>
      <c r="AC103" s="381">
        <v>47.1</v>
      </c>
      <c r="AD103" s="299"/>
      <c r="AG103" s="300"/>
      <c r="AL103" s="299"/>
      <c r="AO103" s="300"/>
      <c r="AP103" s="299"/>
      <c r="AS103" s="300"/>
      <c r="AW103" s="300"/>
      <c r="BA103" s="301"/>
    </row>
    <row r="104" spans="1:53" s="292" customFormat="1">
      <c r="A104" s="292">
        <v>2003</v>
      </c>
      <c r="B104" s="836"/>
      <c r="C104" s="916" t="s">
        <v>1270</v>
      </c>
      <c r="D104" s="916"/>
      <c r="E104" s="292">
        <v>21</v>
      </c>
      <c r="G104" s="366">
        <v>17</v>
      </c>
      <c r="H104" s="292">
        <v>1</v>
      </c>
      <c r="J104" s="377">
        <v>18</v>
      </c>
      <c r="K104" s="336">
        <f t="shared" si="4"/>
        <v>94.444444444444443</v>
      </c>
      <c r="L104" s="336">
        <f t="shared" si="4"/>
        <v>5.5555555555555554</v>
      </c>
      <c r="M104" s="336">
        <f t="shared" si="4"/>
        <v>0</v>
      </c>
      <c r="N104" s="368">
        <f t="shared" si="5"/>
        <v>100</v>
      </c>
      <c r="O104" s="335">
        <v>52.6</v>
      </c>
      <c r="P104" s="336"/>
      <c r="Q104" s="336"/>
      <c r="R104" s="337">
        <f t="shared" si="6"/>
        <v>52.6</v>
      </c>
      <c r="S104" s="292">
        <v>1</v>
      </c>
      <c r="T104" s="838"/>
      <c r="U104" s="836"/>
      <c r="V104" s="299" t="s">
        <v>333</v>
      </c>
      <c r="W104" s="292" t="s">
        <v>74</v>
      </c>
      <c r="X104" s="292" t="s">
        <v>11</v>
      </c>
      <c r="Y104" s="300">
        <v>52.6</v>
      </c>
      <c r="Z104" s="381" t="s">
        <v>131</v>
      </c>
      <c r="AA104" s="381" t="s">
        <v>22</v>
      </c>
      <c r="AB104" s="381" t="s">
        <v>18</v>
      </c>
      <c r="AC104" s="381">
        <v>47.1</v>
      </c>
      <c r="AD104" s="299"/>
      <c r="AG104" s="300"/>
      <c r="AL104" s="299"/>
      <c r="AO104" s="300"/>
      <c r="AP104" s="299"/>
      <c r="AS104" s="300"/>
      <c r="AW104" s="300"/>
      <c r="BA104" s="301"/>
    </row>
    <row r="105" spans="1:53" s="292" customFormat="1">
      <c r="A105" s="292">
        <v>2003</v>
      </c>
      <c r="B105" s="865">
        <v>37643</v>
      </c>
      <c r="C105" s="916" t="s">
        <v>1270</v>
      </c>
      <c r="D105" s="916"/>
      <c r="E105" s="292">
        <f>365-E104</f>
        <v>344</v>
      </c>
      <c r="F105" s="381">
        <v>0</v>
      </c>
      <c r="G105" s="366">
        <v>18</v>
      </c>
      <c r="H105" s="292">
        <v>1</v>
      </c>
      <c r="J105" s="377">
        <v>19</v>
      </c>
      <c r="K105" s="336">
        <f t="shared" si="4"/>
        <v>94.73684210526315</v>
      </c>
      <c r="L105" s="336">
        <f t="shared" si="4"/>
        <v>5.2631578947368416</v>
      </c>
      <c r="M105" s="336">
        <f t="shared" si="4"/>
        <v>0</v>
      </c>
      <c r="N105" s="368">
        <f t="shared" si="5"/>
        <v>99.999999999999986</v>
      </c>
      <c r="O105" s="335">
        <v>52.6</v>
      </c>
      <c r="P105" s="336"/>
      <c r="Q105" s="336"/>
      <c r="R105" s="337">
        <f t="shared" si="6"/>
        <v>52.6</v>
      </c>
      <c r="S105" s="292">
        <v>1</v>
      </c>
      <c r="T105" s="838"/>
      <c r="U105" s="836"/>
      <c r="V105" s="299" t="s">
        <v>333</v>
      </c>
      <c r="W105" s="292" t="s">
        <v>74</v>
      </c>
      <c r="X105" s="292" t="s">
        <v>11</v>
      </c>
      <c r="Y105" s="300">
        <v>52.6</v>
      </c>
      <c r="Z105" s="381" t="s">
        <v>131</v>
      </c>
      <c r="AA105" s="381" t="s">
        <v>22</v>
      </c>
      <c r="AB105" s="381" t="s">
        <v>18</v>
      </c>
      <c r="AC105" s="381">
        <v>47.1</v>
      </c>
      <c r="AD105" s="299"/>
      <c r="AG105" s="300"/>
      <c r="AL105" s="299"/>
      <c r="AO105" s="300"/>
      <c r="AP105" s="299"/>
      <c r="AS105" s="300"/>
      <c r="AW105" s="300"/>
      <c r="BA105" s="301"/>
    </row>
    <row r="106" spans="1:53" s="292" customFormat="1">
      <c r="A106" s="292">
        <v>2004</v>
      </c>
      <c r="B106" s="836"/>
      <c r="C106" s="916" t="s">
        <v>1270</v>
      </c>
      <c r="D106" s="916"/>
      <c r="E106" s="292">
        <v>306</v>
      </c>
      <c r="G106" s="366">
        <v>18</v>
      </c>
      <c r="H106" s="292">
        <v>1</v>
      </c>
      <c r="J106" s="377">
        <v>19</v>
      </c>
      <c r="K106" s="336">
        <f t="shared" si="4"/>
        <v>94.73684210526315</v>
      </c>
      <c r="L106" s="336">
        <f t="shared" si="4"/>
        <v>5.2631578947368416</v>
      </c>
      <c r="M106" s="336">
        <f t="shared" si="4"/>
        <v>0</v>
      </c>
      <c r="N106" s="368">
        <f t="shared" si="5"/>
        <v>99.999999999999986</v>
      </c>
      <c r="O106" s="335">
        <v>52.6</v>
      </c>
      <c r="P106" s="336"/>
      <c r="Q106" s="336"/>
      <c r="R106" s="337">
        <f t="shared" si="6"/>
        <v>52.6</v>
      </c>
      <c r="S106" s="292">
        <v>1</v>
      </c>
      <c r="T106" s="838"/>
      <c r="U106" s="836"/>
      <c r="V106" s="299" t="s">
        <v>333</v>
      </c>
      <c r="W106" s="292" t="s">
        <v>74</v>
      </c>
      <c r="X106" s="292" t="s">
        <v>11</v>
      </c>
      <c r="Y106" s="300">
        <v>52.6</v>
      </c>
      <c r="Z106" s="381" t="s">
        <v>131</v>
      </c>
      <c r="AA106" s="381" t="s">
        <v>22</v>
      </c>
      <c r="AB106" s="381" t="s">
        <v>18</v>
      </c>
      <c r="AC106" s="381">
        <v>47.1</v>
      </c>
      <c r="AD106" s="299"/>
      <c r="AG106" s="300"/>
      <c r="AL106" s="299"/>
      <c r="AO106" s="300"/>
      <c r="AP106" s="299"/>
      <c r="AS106" s="300"/>
      <c r="AW106" s="300"/>
      <c r="BA106" s="301"/>
    </row>
    <row r="107" spans="1:53" s="292" customFormat="1">
      <c r="A107" s="292">
        <v>2004</v>
      </c>
      <c r="B107" s="865">
        <v>38293</v>
      </c>
      <c r="C107" s="916" t="s">
        <v>1270</v>
      </c>
      <c r="D107" s="916"/>
      <c r="E107" s="292">
        <v>60</v>
      </c>
      <c r="F107" s="381" t="s">
        <v>330</v>
      </c>
      <c r="G107" s="366">
        <v>18</v>
      </c>
      <c r="H107" s="292">
        <v>1</v>
      </c>
      <c r="J107" s="377">
        <v>19</v>
      </c>
      <c r="K107" s="336">
        <f t="shared" si="4"/>
        <v>94.73684210526315</v>
      </c>
      <c r="L107" s="336">
        <f t="shared" si="4"/>
        <v>5.2631578947368416</v>
      </c>
      <c r="M107" s="336">
        <f t="shared" si="4"/>
        <v>0</v>
      </c>
      <c r="N107" s="368">
        <f t="shared" si="5"/>
        <v>99.999999999999986</v>
      </c>
      <c r="O107" s="335">
        <v>53.1</v>
      </c>
      <c r="P107" s="336"/>
      <c r="Q107" s="336"/>
      <c r="R107" s="337">
        <f t="shared" si="6"/>
        <v>53.1</v>
      </c>
      <c r="S107" s="292">
        <v>1</v>
      </c>
      <c r="T107" s="838">
        <v>38293</v>
      </c>
      <c r="U107" s="836"/>
      <c r="V107" s="299" t="s">
        <v>333</v>
      </c>
      <c r="W107" s="292" t="s">
        <v>74</v>
      </c>
      <c r="X107" s="292" t="s">
        <v>11</v>
      </c>
      <c r="Y107" s="300">
        <v>53.1</v>
      </c>
      <c r="Z107" s="381" t="s">
        <v>131</v>
      </c>
      <c r="AA107" s="381" t="s">
        <v>22</v>
      </c>
      <c r="AB107" s="381" t="s">
        <v>18</v>
      </c>
      <c r="AC107" s="381">
        <v>46.7</v>
      </c>
      <c r="AD107" s="299"/>
      <c r="AG107" s="300"/>
      <c r="AL107" s="299"/>
      <c r="AO107" s="300"/>
      <c r="AP107" s="299"/>
      <c r="AS107" s="300"/>
      <c r="AW107" s="300"/>
      <c r="BA107" s="301"/>
    </row>
    <row r="108" spans="1:53" s="292" customFormat="1">
      <c r="A108" s="292">
        <v>2005</v>
      </c>
      <c r="B108" s="836"/>
      <c r="C108" s="916" t="s">
        <v>1270</v>
      </c>
      <c r="D108" s="916"/>
      <c r="E108" s="292">
        <v>19</v>
      </c>
      <c r="G108" s="366">
        <v>18</v>
      </c>
      <c r="H108" s="292">
        <v>1</v>
      </c>
      <c r="J108" s="377">
        <v>19</v>
      </c>
      <c r="K108" s="336">
        <f t="shared" si="4"/>
        <v>94.73684210526315</v>
      </c>
      <c r="L108" s="336">
        <f t="shared" si="4"/>
        <v>5.2631578947368416</v>
      </c>
      <c r="M108" s="336">
        <f t="shared" si="4"/>
        <v>0</v>
      </c>
      <c r="N108" s="368">
        <f t="shared" si="5"/>
        <v>99.999999999999986</v>
      </c>
      <c r="O108" s="335">
        <v>53.1</v>
      </c>
      <c r="P108" s="336"/>
      <c r="Q108" s="336"/>
      <c r="R108" s="337">
        <f t="shared" si="6"/>
        <v>53.1</v>
      </c>
      <c r="S108" s="292">
        <v>1</v>
      </c>
      <c r="T108" s="838"/>
      <c r="U108" s="836"/>
      <c r="V108" s="299" t="s">
        <v>333</v>
      </c>
      <c r="W108" s="292" t="s">
        <v>74</v>
      </c>
      <c r="X108" s="292" t="s">
        <v>11</v>
      </c>
      <c r="Y108" s="300">
        <v>53.1</v>
      </c>
      <c r="Z108" s="381" t="s">
        <v>131</v>
      </c>
      <c r="AA108" s="381" t="s">
        <v>22</v>
      </c>
      <c r="AB108" s="381" t="s">
        <v>18</v>
      </c>
      <c r="AC108" s="381">
        <v>46.7</v>
      </c>
      <c r="AD108" s="299"/>
      <c r="AG108" s="300"/>
      <c r="AL108" s="299"/>
      <c r="AO108" s="300"/>
      <c r="AP108" s="299"/>
      <c r="AS108" s="300"/>
      <c r="AW108" s="300"/>
      <c r="BA108" s="301"/>
    </row>
    <row r="109" spans="1:53" s="185" customFormat="1">
      <c r="A109" s="185">
        <v>2005</v>
      </c>
      <c r="B109" s="852">
        <v>38372</v>
      </c>
      <c r="C109" s="917" t="s">
        <v>1271</v>
      </c>
      <c r="D109" s="917"/>
      <c r="E109" s="185">
        <f>365-E108</f>
        <v>346</v>
      </c>
      <c r="F109" s="185">
        <v>1</v>
      </c>
      <c r="G109" s="119">
        <v>21</v>
      </c>
      <c r="H109" s="185">
        <v>1</v>
      </c>
      <c r="J109" s="126">
        <v>22</v>
      </c>
      <c r="K109" s="92">
        <f t="shared" si="4"/>
        <v>95.454545454545453</v>
      </c>
      <c r="L109" s="92">
        <f t="shared" si="4"/>
        <v>4.5454545454545459</v>
      </c>
      <c r="M109" s="92">
        <f t="shared" si="4"/>
        <v>0</v>
      </c>
      <c r="N109" s="121">
        <f t="shared" si="5"/>
        <v>100</v>
      </c>
      <c r="O109" s="91">
        <v>53.1</v>
      </c>
      <c r="P109" s="92"/>
      <c r="Q109" s="92"/>
      <c r="R109" s="93">
        <f t="shared" si="6"/>
        <v>53.1</v>
      </c>
      <c r="S109" s="185">
        <v>1</v>
      </c>
      <c r="T109" s="839"/>
      <c r="U109" s="852">
        <v>38372</v>
      </c>
      <c r="V109" s="82" t="s">
        <v>333</v>
      </c>
      <c r="W109" s="185" t="s">
        <v>74</v>
      </c>
      <c r="X109" s="185" t="s">
        <v>11</v>
      </c>
      <c r="Y109" s="83">
        <v>53.1</v>
      </c>
      <c r="Z109" s="139" t="s">
        <v>131</v>
      </c>
      <c r="AA109" s="139" t="s">
        <v>22</v>
      </c>
      <c r="AB109" s="139" t="s">
        <v>18</v>
      </c>
      <c r="AC109" s="139">
        <v>46.7</v>
      </c>
      <c r="AD109" s="82"/>
      <c r="AG109" s="83"/>
      <c r="AL109" s="82"/>
      <c r="AO109" s="83"/>
      <c r="AP109" s="82"/>
      <c r="AS109" s="83"/>
      <c r="AW109" s="83"/>
      <c r="BA109" s="84"/>
    </row>
    <row r="110" spans="1:53" s="185" customFormat="1">
      <c r="A110" s="185">
        <v>2006</v>
      </c>
      <c r="B110" s="852"/>
      <c r="C110" s="917" t="s">
        <v>1271</v>
      </c>
      <c r="D110" s="917"/>
      <c r="E110" s="185">
        <v>272</v>
      </c>
      <c r="G110" s="119">
        <v>21</v>
      </c>
      <c r="H110" s="185">
        <v>1</v>
      </c>
      <c r="J110" s="126">
        <v>22</v>
      </c>
      <c r="K110" s="92">
        <f t="shared" si="4"/>
        <v>95.454545454545453</v>
      </c>
      <c r="L110" s="92">
        <f t="shared" si="4"/>
        <v>4.5454545454545459</v>
      </c>
      <c r="M110" s="92">
        <f t="shared" si="4"/>
        <v>0</v>
      </c>
      <c r="N110" s="121">
        <f t="shared" si="5"/>
        <v>100</v>
      </c>
      <c r="O110" s="91">
        <v>53.1</v>
      </c>
      <c r="P110" s="92"/>
      <c r="Q110" s="92"/>
      <c r="R110" s="93">
        <f t="shared" si="6"/>
        <v>53.1</v>
      </c>
      <c r="S110" s="185">
        <v>1</v>
      </c>
      <c r="T110" s="839"/>
      <c r="U110" s="852"/>
      <c r="V110" s="82" t="s">
        <v>333</v>
      </c>
      <c r="W110" s="185" t="s">
        <v>74</v>
      </c>
      <c r="X110" s="185" t="s">
        <v>11</v>
      </c>
      <c r="Y110" s="83">
        <v>53.1</v>
      </c>
      <c r="Z110" s="139" t="s">
        <v>131</v>
      </c>
      <c r="AA110" s="139" t="s">
        <v>22</v>
      </c>
      <c r="AB110" s="139" t="s">
        <v>18</v>
      </c>
      <c r="AC110" s="139">
        <v>46.7</v>
      </c>
      <c r="AD110" s="82"/>
      <c r="AG110" s="83"/>
      <c r="AL110" s="82"/>
      <c r="AO110" s="83"/>
      <c r="AP110" s="82"/>
      <c r="AS110" s="83"/>
      <c r="AW110" s="83"/>
      <c r="BA110" s="84"/>
    </row>
    <row r="111" spans="1:53" s="185" customFormat="1">
      <c r="A111" s="185">
        <v>2006</v>
      </c>
      <c r="B111" s="860">
        <v>38990</v>
      </c>
      <c r="C111" s="917" t="s">
        <v>1271</v>
      </c>
      <c r="D111" s="917"/>
      <c r="E111" s="185">
        <v>38</v>
      </c>
      <c r="F111" s="139">
        <v>0</v>
      </c>
      <c r="G111" s="119">
        <v>22</v>
      </c>
      <c r="J111" s="126">
        <v>22</v>
      </c>
      <c r="K111" s="92">
        <f>G111/$J111*100</f>
        <v>100</v>
      </c>
      <c r="L111" s="92">
        <f>H111/$J111*100</f>
        <v>0</v>
      </c>
      <c r="M111" s="92">
        <f>I111/$J111*100</f>
        <v>0</v>
      </c>
      <c r="N111" s="121">
        <f>K111+L111+M111</f>
        <v>100</v>
      </c>
      <c r="O111" s="91">
        <v>53.1</v>
      </c>
      <c r="P111" s="92"/>
      <c r="Q111" s="92"/>
      <c r="R111" s="93">
        <f>O111+P111+Q111</f>
        <v>53.1</v>
      </c>
      <c r="S111" s="185">
        <v>1</v>
      </c>
      <c r="T111" s="839">
        <v>39028</v>
      </c>
      <c r="U111" s="852"/>
      <c r="V111" s="82" t="s">
        <v>333</v>
      </c>
      <c r="W111" s="185" t="s">
        <v>74</v>
      </c>
      <c r="X111" s="185" t="s">
        <v>11</v>
      </c>
      <c r="Y111" s="83">
        <v>53.1</v>
      </c>
      <c r="Z111" s="139" t="s">
        <v>131</v>
      </c>
      <c r="AA111" s="139" t="s">
        <v>22</v>
      </c>
      <c r="AB111" s="139" t="s">
        <v>18</v>
      </c>
      <c r="AC111" s="139">
        <v>46.7</v>
      </c>
      <c r="AD111" s="82"/>
      <c r="AG111" s="83"/>
      <c r="AL111" s="82"/>
      <c r="AO111" s="83"/>
      <c r="AP111" s="82"/>
      <c r="AS111" s="83"/>
      <c r="AW111" s="83"/>
      <c r="BA111" s="84"/>
    </row>
    <row r="112" spans="1:53" s="185" customFormat="1">
      <c r="A112" s="185">
        <v>2006</v>
      </c>
      <c r="B112" s="860">
        <v>39028</v>
      </c>
      <c r="C112" s="917" t="s">
        <v>1271</v>
      </c>
      <c r="D112" s="917"/>
      <c r="E112" s="185">
        <v>55</v>
      </c>
      <c r="F112" s="139" t="s">
        <v>330</v>
      </c>
      <c r="G112" s="119">
        <v>22</v>
      </c>
      <c r="J112" s="126">
        <v>22</v>
      </c>
      <c r="K112" s="92">
        <f t="shared" si="4"/>
        <v>100</v>
      </c>
      <c r="L112" s="92">
        <f t="shared" si="4"/>
        <v>0</v>
      </c>
      <c r="M112" s="92">
        <f t="shared" si="4"/>
        <v>0</v>
      </c>
      <c r="N112" s="121">
        <f t="shared" si="5"/>
        <v>100</v>
      </c>
      <c r="O112" s="91">
        <v>46.4</v>
      </c>
      <c r="P112" s="92"/>
      <c r="Q112" s="92"/>
      <c r="R112" s="93">
        <f t="shared" si="6"/>
        <v>46.4</v>
      </c>
      <c r="S112" s="185">
        <v>1</v>
      </c>
      <c r="T112" s="839">
        <v>39028</v>
      </c>
      <c r="U112" s="852"/>
      <c r="V112" s="82" t="s">
        <v>333</v>
      </c>
      <c r="W112" s="185" t="s">
        <v>74</v>
      </c>
      <c r="X112" s="185" t="s">
        <v>11</v>
      </c>
      <c r="Y112" s="83">
        <v>46.4</v>
      </c>
      <c r="Z112" s="139"/>
      <c r="AA112" s="139"/>
      <c r="AB112" s="139"/>
      <c r="AC112" s="139"/>
      <c r="AD112" s="82"/>
      <c r="AG112" s="83"/>
      <c r="AL112" s="82"/>
      <c r="AO112" s="83"/>
      <c r="AP112" s="82"/>
      <c r="AS112" s="83"/>
      <c r="AW112" s="83"/>
      <c r="BA112" s="84"/>
    </row>
    <row r="113" spans="1:53" s="185" customFormat="1">
      <c r="A113" s="185">
        <v>2007</v>
      </c>
      <c r="B113" s="852"/>
      <c r="C113" s="917" t="s">
        <v>1271</v>
      </c>
      <c r="D113" s="917"/>
      <c r="E113" s="185">
        <v>0</v>
      </c>
      <c r="G113" s="119">
        <v>22</v>
      </c>
      <c r="J113" s="126">
        <v>22</v>
      </c>
      <c r="K113" s="92">
        <f t="shared" si="4"/>
        <v>100</v>
      </c>
      <c r="L113" s="92">
        <f t="shared" si="4"/>
        <v>0</v>
      </c>
      <c r="M113" s="92">
        <f t="shared" si="4"/>
        <v>0</v>
      </c>
      <c r="N113" s="121">
        <f t="shared" si="5"/>
        <v>100</v>
      </c>
      <c r="O113" s="91">
        <v>46.4</v>
      </c>
      <c r="P113" s="92"/>
      <c r="Q113" s="92"/>
      <c r="R113" s="93">
        <f t="shared" si="6"/>
        <v>46.4</v>
      </c>
      <c r="S113" s="185">
        <v>1</v>
      </c>
      <c r="T113" s="839"/>
      <c r="U113" s="852"/>
      <c r="V113" s="82" t="s">
        <v>333</v>
      </c>
      <c r="W113" s="185" t="s">
        <v>74</v>
      </c>
      <c r="X113" s="185" t="s">
        <v>11</v>
      </c>
      <c r="Y113" s="83">
        <v>46.4</v>
      </c>
      <c r="Z113" s="139"/>
      <c r="AA113" s="139"/>
      <c r="AB113" s="139"/>
      <c r="AC113" s="139"/>
      <c r="AD113" s="82"/>
      <c r="AG113" s="83"/>
      <c r="AL113" s="82"/>
      <c r="AO113" s="83"/>
      <c r="AP113" s="82"/>
      <c r="AS113" s="83"/>
      <c r="AW113" s="83"/>
      <c r="BA113" s="84"/>
    </row>
    <row r="114" spans="1:53" s="185" customFormat="1">
      <c r="A114" s="185">
        <v>2007</v>
      </c>
      <c r="B114" s="852"/>
      <c r="C114" s="917" t="s">
        <v>1271</v>
      </c>
      <c r="D114" s="917"/>
      <c r="E114" s="185">
        <v>365</v>
      </c>
      <c r="G114" s="119">
        <v>22</v>
      </c>
      <c r="J114" s="126">
        <v>22</v>
      </c>
      <c r="K114" s="92">
        <f t="shared" si="4"/>
        <v>100</v>
      </c>
      <c r="L114" s="92">
        <f t="shared" si="4"/>
        <v>0</v>
      </c>
      <c r="M114" s="92">
        <f t="shared" si="4"/>
        <v>0</v>
      </c>
      <c r="N114" s="121">
        <f t="shared" si="5"/>
        <v>100</v>
      </c>
      <c r="O114" s="91">
        <v>46.4</v>
      </c>
      <c r="P114" s="92"/>
      <c r="Q114" s="92"/>
      <c r="R114" s="93">
        <f t="shared" si="6"/>
        <v>46.4</v>
      </c>
      <c r="S114" s="185">
        <v>1</v>
      </c>
      <c r="T114" s="839"/>
      <c r="U114" s="852"/>
      <c r="V114" s="82" t="s">
        <v>333</v>
      </c>
      <c r="W114" s="185" t="s">
        <v>74</v>
      </c>
      <c r="X114" s="185" t="s">
        <v>11</v>
      </c>
      <c r="Y114" s="83">
        <v>46.4</v>
      </c>
      <c r="Z114" s="139"/>
      <c r="AA114" s="139"/>
      <c r="AB114" s="139"/>
      <c r="AC114" s="139"/>
      <c r="AD114" s="82"/>
      <c r="AG114" s="83"/>
      <c r="AL114" s="82"/>
      <c r="AO114" s="83"/>
      <c r="AP114" s="82"/>
      <c r="AS114" s="83"/>
      <c r="AW114" s="83"/>
      <c r="BA114" s="84"/>
    </row>
    <row r="115" spans="1:53" s="185" customFormat="1">
      <c r="A115" s="185">
        <v>2008</v>
      </c>
      <c r="B115" s="852"/>
      <c r="C115" s="917" t="s">
        <v>1271</v>
      </c>
      <c r="D115" s="917"/>
      <c r="E115" s="185">
        <v>308</v>
      </c>
      <c r="G115" s="119">
        <v>22</v>
      </c>
      <c r="J115" s="126">
        <v>22</v>
      </c>
      <c r="K115" s="92">
        <f t="shared" si="4"/>
        <v>100</v>
      </c>
      <c r="L115" s="92">
        <f t="shared" si="4"/>
        <v>0</v>
      </c>
      <c r="M115" s="92">
        <f t="shared" si="4"/>
        <v>0</v>
      </c>
      <c r="N115" s="121">
        <f t="shared" si="5"/>
        <v>100</v>
      </c>
      <c r="O115" s="91">
        <v>46.4</v>
      </c>
      <c r="P115" s="92"/>
      <c r="Q115" s="92"/>
      <c r="R115" s="93">
        <f t="shared" si="6"/>
        <v>46.4</v>
      </c>
      <c r="S115" s="185">
        <v>1</v>
      </c>
      <c r="T115" s="839"/>
      <c r="U115" s="852"/>
      <c r="V115" s="82" t="s">
        <v>333</v>
      </c>
      <c r="W115" s="185" t="s">
        <v>74</v>
      </c>
      <c r="X115" s="185" t="s">
        <v>11</v>
      </c>
      <c r="Y115" s="83">
        <v>46.4</v>
      </c>
      <c r="Z115" s="139"/>
      <c r="AA115" s="139"/>
      <c r="AB115" s="139"/>
      <c r="AC115" s="139"/>
      <c r="AD115" s="82"/>
      <c r="AG115" s="83"/>
      <c r="AL115" s="82"/>
      <c r="AO115" s="83"/>
      <c r="AP115" s="82"/>
      <c r="AS115" s="83"/>
      <c r="AW115" s="83"/>
      <c r="BA115" s="84"/>
    </row>
    <row r="116" spans="1:53" s="185" customFormat="1">
      <c r="A116" s="185">
        <v>2008</v>
      </c>
      <c r="B116" s="860">
        <v>39756</v>
      </c>
      <c r="C116" s="917" t="s">
        <v>1271</v>
      </c>
      <c r="D116" s="917"/>
      <c r="E116" s="185">
        <v>58</v>
      </c>
      <c r="F116" s="139" t="s">
        <v>330</v>
      </c>
      <c r="G116" s="119">
        <v>22</v>
      </c>
      <c r="J116" s="126">
        <v>22</v>
      </c>
      <c r="K116" s="92">
        <f t="shared" si="4"/>
        <v>100</v>
      </c>
      <c r="L116" s="92">
        <f t="shared" si="4"/>
        <v>0</v>
      </c>
      <c r="M116" s="92">
        <f t="shared" si="4"/>
        <v>0</v>
      </c>
      <c r="N116" s="121">
        <f t="shared" si="5"/>
        <v>100</v>
      </c>
      <c r="O116" s="91">
        <v>40.9</v>
      </c>
      <c r="P116" s="92"/>
      <c r="Q116" s="92"/>
      <c r="R116" s="93">
        <f t="shared" si="6"/>
        <v>40.9</v>
      </c>
      <c r="S116" s="185">
        <v>1</v>
      </c>
      <c r="T116" s="839">
        <v>39756</v>
      </c>
      <c r="U116" s="852"/>
      <c r="V116" s="82" t="s">
        <v>333</v>
      </c>
      <c r="W116" s="185" t="s">
        <v>74</v>
      </c>
      <c r="X116" s="185" t="s">
        <v>11</v>
      </c>
      <c r="Y116" s="83">
        <v>40.9</v>
      </c>
      <c r="Z116" s="139"/>
      <c r="AA116" s="139"/>
      <c r="AB116" s="139"/>
      <c r="AC116" s="139"/>
      <c r="AD116" s="82"/>
      <c r="AG116" s="83"/>
      <c r="AL116" s="82"/>
      <c r="AO116" s="83"/>
      <c r="AP116" s="82"/>
      <c r="AS116" s="83"/>
      <c r="AW116" s="83"/>
      <c r="BA116" s="84"/>
    </row>
    <row r="117" spans="1:53" s="185" customFormat="1">
      <c r="A117" s="185">
        <v>2009</v>
      </c>
      <c r="B117" s="852"/>
      <c r="C117" s="917" t="s">
        <v>1271</v>
      </c>
      <c r="D117" s="917"/>
      <c r="E117" s="185">
        <v>19</v>
      </c>
      <c r="G117" s="119">
        <v>22</v>
      </c>
      <c r="J117" s="126">
        <v>22</v>
      </c>
      <c r="K117" s="92">
        <f t="shared" si="4"/>
        <v>100</v>
      </c>
      <c r="L117" s="92">
        <f t="shared" si="4"/>
        <v>0</v>
      </c>
      <c r="M117" s="92">
        <f t="shared" si="4"/>
        <v>0</v>
      </c>
      <c r="N117" s="121">
        <f t="shared" si="5"/>
        <v>100</v>
      </c>
      <c r="O117" s="91">
        <v>40.9</v>
      </c>
      <c r="P117" s="92"/>
      <c r="Q117" s="92"/>
      <c r="R117" s="93">
        <f t="shared" si="6"/>
        <v>40.9</v>
      </c>
      <c r="S117" s="185">
        <v>1</v>
      </c>
      <c r="T117" s="839"/>
      <c r="U117" s="852"/>
      <c r="V117" s="82" t="s">
        <v>333</v>
      </c>
      <c r="W117" s="185" t="s">
        <v>74</v>
      </c>
      <c r="X117" s="185" t="s">
        <v>11</v>
      </c>
      <c r="Y117" s="83">
        <v>40.9</v>
      </c>
      <c r="Z117" s="139"/>
      <c r="AA117" s="139"/>
      <c r="AB117" s="139"/>
      <c r="AC117" s="139"/>
      <c r="AD117" s="82"/>
      <c r="AG117" s="83"/>
      <c r="AL117" s="82"/>
      <c r="AO117" s="83"/>
      <c r="AP117" s="82"/>
      <c r="AS117" s="83"/>
      <c r="AW117" s="83"/>
      <c r="BA117" s="84"/>
    </row>
    <row r="118" spans="1:53" s="292" customFormat="1">
      <c r="A118" s="292">
        <v>2009</v>
      </c>
      <c r="B118" s="836">
        <v>39833</v>
      </c>
      <c r="C118" s="916" t="s">
        <v>587</v>
      </c>
      <c r="D118" s="916"/>
      <c r="E118" s="292">
        <f>365-E117</f>
        <v>346</v>
      </c>
      <c r="F118" s="292">
        <v>1</v>
      </c>
      <c r="G118" s="366">
        <v>2</v>
      </c>
      <c r="H118" s="292">
        <v>15</v>
      </c>
      <c r="J118" s="377">
        <v>17</v>
      </c>
      <c r="K118" s="336">
        <f t="shared" si="4"/>
        <v>11.76470588235294</v>
      </c>
      <c r="L118" s="336">
        <f t="shared" si="4"/>
        <v>88.235294117647058</v>
      </c>
      <c r="M118" s="336">
        <f t="shared" si="4"/>
        <v>0</v>
      </c>
      <c r="N118" s="368">
        <f t="shared" si="5"/>
        <v>100</v>
      </c>
      <c r="O118" s="335"/>
      <c r="P118" s="336">
        <v>59.1</v>
      </c>
      <c r="Q118" s="336"/>
      <c r="R118" s="337">
        <f t="shared" si="6"/>
        <v>59.1</v>
      </c>
      <c r="S118" s="292">
        <v>1</v>
      </c>
      <c r="T118" s="838"/>
      <c r="U118" s="836">
        <v>39833</v>
      </c>
      <c r="V118" s="299" t="s">
        <v>131</v>
      </c>
      <c r="W118" s="292" t="s">
        <v>22</v>
      </c>
      <c r="X118" s="292" t="s">
        <v>18</v>
      </c>
      <c r="Y118" s="300">
        <v>59.1</v>
      </c>
      <c r="Z118" s="381" t="s">
        <v>333</v>
      </c>
      <c r="AA118" s="381" t="s">
        <v>74</v>
      </c>
      <c r="AB118" s="381" t="s">
        <v>11</v>
      </c>
      <c r="AC118" s="381">
        <v>40.9</v>
      </c>
      <c r="AD118" s="299"/>
      <c r="AG118" s="300"/>
      <c r="AL118" s="299"/>
      <c r="AO118" s="300"/>
      <c r="AP118" s="299"/>
      <c r="AS118" s="300"/>
      <c r="AW118" s="300"/>
      <c r="BA118" s="301"/>
    </row>
    <row r="119" spans="1:53" s="292" customFormat="1">
      <c r="A119" s="292">
        <v>2010</v>
      </c>
      <c r="B119" s="836"/>
      <c r="C119" s="916" t="s">
        <v>587</v>
      </c>
      <c r="D119" s="916"/>
      <c r="E119" s="292">
        <v>305</v>
      </c>
      <c r="G119" s="366">
        <v>2</v>
      </c>
      <c r="H119" s="292">
        <v>15</v>
      </c>
      <c r="J119" s="377">
        <v>17</v>
      </c>
      <c r="K119" s="336">
        <f t="shared" si="4"/>
        <v>11.76470588235294</v>
      </c>
      <c r="L119" s="336">
        <f t="shared" si="4"/>
        <v>88.235294117647058</v>
      </c>
      <c r="M119" s="336">
        <f t="shared" si="4"/>
        <v>0</v>
      </c>
      <c r="N119" s="368">
        <f t="shared" si="5"/>
        <v>100</v>
      </c>
      <c r="O119" s="335"/>
      <c r="P119" s="336">
        <v>59.1</v>
      </c>
      <c r="Q119" s="336"/>
      <c r="R119" s="337">
        <f t="shared" si="6"/>
        <v>59.1</v>
      </c>
      <c r="S119" s="292">
        <v>1</v>
      </c>
      <c r="T119" s="838"/>
      <c r="U119" s="836"/>
      <c r="V119" s="299" t="s">
        <v>131</v>
      </c>
      <c r="W119" s="292" t="s">
        <v>22</v>
      </c>
      <c r="X119" s="292" t="s">
        <v>18</v>
      </c>
      <c r="Y119" s="300">
        <v>59.1</v>
      </c>
      <c r="Z119" s="381" t="s">
        <v>333</v>
      </c>
      <c r="AA119" s="381" t="s">
        <v>74</v>
      </c>
      <c r="AB119" s="381" t="s">
        <v>11</v>
      </c>
      <c r="AC119" s="381">
        <v>40.9</v>
      </c>
      <c r="AD119" s="299"/>
      <c r="AG119" s="300"/>
      <c r="AL119" s="299"/>
      <c r="AO119" s="300"/>
      <c r="AP119" s="299"/>
      <c r="AS119" s="300"/>
      <c r="AW119" s="300"/>
      <c r="BA119" s="301"/>
    </row>
    <row r="120" spans="1:53" s="292" customFormat="1">
      <c r="A120" s="292">
        <v>2010</v>
      </c>
      <c r="B120" s="865">
        <v>40484</v>
      </c>
      <c r="C120" s="916" t="s">
        <v>587</v>
      </c>
      <c r="D120" s="916"/>
      <c r="E120" s="292">
        <v>60</v>
      </c>
      <c r="F120" s="381" t="s">
        <v>330</v>
      </c>
      <c r="G120" s="366">
        <v>2</v>
      </c>
      <c r="H120" s="292">
        <v>15</v>
      </c>
      <c r="J120" s="377">
        <v>17</v>
      </c>
      <c r="K120" s="336">
        <f t="shared" ref="K120:M124" si="7">G120/$J120*100</f>
        <v>11.76470588235294</v>
      </c>
      <c r="L120" s="336">
        <f t="shared" si="7"/>
        <v>88.235294117647058</v>
      </c>
      <c r="M120" s="336">
        <f t="shared" si="7"/>
        <v>0</v>
      </c>
      <c r="N120" s="368">
        <f t="shared" ref="N120:N125" si="8">K120+L120+M120</f>
        <v>100</v>
      </c>
      <c r="O120" s="335"/>
      <c r="P120" s="336">
        <v>44.4</v>
      </c>
      <c r="Q120" s="336"/>
      <c r="R120" s="337">
        <f t="shared" si="6"/>
        <v>44.4</v>
      </c>
      <c r="S120" s="292">
        <v>1</v>
      </c>
      <c r="T120" s="838">
        <v>40484</v>
      </c>
      <c r="U120" s="836"/>
      <c r="V120" s="299" t="s">
        <v>131</v>
      </c>
      <c r="W120" s="292" t="s">
        <v>22</v>
      </c>
      <c r="X120" s="292" t="s">
        <v>18</v>
      </c>
      <c r="Y120" s="300">
        <v>44.4</v>
      </c>
      <c r="Z120" s="381" t="s">
        <v>333</v>
      </c>
      <c r="AA120" s="381" t="s">
        <v>74</v>
      </c>
      <c r="AB120" s="381" t="s">
        <v>11</v>
      </c>
      <c r="AC120" s="381">
        <v>55.6</v>
      </c>
      <c r="AD120" s="299"/>
      <c r="AG120" s="300"/>
      <c r="AL120" s="299"/>
      <c r="AO120" s="300"/>
      <c r="AP120" s="299"/>
      <c r="AS120" s="300"/>
      <c r="AW120" s="300"/>
      <c r="BA120" s="301"/>
    </row>
    <row r="121" spans="1:53" s="292" customFormat="1">
      <c r="A121" s="292">
        <v>2011</v>
      </c>
      <c r="B121" s="836"/>
      <c r="C121" s="916" t="s">
        <v>587</v>
      </c>
      <c r="D121" s="916"/>
      <c r="E121" s="292">
        <v>181</v>
      </c>
      <c r="G121" s="366">
        <v>2</v>
      </c>
      <c r="H121" s="292">
        <v>15</v>
      </c>
      <c r="J121" s="377">
        <v>17</v>
      </c>
      <c r="K121" s="336">
        <f t="shared" si="7"/>
        <v>11.76470588235294</v>
      </c>
      <c r="L121" s="336">
        <f t="shared" si="7"/>
        <v>88.235294117647058</v>
      </c>
      <c r="M121" s="336">
        <f t="shared" si="7"/>
        <v>0</v>
      </c>
      <c r="N121" s="368">
        <f t="shared" si="8"/>
        <v>100</v>
      </c>
      <c r="O121" s="335"/>
      <c r="P121" s="336">
        <v>44.4</v>
      </c>
      <c r="Q121" s="336"/>
      <c r="R121" s="337">
        <f t="shared" si="6"/>
        <v>44.4</v>
      </c>
      <c r="S121" s="292">
        <v>1</v>
      </c>
      <c r="T121" s="838"/>
      <c r="U121" s="836"/>
      <c r="V121" s="299" t="s">
        <v>131</v>
      </c>
      <c r="W121" s="292" t="s">
        <v>22</v>
      </c>
      <c r="X121" s="292" t="s">
        <v>18</v>
      </c>
      <c r="Y121" s="300">
        <v>44.4</v>
      </c>
      <c r="Z121" s="381" t="s">
        <v>333</v>
      </c>
      <c r="AA121" s="381" t="s">
        <v>74</v>
      </c>
      <c r="AB121" s="381" t="s">
        <v>11</v>
      </c>
      <c r="AC121" s="381">
        <v>55.6</v>
      </c>
      <c r="AD121" s="299"/>
      <c r="AG121" s="300"/>
      <c r="AL121" s="299"/>
      <c r="AO121" s="300"/>
      <c r="AP121" s="299"/>
      <c r="AS121" s="300"/>
      <c r="AW121" s="300"/>
      <c r="BA121" s="301"/>
    </row>
    <row r="122" spans="1:53" s="292" customFormat="1">
      <c r="A122" s="292">
        <v>2011</v>
      </c>
      <c r="B122" s="865">
        <v>40725</v>
      </c>
      <c r="C122" s="916" t="s">
        <v>587</v>
      </c>
      <c r="D122" s="916"/>
      <c r="E122" s="292">
        <v>184</v>
      </c>
      <c r="F122" s="381">
        <v>0</v>
      </c>
      <c r="G122" s="366">
        <v>1</v>
      </c>
      <c r="H122" s="292">
        <v>16</v>
      </c>
      <c r="J122" s="377">
        <v>17</v>
      </c>
      <c r="K122" s="336">
        <f t="shared" si="7"/>
        <v>5.8823529411764701</v>
      </c>
      <c r="L122" s="336">
        <f t="shared" si="7"/>
        <v>94.117647058823522</v>
      </c>
      <c r="M122" s="336">
        <f t="shared" si="7"/>
        <v>0</v>
      </c>
      <c r="N122" s="368">
        <f t="shared" si="8"/>
        <v>99.999999999999986</v>
      </c>
      <c r="O122" s="335"/>
      <c r="P122" s="336">
        <v>44.4</v>
      </c>
      <c r="Q122" s="336"/>
      <c r="R122" s="337">
        <f t="shared" si="6"/>
        <v>44.4</v>
      </c>
      <c r="S122" s="292">
        <v>1</v>
      </c>
      <c r="T122" s="838"/>
      <c r="U122" s="836"/>
      <c r="V122" s="299" t="s">
        <v>131</v>
      </c>
      <c r="W122" s="292" t="s">
        <v>22</v>
      </c>
      <c r="X122" s="292" t="s">
        <v>18</v>
      </c>
      <c r="Y122" s="300">
        <v>44.4</v>
      </c>
      <c r="Z122" s="381" t="s">
        <v>333</v>
      </c>
      <c r="AA122" s="381" t="s">
        <v>74</v>
      </c>
      <c r="AB122" s="381" t="s">
        <v>11</v>
      </c>
      <c r="AC122" s="381">
        <v>55.6</v>
      </c>
      <c r="AD122" s="299"/>
      <c r="AG122" s="300"/>
      <c r="AL122" s="299"/>
      <c r="AO122" s="300"/>
      <c r="AP122" s="299"/>
      <c r="AS122" s="300"/>
      <c r="AW122" s="300"/>
      <c r="BA122" s="301"/>
    </row>
    <row r="123" spans="1:53" s="292" customFormat="1">
      <c r="A123" s="292">
        <v>2012</v>
      </c>
      <c r="B123" s="836"/>
      <c r="C123" s="916" t="s">
        <v>587</v>
      </c>
      <c r="D123" s="916"/>
      <c r="E123" s="292">
        <v>310</v>
      </c>
      <c r="G123" s="366">
        <v>1</v>
      </c>
      <c r="H123" s="292">
        <v>16</v>
      </c>
      <c r="J123" s="377">
        <v>17</v>
      </c>
      <c r="K123" s="336">
        <f t="shared" si="7"/>
        <v>5.8823529411764701</v>
      </c>
      <c r="L123" s="336">
        <f t="shared" si="7"/>
        <v>94.117647058823522</v>
      </c>
      <c r="M123" s="336">
        <f t="shared" si="7"/>
        <v>0</v>
      </c>
      <c r="N123" s="368">
        <f t="shared" si="8"/>
        <v>99.999999999999986</v>
      </c>
      <c r="O123" s="335"/>
      <c r="P123" s="336">
        <v>44.4</v>
      </c>
      <c r="Q123" s="336"/>
      <c r="R123" s="337">
        <f t="shared" si="6"/>
        <v>44.4</v>
      </c>
      <c r="S123" s="292">
        <v>1</v>
      </c>
      <c r="T123" s="838"/>
      <c r="U123" s="836"/>
      <c r="V123" s="299" t="s">
        <v>131</v>
      </c>
      <c r="W123" s="292" t="s">
        <v>22</v>
      </c>
      <c r="X123" s="292" t="s">
        <v>18</v>
      </c>
      <c r="Y123" s="300">
        <v>44.4</v>
      </c>
      <c r="Z123" s="381" t="s">
        <v>333</v>
      </c>
      <c r="AA123" s="381" t="s">
        <v>74</v>
      </c>
      <c r="AB123" s="381" t="s">
        <v>11</v>
      </c>
      <c r="AC123" s="381">
        <v>55.6</v>
      </c>
      <c r="AD123" s="299"/>
      <c r="AG123" s="300"/>
      <c r="AL123" s="299"/>
      <c r="AO123" s="300"/>
      <c r="AP123" s="299"/>
      <c r="AS123" s="300"/>
      <c r="AW123" s="300"/>
      <c r="BA123" s="301"/>
    </row>
    <row r="124" spans="1:53" s="292" customFormat="1">
      <c r="A124" s="292">
        <v>2012</v>
      </c>
      <c r="B124" s="865">
        <v>41219</v>
      </c>
      <c r="C124" s="916" t="s">
        <v>587</v>
      </c>
      <c r="D124" s="916"/>
      <c r="E124" s="292">
        <v>56</v>
      </c>
      <c r="F124" s="381" t="s">
        <v>330</v>
      </c>
      <c r="G124" s="366">
        <v>1</v>
      </c>
      <c r="H124" s="292">
        <v>16</v>
      </c>
      <c r="J124" s="377">
        <v>17</v>
      </c>
      <c r="K124" s="336">
        <f t="shared" si="7"/>
        <v>5.8823529411764701</v>
      </c>
      <c r="L124" s="336">
        <f t="shared" si="7"/>
        <v>94.117647058823522</v>
      </c>
      <c r="M124" s="336">
        <f t="shared" si="7"/>
        <v>0</v>
      </c>
      <c r="N124" s="368">
        <f t="shared" si="8"/>
        <v>99.999999999999986</v>
      </c>
      <c r="O124" s="335"/>
      <c r="P124" s="336">
        <v>46.2</v>
      </c>
      <c r="Q124" s="336"/>
      <c r="R124" s="337">
        <f t="shared" si="6"/>
        <v>46.2</v>
      </c>
      <c r="S124" s="292">
        <v>1</v>
      </c>
      <c r="T124" s="838">
        <v>41219</v>
      </c>
      <c r="U124" s="836"/>
      <c r="V124" s="299" t="s">
        <v>131</v>
      </c>
      <c r="W124" s="292" t="s">
        <v>22</v>
      </c>
      <c r="X124" s="292" t="s">
        <v>18</v>
      </c>
      <c r="Y124" s="300">
        <v>46.2</v>
      </c>
      <c r="Z124" s="381" t="s">
        <v>333</v>
      </c>
      <c r="AA124" s="381" t="s">
        <v>74</v>
      </c>
      <c r="AB124" s="381" t="s">
        <v>11</v>
      </c>
      <c r="AC124" s="381">
        <v>53.8</v>
      </c>
      <c r="AD124" s="299"/>
      <c r="AG124" s="300"/>
      <c r="AL124" s="299"/>
      <c r="AO124" s="300"/>
      <c r="AP124" s="299"/>
      <c r="AS124" s="300"/>
      <c r="AW124" s="300"/>
      <c r="BA124" s="301"/>
    </row>
    <row r="125" spans="1:53" s="292" customFormat="1">
      <c r="A125" s="292">
        <v>2013</v>
      </c>
      <c r="B125" s="865"/>
      <c r="C125" s="916" t="s">
        <v>587</v>
      </c>
      <c r="D125" s="916"/>
      <c r="E125" s="292">
        <v>19</v>
      </c>
      <c r="F125" s="381"/>
      <c r="G125" s="366">
        <v>1</v>
      </c>
      <c r="H125" s="292">
        <v>16</v>
      </c>
      <c r="J125" s="377">
        <v>17</v>
      </c>
      <c r="K125" s="336">
        <f t="shared" ref="K125:M125" si="9">G125/$J125*100</f>
        <v>5.8823529411764701</v>
      </c>
      <c r="L125" s="336">
        <f t="shared" si="9"/>
        <v>94.117647058823522</v>
      </c>
      <c r="M125" s="336">
        <f t="shared" si="9"/>
        <v>0</v>
      </c>
      <c r="N125" s="368">
        <f t="shared" si="8"/>
        <v>99.999999999999986</v>
      </c>
      <c r="O125" s="335"/>
      <c r="P125" s="336">
        <v>46.2</v>
      </c>
      <c r="Q125" s="336"/>
      <c r="R125" s="538">
        <f t="shared" si="6"/>
        <v>46.2</v>
      </c>
      <c r="S125" s="292">
        <v>1</v>
      </c>
      <c r="T125" s="838"/>
      <c r="U125" s="836"/>
      <c r="V125" s="299" t="s">
        <v>131</v>
      </c>
      <c r="W125" s="292" t="s">
        <v>22</v>
      </c>
      <c r="X125" s="292" t="s">
        <v>18</v>
      </c>
      <c r="Y125" s="300">
        <v>46.2</v>
      </c>
      <c r="Z125" s="381" t="s">
        <v>333</v>
      </c>
      <c r="AA125" s="381" t="s">
        <v>74</v>
      </c>
      <c r="AB125" s="381" t="s">
        <v>11</v>
      </c>
      <c r="AC125" s="381">
        <v>53.8</v>
      </c>
      <c r="AD125" s="299"/>
      <c r="AG125" s="300"/>
      <c r="AL125" s="299"/>
      <c r="AO125" s="300"/>
      <c r="AP125" s="299"/>
      <c r="AS125" s="300"/>
      <c r="AW125" s="300"/>
      <c r="BA125" s="301"/>
    </row>
    <row r="126" spans="1:53" s="274" customFormat="1">
      <c r="A126" s="274">
        <v>2013</v>
      </c>
      <c r="B126" s="852">
        <v>41294</v>
      </c>
      <c r="C126" s="917" t="s">
        <v>1254</v>
      </c>
      <c r="D126" s="917"/>
      <c r="E126" s="274">
        <f>365-E125</f>
        <v>346</v>
      </c>
      <c r="F126" s="274">
        <v>1</v>
      </c>
      <c r="G126" s="119">
        <v>1</v>
      </c>
      <c r="H126" s="274">
        <v>16</v>
      </c>
      <c r="J126" s="126">
        <v>17</v>
      </c>
      <c r="K126" s="496">
        <f t="shared" ref="K126:K139" si="10">G126/$J126*100</f>
        <v>5.8823529411764701</v>
      </c>
      <c r="L126" s="496">
        <f t="shared" ref="L126:L139" si="11">H126/$J126*100</f>
        <v>94.117647058823522</v>
      </c>
      <c r="M126" s="496">
        <f t="shared" ref="M126:M139" si="12">I126/$J126*100</f>
        <v>0</v>
      </c>
      <c r="N126" s="499">
        <f t="shared" ref="N126:N139" si="13">K126+L126+M126</f>
        <v>99.999999999999986</v>
      </c>
      <c r="O126" s="91"/>
      <c r="P126" s="92">
        <v>46.2</v>
      </c>
      <c r="Q126" s="92"/>
      <c r="R126" s="497">
        <f t="shared" si="6"/>
        <v>46.2</v>
      </c>
      <c r="S126" s="274">
        <v>1</v>
      </c>
      <c r="T126" s="839"/>
      <c r="U126" s="852">
        <v>41294</v>
      </c>
      <c r="V126" s="82" t="s">
        <v>131</v>
      </c>
      <c r="W126" s="274" t="s">
        <v>22</v>
      </c>
      <c r="X126" s="274" t="s">
        <v>18</v>
      </c>
      <c r="Y126" s="83">
        <v>46.2</v>
      </c>
      <c r="Z126" s="139" t="s">
        <v>333</v>
      </c>
      <c r="AA126" s="139" t="s">
        <v>74</v>
      </c>
      <c r="AB126" s="139" t="s">
        <v>11</v>
      </c>
      <c r="AC126" s="139">
        <v>53.8</v>
      </c>
      <c r="AD126" s="82"/>
      <c r="AG126" s="83"/>
      <c r="AL126" s="82"/>
      <c r="AO126" s="83"/>
      <c r="AP126" s="82"/>
      <c r="AS126" s="83"/>
      <c r="AW126" s="83"/>
      <c r="BA126" s="84"/>
    </row>
    <row r="127" spans="1:53" s="470" customFormat="1">
      <c r="A127" s="471">
        <v>2014</v>
      </c>
      <c r="B127" s="852"/>
      <c r="C127" s="917" t="s">
        <v>1254</v>
      </c>
      <c r="D127" s="917"/>
      <c r="E127" s="471">
        <v>209</v>
      </c>
      <c r="F127" s="471"/>
      <c r="G127" s="477">
        <v>1</v>
      </c>
      <c r="H127" s="471">
        <v>16</v>
      </c>
      <c r="I127" s="471"/>
      <c r="J127" s="478">
        <v>17</v>
      </c>
      <c r="K127" s="496">
        <f t="shared" si="10"/>
        <v>5.8823529411764701</v>
      </c>
      <c r="L127" s="496">
        <f t="shared" si="11"/>
        <v>94.117647058823522</v>
      </c>
      <c r="M127" s="496">
        <f t="shared" si="12"/>
        <v>0</v>
      </c>
      <c r="N127" s="499">
        <f t="shared" si="13"/>
        <v>99.999999999999986</v>
      </c>
      <c r="O127" s="475"/>
      <c r="P127" s="476">
        <v>46.2</v>
      </c>
      <c r="Q127" s="476"/>
      <c r="R127" s="497">
        <f t="shared" si="6"/>
        <v>46.2</v>
      </c>
      <c r="S127" s="471">
        <v>1</v>
      </c>
      <c r="T127" s="839"/>
      <c r="U127" s="852"/>
      <c r="V127" s="472" t="s">
        <v>131</v>
      </c>
      <c r="W127" s="471" t="s">
        <v>22</v>
      </c>
      <c r="X127" s="471" t="s">
        <v>18</v>
      </c>
      <c r="Y127" s="473">
        <v>46.2</v>
      </c>
      <c r="Z127" s="479" t="s">
        <v>333</v>
      </c>
      <c r="AA127" s="479" t="s">
        <v>74</v>
      </c>
      <c r="AB127" s="479" t="s">
        <v>11</v>
      </c>
      <c r="AC127" s="479">
        <v>53.8</v>
      </c>
      <c r="AD127" s="472"/>
      <c r="AE127" s="471"/>
      <c r="AF127" s="471"/>
      <c r="AG127" s="473"/>
      <c r="AH127" s="471"/>
      <c r="AI127" s="471"/>
      <c r="AJ127" s="471"/>
      <c r="AK127" s="471"/>
      <c r="AL127" s="472"/>
      <c r="AM127" s="471"/>
      <c r="AN127" s="471"/>
      <c r="AO127" s="473"/>
      <c r="AP127" s="472"/>
      <c r="AQ127" s="471"/>
      <c r="AR127" s="471"/>
      <c r="AS127" s="473"/>
      <c r="AT127" s="471"/>
      <c r="AU127" s="471"/>
      <c r="AV127" s="471"/>
      <c r="AW127" s="473"/>
      <c r="AX127" s="471"/>
      <c r="AY127" s="471"/>
      <c r="AZ127" s="471"/>
      <c r="BA127" s="474"/>
    </row>
    <row r="128" spans="1:53" s="470" customFormat="1">
      <c r="A128" s="480">
        <v>2014</v>
      </c>
      <c r="B128" s="860">
        <v>41849</v>
      </c>
      <c r="C128" s="917" t="s">
        <v>1254</v>
      </c>
      <c r="D128" s="917"/>
      <c r="E128" s="480">
        <v>98</v>
      </c>
      <c r="F128" s="489">
        <v>0</v>
      </c>
      <c r="G128" s="487">
        <v>2</v>
      </c>
      <c r="H128" s="480">
        <v>15</v>
      </c>
      <c r="I128" s="480"/>
      <c r="J128" s="488">
        <v>17</v>
      </c>
      <c r="K128" s="496">
        <f t="shared" si="10"/>
        <v>11.76470588235294</v>
      </c>
      <c r="L128" s="496">
        <f t="shared" si="11"/>
        <v>88.235294117647058</v>
      </c>
      <c r="M128" s="496">
        <f t="shared" si="12"/>
        <v>0</v>
      </c>
      <c r="N128" s="499">
        <f t="shared" si="13"/>
        <v>100</v>
      </c>
      <c r="O128" s="485"/>
      <c r="P128" s="486">
        <v>46.2</v>
      </c>
      <c r="Q128" s="486"/>
      <c r="R128" s="497">
        <f t="shared" si="6"/>
        <v>46.2</v>
      </c>
      <c r="S128" s="480">
        <v>1</v>
      </c>
      <c r="T128" s="839"/>
      <c r="U128" s="852"/>
      <c r="V128" s="482" t="s">
        <v>131</v>
      </c>
      <c r="W128" s="480" t="s">
        <v>22</v>
      </c>
      <c r="X128" s="480" t="s">
        <v>18</v>
      </c>
      <c r="Y128" s="483">
        <v>46.2</v>
      </c>
      <c r="Z128" s="489" t="s">
        <v>333</v>
      </c>
      <c r="AA128" s="489" t="s">
        <v>74</v>
      </c>
      <c r="AB128" s="489" t="s">
        <v>11</v>
      </c>
      <c r="AC128" s="489">
        <v>53.8</v>
      </c>
      <c r="AD128" s="482"/>
      <c r="AE128" s="480"/>
      <c r="AF128" s="480"/>
      <c r="AG128" s="483"/>
      <c r="AH128" s="480"/>
      <c r="AI128" s="480"/>
      <c r="AJ128" s="480"/>
      <c r="AK128" s="480"/>
      <c r="AL128" s="482"/>
      <c r="AM128" s="480"/>
      <c r="AN128" s="480"/>
      <c r="AO128" s="483"/>
      <c r="AP128" s="482"/>
      <c r="AQ128" s="480"/>
      <c r="AR128" s="480"/>
      <c r="AS128" s="483"/>
      <c r="AT128" s="480"/>
      <c r="AU128" s="480"/>
      <c r="AV128" s="480"/>
      <c r="AW128" s="483"/>
      <c r="AX128" s="480"/>
      <c r="AY128" s="480"/>
      <c r="AZ128" s="480"/>
      <c r="BA128" s="484"/>
    </row>
    <row r="129" spans="1:53" s="470" customFormat="1">
      <c r="A129" s="491">
        <v>2014</v>
      </c>
      <c r="B129" s="860">
        <v>41947</v>
      </c>
      <c r="C129" s="917" t="s">
        <v>1254</v>
      </c>
      <c r="D129" s="917"/>
      <c r="E129" s="491">
        <v>58</v>
      </c>
      <c r="F129" s="502" t="s">
        <v>330</v>
      </c>
      <c r="G129" s="498">
        <v>2</v>
      </c>
      <c r="H129" s="491">
        <v>15</v>
      </c>
      <c r="I129" s="491"/>
      <c r="J129" s="500">
        <v>17</v>
      </c>
      <c r="K129" s="496">
        <f t="shared" si="10"/>
        <v>11.76470588235294</v>
      </c>
      <c r="L129" s="496">
        <f t="shared" si="11"/>
        <v>88.235294117647058</v>
      </c>
      <c r="M129" s="496">
        <f t="shared" si="12"/>
        <v>0</v>
      </c>
      <c r="N129" s="499">
        <f t="shared" si="13"/>
        <v>100</v>
      </c>
      <c r="O129" s="495"/>
      <c r="P129" s="496">
        <v>43.2</v>
      </c>
      <c r="Q129" s="496"/>
      <c r="R129" s="497">
        <f t="shared" si="6"/>
        <v>43.2</v>
      </c>
      <c r="S129" s="491">
        <v>1</v>
      </c>
      <c r="T129" s="839">
        <v>41947</v>
      </c>
      <c r="U129" s="852"/>
      <c r="V129" s="492" t="s">
        <v>131</v>
      </c>
      <c r="W129" s="491" t="s">
        <v>22</v>
      </c>
      <c r="X129" s="491" t="s">
        <v>18</v>
      </c>
      <c r="Y129" s="493">
        <v>43.2</v>
      </c>
      <c r="Z129" s="502" t="s">
        <v>333</v>
      </c>
      <c r="AA129" s="502" t="s">
        <v>74</v>
      </c>
      <c r="AB129" s="502" t="s">
        <v>11</v>
      </c>
      <c r="AC129" s="502">
        <v>56.8</v>
      </c>
      <c r="AD129" s="492"/>
      <c r="AE129" s="491"/>
      <c r="AF129" s="491"/>
      <c r="AG129" s="493"/>
      <c r="AH129" s="491"/>
      <c r="AI129" s="491"/>
      <c r="AJ129" s="491"/>
      <c r="AK129" s="491"/>
      <c r="AL129" s="492"/>
      <c r="AM129" s="491"/>
      <c r="AN129" s="491"/>
      <c r="AO129" s="493"/>
      <c r="AP129" s="492"/>
      <c r="AQ129" s="491"/>
      <c r="AR129" s="491"/>
      <c r="AS129" s="493"/>
      <c r="AT129" s="491"/>
      <c r="AU129" s="491"/>
      <c r="AV129" s="491"/>
      <c r="AW129" s="493"/>
      <c r="AX129" s="491"/>
      <c r="AY129" s="491"/>
      <c r="AZ129" s="491"/>
      <c r="BA129" s="494"/>
    </row>
    <row r="130" spans="1:53" s="629" customFormat="1">
      <c r="A130" s="629">
        <v>2015</v>
      </c>
      <c r="B130" s="860"/>
      <c r="C130" s="917" t="s">
        <v>1254</v>
      </c>
      <c r="D130" s="917"/>
      <c r="E130" s="629">
        <v>42</v>
      </c>
      <c r="F130" s="502"/>
      <c r="G130" s="498">
        <v>2</v>
      </c>
      <c r="H130" s="629">
        <v>15</v>
      </c>
      <c r="J130" s="500">
        <v>17</v>
      </c>
      <c r="K130" s="496">
        <f t="shared" si="10"/>
        <v>11.76470588235294</v>
      </c>
      <c r="L130" s="496">
        <f t="shared" si="11"/>
        <v>88.235294117647058</v>
      </c>
      <c r="M130" s="496">
        <f t="shared" si="12"/>
        <v>0</v>
      </c>
      <c r="N130" s="499">
        <f t="shared" si="13"/>
        <v>100</v>
      </c>
      <c r="O130" s="495"/>
      <c r="P130" s="496">
        <v>43.2</v>
      </c>
      <c r="Q130" s="496"/>
      <c r="R130" s="497">
        <f t="shared" si="6"/>
        <v>43.2</v>
      </c>
      <c r="S130" s="629">
        <v>1</v>
      </c>
      <c r="T130" s="839"/>
      <c r="U130" s="852"/>
      <c r="V130" s="492" t="s">
        <v>131</v>
      </c>
      <c r="W130" s="629" t="s">
        <v>22</v>
      </c>
      <c r="X130" s="629" t="s">
        <v>18</v>
      </c>
      <c r="Y130" s="493">
        <v>43.2</v>
      </c>
      <c r="Z130" s="502" t="s">
        <v>333</v>
      </c>
      <c r="AA130" s="502" t="s">
        <v>74</v>
      </c>
      <c r="AB130" s="502" t="s">
        <v>11</v>
      </c>
      <c r="AC130" s="502">
        <v>56.8</v>
      </c>
      <c r="AD130" s="492"/>
      <c r="AG130" s="493"/>
      <c r="AL130" s="492"/>
      <c r="AO130" s="493"/>
      <c r="AP130" s="492"/>
      <c r="AS130" s="493"/>
      <c r="AW130" s="493"/>
      <c r="BA130" s="494"/>
    </row>
    <row r="131" spans="1:53" s="629" customFormat="1">
      <c r="A131" s="629">
        <v>2015</v>
      </c>
      <c r="B131" s="860">
        <v>42047</v>
      </c>
      <c r="C131" s="917" t="s">
        <v>1254</v>
      </c>
      <c r="D131" s="917"/>
      <c r="E131" s="629">
        <v>323</v>
      </c>
      <c r="F131" s="502">
        <v>0</v>
      </c>
      <c r="G131" s="498">
        <v>1</v>
      </c>
      <c r="H131" s="629">
        <v>16</v>
      </c>
      <c r="J131" s="500">
        <v>17</v>
      </c>
      <c r="K131" s="496">
        <f t="shared" si="10"/>
        <v>5.8823529411764701</v>
      </c>
      <c r="L131" s="496">
        <f t="shared" si="11"/>
        <v>94.117647058823522</v>
      </c>
      <c r="M131" s="496">
        <f t="shared" si="12"/>
        <v>0</v>
      </c>
      <c r="N131" s="499">
        <f t="shared" si="13"/>
        <v>99.999999999999986</v>
      </c>
      <c r="O131" s="495"/>
      <c r="P131" s="496">
        <v>43.2</v>
      </c>
      <c r="Q131" s="496"/>
      <c r="R131" s="497">
        <f t="shared" si="6"/>
        <v>43.2</v>
      </c>
      <c r="S131" s="629">
        <v>1</v>
      </c>
      <c r="T131" s="839"/>
      <c r="U131" s="852"/>
      <c r="V131" s="492" t="s">
        <v>131</v>
      </c>
      <c r="W131" s="629" t="s">
        <v>22</v>
      </c>
      <c r="X131" s="629" t="s">
        <v>18</v>
      </c>
      <c r="Y131" s="493">
        <v>43.2</v>
      </c>
      <c r="Z131" s="502" t="s">
        <v>333</v>
      </c>
      <c r="AA131" s="502" t="s">
        <v>74</v>
      </c>
      <c r="AB131" s="502" t="s">
        <v>11</v>
      </c>
      <c r="AC131" s="502">
        <v>56.8</v>
      </c>
      <c r="AD131" s="492"/>
      <c r="AG131" s="493"/>
      <c r="AL131" s="492"/>
      <c r="AO131" s="493"/>
      <c r="AP131" s="492"/>
      <c r="AS131" s="493"/>
      <c r="AW131" s="493"/>
      <c r="BA131" s="494"/>
    </row>
    <row r="132" spans="1:53" s="693" customFormat="1">
      <c r="A132" s="693">
        <v>2016</v>
      </c>
      <c r="B132" s="860"/>
      <c r="C132" s="917" t="s">
        <v>1254</v>
      </c>
      <c r="D132" s="917"/>
      <c r="E132" s="693">
        <v>0</v>
      </c>
      <c r="F132" s="502"/>
      <c r="G132" s="498">
        <v>1</v>
      </c>
      <c r="H132" s="705">
        <v>16</v>
      </c>
      <c r="I132" s="705"/>
      <c r="J132" s="500">
        <v>17</v>
      </c>
      <c r="K132" s="496">
        <f t="shared" si="10"/>
        <v>5.8823529411764701</v>
      </c>
      <c r="L132" s="496">
        <f t="shared" si="11"/>
        <v>94.117647058823522</v>
      </c>
      <c r="M132" s="496">
        <f t="shared" si="12"/>
        <v>0</v>
      </c>
      <c r="N132" s="499">
        <f t="shared" si="13"/>
        <v>99.999999999999986</v>
      </c>
      <c r="O132" s="495"/>
      <c r="P132" s="496">
        <v>43.2</v>
      </c>
      <c r="Q132" s="496"/>
      <c r="R132" s="497">
        <f t="shared" si="6"/>
        <v>43.2</v>
      </c>
      <c r="S132" s="693">
        <v>1</v>
      </c>
      <c r="T132" s="839"/>
      <c r="U132" s="852"/>
      <c r="V132" s="492" t="s">
        <v>131</v>
      </c>
      <c r="W132" s="693" t="s">
        <v>22</v>
      </c>
      <c r="X132" s="693" t="s">
        <v>18</v>
      </c>
      <c r="Y132" s="493">
        <v>43.2</v>
      </c>
      <c r="Z132" s="502" t="s">
        <v>333</v>
      </c>
      <c r="AA132" s="502" t="s">
        <v>74</v>
      </c>
      <c r="AB132" s="502" t="s">
        <v>11</v>
      </c>
      <c r="AC132" s="502">
        <v>56.8</v>
      </c>
      <c r="AD132" s="492"/>
      <c r="AG132" s="493"/>
      <c r="AL132" s="492"/>
      <c r="AO132" s="493"/>
      <c r="AP132" s="492"/>
      <c r="AS132" s="493"/>
      <c r="AW132" s="493"/>
      <c r="BA132" s="494"/>
    </row>
    <row r="133" spans="1:53" s="693" customFormat="1">
      <c r="A133" s="693">
        <v>2016</v>
      </c>
      <c r="B133" s="860"/>
      <c r="C133" s="917" t="s">
        <v>1254</v>
      </c>
      <c r="D133" s="917"/>
      <c r="E133" s="693">
        <v>366</v>
      </c>
      <c r="F133" s="502"/>
      <c r="G133" s="498">
        <v>1</v>
      </c>
      <c r="H133" s="705">
        <v>16</v>
      </c>
      <c r="I133" s="705"/>
      <c r="J133" s="500">
        <v>17</v>
      </c>
      <c r="K133" s="496">
        <f t="shared" si="10"/>
        <v>5.8823529411764701</v>
      </c>
      <c r="L133" s="496">
        <f t="shared" si="11"/>
        <v>94.117647058823522</v>
      </c>
      <c r="M133" s="496">
        <f t="shared" si="12"/>
        <v>0</v>
      </c>
      <c r="N133" s="499">
        <f t="shared" si="13"/>
        <v>99.999999999999986</v>
      </c>
      <c r="O133" s="495"/>
      <c r="P133" s="496">
        <v>44.6</v>
      </c>
      <c r="Q133" s="496"/>
      <c r="R133" s="497">
        <f t="shared" si="6"/>
        <v>44.6</v>
      </c>
      <c r="S133" s="693">
        <v>1</v>
      </c>
      <c r="T133" s="839">
        <v>42682</v>
      </c>
      <c r="U133" s="852"/>
      <c r="V133" s="492" t="s">
        <v>131</v>
      </c>
      <c r="W133" s="693" t="s">
        <v>22</v>
      </c>
      <c r="X133" s="693" t="s">
        <v>18</v>
      </c>
      <c r="Y133" s="493">
        <v>44.6</v>
      </c>
      <c r="Z133" s="502" t="s">
        <v>333</v>
      </c>
      <c r="AA133" s="502" t="s">
        <v>74</v>
      </c>
      <c r="AB133" s="502" t="s">
        <v>11</v>
      </c>
      <c r="AC133" s="502">
        <v>55.4</v>
      </c>
      <c r="AD133" s="492"/>
      <c r="AG133" s="493"/>
      <c r="AL133" s="492"/>
      <c r="AO133" s="493"/>
      <c r="AP133" s="492"/>
      <c r="AS133" s="493"/>
      <c r="AW133" s="493"/>
      <c r="BA133" s="494"/>
    </row>
    <row r="134" spans="1:53" s="732" customFormat="1">
      <c r="A134" s="732">
        <v>2017</v>
      </c>
      <c r="B134" s="860"/>
      <c r="C134" s="917" t="s">
        <v>1254</v>
      </c>
      <c r="D134" s="917"/>
      <c r="E134" s="732">
        <v>19</v>
      </c>
      <c r="F134" s="502"/>
      <c r="G134" s="498">
        <v>1</v>
      </c>
      <c r="H134" s="732">
        <v>16</v>
      </c>
      <c r="J134" s="500">
        <v>17</v>
      </c>
      <c r="K134" s="496">
        <f t="shared" si="10"/>
        <v>5.8823529411764701</v>
      </c>
      <c r="L134" s="496">
        <f t="shared" si="11"/>
        <v>94.117647058823522</v>
      </c>
      <c r="M134" s="496">
        <f t="shared" si="12"/>
        <v>0</v>
      </c>
      <c r="N134" s="499">
        <f t="shared" si="13"/>
        <v>99.999999999999986</v>
      </c>
      <c r="O134" s="495"/>
      <c r="P134" s="496">
        <v>44.6</v>
      </c>
      <c r="Q134" s="496"/>
      <c r="R134" s="497">
        <f t="shared" si="6"/>
        <v>44.6</v>
      </c>
      <c r="S134" s="732">
        <v>1</v>
      </c>
      <c r="T134" s="839"/>
      <c r="U134" s="852"/>
      <c r="V134" s="492" t="s">
        <v>131</v>
      </c>
      <c r="W134" s="732" t="s">
        <v>22</v>
      </c>
      <c r="X134" s="732" t="s">
        <v>18</v>
      </c>
      <c r="Y134" s="493">
        <v>44.6</v>
      </c>
      <c r="Z134" s="502" t="s">
        <v>333</v>
      </c>
      <c r="AA134" s="502" t="s">
        <v>74</v>
      </c>
      <c r="AB134" s="502" t="s">
        <v>11</v>
      </c>
      <c r="AC134" s="502">
        <v>55.4</v>
      </c>
      <c r="AD134" s="492"/>
      <c r="AG134" s="493"/>
      <c r="AL134" s="492"/>
      <c r="AO134" s="493"/>
      <c r="AP134" s="492"/>
      <c r="AS134" s="493"/>
      <c r="AW134" s="493"/>
      <c r="BA134" s="494"/>
    </row>
    <row r="135" spans="1:53" s="731" customFormat="1">
      <c r="A135" s="731">
        <v>2017</v>
      </c>
      <c r="B135" s="836">
        <v>42755</v>
      </c>
      <c r="C135" s="916" t="s">
        <v>1391</v>
      </c>
      <c r="D135" s="916"/>
      <c r="E135" s="731">
        <v>192</v>
      </c>
      <c r="F135" s="731">
        <v>1</v>
      </c>
      <c r="G135" s="539">
        <v>15</v>
      </c>
      <c r="J135" s="541">
        <v>17</v>
      </c>
      <c r="K135" s="537">
        <f t="shared" si="10"/>
        <v>88.235294117647058</v>
      </c>
      <c r="L135" s="537">
        <f t="shared" si="11"/>
        <v>0</v>
      </c>
      <c r="M135" s="537">
        <f t="shared" si="12"/>
        <v>0</v>
      </c>
      <c r="N135" s="540">
        <f t="shared" si="13"/>
        <v>88.235294117647058</v>
      </c>
      <c r="O135" s="536">
        <v>55.4</v>
      </c>
      <c r="P135" s="537"/>
      <c r="Q135" s="537"/>
      <c r="R135" s="538">
        <f t="shared" si="6"/>
        <v>55.4</v>
      </c>
      <c r="S135" s="731">
        <v>1</v>
      </c>
      <c r="T135" s="838"/>
      <c r="U135" s="836">
        <v>42755</v>
      </c>
      <c r="V135" s="532" t="s">
        <v>333</v>
      </c>
      <c r="W135" s="731" t="s">
        <v>74</v>
      </c>
      <c r="X135" s="731" t="s">
        <v>11</v>
      </c>
      <c r="Y135" s="533">
        <v>55.4</v>
      </c>
      <c r="Z135" s="428"/>
      <c r="AA135" s="428"/>
      <c r="AB135" s="428"/>
      <c r="AC135" s="428"/>
      <c r="AD135" s="532"/>
      <c r="AG135" s="533"/>
      <c r="AL135" s="532"/>
      <c r="AO135" s="533"/>
      <c r="AP135" s="532"/>
      <c r="AS135" s="533"/>
      <c r="AW135" s="533"/>
      <c r="BA135" s="534"/>
    </row>
    <row r="136" spans="1:53" s="731" customFormat="1">
      <c r="A136" s="731">
        <v>2017</v>
      </c>
      <c r="B136" s="865">
        <v>42947</v>
      </c>
      <c r="C136" s="916" t="s">
        <v>1391</v>
      </c>
      <c r="D136" s="916"/>
      <c r="E136" s="731">
        <v>128</v>
      </c>
      <c r="F136" s="428">
        <v>0</v>
      </c>
      <c r="G136" s="539">
        <v>14</v>
      </c>
      <c r="J136" s="541">
        <v>17</v>
      </c>
      <c r="K136" s="537">
        <f t="shared" si="10"/>
        <v>82.35294117647058</v>
      </c>
      <c r="L136" s="537">
        <f t="shared" si="11"/>
        <v>0</v>
      </c>
      <c r="M136" s="537">
        <f t="shared" si="12"/>
        <v>0</v>
      </c>
      <c r="N136" s="540">
        <f t="shared" si="13"/>
        <v>82.35294117647058</v>
      </c>
      <c r="O136" s="536">
        <v>55.4</v>
      </c>
      <c r="P136" s="537"/>
      <c r="Q136" s="537"/>
      <c r="R136" s="538">
        <f t="shared" si="6"/>
        <v>55.4</v>
      </c>
      <c r="S136" s="731">
        <v>1</v>
      </c>
      <c r="T136" s="838"/>
      <c r="U136" s="836"/>
      <c r="V136" s="532" t="s">
        <v>333</v>
      </c>
      <c r="W136" s="731" t="s">
        <v>74</v>
      </c>
      <c r="X136" s="731" t="s">
        <v>11</v>
      </c>
      <c r="Y136" s="533">
        <v>55.4</v>
      </c>
      <c r="Z136" s="428"/>
      <c r="AA136" s="428"/>
      <c r="AB136" s="428"/>
      <c r="AC136" s="428"/>
      <c r="AD136" s="532"/>
      <c r="AG136" s="533"/>
      <c r="AL136" s="532"/>
      <c r="AO136" s="533"/>
      <c r="AP136" s="532"/>
      <c r="AS136" s="533"/>
      <c r="AW136" s="533"/>
      <c r="BA136" s="534"/>
    </row>
    <row r="137" spans="1:53" s="731" customFormat="1">
      <c r="A137" s="731">
        <v>2017</v>
      </c>
      <c r="B137" s="865">
        <v>43075</v>
      </c>
      <c r="C137" s="916" t="s">
        <v>1391</v>
      </c>
      <c r="D137" s="916"/>
      <c r="E137" s="731">
        <v>26</v>
      </c>
      <c r="F137" s="428">
        <v>0</v>
      </c>
      <c r="G137" s="539">
        <v>15</v>
      </c>
      <c r="J137" s="541">
        <v>17</v>
      </c>
      <c r="K137" s="537">
        <f t="shared" si="10"/>
        <v>88.235294117647058</v>
      </c>
      <c r="L137" s="537">
        <f t="shared" si="11"/>
        <v>0</v>
      </c>
      <c r="M137" s="537">
        <f t="shared" si="12"/>
        <v>0</v>
      </c>
      <c r="N137" s="540">
        <f t="shared" si="13"/>
        <v>88.235294117647058</v>
      </c>
      <c r="O137" s="536">
        <v>55.4</v>
      </c>
      <c r="P137" s="537"/>
      <c r="Q137" s="537"/>
      <c r="R137" s="538">
        <f t="shared" si="6"/>
        <v>55.4</v>
      </c>
      <c r="S137" s="731">
        <v>1</v>
      </c>
      <c r="T137" s="838"/>
      <c r="U137" s="836"/>
      <c r="V137" s="532" t="s">
        <v>333</v>
      </c>
      <c r="W137" s="731" t="s">
        <v>74</v>
      </c>
      <c r="X137" s="731" t="s">
        <v>11</v>
      </c>
      <c r="Y137" s="533">
        <v>55.4</v>
      </c>
      <c r="Z137" s="428"/>
      <c r="AA137" s="428"/>
      <c r="AB137" s="428"/>
      <c r="AC137" s="428"/>
      <c r="AD137" s="532"/>
      <c r="AG137" s="533"/>
      <c r="AL137" s="532"/>
      <c r="AO137" s="533"/>
      <c r="AP137" s="532"/>
      <c r="AS137" s="533"/>
      <c r="AW137" s="533"/>
      <c r="BA137" s="534"/>
    </row>
    <row r="138" spans="1:53" s="770" customFormat="1">
      <c r="A138" s="770">
        <v>2018</v>
      </c>
      <c r="B138" s="865"/>
      <c r="C138" s="916" t="s">
        <v>1410</v>
      </c>
      <c r="D138" s="916"/>
      <c r="E138" s="770">
        <v>86</v>
      </c>
      <c r="F138" s="428"/>
      <c r="G138" s="539">
        <v>15</v>
      </c>
      <c r="J138" s="541">
        <v>17</v>
      </c>
      <c r="K138" s="537">
        <f t="shared" si="10"/>
        <v>88.235294117647058</v>
      </c>
      <c r="L138" s="537">
        <f t="shared" si="11"/>
        <v>0</v>
      </c>
      <c r="M138" s="537">
        <f t="shared" si="12"/>
        <v>0</v>
      </c>
      <c r="N138" s="540">
        <f t="shared" si="13"/>
        <v>88.235294117647058</v>
      </c>
      <c r="O138" s="536">
        <v>55.4</v>
      </c>
      <c r="P138" s="537"/>
      <c r="Q138" s="537"/>
      <c r="R138" s="538">
        <f t="shared" ref="R138" si="14">O138+P138+Q138</f>
        <v>55.4</v>
      </c>
      <c r="S138" s="770">
        <v>1</v>
      </c>
      <c r="T138" s="838"/>
      <c r="U138" s="836"/>
      <c r="V138" s="532" t="s">
        <v>333</v>
      </c>
      <c r="W138" s="770" t="s">
        <v>74</v>
      </c>
      <c r="X138" s="770" t="s">
        <v>11</v>
      </c>
      <c r="Y138" s="533">
        <v>55.4</v>
      </c>
      <c r="Z138" s="428"/>
      <c r="AA138" s="428"/>
      <c r="AB138" s="428"/>
      <c r="AC138" s="428"/>
      <c r="AD138" s="532"/>
      <c r="AG138" s="533"/>
      <c r="AL138" s="532"/>
      <c r="AO138" s="533"/>
      <c r="AP138" s="532"/>
      <c r="AS138" s="533"/>
      <c r="AW138" s="533"/>
      <c r="BA138" s="534"/>
    </row>
    <row r="139" spans="1:53" s="770" customFormat="1">
      <c r="A139" s="770">
        <v>2018</v>
      </c>
      <c r="B139" s="865">
        <v>43187</v>
      </c>
      <c r="C139" s="971" t="s">
        <v>1391</v>
      </c>
      <c r="D139" s="971"/>
      <c r="E139" s="770">
        <v>279</v>
      </c>
      <c r="F139" s="428">
        <v>0</v>
      </c>
      <c r="G139" s="539">
        <v>16</v>
      </c>
      <c r="J139" s="541">
        <v>17</v>
      </c>
      <c r="K139" s="537">
        <f t="shared" si="10"/>
        <v>94.117647058823522</v>
      </c>
      <c r="L139" s="537">
        <f t="shared" si="11"/>
        <v>0</v>
      </c>
      <c r="M139" s="537">
        <f t="shared" si="12"/>
        <v>0</v>
      </c>
      <c r="N139" s="540">
        <f t="shared" si="13"/>
        <v>94.117647058823522</v>
      </c>
      <c r="O139" s="536">
        <v>45.7</v>
      </c>
      <c r="P139" s="537"/>
      <c r="Q139" s="537"/>
      <c r="R139" s="538">
        <f>SUM(O139:Q139)</f>
        <v>45.7</v>
      </c>
      <c r="S139" s="770">
        <v>1</v>
      </c>
      <c r="T139" s="838">
        <v>43410</v>
      </c>
      <c r="U139" s="836"/>
      <c r="V139" s="532" t="s">
        <v>333</v>
      </c>
      <c r="W139" s="770" t="s">
        <v>74</v>
      </c>
      <c r="X139" s="770" t="s">
        <v>11</v>
      </c>
      <c r="Y139" s="533">
        <v>45.7</v>
      </c>
      <c r="Z139" s="428"/>
      <c r="AA139" s="428"/>
      <c r="AB139" s="428"/>
      <c r="AC139" s="428"/>
      <c r="AD139" s="532"/>
      <c r="AG139" s="533"/>
      <c r="AL139" s="532"/>
      <c r="AO139" s="533"/>
      <c r="AP139" s="532"/>
      <c r="AS139" s="533"/>
      <c r="AW139" s="533"/>
      <c r="BA139" s="534"/>
    </row>
    <row r="140" spans="1:53" s="814" customFormat="1">
      <c r="A140" s="814">
        <v>2019</v>
      </c>
      <c r="B140" s="865"/>
      <c r="C140" s="971" t="s">
        <v>1391</v>
      </c>
      <c r="D140" s="971"/>
      <c r="E140" s="814">
        <v>0</v>
      </c>
      <c r="F140" s="428"/>
      <c r="G140" s="539">
        <v>16</v>
      </c>
      <c r="J140" s="541">
        <v>17</v>
      </c>
      <c r="K140" s="537">
        <f t="shared" ref="K140:K141" si="15">G140/$J140*100</f>
        <v>94.117647058823522</v>
      </c>
      <c r="L140" s="537">
        <f t="shared" ref="L140:L141" si="16">H140/$J140*100</f>
        <v>0</v>
      </c>
      <c r="M140" s="537">
        <f t="shared" ref="M140:M141" si="17">I140/$J140*100</f>
        <v>0</v>
      </c>
      <c r="N140" s="540">
        <f t="shared" ref="N140:N141" si="18">K140+L140+M140</f>
        <v>94.117647058823522</v>
      </c>
      <c r="O140" s="536">
        <v>45.7</v>
      </c>
      <c r="P140" s="537"/>
      <c r="Q140" s="537"/>
      <c r="R140" s="538">
        <f t="shared" ref="R140:R141" si="19">SUM(O140:Q140)</f>
        <v>45.7</v>
      </c>
      <c r="S140" s="814">
        <v>1</v>
      </c>
      <c r="T140" s="838"/>
      <c r="U140" s="836"/>
      <c r="V140" s="532" t="s">
        <v>333</v>
      </c>
      <c r="W140" s="814" t="s">
        <v>74</v>
      </c>
      <c r="X140" s="814" t="s">
        <v>11</v>
      </c>
      <c r="Y140" s="533">
        <v>45.7</v>
      </c>
      <c r="Z140" s="428"/>
      <c r="AA140" s="428"/>
      <c r="AB140" s="428"/>
      <c r="AC140" s="428"/>
      <c r="AD140" s="532"/>
      <c r="AG140" s="533"/>
      <c r="AL140" s="532"/>
      <c r="AO140" s="533"/>
      <c r="AP140" s="532"/>
      <c r="AS140" s="533"/>
      <c r="AW140" s="533"/>
      <c r="BA140" s="534"/>
    </row>
    <row r="141" spans="1:53" s="814" customFormat="1">
      <c r="A141" s="814">
        <v>2019</v>
      </c>
      <c r="B141" s="865"/>
      <c r="C141" s="971" t="s">
        <v>1391</v>
      </c>
      <c r="D141" s="971"/>
      <c r="E141" s="814">
        <v>365</v>
      </c>
      <c r="F141" s="428"/>
      <c r="G141" s="539">
        <v>16</v>
      </c>
      <c r="H141" s="817"/>
      <c r="J141" s="541">
        <v>17</v>
      </c>
      <c r="K141" s="537">
        <f t="shared" si="15"/>
        <v>94.117647058823522</v>
      </c>
      <c r="L141" s="537">
        <f t="shared" si="16"/>
        <v>0</v>
      </c>
      <c r="M141" s="537">
        <f t="shared" si="17"/>
        <v>0</v>
      </c>
      <c r="N141" s="540">
        <f t="shared" si="18"/>
        <v>94.117647058823522</v>
      </c>
      <c r="O141" s="536">
        <v>45.7</v>
      </c>
      <c r="P141" s="537"/>
      <c r="Q141" s="537"/>
      <c r="R141" s="538">
        <f t="shared" si="19"/>
        <v>45.7</v>
      </c>
      <c r="S141" s="814">
        <v>1</v>
      </c>
      <c r="T141" s="838"/>
      <c r="U141" s="836"/>
      <c r="V141" s="532" t="s">
        <v>333</v>
      </c>
      <c r="W141" s="814" t="s">
        <v>74</v>
      </c>
      <c r="X141" s="814" t="s">
        <v>11</v>
      </c>
      <c r="Y141" s="533">
        <v>45.7</v>
      </c>
      <c r="Z141" s="428"/>
      <c r="AA141" s="428"/>
      <c r="AB141" s="428"/>
      <c r="AC141" s="428"/>
      <c r="AD141" s="532"/>
      <c r="AG141" s="533"/>
      <c r="AL141" s="532"/>
      <c r="AO141" s="533"/>
      <c r="AP141" s="532"/>
      <c r="AS141" s="533"/>
      <c r="AW141" s="533"/>
      <c r="BA141" s="534"/>
    </row>
    <row r="142" spans="1:53">
      <c r="M142" s="2"/>
      <c r="N142" s="2"/>
      <c r="AW142" s="23"/>
      <c r="BA142" s="3"/>
    </row>
    <row r="144" spans="1:53" s="2" customFormat="1" ht="18" customHeight="1">
      <c r="B144" s="22" t="s">
        <v>1269</v>
      </c>
      <c r="H144" s="6"/>
    </row>
    <row r="145" spans="1:30" s="2" customFormat="1" ht="9" customHeight="1">
      <c r="H145" s="6"/>
    </row>
    <row r="146" spans="1:30" s="317" customFormat="1" ht="9" customHeight="1">
      <c r="A146" s="315"/>
      <c r="B146" s="316" t="s">
        <v>1220</v>
      </c>
      <c r="C146" s="316"/>
      <c r="D146" s="316"/>
      <c r="E146" s="316"/>
      <c r="F146" s="316"/>
      <c r="G146" s="316" t="s">
        <v>1221</v>
      </c>
      <c r="H146" s="316"/>
      <c r="I146" s="316"/>
      <c r="J146" s="316"/>
      <c r="K146" s="316"/>
      <c r="L146" s="316"/>
      <c r="M146" s="316"/>
      <c r="N146" s="316"/>
      <c r="R146" s="895" t="s">
        <v>1222</v>
      </c>
      <c r="S146" s="895"/>
      <c r="T146" s="895"/>
      <c r="U146" s="895"/>
      <c r="V146" s="895"/>
      <c r="W146" s="895"/>
      <c r="X146" s="318"/>
      <c r="Y146" s="318"/>
      <c r="AA146" s="318"/>
      <c r="AB146" s="318"/>
      <c r="AC146" s="318"/>
      <c r="AD146" s="318"/>
    </row>
    <row r="147" spans="1:30" s="322" customFormat="1" ht="9" customHeight="1">
      <c r="A147" s="319"/>
      <c r="B147" s="320" t="s">
        <v>1224</v>
      </c>
      <c r="C147" s="321"/>
      <c r="D147" s="321"/>
      <c r="E147" s="321"/>
      <c r="F147" s="321"/>
      <c r="G147" s="320" t="s">
        <v>1223</v>
      </c>
      <c r="H147" s="321"/>
      <c r="I147" s="321"/>
      <c r="J147" s="321"/>
      <c r="K147" s="321"/>
      <c r="L147" s="321"/>
      <c r="M147" s="321"/>
      <c r="N147" s="321"/>
      <c r="R147" s="323" t="s">
        <v>1225</v>
      </c>
      <c r="S147" s="324"/>
      <c r="T147" s="325"/>
      <c r="U147" s="325"/>
      <c r="V147" s="325"/>
      <c r="W147" s="323" t="s">
        <v>1226</v>
      </c>
      <c r="X147" s="325"/>
      <c r="Y147" s="325"/>
      <c r="AA147" s="325"/>
      <c r="AB147" s="325"/>
      <c r="AC147" s="325"/>
      <c r="AD147" s="325"/>
    </row>
    <row r="148" spans="1:30" s="307" customFormat="1" ht="12" customHeight="1">
      <c r="A148" s="326" t="s">
        <v>3</v>
      </c>
      <c r="B148" s="327" t="s">
        <v>8</v>
      </c>
      <c r="C148" s="327" t="s">
        <v>9</v>
      </c>
      <c r="D148" s="327" t="s">
        <v>10</v>
      </c>
      <c r="E148" s="328" t="s">
        <v>1200</v>
      </c>
      <c r="F148" s="327"/>
      <c r="G148" s="307" t="s">
        <v>3</v>
      </c>
      <c r="H148" s="896" t="s">
        <v>0</v>
      </c>
      <c r="I148" s="896"/>
      <c r="J148" s="896" t="s">
        <v>1</v>
      </c>
      <c r="K148" s="896"/>
      <c r="L148" s="896" t="s">
        <v>2</v>
      </c>
      <c r="M148" s="896"/>
      <c r="N148" s="897" t="s">
        <v>1200</v>
      </c>
      <c r="O148" s="897"/>
      <c r="P148" s="329"/>
      <c r="Q148" s="329"/>
      <c r="R148" s="330" t="s">
        <v>3</v>
      </c>
      <c r="S148" s="331" t="s">
        <v>136</v>
      </c>
      <c r="T148" s="329" t="s">
        <v>134</v>
      </c>
      <c r="U148" s="327" t="s">
        <v>135</v>
      </c>
      <c r="V148" s="329"/>
      <c r="W148" s="332" t="s">
        <v>26</v>
      </c>
    </row>
    <row r="149" spans="1:30" s="243" customFormat="1">
      <c r="A149" s="243">
        <v>1959</v>
      </c>
      <c r="B149" s="230">
        <f>(K6*($E6/365)) + (K7*($E7/365))</f>
        <v>92.307692307692307</v>
      </c>
      <c r="C149" s="230">
        <f>(L6*($E6/365)) + (L7*($E7/365))</f>
        <v>7.6923076923076925</v>
      </c>
      <c r="D149" s="230">
        <f>(M6*($E6/365)) + (M7*($E7/365))</f>
        <v>0</v>
      </c>
      <c r="E149" s="231">
        <f>B149+C149+D149</f>
        <v>100</v>
      </c>
      <c r="G149" s="243">
        <v>1959</v>
      </c>
      <c r="H149" s="927">
        <f>(O6/$R6*100*($E6/365))+(O7/$R7*100*($E7/365))</f>
        <v>100</v>
      </c>
      <c r="I149" s="927"/>
      <c r="J149" s="927">
        <f>(P6/$R6*100*($E6/365))+(P7/$R7*100*($E7/365))</f>
        <v>0</v>
      </c>
      <c r="K149" s="927"/>
      <c r="L149" s="927">
        <f>(Q6/$R6*100*($E6/365))+(Q7/$R7*100*($E7/365))</f>
        <v>0</v>
      </c>
      <c r="M149" s="927"/>
      <c r="N149" s="926">
        <f>H149+J149+L149</f>
        <v>100</v>
      </c>
      <c r="O149" s="926"/>
      <c r="R149" s="243">
        <v>1959</v>
      </c>
      <c r="S149" s="230">
        <f>(O6*($E6/365)) + (O7*($E7/365))</f>
        <v>35</v>
      </c>
      <c r="T149" s="230">
        <f>(P6*($E6/365)) + (P7*($E7/365))</f>
        <v>0</v>
      </c>
      <c r="U149" s="230">
        <f>(Q6*($E6/365)) + (Q7*($E7/365))</f>
        <v>0</v>
      </c>
      <c r="V149" s="244"/>
      <c r="W149" s="244">
        <f>S149+T149+U149</f>
        <v>35</v>
      </c>
    </row>
    <row r="150" spans="1:30">
      <c r="A150" s="1">
        <v>1960</v>
      </c>
      <c r="B150" s="8">
        <f>(K8*($E8/366))+(K9*($E9/366))</f>
        <v>92.307692307692292</v>
      </c>
      <c r="C150" s="8">
        <f>(L8*($E8/366))+(L9*($E9/366))</f>
        <v>7.6923076923076925</v>
      </c>
      <c r="D150" s="8">
        <f>(M8*($E8/366))+(M9*($E9/366))</f>
        <v>0</v>
      </c>
      <c r="E150" s="50">
        <f>B150+C150+D150</f>
        <v>99.999999999999986</v>
      </c>
      <c r="G150" s="1">
        <v>1960</v>
      </c>
      <c r="H150" s="918">
        <f>(O8/$R8*100*($E8/366))+(O9/$R9*100*($E9/366))</f>
        <v>99.999999999999986</v>
      </c>
      <c r="I150" s="918"/>
      <c r="J150" s="918">
        <f>(P8/$R8*100*($E8/366))+(P9/$R9*100*($E9/366))</f>
        <v>0</v>
      </c>
      <c r="K150" s="918"/>
      <c r="L150" s="918">
        <f>(Q8/$R8*100*($E8/366))+(Q9/$R9*100*($E9/366))</f>
        <v>0</v>
      </c>
      <c r="M150" s="918"/>
      <c r="N150" s="919">
        <f t="shared" ref="N150:N181" si="20">H150+J150+L150</f>
        <v>99.999999999999986</v>
      </c>
      <c r="O150" s="919"/>
      <c r="R150" s="1">
        <v>1960</v>
      </c>
      <c r="S150" s="8">
        <f>(O8*($E8/366))+(O9*($E9/366))</f>
        <v>35.737704918032783</v>
      </c>
      <c r="T150" s="8">
        <f>(P8*($E8/366))+(P9*($E9/366))</f>
        <v>0</v>
      </c>
      <c r="U150" s="8">
        <f>(Q8*($E8/366))+(Q9*($E9/366))</f>
        <v>0</v>
      </c>
      <c r="V150" s="7"/>
      <c r="W150" s="7">
        <f>S150+T150+U150</f>
        <v>35.737704918032783</v>
      </c>
    </row>
    <row r="151" spans="1:30">
      <c r="A151" s="1">
        <v>1961</v>
      </c>
      <c r="B151" s="8">
        <f>(K10*($E10/365))+(K11*($E11/365))</f>
        <v>11.124692658939235</v>
      </c>
      <c r="C151" s="8">
        <f>(L10*($E10/365))+(L11*($E11/365))</f>
        <v>88.875307341060761</v>
      </c>
      <c r="D151" s="8">
        <f>(M10*($E10/365))+(M11*($E11/365))</f>
        <v>0</v>
      </c>
      <c r="E151" s="50">
        <f t="shared" ref="E151:E203" si="21">B151+C151+D151</f>
        <v>100</v>
      </c>
      <c r="G151" s="1">
        <v>1961</v>
      </c>
      <c r="H151" s="918">
        <f>(O10/$R10*100*($E10/365))+(O11/$R11*100*($E11/365))</f>
        <v>5.2054794520547949</v>
      </c>
      <c r="I151" s="918"/>
      <c r="J151" s="918">
        <f>(P10/$R10*100*($E10/365))+(P11/$R11*100*($E11/365))</f>
        <v>94.794520547945211</v>
      </c>
      <c r="K151" s="918"/>
      <c r="L151" s="918">
        <f>(Q10/$R10*100*($E10/365))+(Q11/$R11*100*($E11/365))</f>
        <v>0</v>
      </c>
      <c r="M151" s="918"/>
      <c r="N151" s="887">
        <f t="shared" si="20"/>
        <v>100</v>
      </c>
      <c r="O151" s="887"/>
      <c r="R151" s="1">
        <v>1961</v>
      </c>
      <c r="S151" s="8">
        <f>(O10*($E10/365))+(O11*($E11/365))</f>
        <v>2.0821917808219177</v>
      </c>
      <c r="T151" s="8">
        <f>(P10*($E10/365))+(P11*($E11/365))</f>
        <v>56.87671232876712</v>
      </c>
      <c r="U151" s="8">
        <f>(Q10*($E10/365))+(Q11*($E11/365))</f>
        <v>0</v>
      </c>
      <c r="V151" s="7"/>
      <c r="W151" s="7">
        <f t="shared" ref="W151:W203" si="22">S151+T151+U151</f>
        <v>58.958904109589035</v>
      </c>
    </row>
    <row r="152" spans="1:30">
      <c r="A152" s="1">
        <v>1962</v>
      </c>
      <c r="B152" s="8">
        <f>(K12*($E12/365))+(K13*($E13/365))</f>
        <v>6.666666666666667</v>
      </c>
      <c r="C152" s="8">
        <f>(L12*($E12/365))+(L13*($E13/365))</f>
        <v>93.333333333333329</v>
      </c>
      <c r="D152" s="8">
        <f>(M12*($E12/365))+(M13*($E13/365))</f>
        <v>0</v>
      </c>
      <c r="E152" s="50">
        <f t="shared" si="21"/>
        <v>100</v>
      </c>
      <c r="G152" s="1">
        <v>1962</v>
      </c>
      <c r="H152" s="918">
        <f>(O12/$R12*100*($E12/365))+(O13/$R13*100*($E13/365))</f>
        <v>0</v>
      </c>
      <c r="I152" s="918"/>
      <c r="J152" s="918">
        <f>(P12/$R12*100*($E12/365))+(P13/$R13*100*($E13/365))</f>
        <v>100</v>
      </c>
      <c r="K152" s="918"/>
      <c r="L152" s="918">
        <f>(Q12/$R12*100*($E12/365))+(Q13/$R13*100*($E13/365))</f>
        <v>0</v>
      </c>
      <c r="M152" s="918"/>
      <c r="N152" s="887">
        <f t="shared" si="20"/>
        <v>100</v>
      </c>
      <c r="O152" s="887"/>
      <c r="R152" s="1">
        <v>1962</v>
      </c>
      <c r="S152" s="8">
        <f>(O12*($E12/365))+(O13*($E13/365))</f>
        <v>0</v>
      </c>
      <c r="T152" s="8">
        <f>(P12*($E12/365))+(P13*($E13/365))</f>
        <v>59.923287671232877</v>
      </c>
      <c r="U152" s="8">
        <f>(Q12*($E12/365))+(Q13*($E13/365))</f>
        <v>0</v>
      </c>
      <c r="V152" s="7"/>
      <c r="W152" s="7">
        <f t="shared" si="22"/>
        <v>59.923287671232877</v>
      </c>
    </row>
    <row r="153" spans="1:30">
      <c r="A153" s="1">
        <v>1963</v>
      </c>
      <c r="B153" s="8">
        <f>(K14*($E14/365))+(K15*($E15/365))+(K16*($E16/365))</f>
        <v>6.7449445531637311</v>
      </c>
      <c r="C153" s="8">
        <f>(L14*($E14/365))+(L15*($E15/365))+(L16*($E16/365))</f>
        <v>93.255055446836252</v>
      </c>
      <c r="D153" s="8">
        <f>(M14*($E14/365))+(M15*($E15/365))+(M16*($E16/365))</f>
        <v>0</v>
      </c>
      <c r="E153" s="50">
        <f t="shared" si="21"/>
        <v>99.999999999999986</v>
      </c>
      <c r="G153" s="1">
        <v>1963</v>
      </c>
      <c r="H153" s="918">
        <f>(O14/$R14*100*($E14/365))+(O15/$R15*100*($E15/365))+(O16/$R16*100*($E16/365))</f>
        <v>0</v>
      </c>
      <c r="I153" s="918"/>
      <c r="J153" s="918">
        <f>(P14/$R14*100*($E14/365))+(P15/$R15*100*($E15/365))+(P16/$R16*100*($E16/365))</f>
        <v>100</v>
      </c>
      <c r="K153" s="918"/>
      <c r="L153" s="918">
        <f>(Q14/$R14*100*($E14/365))+(Q15/$R15*100*($E15/365))+(Q16/$R16*100*($E16/365))</f>
        <v>0</v>
      </c>
      <c r="M153" s="918"/>
      <c r="N153" s="887">
        <f t="shared" si="20"/>
        <v>100</v>
      </c>
      <c r="O153" s="887"/>
      <c r="R153" s="1">
        <v>1963</v>
      </c>
      <c r="S153" s="8">
        <f>(O14*($E14/365))+(O15*($E15/365))+(O16*($E16/365))</f>
        <v>0</v>
      </c>
      <c r="T153" s="8">
        <f>(P14*($E14/365))+(P15*($E15/365))+(P16*($E16/365))</f>
        <v>59.5</v>
      </c>
      <c r="U153" s="8">
        <f>(Q14*($E14/365))+(Q15*($E15/365))+(Q16*($E16/365))</f>
        <v>0</v>
      </c>
      <c r="V153" s="7"/>
      <c r="W153" s="7">
        <f t="shared" si="22"/>
        <v>59.5</v>
      </c>
    </row>
    <row r="154" spans="1:30">
      <c r="A154" s="1">
        <v>1964</v>
      </c>
      <c r="B154" s="8">
        <f>(K17*($E17/366))+(K18*($E18/366))</f>
        <v>7.1428571428571423</v>
      </c>
      <c r="C154" s="8">
        <f>(L17*($E17/366))+(L18*($E18/366))</f>
        <v>92.857142857142861</v>
      </c>
      <c r="D154" s="8">
        <f>(M17*($E17/366))+(M18*($E18/366))</f>
        <v>0</v>
      </c>
      <c r="E154" s="50">
        <f t="shared" si="21"/>
        <v>100</v>
      </c>
      <c r="G154" s="1">
        <v>1964</v>
      </c>
      <c r="H154" s="918">
        <f>(O17/$R17*100*($E17/366))+(O18/$R18*100*($E18/366))</f>
        <v>0</v>
      </c>
      <c r="I154" s="918"/>
      <c r="J154" s="918">
        <f>(P17/$R17*100*($E17/366))+(P18/$R18*100*($E18/366))</f>
        <v>100</v>
      </c>
      <c r="K154" s="918"/>
      <c r="L154" s="918">
        <f>(Q17/$R17*100*($E17/366))+(Q18/$R18*100*($E18/366))</f>
        <v>0</v>
      </c>
      <c r="M154" s="918"/>
      <c r="N154" s="887">
        <f t="shared" si="20"/>
        <v>100</v>
      </c>
      <c r="O154" s="887"/>
      <c r="R154" s="1">
        <v>1964</v>
      </c>
      <c r="S154" s="8">
        <f>(O17*($E17/366))+(O18*($E18/366))</f>
        <v>0</v>
      </c>
      <c r="T154" s="8">
        <f>(P17*($E17/366))+(P18*($E18/366))</f>
        <v>60.837978142076508</v>
      </c>
      <c r="U154" s="8">
        <f>(Q17*($E17/366))+(Q18*($E18/366))</f>
        <v>0</v>
      </c>
      <c r="V154" s="7"/>
      <c r="W154" s="7">
        <f t="shared" si="22"/>
        <v>60.837978142076508</v>
      </c>
    </row>
    <row r="155" spans="1:30">
      <c r="A155" s="1">
        <v>1965</v>
      </c>
      <c r="B155" s="8">
        <f>(K19*($E19/365))+(K20*($E20/365))+(K21*($E21/365))+(K22*($E22/365))</f>
        <v>14.198303979125898</v>
      </c>
      <c r="C155" s="8">
        <f>(L19*($E19/365))+(L20*($E20/365))+(L21*($E21/365))+(L22*($E22/365))</f>
        <v>85.801696020874104</v>
      </c>
      <c r="D155" s="8">
        <f>(M19*($E19/365))+(M20*($E20/365))+(M21*($E21/365))+(M22*($E22/365))</f>
        <v>0</v>
      </c>
      <c r="E155" s="50">
        <f t="shared" si="21"/>
        <v>100</v>
      </c>
      <c r="G155" s="1">
        <v>1965</v>
      </c>
      <c r="H155" s="918">
        <f>(O19/$R19*100*($E19/365))+(O20/$R20*100*($E20/365))+(O21/$R21*100*($E21/365))+(O22/$R22*100*($E22/365))</f>
        <v>0</v>
      </c>
      <c r="I155" s="918"/>
      <c r="J155" s="918">
        <f>(P19/$R19*100*($E19/365))+(P20/$R20*100*($E20/365))+(P21/$R21*100*($E21/365))+(P22/$R22*100*($E22/365))</f>
        <v>100</v>
      </c>
      <c r="K155" s="918"/>
      <c r="L155" s="918">
        <f>(Q19/$R19*100*($E19/365))+(Q20/$R20*100*($E20/365))+(Q21/$R21*100*($E21/365))+(Q22/$R22*100*($E22/365))</f>
        <v>0</v>
      </c>
      <c r="M155" s="918"/>
      <c r="N155" s="887">
        <f t="shared" si="20"/>
        <v>100</v>
      </c>
      <c r="O155" s="887"/>
      <c r="R155" s="1">
        <v>1965</v>
      </c>
      <c r="S155" s="8">
        <f>(O19*($E19/365))+(O20*($E20/365))+(O21*($E21/365))+(O22*($E22/365))</f>
        <v>0</v>
      </c>
      <c r="T155" s="8">
        <f>(P19*($E19/365))+(P20*($E20/365))+(P21*($E21/365))+(P22*($E22/365))</f>
        <v>67.8</v>
      </c>
      <c r="U155" s="8">
        <f>(Q19*($E19/365))+(Q20*($E20/365))+(Q21*($E21/365))+(Q22*($E22/365))</f>
        <v>0</v>
      </c>
      <c r="V155" s="7"/>
      <c r="W155" s="7">
        <f t="shared" si="22"/>
        <v>67.8</v>
      </c>
    </row>
    <row r="156" spans="1:30">
      <c r="A156" s="1">
        <v>1966</v>
      </c>
      <c r="B156" s="8">
        <f>(K23*($E23/365))+(K24*($E24/365))+(K25*($E25/365))</f>
        <v>18.80821917808219</v>
      </c>
      <c r="C156" s="8">
        <f>(L23*($E23/365))+(L24*($E24/365))+(L25*($E25/365))</f>
        <v>81.191780821917803</v>
      </c>
      <c r="D156" s="8">
        <f>(M23*($E23/365))+(M24*($E24/365))+(M25*($E25/365))</f>
        <v>0</v>
      </c>
      <c r="E156" s="50">
        <f t="shared" si="21"/>
        <v>100</v>
      </c>
      <c r="G156" s="1">
        <v>1966</v>
      </c>
      <c r="H156" s="918">
        <f>(O23/$R23*100*($E23/365))+(O24/$R24*100*($E24/365))+(O25/$R25*100*($E25/365))</f>
        <v>0</v>
      </c>
      <c r="I156" s="918"/>
      <c r="J156" s="918">
        <f>(P23/$R23*100*($E23/365))+(P24/$R24*100*($E24/365))+(P25/$R25*100*($E25/365))</f>
        <v>100</v>
      </c>
      <c r="K156" s="918"/>
      <c r="L156" s="918">
        <f>(Q23/$R23*100*($E23/365))+(Q24/$R24*100*($E24/365))+(Q25/$R25*100*($E25/365))</f>
        <v>0</v>
      </c>
      <c r="M156" s="918"/>
      <c r="N156" s="887">
        <f t="shared" si="20"/>
        <v>100</v>
      </c>
      <c r="O156" s="887"/>
      <c r="R156" s="1">
        <v>1966</v>
      </c>
      <c r="S156" s="8">
        <f>(O23*($E23/365))+(O24*($E24/365))+(O25*($E25/365))</f>
        <v>0</v>
      </c>
      <c r="T156" s="8">
        <f>(P23*($E23/365))+(P24*($E24/365))+(P25*($E25/365))</f>
        <v>66.231780821917809</v>
      </c>
      <c r="U156" s="8">
        <f>(Q23*($E23/365))+(Q24*($E24/365))+(Q25*($E25/365))</f>
        <v>0</v>
      </c>
      <c r="V156" s="7"/>
      <c r="W156" s="7">
        <f>S156+T156+U156</f>
        <v>66.231780821917809</v>
      </c>
    </row>
    <row r="157" spans="1:30">
      <c r="A157" s="1">
        <v>1967</v>
      </c>
      <c r="B157" s="8">
        <f>(K26*($E26/365))+(K27*($E27/365))</f>
        <v>18.75</v>
      </c>
      <c r="C157" s="8">
        <f>(L26*($E26/365))+(L27*($E27/365))</f>
        <v>81.25</v>
      </c>
      <c r="D157" s="8">
        <f>(M26*($E26/365))+(M27*($E27/365))</f>
        <v>0</v>
      </c>
      <c r="E157" s="50">
        <f t="shared" si="21"/>
        <v>100</v>
      </c>
      <c r="G157" s="1">
        <v>1967</v>
      </c>
      <c r="H157" s="918">
        <f>(O26/$R26*100*($E26/365))+(O27/$R27*100*($E27/365))</f>
        <v>0</v>
      </c>
      <c r="I157" s="918"/>
      <c r="J157" s="918">
        <f>(P26/$R26*100*($E26/365))+(P27/$R27*100*($E27/365))</f>
        <v>100</v>
      </c>
      <c r="K157" s="918"/>
      <c r="L157" s="918">
        <f>(Q26/$R26*100*($E26/365))+(Q27/$R27*100*($E27/365))</f>
        <v>0</v>
      </c>
      <c r="M157" s="918"/>
      <c r="N157" s="887">
        <f t="shared" si="20"/>
        <v>100</v>
      </c>
      <c r="O157" s="887"/>
      <c r="R157" s="1">
        <v>1967</v>
      </c>
      <c r="S157" s="8">
        <f>(O26*($E26/365))+(O27*($E27/365))</f>
        <v>0</v>
      </c>
      <c r="T157" s="8">
        <f>(P26*($E26/365))+(P27*($E27/365))</f>
        <v>57.2</v>
      </c>
      <c r="U157" s="8">
        <f>(Q26*($E26/365))+(Q27*($E27/365))</f>
        <v>0</v>
      </c>
      <c r="V157" s="7"/>
      <c r="W157" s="7">
        <f t="shared" si="22"/>
        <v>57.2</v>
      </c>
    </row>
    <row r="158" spans="1:30">
      <c r="A158" s="1">
        <v>1968</v>
      </c>
      <c r="B158" s="8">
        <f>(K28*($E28/366))+(K29*($E29/366))+(K30*($E30/366))+(K31*($E31/366))</f>
        <v>8.1113387978142075</v>
      </c>
      <c r="C158" s="8">
        <f>(L28*($E28/366))+(L29*($E29/366))+(L30*($E30/366))+(L31*($E31/366))</f>
        <v>91.888661202185787</v>
      </c>
      <c r="D158" s="8">
        <f>(M28*($E28/366))+(M29*($E29/366))+(M30*($E30/366))+(M31*($E31/366))</f>
        <v>0</v>
      </c>
      <c r="E158" s="50">
        <f t="shared" si="21"/>
        <v>100</v>
      </c>
      <c r="G158" s="1">
        <v>1968</v>
      </c>
      <c r="H158" s="918">
        <f>(O28/$R28*100*($E28/366))+(O29/$R29*100*($E29/366))+(O30/$R30*100*($E30/366))+(O31/$R31*100*($E31/366))</f>
        <v>0</v>
      </c>
      <c r="I158" s="918"/>
      <c r="J158" s="918">
        <f>(P28/$R28*100*($E28/366))+(P29/$R29*100*($E29/366))+(P30/$R30*100*($E30/366))+(P31/$R31*100*($E31/366))</f>
        <v>100</v>
      </c>
      <c r="K158" s="918"/>
      <c r="L158" s="918">
        <f>(Q28/$R28*100*($E28/366))+(Q29/$R29*100*($E29/366))+(Q30/$R30*100*($E30/366))+(Q31/$R31*100*($E31/366))</f>
        <v>0</v>
      </c>
      <c r="M158" s="918"/>
      <c r="N158" s="887">
        <f t="shared" si="20"/>
        <v>100</v>
      </c>
      <c r="O158" s="887"/>
      <c r="R158" s="1">
        <v>1968</v>
      </c>
      <c r="S158" s="8">
        <f>(O28*($E28/366))+(O29*($E29/366))+(O30*($E30/366))+(O31*($E31/366))</f>
        <v>0</v>
      </c>
      <c r="T158" s="8">
        <f>(P28*($E28/366))+(P29*($E29/366))+(P30*($E30/366))+(P31*($E31/366))</f>
        <v>56.997540983606548</v>
      </c>
      <c r="U158" s="8">
        <f>(Q28*($E28/366))+(Q29*($E29/366))+(Q30*($E30/366))+(Q31*($E31/366))</f>
        <v>0</v>
      </c>
      <c r="V158" s="7"/>
      <c r="W158" s="7">
        <f>S158+T158+U158</f>
        <v>56.997540983606548</v>
      </c>
    </row>
    <row r="159" spans="1:30">
      <c r="A159" s="1">
        <v>1969</v>
      </c>
      <c r="B159" s="8">
        <f>(K32*($E32/365))+(K33*($E33/365))</f>
        <v>94.794520547945211</v>
      </c>
      <c r="C159" s="8">
        <f>(L32*($E32/365))+(L33*($E33/365))</f>
        <v>5.2054794520547949</v>
      </c>
      <c r="D159" s="8">
        <f>(M32*($E32/365))+(M33*($E33/365))</f>
        <v>0</v>
      </c>
      <c r="E159" s="50">
        <f t="shared" si="21"/>
        <v>100</v>
      </c>
      <c r="G159" s="1">
        <v>1969</v>
      </c>
      <c r="H159" s="918">
        <f>(O32/$R32*100*($E32/365))+(O33/$R33*100*($E33/365))</f>
        <v>94.794520547945211</v>
      </c>
      <c r="I159" s="918"/>
      <c r="J159" s="918">
        <f>(P32/$R32*100*($E32/365))+(P33/$R33*100*($E33/365))</f>
        <v>5.2054794520547949</v>
      </c>
      <c r="K159" s="918"/>
      <c r="L159" s="918">
        <f>(Q32/$R32*100*($E32/365))+(Q33/$R33*100*($E33/365))</f>
        <v>0</v>
      </c>
      <c r="M159" s="918"/>
      <c r="N159" s="887">
        <f t="shared" si="20"/>
        <v>100</v>
      </c>
      <c r="O159" s="887"/>
      <c r="R159" s="1">
        <v>1969</v>
      </c>
      <c r="S159" s="8">
        <f>(O32*($E32/365))+(O33*($E33/365))</f>
        <v>41.804383561643839</v>
      </c>
      <c r="T159" s="8">
        <f>(P32*($E32/365))+(P33*($E33/365))</f>
        <v>2.9098630136986303</v>
      </c>
      <c r="U159" s="8">
        <f>(Q32*($E32/365))+(Q33*($E33/365))</f>
        <v>0</v>
      </c>
      <c r="V159" s="7"/>
      <c r="W159" s="7">
        <f t="shared" si="22"/>
        <v>44.714246575342472</v>
      </c>
    </row>
    <row r="160" spans="1:30">
      <c r="A160" s="1">
        <v>1970</v>
      </c>
      <c r="B160" s="8">
        <f>(K34*($E34/365))+(K35*($E35/365))</f>
        <v>100</v>
      </c>
      <c r="C160" s="8">
        <f>(L34*($E34/365))+(L35*($E35/365))</f>
        <v>0</v>
      </c>
      <c r="D160" s="8">
        <f>(M34*($E34/365))+(M35*($E35/365))</f>
        <v>0</v>
      </c>
      <c r="E160" s="50">
        <f t="shared" si="21"/>
        <v>100</v>
      </c>
      <c r="G160" s="1">
        <v>1970</v>
      </c>
      <c r="H160" s="918">
        <f>(O34/$R34*100*($E34/365))+(O35/$R35*100*($E35/365))</f>
        <v>100</v>
      </c>
      <c r="I160" s="918"/>
      <c r="J160" s="918">
        <f>(P34/$R34*100*($E34/365))+(P35/$R35*100*($E35/365))</f>
        <v>0</v>
      </c>
      <c r="K160" s="918"/>
      <c r="L160" s="918">
        <f>(Q34/$R34*100*($E34/365))+(Q35/$R35*100*($E35/365))</f>
        <v>0</v>
      </c>
      <c r="M160" s="918"/>
      <c r="N160" s="887">
        <f t="shared" si="20"/>
        <v>100</v>
      </c>
      <c r="O160" s="887"/>
      <c r="R160" s="1">
        <v>1970</v>
      </c>
      <c r="S160" s="8">
        <f>(O34*($E34/365))+(O35*($E35/365))</f>
        <v>43.663561643835621</v>
      </c>
      <c r="T160" s="8">
        <f>(P34*($E34/365))+(P35*($E35/365))</f>
        <v>0</v>
      </c>
      <c r="U160" s="8">
        <f>(Q34*($E34/365))+(Q35*($E35/365))</f>
        <v>0</v>
      </c>
      <c r="V160" s="7"/>
      <c r="W160" s="7">
        <f t="shared" si="22"/>
        <v>43.663561643835621</v>
      </c>
    </row>
    <row r="161" spans="1:23">
      <c r="A161" s="1">
        <v>1971</v>
      </c>
      <c r="B161" s="8">
        <f>(K36*($E36/365))+(K37*($E37/365))</f>
        <v>100</v>
      </c>
      <c r="C161" s="8">
        <f>(L36*($E36/365))+(L37*($E37/365))</f>
        <v>0</v>
      </c>
      <c r="D161" s="8">
        <f>(M36*($E36/365))+(M37*($E37/365))</f>
        <v>0</v>
      </c>
      <c r="E161" s="50">
        <f t="shared" si="21"/>
        <v>100</v>
      </c>
      <c r="G161" s="1">
        <v>1971</v>
      </c>
      <c r="H161" s="918">
        <f>(O36/$R36*100*($E36/365))+(O37/$R37*100*($E37/365))</f>
        <v>100</v>
      </c>
      <c r="I161" s="918"/>
      <c r="J161" s="918">
        <f>(P36/$R36*100*($E36/365))+(P37/$R37*100*($E37/365))</f>
        <v>0</v>
      </c>
      <c r="K161" s="918"/>
      <c r="L161" s="918">
        <f>(Q36/$R36*100*($E36/365))+(Q37/$R37*100*($E37/365))</f>
        <v>0</v>
      </c>
      <c r="M161" s="918"/>
      <c r="N161" s="887">
        <f t="shared" si="20"/>
        <v>100</v>
      </c>
      <c r="O161" s="887"/>
      <c r="R161" s="1">
        <v>1971</v>
      </c>
      <c r="S161" s="8">
        <f>(O36*($E36/365))+(O37*($E37/365))</f>
        <v>41.4</v>
      </c>
      <c r="T161" s="8">
        <f>(P36*($E36/365))+(P37*($E37/365))</f>
        <v>0</v>
      </c>
      <c r="U161" s="8">
        <f>(Q36*($E36/365))+(Q37*($E37/365))</f>
        <v>0</v>
      </c>
      <c r="V161" s="7"/>
      <c r="W161" s="7">
        <f t="shared" si="22"/>
        <v>41.4</v>
      </c>
    </row>
    <row r="162" spans="1:23">
      <c r="A162" s="1">
        <v>1972</v>
      </c>
      <c r="B162" s="8">
        <f>(K38*($E38/366))+(K39*($E39/366))</f>
        <v>100.00000000000001</v>
      </c>
      <c r="C162" s="8">
        <f>(L38*($E38/366))+(L39*($E39/366))</f>
        <v>0</v>
      </c>
      <c r="D162" s="8">
        <f>(M38*($E38/366))+(M39*($E39/366))</f>
        <v>0</v>
      </c>
      <c r="E162" s="50">
        <f t="shared" si="21"/>
        <v>100.00000000000001</v>
      </c>
      <c r="G162" s="1">
        <v>1972</v>
      </c>
      <c r="H162" s="918">
        <f>(O38/$R38*100*($E38/366))+(O39/$R39*100*($E39/366))</f>
        <v>100.00000000000001</v>
      </c>
      <c r="I162" s="918"/>
      <c r="J162" s="918">
        <f>(P38/$R38*100*($E38/366))+(P39/$R39*100*($E39/366))</f>
        <v>0</v>
      </c>
      <c r="K162" s="918"/>
      <c r="L162" s="918">
        <f>(Q38/$R38*100*($E38/366))+(Q39/$R39*100*($E39/366))</f>
        <v>0</v>
      </c>
      <c r="M162" s="918"/>
      <c r="N162" s="887">
        <f t="shared" si="20"/>
        <v>100.00000000000001</v>
      </c>
      <c r="O162" s="887"/>
      <c r="R162" s="1">
        <v>1972</v>
      </c>
      <c r="S162" s="8">
        <f>(O38*($E38/366))+(O39*($E39/366))</f>
        <v>41.80573770491803</v>
      </c>
      <c r="T162" s="8">
        <f>(P38*($E38/366))+(P39*($E39/366))</f>
        <v>0</v>
      </c>
      <c r="U162" s="8">
        <f>(Q38*($E38/366))+(Q39*($E39/366))</f>
        <v>0</v>
      </c>
      <c r="V162" s="7"/>
      <c r="W162" s="7">
        <f t="shared" si="22"/>
        <v>41.80573770491803</v>
      </c>
    </row>
    <row r="163" spans="1:23">
      <c r="A163" s="1">
        <v>1973</v>
      </c>
      <c r="B163" s="8">
        <f>(K40*($E40/365))+(K41*($E41/365))+(K42*($E42/365))</f>
        <v>93.483365949119388</v>
      </c>
      <c r="C163" s="8">
        <f>(L40*($E40/365))+(L41*($E41/365))+(L42*($E42/365))</f>
        <v>6.5166340508806258</v>
      </c>
      <c r="D163" s="8">
        <f>(M40*($E40/365))+(M41*($E41/365))+(M42*($E42/365))</f>
        <v>0</v>
      </c>
      <c r="E163" s="50">
        <f t="shared" si="21"/>
        <v>100.00000000000001</v>
      </c>
      <c r="G163" s="1">
        <v>1973</v>
      </c>
      <c r="H163" s="918">
        <f>(O40/$R40*100*($E40/365))+(O41/$R41*100*($E41/365))+(O42/$R42*100*($E42/365))</f>
        <v>100</v>
      </c>
      <c r="I163" s="918"/>
      <c r="J163" s="918">
        <f>(P40/$R40*100*($E40/365))+(P41/$R41*100*($E41/365))+(P42/$R42*100*($E42/365))</f>
        <v>0</v>
      </c>
      <c r="K163" s="918"/>
      <c r="L163" s="918">
        <f>(Q40/$R40*100*($E40/365))+(Q41/$R41*100*($E41/365))+(Q42/$R42*100*($E42/365))</f>
        <v>0</v>
      </c>
      <c r="M163" s="918"/>
      <c r="N163" s="887">
        <f t="shared" si="20"/>
        <v>100</v>
      </c>
      <c r="O163" s="887"/>
      <c r="R163" s="1">
        <v>1973</v>
      </c>
      <c r="S163" s="8">
        <f>(O40*($E40/365))+(O41*($E41/365))+(O42*($E42/365))</f>
        <v>44.100000000000009</v>
      </c>
      <c r="T163" s="8">
        <f>(P40*($E40/365))+(P41*($E41/365))+(P42*($E42/365))</f>
        <v>0</v>
      </c>
      <c r="U163" s="8">
        <f>(Q40*($E40/365))+(Q41*($E41/365))+(Q42*($E42/365))</f>
        <v>0</v>
      </c>
      <c r="V163" s="7"/>
      <c r="W163" s="7">
        <f t="shared" si="22"/>
        <v>44.100000000000009</v>
      </c>
    </row>
    <row r="164" spans="1:23">
      <c r="A164" s="1">
        <v>1974</v>
      </c>
      <c r="B164" s="8">
        <f>(K43*($E43/365))+(K44*($E44/365))+(K45*($E45/365))</f>
        <v>92.638867981333732</v>
      </c>
      <c r="C164" s="8">
        <f>(L43*($E43/365))+(L44*($E44/365))+(L45*($E45/365))</f>
        <v>7.3611320186662645</v>
      </c>
      <c r="D164" s="8">
        <f>(M43*($E43/365))+(M44*($E44/365))+(M45*($E45/365))</f>
        <v>0</v>
      </c>
      <c r="E164" s="50">
        <f t="shared" si="21"/>
        <v>100</v>
      </c>
      <c r="G164" s="1">
        <v>1974</v>
      </c>
      <c r="H164" s="918">
        <f>(O43/$R43*100*($E43/365))+(O44/$R44*100*($E44/365))+(O45/$R45*100*($E45/365))</f>
        <v>100</v>
      </c>
      <c r="I164" s="918"/>
      <c r="J164" s="918">
        <f>(P43/$R43*100*($E43/365))+(P44/$R44*100*($E44/365))+(P45/$R45*100*($E45/365))</f>
        <v>0</v>
      </c>
      <c r="K164" s="918"/>
      <c r="L164" s="918">
        <f>(Q43/$R43*100*($E43/365))+(Q45/$R45*100*($E45/365))</f>
        <v>0</v>
      </c>
      <c r="M164" s="918"/>
      <c r="N164" s="887">
        <f t="shared" si="20"/>
        <v>100</v>
      </c>
      <c r="O164" s="887"/>
      <c r="R164" s="1">
        <v>1974</v>
      </c>
      <c r="S164" s="8">
        <f>(O43*($E43/365))+(O44*($E44/365))+(O45*($E45/365))</f>
        <v>42.38219178082192</v>
      </c>
      <c r="T164" s="8">
        <f>(P43*($E43/365))+(P44*($E44/365))+(P45*($E45/365))</f>
        <v>0</v>
      </c>
      <c r="U164" s="8">
        <f>(Q43*($E43/365))+(Q44*($E44/365))+(Q45*($E45/365))</f>
        <v>0</v>
      </c>
      <c r="V164" s="7"/>
      <c r="W164" s="7">
        <f>S164+T164+U164</f>
        <v>42.38219178082192</v>
      </c>
    </row>
    <row r="165" spans="1:23">
      <c r="A165" s="1">
        <v>1975</v>
      </c>
      <c r="B165" s="8">
        <f>(K46*($E46/365))+(K47*($E47/365))+(K48*($E48/365))</f>
        <v>82.318229715489991</v>
      </c>
      <c r="C165" s="8">
        <f>(L46*($E46/365))+(L47*($E47/365))+(L48*($E48/365))</f>
        <v>17.681770284510012</v>
      </c>
      <c r="D165" s="8">
        <f>(M46*($E46/365))+(M47*($E47/365))+(M48*($E48/365))</f>
        <v>0</v>
      </c>
      <c r="E165" s="50">
        <f t="shared" si="21"/>
        <v>100</v>
      </c>
      <c r="G165" s="1">
        <v>1975</v>
      </c>
      <c r="H165" s="918">
        <f>(O46/$R46*100*($E46/365))+(O47/$R47*100*($E47/365))+(O48/$R48*100*($E48/365))</f>
        <v>100</v>
      </c>
      <c r="I165" s="918"/>
      <c r="J165" s="918">
        <f>(P46/$R46*100*($E46/365))+(P47/$R47*100*($E47/365))+(P48/$R48*100*($E48/365))</f>
        <v>0</v>
      </c>
      <c r="K165" s="918"/>
      <c r="L165" s="918">
        <f>(Q46/$R46*100*($E46/365))+(Q47/$R47*100*($E47/365))+(Q48/$R48*100*($E48/365))</f>
        <v>0</v>
      </c>
      <c r="M165" s="918"/>
      <c r="N165" s="887">
        <f t="shared" si="20"/>
        <v>100</v>
      </c>
      <c r="O165" s="887"/>
      <c r="R165" s="1">
        <v>1975</v>
      </c>
      <c r="S165" s="8">
        <f>(O46*($E46/365))+(O47*($E47/365))+(O48*($E48/365))</f>
        <v>33.1</v>
      </c>
      <c r="T165" s="8">
        <f>(P46*($E46/365))+(P47*($E47/365))+(P48*($E48/365))</f>
        <v>0</v>
      </c>
      <c r="U165" s="8">
        <f>(Q46*($E46/365))+(Q47*($E47/365))+(Q48*($E48/365))</f>
        <v>0</v>
      </c>
      <c r="V165" s="7"/>
      <c r="W165" s="7">
        <f t="shared" si="22"/>
        <v>33.1</v>
      </c>
    </row>
    <row r="166" spans="1:23">
      <c r="A166" s="1">
        <v>1976</v>
      </c>
      <c r="B166" s="8">
        <f>(K49*($E49/366))+(K50*($E50/366))</f>
        <v>76.923076923076934</v>
      </c>
      <c r="C166" s="8">
        <f>(L49*($E49/366))+(L50*($E50/366))</f>
        <v>23.076923076923077</v>
      </c>
      <c r="D166" s="8">
        <f>(M49*($E49/366))+(M50*($E50/366))</f>
        <v>0</v>
      </c>
      <c r="E166" s="50">
        <f t="shared" si="21"/>
        <v>100.00000000000001</v>
      </c>
      <c r="G166" s="1">
        <v>1976</v>
      </c>
      <c r="H166" s="918">
        <f>(O49/$R49*100*($E49/366))+(O50/$R50*100*($E50/366))</f>
        <v>100</v>
      </c>
      <c r="I166" s="918"/>
      <c r="J166" s="918">
        <f>(P49/$R49*100*($E49/366))+(P50/$R50*100*($E50/366))</f>
        <v>0</v>
      </c>
      <c r="K166" s="918"/>
      <c r="L166" s="918">
        <f>(Q49/$R49*100*($E49/366))+(Q50/$R50*100*($E50/366))</f>
        <v>0</v>
      </c>
      <c r="M166" s="918"/>
      <c r="N166" s="887">
        <f t="shared" si="20"/>
        <v>100</v>
      </c>
      <c r="O166" s="887"/>
      <c r="R166" s="1">
        <v>1976</v>
      </c>
      <c r="S166" s="8">
        <f>(O49*($E49/366))+(O50*($E50/366))</f>
        <v>33.067213114754104</v>
      </c>
      <c r="T166" s="8">
        <f>(P49*($E49/366))+(P50*($E50/366))</f>
        <v>0</v>
      </c>
      <c r="U166" s="8">
        <f>(Q49*($E49/366))+(Q50*($E50/366))</f>
        <v>0</v>
      </c>
      <c r="V166" s="7"/>
      <c r="W166" s="7">
        <f t="shared" si="22"/>
        <v>33.067213114754104</v>
      </c>
    </row>
    <row r="167" spans="1:23">
      <c r="A167" s="1">
        <v>1977</v>
      </c>
      <c r="B167" s="8">
        <f>(K51*($E51/365))+(K52*($E52/365))</f>
        <v>10.775252145115159</v>
      </c>
      <c r="C167" s="8">
        <f>(L51*($E51/365))+(L52*($E52/365))</f>
        <v>89.224747854884839</v>
      </c>
      <c r="D167" s="8">
        <f>(M51*($E51/365))+(M52*($E52/365))</f>
        <v>0</v>
      </c>
      <c r="E167" s="50">
        <f t="shared" si="21"/>
        <v>100</v>
      </c>
      <c r="G167" s="1">
        <v>1977</v>
      </c>
      <c r="H167" s="918">
        <f>(O51/$R51*100*($E51/365))+(O52/$R52*100*($E52/365))</f>
        <v>5.2054794520547949</v>
      </c>
      <c r="I167" s="918"/>
      <c r="J167" s="918">
        <f>(P51/$R51*100*($E51/365))+(P52/$R52*100*($E52/365))</f>
        <v>94.794520547945211</v>
      </c>
      <c r="K167" s="918"/>
      <c r="L167" s="918">
        <f>(Q51/$R51*100*($E51/365))+(Q52/$R52*100*($E52/365))</f>
        <v>0</v>
      </c>
      <c r="M167" s="918"/>
      <c r="N167" s="887">
        <f t="shared" si="20"/>
        <v>100</v>
      </c>
      <c r="O167" s="887"/>
      <c r="R167" s="1">
        <v>1977</v>
      </c>
      <c r="S167" s="8">
        <f>(O51*($E51/365))+(O52*($E52/365))</f>
        <v>1.7126027397260273</v>
      </c>
      <c r="T167" s="8">
        <f>(P51*($E51/365))+(P52*($E52/365))</f>
        <v>63.607123287671229</v>
      </c>
      <c r="U167" s="8">
        <f>(Q51*($E51/365))+(Q52*($E52/365))</f>
        <v>0</v>
      </c>
      <c r="V167" s="7"/>
      <c r="W167" s="7">
        <f t="shared" si="22"/>
        <v>65.319726027397252</v>
      </c>
    </row>
    <row r="168" spans="1:23">
      <c r="A168" s="1">
        <v>1978</v>
      </c>
      <c r="B168" s="8">
        <f>(K53*($E53/365))+(K54*($E54/365))</f>
        <v>7.1428571428571432</v>
      </c>
      <c r="C168" s="8">
        <f>(L53*($E53/365))+(L54*($E54/365))</f>
        <v>92.857142857142861</v>
      </c>
      <c r="D168" s="8">
        <f>(M53*($E53/365))+(M54*($E54/365))</f>
        <v>0</v>
      </c>
      <c r="E168" s="50">
        <f t="shared" si="21"/>
        <v>100</v>
      </c>
      <c r="G168" s="1">
        <v>1978</v>
      </c>
      <c r="H168" s="918">
        <f>(O53/$R53*100*($E53/365))+(O54/$R54*100*($E54/365))</f>
        <v>0</v>
      </c>
      <c r="I168" s="918"/>
      <c r="J168" s="918">
        <f>(P53/$R53*100*($E53/365))+(P54/$R54*100*($E54/365))</f>
        <v>100.00000000000001</v>
      </c>
      <c r="K168" s="918"/>
      <c r="L168" s="918">
        <f>(Q53/$R53*100*($E53/365))+(Q54/$R54*100*($E54/365))</f>
        <v>0</v>
      </c>
      <c r="M168" s="918"/>
      <c r="N168" s="887">
        <f t="shared" si="20"/>
        <v>100.00000000000001</v>
      </c>
      <c r="O168" s="887"/>
      <c r="R168" s="1">
        <v>1978</v>
      </c>
      <c r="S168" s="8">
        <f>(O53*($E53/365))+(O54*($E54/365))</f>
        <v>0</v>
      </c>
      <c r="T168" s="8">
        <f>(P53*($E53/365))+(P54*($E54/365))</f>
        <v>66.596986301369867</v>
      </c>
      <c r="U168" s="8">
        <f>(Q53*($E53/365))+(Q54*($E54/365))</f>
        <v>0</v>
      </c>
      <c r="V168" s="7"/>
      <c r="W168" s="7">
        <f t="shared" si="22"/>
        <v>66.596986301369867</v>
      </c>
    </row>
    <row r="169" spans="1:23">
      <c r="A169" s="1">
        <v>1979</v>
      </c>
      <c r="B169" s="8">
        <f>(K55*($E55/365))+(K56*($E56/365))+(K57*($E57/365))</f>
        <v>4.5988258317025439</v>
      </c>
      <c r="C169" s="8">
        <f>(L55*($E55/365))+(L56*($E56/365))+(L57*($E57/365))</f>
        <v>95.401174168297473</v>
      </c>
      <c r="D169" s="8">
        <f>(M55*($E55/365))+(M56*($E56/365))+(M57*($E57/365))</f>
        <v>0</v>
      </c>
      <c r="E169" s="50">
        <f t="shared" si="21"/>
        <v>100.00000000000001</v>
      </c>
      <c r="G169" s="1">
        <v>1979</v>
      </c>
      <c r="H169" s="918">
        <f>(O55/$R55*100*($E55/365))+(O56/$R56*100*($E56/365))+(O57/$R57*100*($E57/365))</f>
        <v>0</v>
      </c>
      <c r="I169" s="918"/>
      <c r="J169" s="918">
        <f>(P55/$R55*100*($E55/365))+(P56/$R56*100*($E56/365))+(P57/$R57*100*($E57/365))</f>
        <v>100</v>
      </c>
      <c r="K169" s="918"/>
      <c r="L169" s="918">
        <f>(Q55/$R55*100*($E55/365))+(Q56/$R56*100*($E56/365))+(Q57/$R57*100*($E57/365))</f>
        <v>0</v>
      </c>
      <c r="M169" s="918"/>
      <c r="N169" s="887">
        <f t="shared" si="20"/>
        <v>100</v>
      </c>
      <c r="O169" s="887"/>
      <c r="R169" s="1">
        <v>1979</v>
      </c>
      <c r="S169" s="8">
        <f>(O55*($E55/365))+(O56*($E56/365))+(O57*($E57/365))</f>
        <v>0</v>
      </c>
      <c r="T169" s="8">
        <f>(P55*($E55/365))+(P56*($E56/365))+(P57*($E57/365))</f>
        <v>63.70000000000001</v>
      </c>
      <c r="U169" s="8">
        <f>(Q55*($E55/365))+(Q56*($E56/365))+(Q57*($E57/365))</f>
        <v>0</v>
      </c>
      <c r="V169" s="7"/>
      <c r="W169" s="7">
        <f t="shared" si="22"/>
        <v>63.70000000000001</v>
      </c>
    </row>
    <row r="170" spans="1:23">
      <c r="A170" s="1">
        <v>1980</v>
      </c>
      <c r="B170" s="8">
        <f>(K58*($E58/366))+(K59*($E59/366))</f>
        <v>0</v>
      </c>
      <c r="C170" s="8">
        <f>(L58*($E58/366))+(L59*($E59/366))</f>
        <v>100.00000000000001</v>
      </c>
      <c r="D170" s="8">
        <f>(M58*($E58/366))+(M59*($E59/366))</f>
        <v>0</v>
      </c>
      <c r="E170" s="50">
        <f t="shared" si="21"/>
        <v>100.00000000000001</v>
      </c>
      <c r="G170" s="1">
        <v>1980</v>
      </c>
      <c r="H170" s="918">
        <f>(O58/$R58*100*($E58/366))+(O59/$R59*100*($E59/366))</f>
        <v>0</v>
      </c>
      <c r="I170" s="918"/>
      <c r="J170" s="918">
        <f>(P58/$R58*100*($E58/366))+(P59/$R59*100*($E59/366))</f>
        <v>100.00000000000001</v>
      </c>
      <c r="K170" s="918"/>
      <c r="L170" s="918">
        <f>(Q58/$R58*100*($E58/366))+(Q59/$R59*100*($E59/366))</f>
        <v>0</v>
      </c>
      <c r="M170" s="918"/>
      <c r="N170" s="887">
        <f t="shared" si="20"/>
        <v>100.00000000000001</v>
      </c>
      <c r="O170" s="887"/>
      <c r="R170" s="1">
        <v>1980</v>
      </c>
      <c r="S170" s="8">
        <f>(O58*($E58/366))+(O59*($E59/366))</f>
        <v>0</v>
      </c>
      <c r="T170" s="8">
        <f>(P58*($E58/366))+(P59*($E59/366))</f>
        <v>62.463934426229514</v>
      </c>
      <c r="U170" s="8">
        <f>(Q58*($E58/366))+(Q59*($E59/366))</f>
        <v>0</v>
      </c>
      <c r="V170" s="7"/>
      <c r="W170" s="7">
        <f t="shared" si="22"/>
        <v>62.463934426229514</v>
      </c>
    </row>
    <row r="171" spans="1:23">
      <c r="A171" s="1">
        <v>1981</v>
      </c>
      <c r="B171" s="8">
        <f>(K60*($E60/365))+(K61*($E61/365))</f>
        <v>94.794520547945211</v>
      </c>
      <c r="C171" s="8">
        <f>(L60*($E60/365))+(L61*($E61/365))</f>
        <v>5.2054794520547949</v>
      </c>
      <c r="D171" s="8">
        <f>(M60*($E60/365))+(M61*($E61/365))</f>
        <v>0</v>
      </c>
      <c r="E171" s="50">
        <f t="shared" si="21"/>
        <v>100</v>
      </c>
      <c r="G171" s="1">
        <v>1981</v>
      </c>
      <c r="H171" s="918">
        <f>(O60/$R60*100*($E60/365))+(O61/$R61*100*($E61/365))</f>
        <v>94.794520547945211</v>
      </c>
      <c r="I171" s="918"/>
      <c r="J171" s="918">
        <f>(P60/$R60*100*($E60/365))+(P61/$R61*100*($E61/365))</f>
        <v>5.2054794520547949</v>
      </c>
      <c r="K171" s="918"/>
      <c r="L171" s="918">
        <f>(Q60/$R60*100*($E60/365))+(Q61/$R61*100*($E61/365))</f>
        <v>0</v>
      </c>
      <c r="M171" s="918"/>
      <c r="N171" s="887">
        <f t="shared" si="20"/>
        <v>100</v>
      </c>
      <c r="O171" s="887"/>
      <c r="R171" s="1">
        <v>1981</v>
      </c>
      <c r="S171" s="8">
        <f>(O60*($E60/365))+(O61*($E61/365))</f>
        <v>41.804383561643839</v>
      </c>
      <c r="T171" s="8">
        <f>(P60*($E60/365))+(P61*($E61/365))</f>
        <v>2.9098630136986303</v>
      </c>
      <c r="U171" s="8">
        <f>(Q60*($E60/365))+(Q61*($E61/365))</f>
        <v>0</v>
      </c>
      <c r="V171" s="7"/>
      <c r="W171" s="7">
        <f t="shared" si="22"/>
        <v>44.714246575342472</v>
      </c>
    </row>
    <row r="172" spans="1:23">
      <c r="A172" s="1">
        <v>1982</v>
      </c>
      <c r="B172" s="8">
        <f>(K62*($E62/365))+(K63*($E63/365))</f>
        <v>100</v>
      </c>
      <c r="C172" s="8">
        <f>(L62*($E62/365))+(L63*($E63/365))</f>
        <v>0</v>
      </c>
      <c r="D172" s="8">
        <f>(M62*($E62/365))+(M63*($E63/365))</f>
        <v>0</v>
      </c>
      <c r="E172" s="50">
        <f t="shared" si="21"/>
        <v>100</v>
      </c>
      <c r="G172" s="1">
        <v>1982</v>
      </c>
      <c r="H172" s="918">
        <f>(O62/$R62*100*($E62/365))+(O63/$R63*100*($E63/365))</f>
        <v>100</v>
      </c>
      <c r="I172" s="918"/>
      <c r="J172" s="918">
        <f>(P62/$R62*100*($E62/365))+(P63/$R63*100*($E63/365))</f>
        <v>0</v>
      </c>
      <c r="K172" s="918"/>
      <c r="L172" s="918">
        <f>(Q62/$R62*100*($E62/365))+(Q63/$R63*100*($E63/365))</f>
        <v>0</v>
      </c>
      <c r="M172" s="918"/>
      <c r="N172" s="887">
        <f t="shared" si="20"/>
        <v>100</v>
      </c>
      <c r="O172" s="887"/>
      <c r="R172" s="1">
        <v>1982</v>
      </c>
      <c r="S172" s="8">
        <f>(O62*($E62/365))+(O63*($E63/365))</f>
        <v>43.130136986301366</v>
      </c>
      <c r="T172" s="8">
        <f>(P62*($E62/365))+(P63*($E63/365))</f>
        <v>0</v>
      </c>
      <c r="U172" s="8">
        <f>(Q62*($E62/365))+(Q63*($E63/365))</f>
        <v>0</v>
      </c>
      <c r="V172" s="7"/>
      <c r="W172" s="7">
        <f t="shared" si="22"/>
        <v>43.130136986301366</v>
      </c>
    </row>
    <row r="173" spans="1:23">
      <c r="A173" s="1">
        <v>1983</v>
      </c>
      <c r="B173" s="8">
        <f>(K64*($E64/365))+(K65*($E65/365))</f>
        <v>100</v>
      </c>
      <c r="C173" s="8">
        <f>(L64*($E64/365))+(L65*($E65/365))</f>
        <v>0</v>
      </c>
      <c r="D173" s="8">
        <f>(M64*($E64/365))+(M65*($E65/365))</f>
        <v>0</v>
      </c>
      <c r="E173" s="50">
        <f t="shared" si="21"/>
        <v>100</v>
      </c>
      <c r="G173" s="1">
        <v>1983</v>
      </c>
      <c r="H173" s="918">
        <f>(O64/$R64*100*($E64/365))+(O65/$R65*100*($E65/365))</f>
        <v>100</v>
      </c>
      <c r="I173" s="918"/>
      <c r="J173" s="918">
        <f>(P64/$R64*100*($E64/365))+(P65/$R65*100*($E65/365))</f>
        <v>0</v>
      </c>
      <c r="K173" s="918"/>
      <c r="L173" s="918">
        <f>(Q64/$R64*100*($E64/365))+(Q65/$R65*100*($E65/365))</f>
        <v>0</v>
      </c>
      <c r="M173" s="918"/>
      <c r="N173" s="887">
        <f t="shared" si="20"/>
        <v>100</v>
      </c>
      <c r="O173" s="887"/>
      <c r="R173" s="1">
        <v>1983</v>
      </c>
      <c r="S173" s="8">
        <f>(O64*($E64/365))+(O65*($E65/365))</f>
        <v>38.200000000000003</v>
      </c>
      <c r="T173" s="8">
        <f>(P64*($E64/365))+(P65*($E65/365))</f>
        <v>0</v>
      </c>
      <c r="U173" s="8">
        <f>(Q64*($E64/365))+(Q65*($E65/365))</f>
        <v>0</v>
      </c>
      <c r="V173" s="7"/>
      <c r="W173" s="7">
        <f t="shared" si="22"/>
        <v>38.200000000000003</v>
      </c>
    </row>
    <row r="174" spans="1:23">
      <c r="A174" s="1">
        <v>1984</v>
      </c>
      <c r="B174" s="8">
        <f>(K66*($E66/366))+(K67*($E67/366))</f>
        <v>100</v>
      </c>
      <c r="C174" s="8">
        <f>(L66*($E66/366))+(L67*($E67/366))</f>
        <v>0</v>
      </c>
      <c r="D174" s="8">
        <f>(M66*($E66/366))+(M67*($E67/366))</f>
        <v>0</v>
      </c>
      <c r="E174" s="50">
        <f t="shared" si="21"/>
        <v>100</v>
      </c>
      <c r="G174" s="1">
        <v>1984</v>
      </c>
      <c r="H174" s="918">
        <f>(O66/$R66*100*($E66/366))+(O67/$R67*100*($E67/366))</f>
        <v>100</v>
      </c>
      <c r="I174" s="918"/>
      <c r="J174" s="918">
        <f>(P66/$R66*100*($E66/366))+(P67/$R67*100*($E67/366))</f>
        <v>0</v>
      </c>
      <c r="K174" s="918"/>
      <c r="L174" s="918">
        <f>(Q66/$R66*100*($E66/366))+(Q67/$R67*100*($E67/366))</f>
        <v>0</v>
      </c>
      <c r="M174" s="918"/>
      <c r="N174" s="887">
        <f t="shared" si="20"/>
        <v>100</v>
      </c>
      <c r="O174" s="887"/>
      <c r="R174" s="1">
        <v>1984</v>
      </c>
      <c r="S174" s="8">
        <f>(O66*($E66/366))+(O67*($E67/366))</f>
        <v>38.750819672131158</v>
      </c>
      <c r="T174" s="8">
        <f>(P66*($E66/366))+(P67*($E67/366))</f>
        <v>0</v>
      </c>
      <c r="U174" s="8">
        <f>(Q66*($E66/366))+(Q67*($E67/366))</f>
        <v>0</v>
      </c>
      <c r="V174" s="7"/>
      <c r="W174" s="7">
        <f t="shared" si="22"/>
        <v>38.750819672131158</v>
      </c>
    </row>
    <row r="175" spans="1:23">
      <c r="A175" s="1">
        <v>1985</v>
      </c>
      <c r="B175" s="8">
        <f>(K68*($E68/365))+(K69*($E69/365))</f>
        <v>100</v>
      </c>
      <c r="C175" s="8">
        <f>(L68*($E68/365))+(L69*($E69/365))</f>
        <v>0</v>
      </c>
      <c r="D175" s="8">
        <f>(M68*($E68/365))+(M69*($E69/365))</f>
        <v>0</v>
      </c>
      <c r="E175" s="50">
        <f t="shared" si="21"/>
        <v>100</v>
      </c>
      <c r="G175" s="1">
        <v>1985</v>
      </c>
      <c r="H175" s="918">
        <f>(O68/$R68*100*($E68/365))+(O69/$R69*100*($E69/365))</f>
        <v>100</v>
      </c>
      <c r="I175" s="918"/>
      <c r="J175" s="918">
        <f>(P68/$R68*100*($E68/365))+(P69/$R69*100*($E69/365))</f>
        <v>0</v>
      </c>
      <c r="K175" s="918"/>
      <c r="L175" s="918">
        <f>(Q68/$R68*100*($E68/365))+(Q69/$R69*100*($E69/365))</f>
        <v>0</v>
      </c>
      <c r="M175" s="918"/>
      <c r="N175" s="887">
        <f t="shared" si="20"/>
        <v>100</v>
      </c>
      <c r="O175" s="887"/>
      <c r="R175" s="1">
        <v>1985</v>
      </c>
      <c r="S175" s="8">
        <f>(O68*($E68/365))+(O69*($E69/365))</f>
        <v>41.8</v>
      </c>
      <c r="T175" s="8">
        <f>(P68*($E68/365))+(P69*($E69/365))</f>
        <v>0</v>
      </c>
      <c r="U175" s="8">
        <f>(Q68*($E68/365))+(Q69*($E69/365))</f>
        <v>0</v>
      </c>
      <c r="V175" s="7"/>
      <c r="W175" s="7">
        <f t="shared" si="22"/>
        <v>41.8</v>
      </c>
    </row>
    <row r="176" spans="1:23">
      <c r="A176" s="1">
        <v>1986</v>
      </c>
      <c r="B176" s="8">
        <f>(K70*($E70/365))+(K71*($E71/365))</f>
        <v>100</v>
      </c>
      <c r="C176" s="8">
        <f>(L70*($E70/365))+(L71*($E71/365))</f>
        <v>0</v>
      </c>
      <c r="D176" s="8">
        <f>(M70*($E70/365))+(M71*($E71/365))</f>
        <v>0</v>
      </c>
      <c r="E176" s="50">
        <f t="shared" si="21"/>
        <v>100</v>
      </c>
      <c r="G176" s="1">
        <v>1986</v>
      </c>
      <c r="H176" s="918">
        <f>(O70/$R70*100*($E70/365))+(O71/$R71*100*($E71/365))</f>
        <v>100</v>
      </c>
      <c r="I176" s="918"/>
      <c r="J176" s="918">
        <f>(P70/$R70*100*($E70/365))+(P71/$R71*100*($E71/365))</f>
        <v>0</v>
      </c>
      <c r="K176" s="918"/>
      <c r="L176" s="918">
        <f>(Q70/$R70*100*($E70/365))+(Q71/$R71*100*($E71/365))</f>
        <v>0</v>
      </c>
      <c r="M176" s="918"/>
      <c r="N176" s="887">
        <f t="shared" si="20"/>
        <v>100</v>
      </c>
      <c r="O176" s="887"/>
      <c r="R176" s="1">
        <v>1986</v>
      </c>
      <c r="S176" s="8">
        <f>(O70*($E70/365))+(O71*($E71/365))</f>
        <v>41.616164383561646</v>
      </c>
      <c r="T176" s="8">
        <f>(P70*($E70/365))+(P71*($E71/365))</f>
        <v>0</v>
      </c>
      <c r="U176" s="8">
        <f>(Q70*($E70/365))+(Q71*($E71/365))</f>
        <v>0</v>
      </c>
      <c r="V176" s="7"/>
      <c r="W176" s="7">
        <f t="shared" si="22"/>
        <v>41.616164383561646</v>
      </c>
    </row>
    <row r="177" spans="1:23">
      <c r="A177" s="1">
        <v>1987</v>
      </c>
      <c r="B177" s="8">
        <f>(K72*($E72/365))+(K73*($E73/365))</f>
        <v>100</v>
      </c>
      <c r="C177" s="8">
        <f>(L72*($E72/365))+(L73*($E73/365))</f>
        <v>0</v>
      </c>
      <c r="D177" s="8">
        <f>(M72*($E72/365))+(M73*($E73/365))</f>
        <v>0</v>
      </c>
      <c r="E177" s="50">
        <f t="shared" si="21"/>
        <v>100</v>
      </c>
      <c r="G177" s="1">
        <v>1987</v>
      </c>
      <c r="H177" s="918">
        <f>(O72/$R72*100*($E72/365))+(O73/$R73*100*($E73/365))</f>
        <v>100</v>
      </c>
      <c r="I177" s="918"/>
      <c r="J177" s="918">
        <f>(P72/$R72*100*($E72/365))+(P73/$R73*100*($E73/365))</f>
        <v>0</v>
      </c>
      <c r="K177" s="918"/>
      <c r="L177" s="918">
        <f>(Q72/$R72*100*($E72/365))+(Q73/$R73*100*($E73/365))</f>
        <v>0</v>
      </c>
      <c r="M177" s="918"/>
      <c r="N177" s="887">
        <f t="shared" si="20"/>
        <v>100</v>
      </c>
      <c r="O177" s="887"/>
      <c r="R177" s="1">
        <v>1987</v>
      </c>
      <c r="S177" s="8">
        <f>(O72*($E72/365))+(O73*($E73/365))</f>
        <v>40.700000000000003</v>
      </c>
      <c r="T177" s="8">
        <f>(P72*($E72/365))+(P73*($E73/365))</f>
        <v>0</v>
      </c>
      <c r="U177" s="8">
        <f>(Q72*($E72/365))+(Q73*($E73/365))</f>
        <v>0</v>
      </c>
      <c r="V177" s="7"/>
      <c r="W177" s="7">
        <f t="shared" si="22"/>
        <v>40.700000000000003</v>
      </c>
    </row>
    <row r="178" spans="1:23">
      <c r="A178" s="1">
        <v>1988</v>
      </c>
      <c r="B178" s="8">
        <f>(K74*($E74/366))+(K75*($E75/366))</f>
        <v>99.999999999999986</v>
      </c>
      <c r="C178" s="8">
        <f>(L74*($E74/366))+(L75*($E75/366))</f>
        <v>0</v>
      </c>
      <c r="D178" s="8">
        <f>(M74*($E74/366))+(M75*($E75/366))</f>
        <v>0</v>
      </c>
      <c r="E178" s="50">
        <f t="shared" si="21"/>
        <v>99.999999999999986</v>
      </c>
      <c r="G178" s="1">
        <v>1988</v>
      </c>
      <c r="H178" s="918">
        <f>(O74/$R74*100*($E74/366))+(O75/$R75*100*($E75/366))</f>
        <v>99.999999999999986</v>
      </c>
      <c r="I178" s="918"/>
      <c r="J178" s="918">
        <f>(P74/$R74*100*($E74/366))+(P75/$R75*100*($E75/366))</f>
        <v>0</v>
      </c>
      <c r="K178" s="918"/>
      <c r="L178" s="918">
        <f>(Q74/$R74*100*($E74/366))+(Q75/$R75*100*($E75/366))</f>
        <v>0</v>
      </c>
      <c r="M178" s="918"/>
      <c r="N178" s="887">
        <f t="shared" si="20"/>
        <v>99.999999999999986</v>
      </c>
      <c r="O178" s="887"/>
      <c r="R178" s="1">
        <v>1988</v>
      </c>
      <c r="S178" s="8">
        <f>(O74*($E74/366))+(O75*($E75/366))</f>
        <v>40.626229508196722</v>
      </c>
      <c r="T178" s="8">
        <f>(P74*($E74/366))+(P75*($E75/366))</f>
        <v>0</v>
      </c>
      <c r="U178" s="8">
        <f>(Q74*($E74/366))+(Q75*($E75/366))</f>
        <v>0</v>
      </c>
      <c r="V178" s="7"/>
      <c r="W178" s="7">
        <f t="shared" si="22"/>
        <v>40.626229508196722</v>
      </c>
    </row>
    <row r="179" spans="1:23">
      <c r="A179" s="1">
        <v>1989</v>
      </c>
      <c r="B179" s="8">
        <f>(K76*($E76/365))+(K77*($E77/365))</f>
        <v>100</v>
      </c>
      <c r="C179" s="8">
        <f>(L76*($E76/365))+(L77*($E77/365))</f>
        <v>0</v>
      </c>
      <c r="D179" s="8">
        <f>(M76*($E76/365))+(M77*($E77/365))</f>
        <v>0</v>
      </c>
      <c r="E179" s="50">
        <f t="shared" si="21"/>
        <v>100</v>
      </c>
      <c r="G179" s="1">
        <v>1989</v>
      </c>
      <c r="H179" s="918">
        <f>(O76/$R76*100*($E76/365))+(O77/$R77*100*($E77/365))</f>
        <v>100</v>
      </c>
      <c r="I179" s="918"/>
      <c r="J179" s="918">
        <f>(P76/$R76*100*($E76/365))+(P77/$R77*100*($E77/365))</f>
        <v>0</v>
      </c>
      <c r="K179" s="918"/>
      <c r="L179" s="918">
        <f>(Q76/$R76*100*($E76/365))+(Q77/$R77*100*($E77/365))</f>
        <v>0</v>
      </c>
      <c r="M179" s="918"/>
      <c r="N179" s="887">
        <f t="shared" si="20"/>
        <v>100</v>
      </c>
      <c r="O179" s="887"/>
      <c r="R179" s="1">
        <v>1989</v>
      </c>
      <c r="S179" s="8">
        <f>(O76*($E76/365))+(O77*($E77/365))</f>
        <v>40.200000000000003</v>
      </c>
      <c r="T179" s="8">
        <f>(P76*($E76/365))+(P77*($E77/365))</f>
        <v>0</v>
      </c>
      <c r="U179" s="8">
        <f>(Q76*($E76/365))+(Q77*($E77/365))</f>
        <v>0</v>
      </c>
      <c r="V179" s="7"/>
      <c r="W179" s="7">
        <f t="shared" si="22"/>
        <v>40.200000000000003</v>
      </c>
    </row>
    <row r="180" spans="1:23">
      <c r="A180" s="1">
        <v>1990</v>
      </c>
      <c r="B180" s="8">
        <f>(K78*($E78/365))+(K79*($E79/365))</f>
        <v>100</v>
      </c>
      <c r="C180" s="8">
        <f>(L78*($E78/365))+(L79*($E79/365))</f>
        <v>0</v>
      </c>
      <c r="D180" s="8">
        <f>(M78*($E78/365))+(M79*($E79/365))</f>
        <v>0</v>
      </c>
      <c r="E180" s="50">
        <f t="shared" si="21"/>
        <v>100</v>
      </c>
      <c r="G180" s="1">
        <v>1990</v>
      </c>
      <c r="H180" s="918">
        <f>(O78/$R78*100*($E78/365))+(O79/$R79*100*($E79/365))</f>
        <v>100</v>
      </c>
      <c r="I180" s="918"/>
      <c r="J180" s="918">
        <f>(P78/$R78*100*($E78/365))+(P79/$R79*100*($E79/365))</f>
        <v>0</v>
      </c>
      <c r="K180" s="918"/>
      <c r="L180" s="918">
        <f>(Q78/$R78*100*($E78/365))+(Q79/$R79*100*($E79/365))</f>
        <v>0</v>
      </c>
      <c r="M180" s="918"/>
      <c r="N180" s="887">
        <f t="shared" si="20"/>
        <v>100</v>
      </c>
      <c r="O180" s="887"/>
      <c r="R180" s="1">
        <v>1990</v>
      </c>
      <c r="S180" s="8">
        <f>(O78*($E78/365))+(O79*($E79/365))</f>
        <v>39.904109589041099</v>
      </c>
      <c r="T180" s="8">
        <f>(P78*($E78/365))+(P79*($E79/365))</f>
        <v>0</v>
      </c>
      <c r="U180" s="8">
        <f>(Q78*($E78/365))+(Q79*($E79/365))</f>
        <v>0</v>
      </c>
      <c r="V180" s="7"/>
      <c r="W180" s="7">
        <f t="shared" si="22"/>
        <v>39.904109589041099</v>
      </c>
    </row>
    <row r="181" spans="1:23">
      <c r="A181" s="1">
        <v>1991</v>
      </c>
      <c r="B181" s="8">
        <f>(K80*($E80/365))+(K81*($E81/365))</f>
        <v>100</v>
      </c>
      <c r="C181" s="8">
        <f>(L80*($E80/365))+(L81*($E81/365))</f>
        <v>0</v>
      </c>
      <c r="D181" s="8">
        <f>(M80*($E80/365))+(M81*($E81/365))</f>
        <v>0</v>
      </c>
      <c r="E181" s="50">
        <f t="shared" si="21"/>
        <v>100</v>
      </c>
      <c r="G181" s="1">
        <v>1991</v>
      </c>
      <c r="H181" s="918">
        <f>(O80/$R80*100*($E80/365))+(O81/$R81*100*($E81/365))</f>
        <v>100</v>
      </c>
      <c r="I181" s="918"/>
      <c r="J181" s="918">
        <f>(P80/$R80*100*($E80/365))+(P81/$R81*100*($E81/365))</f>
        <v>0</v>
      </c>
      <c r="K181" s="918"/>
      <c r="L181" s="918">
        <f>(Q80/$R80*100*($E80/365))+(Q81/$R81*100*($E81/365))</f>
        <v>0</v>
      </c>
      <c r="M181" s="918"/>
      <c r="N181" s="887">
        <f t="shared" si="20"/>
        <v>100</v>
      </c>
      <c r="O181" s="887"/>
      <c r="R181" s="1">
        <v>1991</v>
      </c>
      <c r="S181" s="8">
        <f>(O80*($E80/365))+(O81*($E81/365))</f>
        <v>38.4</v>
      </c>
      <c r="T181" s="8">
        <f>(P80*($E80/365))+(P81*($E81/365))</f>
        <v>0</v>
      </c>
      <c r="U181" s="8">
        <f>(Q80*($E80/365))+(Q81*($E81/365))</f>
        <v>0</v>
      </c>
      <c r="V181" s="7"/>
      <c r="W181" s="7">
        <f t="shared" si="22"/>
        <v>38.4</v>
      </c>
    </row>
    <row r="182" spans="1:23">
      <c r="A182" s="1">
        <v>1992</v>
      </c>
      <c r="B182" s="8">
        <f>(K82*($E82/366))+(K83*($E83/366))</f>
        <v>100</v>
      </c>
      <c r="C182" s="8">
        <f>(L82*($E82/366))+(L83*($E83/366))</f>
        <v>0</v>
      </c>
      <c r="D182" s="8">
        <f>(M82*($E82/366))+(M83*($E83/366))</f>
        <v>0</v>
      </c>
      <c r="E182" s="50">
        <f t="shared" si="21"/>
        <v>100</v>
      </c>
      <c r="G182" s="1">
        <v>1992</v>
      </c>
      <c r="H182" s="918">
        <f>(O82/$R82*100*($E82/366))+(O83/$R83*100*($E83/366))</f>
        <v>100</v>
      </c>
      <c r="I182" s="918"/>
      <c r="J182" s="918">
        <f>(P82/$R82*100*($E82/366))+(P83/$R83*100*($E83/366))</f>
        <v>0</v>
      </c>
      <c r="K182" s="918"/>
      <c r="L182" s="918">
        <f>(Q82/$R82*100*($E82/366))+(Q83/$R83*100*($E83/366))</f>
        <v>0</v>
      </c>
      <c r="M182" s="918"/>
      <c r="N182" s="887">
        <f t="shared" ref="N182:N202" si="23">H182+J182+L182</f>
        <v>100</v>
      </c>
      <c r="O182" s="887"/>
      <c r="R182" s="1">
        <v>1992</v>
      </c>
      <c r="S182" s="8">
        <f>(O82*($E82/366))+(O83*($E83/366))</f>
        <v>38.738524590163934</v>
      </c>
      <c r="T182" s="8">
        <f>(P82*($E82/366))+(P83*($E83/366))</f>
        <v>0</v>
      </c>
      <c r="U182" s="8">
        <f>(Q82*($E82/366))+(Q83*($E83/366))</f>
        <v>0</v>
      </c>
      <c r="V182" s="7"/>
      <c r="W182" s="7">
        <f t="shared" si="22"/>
        <v>38.738524590163934</v>
      </c>
    </row>
    <row r="183" spans="1:23">
      <c r="A183" s="1">
        <v>1993</v>
      </c>
      <c r="B183" s="8">
        <f>(K84*($E84/365))+(K85*($E85/365))</f>
        <v>5.2054794520547949</v>
      </c>
      <c r="C183" s="8">
        <f>(L84*($E84/365))+(L85*($E85/365))</f>
        <v>94.794520547945211</v>
      </c>
      <c r="D183" s="8">
        <f>(M84*($E84/365))+(M85*($E85/365))</f>
        <v>0</v>
      </c>
      <c r="E183" s="50">
        <f t="shared" si="21"/>
        <v>100</v>
      </c>
      <c r="G183" s="1">
        <v>1993</v>
      </c>
      <c r="H183" s="918">
        <f>(O84/$R84*100*($E84/365))+(O85/$R85*100*($E85/365))</f>
        <v>5.2054794520547949</v>
      </c>
      <c r="I183" s="918"/>
      <c r="J183" s="918">
        <f>(P84/$R84*100*($E84/365))+(P85/$R85*100*($E85/365))</f>
        <v>94.794520547945211</v>
      </c>
      <c r="K183" s="918"/>
      <c r="L183" s="918">
        <f>(Q84/$R84*100*($E84/365))+(Q85/$R85*100*($E85/365))</f>
        <v>0</v>
      </c>
      <c r="M183" s="918"/>
      <c r="N183" s="887">
        <f t="shared" si="23"/>
        <v>100</v>
      </c>
      <c r="O183" s="887"/>
      <c r="R183" s="1">
        <v>1993</v>
      </c>
      <c r="S183" s="8">
        <f>(O84*($E84/365))+(O85*($E85/365))</f>
        <v>2.1082191780821917</v>
      </c>
      <c r="T183" s="8">
        <f>(P84*($E84/365))+(P85*($E85/365))</f>
        <v>56.213150684931506</v>
      </c>
      <c r="U183" s="8">
        <f>(Q84*($E84/365))+(Q85*($E85/365))</f>
        <v>0</v>
      </c>
      <c r="V183" s="7"/>
      <c r="W183" s="7">
        <f t="shared" si="22"/>
        <v>58.3213698630137</v>
      </c>
    </row>
    <row r="184" spans="1:23">
      <c r="A184" s="1">
        <v>1994</v>
      </c>
      <c r="B184" s="8">
        <f>(K86*($E86/365))+(K87*($E87/365))</f>
        <v>0</v>
      </c>
      <c r="C184" s="8">
        <f>(L86*($E86/365))+(L87*($E87/365))</f>
        <v>100.00000000000001</v>
      </c>
      <c r="D184" s="8">
        <f>(M86*($E86/365))+(M87*($E87/365))</f>
        <v>0</v>
      </c>
      <c r="E184" s="50">
        <f t="shared" si="21"/>
        <v>100.00000000000001</v>
      </c>
      <c r="G184" s="1">
        <v>1994</v>
      </c>
      <c r="H184" s="918">
        <f>(O86/$R86*100*($E86/365))+(O87/$R87*100*($E87/365))</f>
        <v>0</v>
      </c>
      <c r="I184" s="918"/>
      <c r="J184" s="918">
        <f>(P86/$R86*100*($E86/365))+(P87/$R87*100*($E87/365))</f>
        <v>100.00000000000001</v>
      </c>
      <c r="K184" s="918"/>
      <c r="L184" s="918">
        <f>(Q86/$R86*100*($E86/365))+(Q87/$R87*100*($E87/365))</f>
        <v>0</v>
      </c>
      <c r="M184" s="918"/>
      <c r="N184" s="887">
        <f t="shared" si="23"/>
        <v>100.00000000000001</v>
      </c>
      <c r="O184" s="887"/>
      <c r="R184" s="1">
        <v>1994</v>
      </c>
      <c r="S184" s="8">
        <f>(O86*($E86/365))+(O87*($E87/365))</f>
        <v>0</v>
      </c>
      <c r="T184" s="8">
        <f>(P86*($E86/365))+(P87*($E87/365))</f>
        <v>57.465479452054794</v>
      </c>
      <c r="U184" s="8">
        <f>(Q86*($E86/365))+(Q87*($E87/365))</f>
        <v>0</v>
      </c>
      <c r="V184" s="7"/>
      <c r="W184" s="7">
        <f t="shared" si="22"/>
        <v>57.465479452054794</v>
      </c>
    </row>
    <row r="185" spans="1:23">
      <c r="A185" s="1">
        <v>1995</v>
      </c>
      <c r="B185" s="8">
        <f>(K88*($E88/365))+(K89*($E89/365))</f>
        <v>0</v>
      </c>
      <c r="C185" s="8">
        <f>(L88*($E88/365))+(L89*($E89/365))</f>
        <v>100</v>
      </c>
      <c r="D185" s="8">
        <f>(M88*($E88/365))+(M89*($E89/365))</f>
        <v>0</v>
      </c>
      <c r="E185" s="50">
        <f t="shared" si="21"/>
        <v>100</v>
      </c>
      <c r="G185" s="1">
        <v>1995</v>
      </c>
      <c r="H185" s="918">
        <f>(O88/$R88*100*($E88/365))+(O89/$R89*100*($E89/365))</f>
        <v>0</v>
      </c>
      <c r="I185" s="918"/>
      <c r="J185" s="918">
        <f>(P88/$R88*100*($E88/365))+(P89/$R89*100*($E89/365))</f>
        <v>100</v>
      </c>
      <c r="K185" s="918"/>
      <c r="L185" s="918">
        <f>(Q88/$R88*100*($E88/365))+(Q89/$R89*100*($E89/365))</f>
        <v>0</v>
      </c>
      <c r="M185" s="918"/>
      <c r="N185" s="887">
        <f t="shared" si="23"/>
        <v>100</v>
      </c>
      <c r="O185" s="887"/>
      <c r="R185" s="1">
        <v>1995</v>
      </c>
      <c r="S185" s="8">
        <f>(O88*($E88/365))+(O89*($E89/365))</f>
        <v>0</v>
      </c>
      <c r="T185" s="8">
        <f>(P88*($E88/365))+(P89*($E89/365))</f>
        <v>46.9</v>
      </c>
      <c r="U185" s="8">
        <f>(Q88*($E88/365))+(Q89*($E89/365))</f>
        <v>0</v>
      </c>
      <c r="V185" s="7"/>
      <c r="W185" s="7">
        <f t="shared" si="22"/>
        <v>46.9</v>
      </c>
    </row>
    <row r="186" spans="1:23">
      <c r="A186" s="1">
        <v>1996</v>
      </c>
      <c r="B186" s="8">
        <f>(K90*($E90/366))+(K91*($E91/366))</f>
        <v>0</v>
      </c>
      <c r="C186" s="8">
        <f>(L90*($E90/366))+(L91*($E91/366))</f>
        <v>100</v>
      </c>
      <c r="D186" s="8">
        <f>(M90*($E90/366))+(M91*($E91/366))</f>
        <v>0</v>
      </c>
      <c r="E186" s="50">
        <f t="shared" si="21"/>
        <v>100</v>
      </c>
      <c r="G186" s="1">
        <v>1996</v>
      </c>
      <c r="H186" s="918">
        <f>(O90/$R90*100*($E90/366))+(O91/$R91*100*($E91/366))</f>
        <v>0</v>
      </c>
      <c r="I186" s="918"/>
      <c r="J186" s="918">
        <f>(P90/$R90*100*($E90/366))+(P91/$R91*100*($E91/366))</f>
        <v>100</v>
      </c>
      <c r="K186" s="918"/>
      <c r="L186" s="918">
        <f>(Q90/$R90*100*($E90/366))+(Q91/$R91*100*($E91/366))</f>
        <v>0</v>
      </c>
      <c r="M186" s="918"/>
      <c r="N186" s="887">
        <f t="shared" si="23"/>
        <v>100</v>
      </c>
      <c r="O186" s="887"/>
      <c r="R186" s="1">
        <v>1996</v>
      </c>
      <c r="S186" s="8">
        <f>(O90*($E90/366))+(O91*($E91/366))</f>
        <v>0</v>
      </c>
      <c r="T186" s="8">
        <f>(P90*($E90/366))+(P91*($E91/366))</f>
        <v>47.009016393442622</v>
      </c>
      <c r="U186" s="8">
        <f>(Q90*($E90/366))+(Q91*($E91/366))</f>
        <v>0</v>
      </c>
      <c r="V186" s="7"/>
      <c r="W186" s="7">
        <f t="shared" si="22"/>
        <v>47.009016393442622</v>
      </c>
    </row>
    <row r="187" spans="1:23">
      <c r="A187" s="1">
        <v>1997</v>
      </c>
      <c r="B187" s="8">
        <f>(K92*($E92/365))+(K93*($E93/365))</f>
        <v>5.2663622526636225</v>
      </c>
      <c r="C187" s="8">
        <f>(L92*($E92/365))+(L93*($E93/365))</f>
        <v>94.733637747336374</v>
      </c>
      <c r="D187" s="8">
        <f>(M92*($E92/365))+(M93*($E93/365))</f>
        <v>0</v>
      </c>
      <c r="E187" s="50">
        <f t="shared" si="21"/>
        <v>100</v>
      </c>
      <c r="G187" s="1">
        <v>1997</v>
      </c>
      <c r="H187" s="918">
        <f>(O92/$R92*100*($E92/365))+(O93/$R93*100*($E93/365))</f>
        <v>0</v>
      </c>
      <c r="I187" s="918"/>
      <c r="J187" s="918">
        <f>(P92/$R92*100*($E92/365))+(P93/$R93*100*($E93/365))</f>
        <v>100</v>
      </c>
      <c r="K187" s="918"/>
      <c r="L187" s="918">
        <f>(Q92/$R92*100*($E92/365))+(Q93/$R93*100*($E93/365))</f>
        <v>0</v>
      </c>
      <c r="M187" s="918"/>
      <c r="N187" s="887">
        <f t="shared" si="23"/>
        <v>100</v>
      </c>
      <c r="O187" s="887"/>
      <c r="R187" s="1">
        <v>1997</v>
      </c>
      <c r="S187" s="8">
        <f>(O92*($E92/365))+(O93*($E93/365))</f>
        <v>0</v>
      </c>
      <c r="T187" s="8">
        <f>(P92*($E92/365))+(P93*($E93/365))</f>
        <v>47.6</v>
      </c>
      <c r="U187" s="8">
        <f>(Q92*($E92/365))+(Q93*($E93/365))</f>
        <v>0</v>
      </c>
      <c r="V187" s="7"/>
      <c r="W187" s="7">
        <f>S187+T187+U187</f>
        <v>47.6</v>
      </c>
    </row>
    <row r="188" spans="1:23">
      <c r="A188" s="1">
        <v>1998</v>
      </c>
      <c r="B188" s="8">
        <f>(K94*($E94/365))+(K95*($E95/365))</f>
        <v>5.5555555555555554</v>
      </c>
      <c r="C188" s="8">
        <f>(L94*($E94/365))+(L95*($E95/365))</f>
        <v>94.444444444444443</v>
      </c>
      <c r="D188" s="8">
        <f>(M94*($E94/365))+(M95*($E95/365))</f>
        <v>0</v>
      </c>
      <c r="E188" s="50">
        <f t="shared" si="21"/>
        <v>100</v>
      </c>
      <c r="G188" s="1">
        <v>1998</v>
      </c>
      <c r="H188" s="918">
        <f>(O94/$R94*100*($E94/365))+(O95/$R95*100*($E95/365))</f>
        <v>0</v>
      </c>
      <c r="I188" s="918"/>
      <c r="J188" s="918">
        <f>(P94/$R94*100*($E94/365))+(P95/$R95*100*($E95/365))</f>
        <v>100</v>
      </c>
      <c r="K188" s="918"/>
      <c r="L188" s="918">
        <f>(Q94/$R94*100*($E94/365))+(Q95/$R95*100*($E95/365))</f>
        <v>0</v>
      </c>
      <c r="M188" s="918"/>
      <c r="N188" s="887">
        <f t="shared" si="23"/>
        <v>100</v>
      </c>
      <c r="O188" s="887"/>
      <c r="R188" s="1">
        <v>1998</v>
      </c>
      <c r="S188" s="8">
        <f>(O94*($E94/365))+(O95*($E95/365))</f>
        <v>0</v>
      </c>
      <c r="T188" s="8">
        <f>(P94*($E94/365))+(P95*($E95/365))</f>
        <v>47.745479452054795</v>
      </c>
      <c r="U188" s="8">
        <f>(Q94*($E94/365))+(Q95*($E95/365))</f>
        <v>0</v>
      </c>
      <c r="V188" s="7"/>
      <c r="W188" s="7">
        <f t="shared" si="22"/>
        <v>47.745479452054795</v>
      </c>
    </row>
    <row r="189" spans="1:23">
      <c r="A189" s="1">
        <v>1999</v>
      </c>
      <c r="B189" s="8">
        <f>(K96*($E96/365))+(K97*($E97/365))</f>
        <v>5.5555555555555554</v>
      </c>
      <c r="C189" s="8">
        <f>(L96*($E96/365))+(L97*($E97/365))</f>
        <v>94.444444444444443</v>
      </c>
      <c r="D189" s="8">
        <f>(M96*($E96/365))+(M97*($E97/365))</f>
        <v>0</v>
      </c>
      <c r="E189" s="50">
        <f t="shared" si="21"/>
        <v>100</v>
      </c>
      <c r="G189" s="1">
        <v>1999</v>
      </c>
      <c r="H189" s="918">
        <f>(O96/$R96*100*($E96/365))+(O97/$R97*100*($E97/365))</f>
        <v>0</v>
      </c>
      <c r="I189" s="918"/>
      <c r="J189" s="918">
        <f>(P96/$R96*100*($E96/365))+(P97/$R97*100*($E97/365))</f>
        <v>100</v>
      </c>
      <c r="K189" s="918"/>
      <c r="L189" s="918">
        <f>(Q96/$R96*100*($E96/365))+(Q97/$R97*100*($E97/365))</f>
        <v>0</v>
      </c>
      <c r="M189" s="918"/>
      <c r="N189" s="887">
        <f t="shared" si="23"/>
        <v>100</v>
      </c>
      <c r="O189" s="887"/>
      <c r="R189" s="1">
        <v>1999</v>
      </c>
      <c r="S189" s="8">
        <f>(O96*($E96/365))+(O97*($E97/365))</f>
        <v>0</v>
      </c>
      <c r="T189" s="8">
        <f>(P96*($E96/365))+(P97*($E97/365))</f>
        <v>48.5</v>
      </c>
      <c r="U189" s="8">
        <f>(Q96*($E96/365))+(Q97*($E97/365))</f>
        <v>0</v>
      </c>
      <c r="V189" s="7"/>
      <c r="W189" s="7">
        <f t="shared" si="22"/>
        <v>48.5</v>
      </c>
    </row>
    <row r="190" spans="1:23">
      <c r="A190" s="1">
        <v>2000</v>
      </c>
      <c r="B190" s="8">
        <f>(K98*($E98/366))+(K99*($E99/366))</f>
        <v>5.5555555555555554</v>
      </c>
      <c r="C190" s="8">
        <f>(L98*($E98/366))+(L99*($E99/366))</f>
        <v>94.444444444444443</v>
      </c>
      <c r="D190" s="8">
        <f>(M98*($E98/366))+(M99*($E99/366))</f>
        <v>0</v>
      </c>
      <c r="E190" s="50">
        <f t="shared" si="21"/>
        <v>100</v>
      </c>
      <c r="G190" s="1">
        <v>2000</v>
      </c>
      <c r="H190" s="918">
        <f>(O98/$R98*100*($E98/366))+(O99/$R99*100*($E99/366))</f>
        <v>0</v>
      </c>
      <c r="I190" s="918"/>
      <c r="J190" s="918">
        <f>(P98/$R98*100*($E98/366))+(P99/$R99*100*($E99/366))</f>
        <v>100.00000000000001</v>
      </c>
      <c r="K190" s="918"/>
      <c r="L190" s="918">
        <f>(Q98/$R98*100*($E98/366))+(Q99/$R99*100*($E99/366))</f>
        <v>0</v>
      </c>
      <c r="M190" s="918"/>
      <c r="N190" s="887">
        <f t="shared" si="23"/>
        <v>100.00000000000001</v>
      </c>
      <c r="O190" s="887"/>
      <c r="R190" s="1">
        <v>2000</v>
      </c>
      <c r="S190" s="8">
        <f>(O98*($E98/366))+(O99*($E99/366))</f>
        <v>0</v>
      </c>
      <c r="T190" s="8">
        <f>(P98*($E98/366))+(P99*($E99/366))</f>
        <v>48.53005464480875</v>
      </c>
      <c r="U190" s="8">
        <f>(Q98*($E98/366))+(Q99*($E99/366))</f>
        <v>0</v>
      </c>
      <c r="V190" s="7"/>
      <c r="W190" s="7">
        <f t="shared" si="22"/>
        <v>48.53005464480875</v>
      </c>
    </row>
    <row r="191" spans="1:23">
      <c r="A191" s="1">
        <v>2001</v>
      </c>
      <c r="B191" s="8">
        <f>(K100*($E100/365))+(K101*($E101/365))</f>
        <v>89.817351598173516</v>
      </c>
      <c r="C191" s="8">
        <f>(L100*($E100/365))+(L101*($E101/365))</f>
        <v>10.182648401826484</v>
      </c>
      <c r="D191" s="8">
        <f>(M100*($E100/365))+(M101*($E101/365))</f>
        <v>0</v>
      </c>
      <c r="E191" s="50">
        <f t="shared" si="21"/>
        <v>100</v>
      </c>
      <c r="G191" s="1">
        <v>2001</v>
      </c>
      <c r="H191" s="918">
        <f>(O100/$R100*100*($E100/365))+(O101/$R101*100*($E101/365))</f>
        <v>94.794520547945211</v>
      </c>
      <c r="I191" s="918"/>
      <c r="J191" s="918">
        <f>(P100/$R100*100*($E100/365))+(P101/$R101*100*($E101/365))</f>
        <v>5.2054794520547949</v>
      </c>
      <c r="K191" s="918"/>
      <c r="L191" s="918">
        <f>(Q100/$R100*100*($E100/365))+(Q101/$R101*100*($E101/365))</f>
        <v>0</v>
      </c>
      <c r="M191" s="918"/>
      <c r="N191" s="887">
        <f t="shared" si="23"/>
        <v>100</v>
      </c>
      <c r="O191" s="887"/>
      <c r="R191" s="1">
        <v>2001</v>
      </c>
      <c r="S191" s="8">
        <f>(O100*($E100/365))+(O101*($E101/365))</f>
        <v>48.155616438356162</v>
      </c>
      <c r="T191" s="8">
        <f>(P100*($E100/365))+(P101*($E101/365))</f>
        <v>2.5350684931506851</v>
      </c>
      <c r="U191" s="8">
        <f>(Q100*($E100/365))+(Q101*($E101/365))</f>
        <v>0</v>
      </c>
      <c r="V191" s="7"/>
      <c r="W191" s="7">
        <f t="shared" si="22"/>
        <v>50.690684931506844</v>
      </c>
    </row>
    <row r="192" spans="1:23">
      <c r="A192" s="1">
        <v>2002</v>
      </c>
      <c r="B192" s="8">
        <f>(K102*($E102/365))+(K103*($E103/365))</f>
        <v>94.444444444444443</v>
      </c>
      <c r="C192" s="8">
        <f>(L102*($E102/365))+(L103*($E103/365))</f>
        <v>5.5555555555555545</v>
      </c>
      <c r="D192" s="8">
        <f>(M102*($E102/365))+(M103*($E103/365))</f>
        <v>0</v>
      </c>
      <c r="E192" s="50">
        <f t="shared" si="21"/>
        <v>100</v>
      </c>
      <c r="G192" s="1">
        <v>2002</v>
      </c>
      <c r="H192" s="918">
        <f>(O102/$R102*100*($E102/365))+(O103/$R103*100*($E103/365))</f>
        <v>100</v>
      </c>
      <c r="I192" s="918"/>
      <c r="J192" s="918">
        <f>(P102/$R102*100*($E102/365))+(P103/$R103*100*($E103/365))</f>
        <v>0</v>
      </c>
      <c r="K192" s="918"/>
      <c r="L192" s="918">
        <f>(Q102/$R102*100*($E102/365))+(Q103/$R103*100*($E103/365))</f>
        <v>0</v>
      </c>
      <c r="M192" s="918"/>
      <c r="N192" s="887">
        <f t="shared" si="23"/>
        <v>100</v>
      </c>
      <c r="O192" s="887"/>
      <c r="R192" s="1">
        <v>2002</v>
      </c>
      <c r="S192" s="8">
        <f>(O102*($E102/365))+(O103*($E103/365))</f>
        <v>51.081095890410957</v>
      </c>
      <c r="T192" s="8">
        <f>(P102*($E102/365))+(P103*($E103/365))</f>
        <v>0</v>
      </c>
      <c r="U192" s="8">
        <f>(Q102*($E102/365))+(Q103*($E103/365))</f>
        <v>0</v>
      </c>
      <c r="V192" s="7"/>
      <c r="W192" s="7">
        <f t="shared" si="22"/>
        <v>51.081095890410957</v>
      </c>
    </row>
    <row r="193" spans="1:23">
      <c r="A193" s="1">
        <v>2003</v>
      </c>
      <c r="B193" s="8">
        <f>(K104*($E104/365))+(K105*($E105/365))</f>
        <v>94.720019226147556</v>
      </c>
      <c r="C193" s="8">
        <f>(L104*($E104/365))+(L105*($E105/365))</f>
        <v>5.2799807738524391</v>
      </c>
      <c r="D193" s="8">
        <f>(M104*($E104/365))+(M105*($E105/365))</f>
        <v>0</v>
      </c>
      <c r="E193" s="50">
        <f t="shared" si="21"/>
        <v>100</v>
      </c>
      <c r="G193" s="1">
        <v>2003</v>
      </c>
      <c r="H193" s="918">
        <f>(O104/$R104*100*($E104/365))+(O105/$R105*100*($E105/365))</f>
        <v>100</v>
      </c>
      <c r="I193" s="918"/>
      <c r="J193" s="918">
        <f>(P104/$R104*100*($E104/365))+(P105/$R105*100*($E105/365))</f>
        <v>0</v>
      </c>
      <c r="K193" s="918"/>
      <c r="L193" s="918">
        <f>(Q104/$R104*100*($E104/365))+(Q105/$R105*100*($E105/365))</f>
        <v>0</v>
      </c>
      <c r="M193" s="918"/>
      <c r="N193" s="887">
        <f t="shared" si="23"/>
        <v>100</v>
      </c>
      <c r="O193" s="887"/>
      <c r="R193" s="1">
        <v>2003</v>
      </c>
      <c r="S193" s="8">
        <f>(O104*($E104/365))+(O105*($E105/365))</f>
        <v>52.6</v>
      </c>
      <c r="T193" s="8">
        <f>(P104*($E104/365))+(P105*($E105/365))</f>
        <v>0</v>
      </c>
      <c r="U193" s="8">
        <f>(Q104*($E104/365))+(Q105*($E105/365))</f>
        <v>0</v>
      </c>
      <c r="V193" s="7"/>
      <c r="W193" s="7">
        <f t="shared" si="22"/>
        <v>52.6</v>
      </c>
    </row>
    <row r="194" spans="1:23">
      <c r="A194" s="1">
        <v>2004</v>
      </c>
      <c r="B194" s="8">
        <f>(K106*($E106/366))+(K107*($E107/366))</f>
        <v>94.73684210526315</v>
      </c>
      <c r="C194" s="8">
        <f>(L106*($E106/366))+(L107*($E107/366))</f>
        <v>5.2631578947368425</v>
      </c>
      <c r="D194" s="8">
        <f>(M106*($E106/366))+(M107*($E107/366))</f>
        <v>0</v>
      </c>
      <c r="E194" s="50">
        <f t="shared" si="21"/>
        <v>100</v>
      </c>
      <c r="G194" s="1">
        <v>2004</v>
      </c>
      <c r="H194" s="918">
        <f>(O106/$R106*100*($E106/366))+(O107/$R107*100*($E107/366))</f>
        <v>100</v>
      </c>
      <c r="I194" s="918"/>
      <c r="J194" s="918">
        <f>(P106/$R106*100*($E106/366))+(P107/$R107*100*($E107/366))</f>
        <v>0</v>
      </c>
      <c r="K194" s="918"/>
      <c r="L194" s="918">
        <f>(Q106/$R106*100*($E106/366))+(Q107/$R107*100*($E107/366))</f>
        <v>0</v>
      </c>
      <c r="M194" s="918"/>
      <c r="N194" s="887">
        <f t="shared" si="23"/>
        <v>100</v>
      </c>
      <c r="O194" s="887"/>
      <c r="R194" s="1">
        <v>2004</v>
      </c>
      <c r="S194" s="8">
        <f>(O106*($E106/366))+(O107*($E107/366))</f>
        <v>52.68196721311476</v>
      </c>
      <c r="T194" s="8">
        <f>(P106*($E106/366))+(P107*($E107/366))</f>
        <v>0</v>
      </c>
      <c r="U194" s="8">
        <f>(Q106*($E106/366))+(Q107*($E107/366))</f>
        <v>0</v>
      </c>
      <c r="V194" s="7"/>
      <c r="W194" s="7">
        <f t="shared" si="22"/>
        <v>52.68196721311476</v>
      </c>
    </row>
    <row r="195" spans="1:23">
      <c r="A195" s="1">
        <v>2005</v>
      </c>
      <c r="B195" s="8">
        <f>(K108*($E108/365))+(K109*($E109/365))</f>
        <v>95.417185554171851</v>
      </c>
      <c r="C195" s="8">
        <f>(L108*($E108/365))+(L109*($E109/365))</f>
        <v>4.582814445828145</v>
      </c>
      <c r="D195" s="8">
        <f>(M108*($E108/365))+(M109*($E109/365))</f>
        <v>0</v>
      </c>
      <c r="E195" s="50">
        <f t="shared" si="21"/>
        <v>100</v>
      </c>
      <c r="G195" s="1">
        <v>2005</v>
      </c>
      <c r="H195" s="918">
        <f>(O108/$R108*100*($E108/365))+(O109/$R109*100*($E109/365))</f>
        <v>100</v>
      </c>
      <c r="I195" s="918"/>
      <c r="J195" s="918">
        <f>(P108/$R108*100*($E108/365))+(P109/$R109*100*($E109/365))</f>
        <v>0</v>
      </c>
      <c r="K195" s="918"/>
      <c r="L195" s="918">
        <f>(Q108/$R108*100*($E108/365))+(Q109/$R109*100*($E109/365))</f>
        <v>0</v>
      </c>
      <c r="M195" s="918"/>
      <c r="N195" s="887">
        <f t="shared" si="23"/>
        <v>100</v>
      </c>
      <c r="O195" s="887"/>
      <c r="R195" s="1">
        <v>2005</v>
      </c>
      <c r="S195" s="8">
        <f>(O108*($E108/365))+(O109*($E109/365))</f>
        <v>53.1</v>
      </c>
      <c r="T195" s="8">
        <f>(P108*($E108/365))+(P109*($E109/365))</f>
        <v>0</v>
      </c>
      <c r="U195" s="8">
        <f>(Q108*($E108/365))+(Q109*($E109/365))</f>
        <v>0</v>
      </c>
      <c r="V195" s="7"/>
      <c r="W195" s="7">
        <f t="shared" si="22"/>
        <v>53.1</v>
      </c>
    </row>
    <row r="196" spans="1:23">
      <c r="A196" s="1">
        <v>2006</v>
      </c>
      <c r="B196" s="8">
        <f>(K110*($E110/365))+(K111*($E111/365))+(K112*($E112/365))</f>
        <v>96.612702366127024</v>
      </c>
      <c r="C196" s="8">
        <f>(L110*($E110/365))+(L111*($E111/365))+(L112*($E112/365))</f>
        <v>3.387297633872977</v>
      </c>
      <c r="D196" s="8">
        <f>(M110*($E110/365))+(M111*($E111/365))+(M112*($E112/365))</f>
        <v>0</v>
      </c>
      <c r="E196" s="50">
        <f t="shared" si="21"/>
        <v>100</v>
      </c>
      <c r="G196" s="1">
        <v>2006</v>
      </c>
      <c r="H196" s="918">
        <f>(O110/$R110*100*($E110/365))+(O111/$R111*100*($E111/365))+(O112/$R112*100*($E112/365))</f>
        <v>100</v>
      </c>
      <c r="I196" s="918"/>
      <c r="J196" s="918">
        <f>(P110/$R110*100*($E110/365))+(P111/$R111*100*($E111/365))+(P112/$R112*100*($E112/365))</f>
        <v>0</v>
      </c>
      <c r="K196" s="918"/>
      <c r="L196" s="918">
        <f>(Q110/$R110*100*($E110/365))+(Q111/$R111*100*($E111/365))+(Q112/$R112*100*($E112/365))</f>
        <v>0</v>
      </c>
      <c r="M196" s="918"/>
      <c r="N196" s="887">
        <f t="shared" si="23"/>
        <v>100</v>
      </c>
      <c r="O196" s="887"/>
      <c r="R196" s="1">
        <v>2006</v>
      </c>
      <c r="S196" s="8">
        <f>(O110*($E110/365))+(O111*($E111/365))+(O112*($E112/365))</f>
        <v>52.090410958904108</v>
      </c>
      <c r="T196" s="8">
        <f>(P110*($E110/365))+(P111*($E111/365))+(P112*($E112/365))</f>
        <v>0</v>
      </c>
      <c r="U196" s="8">
        <f>(Q110*($E110/365))+(Q111*($E111/365))+(Q112*($E112/365))</f>
        <v>0</v>
      </c>
      <c r="V196" s="7"/>
      <c r="W196" s="7">
        <f>S196+T196+U196</f>
        <v>52.090410958904108</v>
      </c>
    </row>
    <row r="197" spans="1:23">
      <c r="A197" s="1">
        <v>2007</v>
      </c>
      <c r="B197" s="8">
        <f>(K113*($E113/365))+(K114*($E114/365))</f>
        <v>100</v>
      </c>
      <c r="C197" s="8">
        <f>(L113*($E113/365))+(L114*($E114/365))</f>
        <v>0</v>
      </c>
      <c r="D197" s="8">
        <f>(M113*($E113/365))+(M114*($E114/365))</f>
        <v>0</v>
      </c>
      <c r="E197" s="50">
        <f t="shared" si="21"/>
        <v>100</v>
      </c>
      <c r="G197" s="1">
        <v>2007</v>
      </c>
      <c r="H197" s="918">
        <f>(O113/$R113*100*($E113/365))+(O114/$R114*100*($E114/365))</f>
        <v>100</v>
      </c>
      <c r="I197" s="918"/>
      <c r="J197" s="918">
        <f>(P113/$R113*100*($E113/365))+(P114/$R114*100*($E114/365))</f>
        <v>0</v>
      </c>
      <c r="K197" s="918"/>
      <c r="L197" s="918">
        <f>(Q113/$R113*100*($E113/365))+(Q114/$R114*100*($E114/365))</f>
        <v>0</v>
      </c>
      <c r="M197" s="918"/>
      <c r="N197" s="887">
        <f t="shared" si="23"/>
        <v>100</v>
      </c>
      <c r="O197" s="887"/>
      <c r="R197" s="1">
        <v>2007</v>
      </c>
      <c r="S197" s="8">
        <f>(O113*($E113/365))+(O114*($E114/365))</f>
        <v>46.4</v>
      </c>
      <c r="T197" s="8">
        <f>(P113*($E113/365))+(P114*($E114/365))</f>
        <v>0</v>
      </c>
      <c r="U197" s="8">
        <f>(Q113*($E113/365))+(Q114*($E114/365))</f>
        <v>0</v>
      </c>
      <c r="V197" s="7"/>
      <c r="W197" s="7">
        <f t="shared" si="22"/>
        <v>46.4</v>
      </c>
    </row>
    <row r="198" spans="1:23">
      <c r="A198" s="1">
        <v>2008</v>
      </c>
      <c r="B198" s="8">
        <f>(K115*($E115/366))+(K116*($E116/366))</f>
        <v>100.00000000000001</v>
      </c>
      <c r="C198" s="8">
        <f>(L115*($E115/366))+(L116*($E116/366))</f>
        <v>0</v>
      </c>
      <c r="D198" s="8">
        <f>(M115*($E115/366))+(M116*($E116/366))</f>
        <v>0</v>
      </c>
      <c r="E198" s="50">
        <f t="shared" si="21"/>
        <v>100.00000000000001</v>
      </c>
      <c r="G198" s="1">
        <v>2008</v>
      </c>
      <c r="H198" s="918">
        <f>(O115/$R115*100*($E115/366))+(O116/$R116*100*($E116/366))</f>
        <v>100.00000000000001</v>
      </c>
      <c r="I198" s="918"/>
      <c r="J198" s="918">
        <f>(P115/$R115*100*($E115/366))+(P116/$R116*100*($E116/366))</f>
        <v>0</v>
      </c>
      <c r="K198" s="918"/>
      <c r="L198" s="918">
        <f>(Q115/$R115*100*($E115/366))+(Q116/$R116*100*($E116/366))</f>
        <v>0</v>
      </c>
      <c r="M198" s="918"/>
      <c r="N198" s="887">
        <f t="shared" si="23"/>
        <v>100.00000000000001</v>
      </c>
      <c r="O198" s="887"/>
      <c r="R198" s="1">
        <v>2008</v>
      </c>
      <c r="S198" s="8">
        <f>(O115*($E115/366))+(O116*($E116/366))</f>
        <v>45.528415300546449</v>
      </c>
      <c r="T198" s="8">
        <f>(P115*($E115/366))+(P116*($E116/366))</f>
        <v>0</v>
      </c>
      <c r="U198" s="8">
        <f>(Q115*($E115/366))+(Q116*($E116/366))</f>
        <v>0</v>
      </c>
      <c r="V198" s="7"/>
      <c r="W198" s="7">
        <f t="shared" si="22"/>
        <v>45.528415300546449</v>
      </c>
    </row>
    <row r="199" spans="1:23">
      <c r="A199" s="1">
        <v>2009</v>
      </c>
      <c r="B199" s="8">
        <f>(K117*($E117/365))+(K118*($E118/365))</f>
        <v>16.357775987107171</v>
      </c>
      <c r="C199" s="8">
        <f>(L117*($E117/365))+(L118*($E118/365))</f>
        <v>83.642224012892825</v>
      </c>
      <c r="D199" s="8">
        <f>(M117*($E117/365))+(M118*($E118/365))</f>
        <v>0</v>
      </c>
      <c r="E199" s="50">
        <f t="shared" si="21"/>
        <v>100</v>
      </c>
      <c r="G199" s="1">
        <v>2009</v>
      </c>
      <c r="H199" s="918">
        <f>(O117/$R117*100*($E117/365))+(O118/$R118*100*($E118/365))</f>
        <v>5.2054794520547949</v>
      </c>
      <c r="I199" s="918"/>
      <c r="J199" s="918">
        <f>(P117/$R117*100*($E117/365))+(P118/$R118*100*($E118/365))</f>
        <v>94.794520547945211</v>
      </c>
      <c r="K199" s="918"/>
      <c r="L199" s="918">
        <f>(Q117/$R117*100*($E117/365))+(Q118/$R118*100*($E118/365))</f>
        <v>0</v>
      </c>
      <c r="M199" s="918"/>
      <c r="N199" s="887">
        <f t="shared" si="23"/>
        <v>100</v>
      </c>
      <c r="O199" s="887"/>
      <c r="R199" s="1">
        <v>2009</v>
      </c>
      <c r="S199" s="8">
        <f>(O117*($E117/365))+(O118*($E118/365))</f>
        <v>2.1290410958904111</v>
      </c>
      <c r="T199" s="8">
        <f>(P117*($E117/365))+(P118*($E118/365))</f>
        <v>56.02356164383562</v>
      </c>
      <c r="U199" s="8">
        <f>(Q117*($E117/365))+(Q118*($E118/365))</f>
        <v>0</v>
      </c>
      <c r="V199" s="7"/>
      <c r="W199" s="7">
        <f t="shared" si="22"/>
        <v>58.152602739726035</v>
      </c>
    </row>
    <row r="200" spans="1:23">
      <c r="A200" s="1">
        <v>2010</v>
      </c>
      <c r="B200" s="8">
        <f>(K119*($E119/365))+(K120*($E120/365))</f>
        <v>11.764705882352938</v>
      </c>
      <c r="C200" s="8">
        <f>(L119*($E119/365))+(L120*($E120/365))</f>
        <v>88.235294117647058</v>
      </c>
      <c r="D200" s="8">
        <f>(M119*($E119/365))+(M120*($E120/365))</f>
        <v>0</v>
      </c>
      <c r="E200" s="50">
        <f t="shared" si="21"/>
        <v>100</v>
      </c>
      <c r="G200" s="1">
        <v>2010</v>
      </c>
      <c r="H200" s="918">
        <f>(O119/$R119*100*($E119/365))+(O120/$R120*100*($E120/365))</f>
        <v>0</v>
      </c>
      <c r="I200" s="918"/>
      <c r="J200" s="918">
        <f>(P119/$R119*100*($E119/365))+(P120/$R120*100*($E120/365))</f>
        <v>100</v>
      </c>
      <c r="K200" s="918"/>
      <c r="L200" s="918">
        <f>(Q119/$R119*100*($E119/365))+(Q120/$R120*100*($E120/365))</f>
        <v>0</v>
      </c>
      <c r="M200" s="918"/>
      <c r="N200" s="887">
        <f t="shared" si="23"/>
        <v>100</v>
      </c>
      <c r="O200" s="887"/>
      <c r="R200" s="1">
        <v>2010</v>
      </c>
      <c r="S200" s="8">
        <f>(O119*($E119/365))+(O120*($E120/365))</f>
        <v>0</v>
      </c>
      <c r="T200" s="8">
        <f>(P119*($E119/365))+(P120*($E120/365))</f>
        <v>56.683561643835617</v>
      </c>
      <c r="U200" s="8">
        <f>(Q119*($E119/365))+(Q120*($E120/365))</f>
        <v>0</v>
      </c>
      <c r="V200" s="7"/>
      <c r="W200" s="7">
        <f t="shared" si="22"/>
        <v>56.683561643835617</v>
      </c>
    </row>
    <row r="201" spans="1:23">
      <c r="A201" s="1">
        <v>2011</v>
      </c>
      <c r="B201" s="8">
        <f>(K121*($E121/365))+(K122*($E122/365))</f>
        <v>8.7993553585817885</v>
      </c>
      <c r="C201" s="8">
        <f>(L121*($E121/365))+(L122*($E122/365))</f>
        <v>91.200644641418208</v>
      </c>
      <c r="D201" s="8">
        <f>(M121*($E121/365))+(M122*($E122/365))</f>
        <v>0</v>
      </c>
      <c r="E201" s="50">
        <f t="shared" si="21"/>
        <v>100</v>
      </c>
      <c r="G201" s="1">
        <v>2011</v>
      </c>
      <c r="H201" s="918">
        <f>(O121/$R121*100*($E121/365))+(O122/$R122*100*($E122/365))</f>
        <v>0</v>
      </c>
      <c r="I201" s="918"/>
      <c r="J201" s="918">
        <f>(P121/$R121*100*($E121/365))+(P122/$R122*100*($E122/365))</f>
        <v>100</v>
      </c>
      <c r="K201" s="918"/>
      <c r="L201" s="918">
        <f>(Q121/$R121*100*($E121/365))+(Q122/$R122*100*($E122/365))</f>
        <v>0</v>
      </c>
      <c r="M201" s="918"/>
      <c r="N201" s="887">
        <f t="shared" si="23"/>
        <v>100</v>
      </c>
      <c r="O201" s="887"/>
      <c r="R201" s="1">
        <v>2011</v>
      </c>
      <c r="S201" s="8">
        <f>(O121*($E121/365))+(O122*($E122/365))</f>
        <v>0</v>
      </c>
      <c r="T201" s="8">
        <f>(P121*($E121/365))+(P122*($E122/365))</f>
        <v>44.4</v>
      </c>
      <c r="U201" s="8">
        <f>(Q121*($E121/365))+(Q122*($E122/365))</f>
        <v>0</v>
      </c>
      <c r="V201" s="7"/>
      <c r="W201" s="7">
        <f t="shared" si="22"/>
        <v>44.4</v>
      </c>
    </row>
    <row r="202" spans="1:23">
      <c r="A202" s="1">
        <v>2012</v>
      </c>
      <c r="B202" s="8">
        <f>(K123*($E123/366))+(K124*($E124/366))</f>
        <v>5.882352941176471</v>
      </c>
      <c r="C202" s="8">
        <f>(L123*($E123/366))+(L124*($E124/366))</f>
        <v>94.117647058823536</v>
      </c>
      <c r="D202" s="8">
        <f>(M123*($E123/366))+(M124*($E124/366))</f>
        <v>0</v>
      </c>
      <c r="E202" s="50">
        <f t="shared" si="21"/>
        <v>100</v>
      </c>
      <c r="G202" s="1">
        <v>2012</v>
      </c>
      <c r="H202" s="918">
        <f>(O123/$R123*100*($E123/366))+(O124/$R124*100*($E124/366))</f>
        <v>0</v>
      </c>
      <c r="I202" s="918"/>
      <c r="J202" s="918">
        <f>(P123/$R123*100*($E123/366))+(P124/$R124*100*($E124/366))</f>
        <v>100</v>
      </c>
      <c r="K202" s="918"/>
      <c r="L202" s="918">
        <f>(Q123/$R123*100*($E123/366))+(Q124/$R124*100*($E124/366))</f>
        <v>0</v>
      </c>
      <c r="M202" s="918"/>
      <c r="N202" s="887">
        <f t="shared" si="23"/>
        <v>100</v>
      </c>
      <c r="O202" s="887"/>
      <c r="R202" s="1">
        <v>2012</v>
      </c>
      <c r="S202" s="8">
        <f>(O123*($E123/366))+(O124*($E124/366))</f>
        <v>0</v>
      </c>
      <c r="T202" s="8">
        <f>(P123*($E123/366))+(P124*($E124/366))</f>
        <v>44.675409836065569</v>
      </c>
      <c r="U202" s="8">
        <f>(Q123*($E123/366))+(Q124*($E124/366))</f>
        <v>0</v>
      </c>
      <c r="V202" s="7"/>
      <c r="W202" s="7">
        <f t="shared" si="22"/>
        <v>44.675409836065569</v>
      </c>
    </row>
    <row r="203" spans="1:23">
      <c r="A203" s="1">
        <v>2013</v>
      </c>
      <c r="B203" s="8">
        <f>(K125*($E125/365))+(K126*($E126/365))</f>
        <v>5.8823529411764701</v>
      </c>
      <c r="C203" s="8">
        <f>(L125*($E125/365))+(L126*($E126/365))</f>
        <v>94.117647058823522</v>
      </c>
      <c r="D203" s="8">
        <f>(M125*($E125/365))+(M126*($E126/365))</f>
        <v>0</v>
      </c>
      <c r="E203" s="273">
        <f t="shared" si="21"/>
        <v>99.999999999999986</v>
      </c>
      <c r="G203" s="1">
        <v>2013</v>
      </c>
      <c r="H203" s="918">
        <f>(O125/$R125*100*($E125/365))+(O126/$R126*100*($E126/365))</f>
        <v>0</v>
      </c>
      <c r="I203" s="918"/>
      <c r="J203" s="918">
        <f>(P125/$R125*100*($E125/365))+(P126/$R126*100*($E126/365))</f>
        <v>100</v>
      </c>
      <c r="K203" s="918"/>
      <c r="L203" s="918">
        <f>(Q125/$R125*100*($E125/365))+(Q126/$R126*100*($E126/365))</f>
        <v>0</v>
      </c>
      <c r="M203" s="918"/>
      <c r="N203" s="887">
        <f>H203+J203+L203</f>
        <v>100</v>
      </c>
      <c r="O203" s="887"/>
      <c r="R203" s="1">
        <v>2013</v>
      </c>
      <c r="S203" s="8">
        <f>(O125*($E125/365))+(O126*($E126/365))</f>
        <v>0</v>
      </c>
      <c r="T203" s="8">
        <f>(P125*($E125/365))+(P126*($E126/365))</f>
        <v>46.2</v>
      </c>
      <c r="U203" s="8">
        <f>(Q125*($E125/365))+(Q126*($E126/365))</f>
        <v>0</v>
      </c>
      <c r="W203" s="7">
        <f t="shared" si="22"/>
        <v>46.2</v>
      </c>
    </row>
    <row r="204" spans="1:23">
      <c r="A204" s="1">
        <v>2014</v>
      </c>
      <c r="B204" s="8">
        <f>(K127*($E127/365))+(K128*($E128/365))+(K129*($E129/365))</f>
        <v>8.3964544721998386</v>
      </c>
      <c r="C204" s="8">
        <f>(L127*($E127/365))+(L128*($E128/365))+(L129*($E129/365))</f>
        <v>91.603545527800151</v>
      </c>
      <c r="D204" s="8">
        <f>(M127*($E127/365))+(M128*($E128/365))+(M129*($E129/365))</f>
        <v>0</v>
      </c>
      <c r="E204" s="490">
        <f>B204+C204+D204</f>
        <v>99.999999999999986</v>
      </c>
      <c r="G204" s="1">
        <v>2014</v>
      </c>
      <c r="H204" s="918">
        <f>(O127/$R127*100*($E127/365))+(O128/$R128*100*($E128/365))+(O129/$R129*100*($E129/365))</f>
        <v>0</v>
      </c>
      <c r="I204" s="918"/>
      <c r="J204" s="918">
        <f>(P127/$R127*100*($E127/365))+(P128/$R128*100*($E128/365))+(P129/$R129*100*($E129/365))</f>
        <v>100</v>
      </c>
      <c r="K204" s="918"/>
      <c r="L204" s="918">
        <f>(Q127/$R127*100*($E127/365))+(Q128/$R128*100*($E128/365))+(Q129/$R129*100*($E129/365))</f>
        <v>0</v>
      </c>
      <c r="M204" s="918"/>
      <c r="N204" s="887">
        <f>H204+J204+L204</f>
        <v>100</v>
      </c>
      <c r="O204" s="887"/>
      <c r="R204" s="1">
        <v>2014</v>
      </c>
      <c r="S204" s="8">
        <f>(O127*($E127/365))+(O128*($E128/365))+(O129*($E129/365))</f>
        <v>0</v>
      </c>
      <c r="T204" s="8">
        <f>(P127*($E127/365))+(P128*($E128/365))+(P129*($E129/365))</f>
        <v>45.723287671232882</v>
      </c>
      <c r="U204" s="8">
        <f>(Q127*($E127/365))+(Q128*($E128/365))+(Q129*($E129/365))</f>
        <v>0</v>
      </c>
      <c r="W204" s="7">
        <f>S204+T204+U204</f>
        <v>45.723287671232882</v>
      </c>
    </row>
    <row r="205" spans="1:23" s="632" customFormat="1">
      <c r="A205" s="632">
        <v>2015</v>
      </c>
      <c r="B205" s="627">
        <f>(K130*($E130/365))+(K131*($E131/365))</f>
        <v>6.5592264302981462</v>
      </c>
      <c r="C205" s="627">
        <f>(L130*($E130/365))+(L131*($E131/365))</f>
        <v>93.440773569701847</v>
      </c>
      <c r="D205" s="627">
        <f>(M130*($E130/365))+(M131*($E131/365))</f>
        <v>0</v>
      </c>
      <c r="E205" s="628">
        <f>B205+C205+D205</f>
        <v>100</v>
      </c>
      <c r="G205" s="632">
        <v>2015</v>
      </c>
      <c r="H205" s="918">
        <f>(O130/$R130*100*($E130/365))+(O131/$R131*100*($E131/365))</f>
        <v>0</v>
      </c>
      <c r="I205" s="918"/>
      <c r="J205" s="918">
        <f>(P130/$R130*100*($E130/365))+(P131/$R131*100*($E131/365))</f>
        <v>100</v>
      </c>
      <c r="K205" s="918"/>
      <c r="L205" s="918">
        <f>(Q130/$R130*100*($E130/365))+(Q131/$R131*100*($E131/365))</f>
        <v>0</v>
      </c>
      <c r="M205" s="918"/>
      <c r="N205" s="887">
        <f>H205+J205+L205</f>
        <v>100</v>
      </c>
      <c r="O205" s="887"/>
      <c r="R205" s="632">
        <v>2015</v>
      </c>
      <c r="S205" s="627">
        <f>(O130*($E130/365))+(O131*($E131/365))</f>
        <v>0</v>
      </c>
      <c r="T205" s="627">
        <f>(P130*($E130/365))+(P131*($E131/365))</f>
        <v>43.2</v>
      </c>
      <c r="U205" s="627">
        <f>(Q130*($E130/365))+(Q131*($E131/365))</f>
        <v>0</v>
      </c>
      <c r="W205" s="631">
        <f>S205+T205+U205</f>
        <v>43.2</v>
      </c>
    </row>
    <row r="206" spans="1:23" s="632" customFormat="1">
      <c r="A206" s="697">
        <v>2016</v>
      </c>
      <c r="B206" s="694">
        <f>(K132*($E132/366))+(K133*($E133/366))</f>
        <v>5.8823529411764701</v>
      </c>
      <c r="C206" s="694">
        <f>(L132*($E132/366))+(L133*($E133/366))</f>
        <v>94.117647058823522</v>
      </c>
      <c r="D206" s="694">
        <f>(M132*($E132/366))+(M133*($E133/366))</f>
        <v>0</v>
      </c>
      <c r="E206" s="695">
        <f t="shared" ref="E206" si="24">B206+C206+D206</f>
        <v>99.999999999999986</v>
      </c>
      <c r="F206" s="697"/>
      <c r="G206" s="697">
        <v>2016</v>
      </c>
      <c r="H206" s="918">
        <f>(O132/$R132*100*($E132/366))+(O133/$R133*100*($E133/366))</f>
        <v>0</v>
      </c>
      <c r="I206" s="918"/>
      <c r="J206" s="918">
        <f>(P132/$R132*100*($E132/366))+(P133/$R133*100*($E133/366))</f>
        <v>100</v>
      </c>
      <c r="K206" s="918"/>
      <c r="L206" s="918">
        <f>(Q132/$R132*100*($E132/366))+(Q133/$R133*100*($E133/366))</f>
        <v>0</v>
      </c>
      <c r="M206" s="918"/>
      <c r="N206" s="887">
        <f t="shared" ref="N206" si="25">H206+J206+L206</f>
        <v>100</v>
      </c>
      <c r="O206" s="887"/>
      <c r="P206" s="697"/>
      <c r="Q206" s="697"/>
      <c r="R206" s="697">
        <v>2016</v>
      </c>
      <c r="S206" s="694">
        <f>(O132*($E132/366))+(O133*($E133/366))</f>
        <v>0</v>
      </c>
      <c r="T206" s="694">
        <f>(P132*($E132/366))+(P133*($E133/366))</f>
        <v>44.6</v>
      </c>
      <c r="U206" s="694">
        <f>(Q132*($E132/366))+(Q133*($E133/366))</f>
        <v>0</v>
      </c>
      <c r="V206" s="697"/>
      <c r="W206" s="696">
        <f t="shared" ref="W206" si="26">S206+T206+U206</f>
        <v>44.6</v>
      </c>
    </row>
    <row r="207" spans="1:23">
      <c r="A207" s="749">
        <v>2017</v>
      </c>
      <c r="B207" s="744">
        <f>(K134*($E134/365))+(K135*($E135/365))+(K136*($E136/365))+(K137*($E137/365))</f>
        <v>81.885576148267518</v>
      </c>
      <c r="C207" s="744">
        <f>(L134*($E134/365))+(L135*($E135/365))+(L136*($E136/365))+(L137*($E137/365))</f>
        <v>4.8992747784045125</v>
      </c>
      <c r="D207" s="744">
        <f t="shared" ref="D207" si="27">(M134*($E134/365))+(M135*($E135/365))+(M136*($E136/365))+(M137*($E137/365))</f>
        <v>0</v>
      </c>
      <c r="E207" s="745">
        <f t="shared" ref="E207" si="28">B207+C207+D207</f>
        <v>86.784850926672036</v>
      </c>
      <c r="F207" s="749"/>
      <c r="G207" s="749">
        <v>2017</v>
      </c>
      <c r="H207" s="918">
        <f>(O134/$R134*100*($E134/365))+(O135/$R135*100*($E135/365))+(O136/$R135*100*($E136/365))+(O137/$R137*100*($E137/365))</f>
        <v>94.794520547945197</v>
      </c>
      <c r="I207" s="918"/>
      <c r="J207" s="918">
        <f>(P134/$R134*100*($E134/365))+(P135/$R135*100*($E135/365))+(P136/$R135*100*($E136/365))+(P137/$R137*100*($E137/365))</f>
        <v>5.2054794520547949</v>
      </c>
      <c r="K207" s="918"/>
      <c r="L207" s="918">
        <f>(Q134/$R134*100*($E134/365))+(Q135/$R135*100*($E135/365))+(Q136/$R135*100*($E136/365))+(Q137/$R137*100*($E137/365))</f>
        <v>0</v>
      </c>
      <c r="M207" s="918"/>
      <c r="N207" s="887">
        <f t="shared" ref="N207" si="29">H207+J207+L207</f>
        <v>99.999999999999986</v>
      </c>
      <c r="O207" s="887"/>
      <c r="P207" s="749"/>
      <c r="Q207" s="749"/>
      <c r="R207" s="749">
        <v>2017</v>
      </c>
      <c r="S207" s="744">
        <f>(O134*($E134/365))+(O135*($E135/365))+(O136*($E136/365))+(O137*($E137/365))</f>
        <v>52.516164383561637</v>
      </c>
      <c r="T207" s="744">
        <f t="shared" ref="T207:U207" si="30">(P134*($E134/365))+(P135*($E135/365))+(P136*($E136/365))+(P137*($E137/365))</f>
        <v>2.3216438356164386</v>
      </c>
      <c r="U207" s="744">
        <f t="shared" si="30"/>
        <v>0</v>
      </c>
      <c r="V207" s="749"/>
      <c r="W207" s="746">
        <f t="shared" ref="W207" si="31">S207+T207+U207</f>
        <v>54.837808219178079</v>
      </c>
    </row>
    <row r="208" spans="1:23">
      <c r="A208" s="775">
        <v>2018</v>
      </c>
      <c r="B208" s="772">
        <f>(K138*($E138/365))+(K139*($E139/365))</f>
        <v>92.731668009669619</v>
      </c>
      <c r="C208" s="772">
        <f t="shared" ref="C208:D208" si="32">(L138*($E138/365))+(L139*($E139/365))</f>
        <v>0</v>
      </c>
      <c r="D208" s="772">
        <f t="shared" si="32"/>
        <v>0</v>
      </c>
      <c r="E208" s="773">
        <f t="shared" ref="E208" si="33">B208+C208+D208</f>
        <v>92.731668009669619</v>
      </c>
      <c r="F208" s="775"/>
      <c r="G208" s="775">
        <v>2018</v>
      </c>
      <c r="H208" s="918">
        <f>(O138/$R138*100*($E138/365))+(O139/$R139*100*($E139/365))</f>
        <v>100</v>
      </c>
      <c r="I208" s="918"/>
      <c r="J208" s="918">
        <f>(P138/$R138*100*($E138/365))+(P139/$R139*100*($E139/365))</f>
        <v>0</v>
      </c>
      <c r="K208" s="918"/>
      <c r="L208" s="918">
        <f>(Q138/$R138*100*($E138/365))+(Q139/$R139*100*($E139/365))</f>
        <v>0</v>
      </c>
      <c r="M208" s="918"/>
      <c r="N208" s="887">
        <f t="shared" ref="N208" si="34">H208+J208+L208</f>
        <v>100</v>
      </c>
      <c r="O208" s="887"/>
      <c r="P208" s="775"/>
      <c r="Q208" s="775"/>
      <c r="R208" s="775">
        <v>2018</v>
      </c>
      <c r="S208" s="772">
        <f>(O138*($E138/365))+(O139*($E139/365))</f>
        <v>47.985479452054797</v>
      </c>
      <c r="T208" s="772">
        <f>(P138*($E138/365))+(P139*($E139/365))</f>
        <v>0</v>
      </c>
      <c r="U208" s="772">
        <f>(Q138*($E138/365))+(Q139*($E139/365))</f>
        <v>0</v>
      </c>
      <c r="V208" s="775"/>
      <c r="W208" s="774">
        <f t="shared" ref="W208" si="35">S208+T208+U208</f>
        <v>47.985479452054797</v>
      </c>
    </row>
    <row r="209" spans="1:23">
      <c r="A209" s="816">
        <v>2019</v>
      </c>
      <c r="B209" s="812">
        <f>(K140*($E140/365))+(K141*($E141/365))</f>
        <v>94.117647058823522</v>
      </c>
      <c r="C209" s="812">
        <f>(L140*($E140/365))+(L141*($E141/365))</f>
        <v>0</v>
      </c>
      <c r="D209" s="812">
        <f>(M140*($E140/365))+(M141*($E141/365))</f>
        <v>0</v>
      </c>
      <c r="E209" s="811">
        <f t="shared" ref="E209" si="36">B209+C209+D209</f>
        <v>94.117647058823522</v>
      </c>
      <c r="F209" s="816"/>
      <c r="G209" s="816">
        <v>2019</v>
      </c>
      <c r="H209" s="918">
        <f>(O140/$R140*100*($E140/365))+(O141/$R141*100*($E141/365))</f>
        <v>100</v>
      </c>
      <c r="I209" s="918"/>
      <c r="J209" s="918">
        <f>(P140/$R140*100*($E140/365))+(P141/$R141*100*($E141/365))</f>
        <v>0</v>
      </c>
      <c r="K209" s="918"/>
      <c r="L209" s="918">
        <f>(Q140/$R140*100*($E140/365))+(Q141/$R141*100*($E141/365))</f>
        <v>0</v>
      </c>
      <c r="M209" s="918"/>
      <c r="N209" s="887">
        <f t="shared" ref="N209" si="37">H209+J209+L209</f>
        <v>100</v>
      </c>
      <c r="O209" s="887"/>
      <c r="P209" s="816"/>
      <c r="Q209" s="816"/>
      <c r="R209" s="816">
        <v>2019</v>
      </c>
      <c r="S209" s="812">
        <f>(O140*($E140/365))+(O141*($E141/365))</f>
        <v>45.7</v>
      </c>
      <c r="T209" s="812">
        <f>(P140*($E140/365))+(P141*($E141/365))</f>
        <v>0</v>
      </c>
      <c r="U209" s="812">
        <f>(Q140*($E140/365))+(Q141*($E141/365))</f>
        <v>0</v>
      </c>
      <c r="V209" s="816"/>
      <c r="W209" s="815">
        <f t="shared" ref="W209" si="38">S209+T209+U209</f>
        <v>45.7</v>
      </c>
    </row>
    <row r="210" spans="1:23">
      <c r="A210" s="816"/>
      <c r="G210" s="816"/>
      <c r="R210" s="816"/>
    </row>
  </sheetData>
  <mergeCells count="406">
    <mergeCell ref="L209:M209"/>
    <mergeCell ref="N209:O209"/>
    <mergeCell ref="J207:K207"/>
    <mergeCell ref="L207:M207"/>
    <mergeCell ref="H207:I207"/>
    <mergeCell ref="N207:O207"/>
    <mergeCell ref="H148:I148"/>
    <mergeCell ref="J148:K148"/>
    <mergeCell ref="L148:M148"/>
    <mergeCell ref="N148:O148"/>
    <mergeCell ref="H150:I150"/>
    <mergeCell ref="J150:K150"/>
    <mergeCell ref="L149:M149"/>
    <mergeCell ref="N149:O149"/>
    <mergeCell ref="H153:I153"/>
    <mergeCell ref="J153:K153"/>
    <mergeCell ref="L153:M153"/>
    <mergeCell ref="N153:O153"/>
    <mergeCell ref="J157:K157"/>
    <mergeCell ref="L157:M157"/>
    <mergeCell ref="N157:O157"/>
    <mergeCell ref="L158:M158"/>
    <mergeCell ref="N158:O158"/>
    <mergeCell ref="J155:K155"/>
    <mergeCell ref="C103:D103"/>
    <mergeCell ref="C104:D104"/>
    <mergeCell ref="C100:D100"/>
    <mergeCell ref="C101:D101"/>
    <mergeCell ref="C102:D102"/>
    <mergeCell ref="C140:D140"/>
    <mergeCell ref="C141:D141"/>
    <mergeCell ref="H209:I209"/>
    <mergeCell ref="J209:K209"/>
    <mergeCell ref="C113:D113"/>
    <mergeCell ref="C105:D105"/>
    <mergeCell ref="C106:D106"/>
    <mergeCell ref="C114:D114"/>
    <mergeCell ref="C115:D115"/>
    <mergeCell ref="C116:D116"/>
    <mergeCell ref="C107:D107"/>
    <mergeCell ref="C108:D108"/>
    <mergeCell ref="C109:D109"/>
    <mergeCell ref="C110:D110"/>
    <mergeCell ref="C112:D112"/>
    <mergeCell ref="C111:D111"/>
    <mergeCell ref="H158:I158"/>
    <mergeCell ref="J158:K158"/>
    <mergeCell ref="H155:I155"/>
    <mergeCell ref="C94:D94"/>
    <mergeCell ref="C95:D95"/>
    <mergeCell ref="C96:D96"/>
    <mergeCell ref="C74:D74"/>
    <mergeCell ref="C75:D75"/>
    <mergeCell ref="C79:D79"/>
    <mergeCell ref="C80:D80"/>
    <mergeCell ref="C81:D81"/>
    <mergeCell ref="C99:D99"/>
    <mergeCell ref="C93:D93"/>
    <mergeCell ref="C82:D82"/>
    <mergeCell ref="C83:D83"/>
    <mergeCell ref="C84:D84"/>
    <mergeCell ref="C85:D85"/>
    <mergeCell ref="C86:D86"/>
    <mergeCell ref="C87:D87"/>
    <mergeCell ref="C88:D88"/>
    <mergeCell ref="C89:D89"/>
    <mergeCell ref="C90:D90"/>
    <mergeCell ref="C91:D91"/>
    <mergeCell ref="C92:D92"/>
    <mergeCell ref="C97:D97"/>
    <mergeCell ref="C98:D98"/>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45:D45"/>
    <mergeCell ref="C44:D44"/>
    <mergeCell ref="C46:D46"/>
    <mergeCell ref="C47:D47"/>
    <mergeCell ref="C48:D48"/>
    <mergeCell ref="C49:D49"/>
    <mergeCell ref="C50:D50"/>
    <mergeCell ref="C51:D51"/>
    <mergeCell ref="C52:D52"/>
    <mergeCell ref="C35:D35"/>
    <mergeCell ref="C36:D36"/>
    <mergeCell ref="C37:D37"/>
    <mergeCell ref="C38:D38"/>
    <mergeCell ref="C39:D39"/>
    <mergeCell ref="C40:D40"/>
    <mergeCell ref="C41:D41"/>
    <mergeCell ref="C42:D42"/>
    <mergeCell ref="C43:D43"/>
    <mergeCell ref="C26:D26"/>
    <mergeCell ref="C27:D27"/>
    <mergeCell ref="C28:D28"/>
    <mergeCell ref="C29:D29"/>
    <mergeCell ref="C31:D31"/>
    <mergeCell ref="C32:D32"/>
    <mergeCell ref="C30:D30"/>
    <mergeCell ref="C33:D33"/>
    <mergeCell ref="C34:D34"/>
    <mergeCell ref="C17:D17"/>
    <mergeCell ref="C18:D18"/>
    <mergeCell ref="C19:D19"/>
    <mergeCell ref="C20:D20"/>
    <mergeCell ref="C21:D21"/>
    <mergeCell ref="C22:D22"/>
    <mergeCell ref="C23:D23"/>
    <mergeCell ref="C25:D25"/>
    <mergeCell ref="C24:D24"/>
    <mergeCell ref="Z4:AC4"/>
    <mergeCell ref="AD4:AG4"/>
    <mergeCell ref="AH4:AK4"/>
    <mergeCell ref="AL4:AO4"/>
    <mergeCell ref="U4:U5"/>
    <mergeCell ref="V4:Y4"/>
    <mergeCell ref="AP4:AS4"/>
    <mergeCell ref="C8:D8"/>
    <mergeCell ref="K4:N4"/>
    <mergeCell ref="O4:R4"/>
    <mergeCell ref="S4:S5"/>
    <mergeCell ref="T4:T5"/>
    <mergeCell ref="C7:D7"/>
    <mergeCell ref="C6:D6"/>
    <mergeCell ref="A4:A5"/>
    <mergeCell ref="B4:B5"/>
    <mergeCell ref="C4:D5"/>
    <mergeCell ref="E4:E5"/>
    <mergeCell ref="F4:F5"/>
    <mergeCell ref="G4:J4"/>
    <mergeCell ref="C11:D11"/>
    <mergeCell ref="H149:I149"/>
    <mergeCell ref="J149:K149"/>
    <mergeCell ref="C123:D123"/>
    <mergeCell ref="C124:D124"/>
    <mergeCell ref="C134:D134"/>
    <mergeCell ref="C135:D135"/>
    <mergeCell ref="C136:D136"/>
    <mergeCell ref="C137:D137"/>
    <mergeCell ref="C132:D132"/>
    <mergeCell ref="C133:D133"/>
    <mergeCell ref="C12:D12"/>
    <mergeCell ref="C9:D9"/>
    <mergeCell ref="C10:D10"/>
    <mergeCell ref="C13:D13"/>
    <mergeCell ref="C14:D14"/>
    <mergeCell ref="C15:D15"/>
    <mergeCell ref="C16:D16"/>
    <mergeCell ref="G3:M3"/>
    <mergeCell ref="O3:Q3"/>
    <mergeCell ref="H154:I154"/>
    <mergeCell ref="J154:K154"/>
    <mergeCell ref="L154:M154"/>
    <mergeCell ref="N154:O154"/>
    <mergeCell ref="H151:I151"/>
    <mergeCell ref="J151:K151"/>
    <mergeCell ref="L151:M151"/>
    <mergeCell ref="N151:O151"/>
    <mergeCell ref="H152:I152"/>
    <mergeCell ref="J152:K152"/>
    <mergeCell ref="L152:M152"/>
    <mergeCell ref="N152:O152"/>
    <mergeCell ref="N150:O150"/>
    <mergeCell ref="L155:M155"/>
    <mergeCell ref="N155:O155"/>
    <mergeCell ref="H156:I156"/>
    <mergeCell ref="J156:K156"/>
    <mergeCell ref="L156:M156"/>
    <mergeCell ref="N156:O156"/>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J170:K170"/>
    <mergeCell ref="L170:M170"/>
    <mergeCell ref="H169:I169"/>
    <mergeCell ref="H170:I170"/>
    <mergeCell ref="N175:O175"/>
    <mergeCell ref="N176:O176"/>
    <mergeCell ref="N172:O172"/>
    <mergeCell ref="N173:O173"/>
    <mergeCell ref="N174:O174"/>
    <mergeCell ref="H175:I175"/>
    <mergeCell ref="H176:I176"/>
    <mergeCell ref="C117:D117"/>
    <mergeCell ref="C118:D118"/>
    <mergeCell ref="C119:D119"/>
    <mergeCell ref="C120:D120"/>
    <mergeCell ref="C121:D121"/>
    <mergeCell ref="C122:D122"/>
    <mergeCell ref="H187:I187"/>
    <mergeCell ref="H178:I178"/>
    <mergeCell ref="H179:I179"/>
    <mergeCell ref="H180:I180"/>
    <mergeCell ref="H181:I181"/>
    <mergeCell ref="H182:I182"/>
    <mergeCell ref="H183:I183"/>
    <mergeCell ref="H172:I172"/>
    <mergeCell ref="H173:I173"/>
    <mergeCell ref="H174:I174"/>
    <mergeCell ref="H165:I165"/>
    <mergeCell ref="H161:I161"/>
    <mergeCell ref="H157:I157"/>
    <mergeCell ref="H184:I184"/>
    <mergeCell ref="H185:I185"/>
    <mergeCell ref="H186:I186"/>
    <mergeCell ref="H167:I167"/>
    <mergeCell ref="H168:I168"/>
    <mergeCell ref="N188:O188"/>
    <mergeCell ref="N189:O189"/>
    <mergeCell ref="N190:O190"/>
    <mergeCell ref="L188:M188"/>
    <mergeCell ref="L189:M189"/>
    <mergeCell ref="J187:K187"/>
    <mergeCell ref="J188:K188"/>
    <mergeCell ref="J189:K189"/>
    <mergeCell ref="N184:O184"/>
    <mergeCell ref="N185:O185"/>
    <mergeCell ref="L184:M184"/>
    <mergeCell ref="L185:M185"/>
    <mergeCell ref="L186:M186"/>
    <mergeCell ref="L187:M187"/>
    <mergeCell ref="N186:O186"/>
    <mergeCell ref="H177:I177"/>
    <mergeCell ref="R146:W146"/>
    <mergeCell ref="L179:M179"/>
    <mergeCell ref="L180:M180"/>
    <mergeCell ref="L181:M181"/>
    <mergeCell ref="L169:M169"/>
    <mergeCell ref="N169:O169"/>
    <mergeCell ref="J169:K169"/>
    <mergeCell ref="J171:K171"/>
    <mergeCell ref="L171:M171"/>
    <mergeCell ref="L150:M150"/>
    <mergeCell ref="H171:I171"/>
    <mergeCell ref="N179:O179"/>
    <mergeCell ref="N180:O180"/>
    <mergeCell ref="L174:M174"/>
    <mergeCell ref="L175:M175"/>
    <mergeCell ref="L176:M176"/>
    <mergeCell ref="L177:M177"/>
    <mergeCell ref="J167:K167"/>
    <mergeCell ref="L167:M167"/>
    <mergeCell ref="N167:O167"/>
    <mergeCell ref="J168:K168"/>
    <mergeCell ref="L168:M168"/>
    <mergeCell ref="N168:O168"/>
    <mergeCell ref="J183:K183"/>
    <mergeCell ref="J175:K175"/>
    <mergeCell ref="N181:O181"/>
    <mergeCell ref="N182:O182"/>
    <mergeCell ref="N183:O183"/>
    <mergeCell ref="J176:K176"/>
    <mergeCell ref="J172:K172"/>
    <mergeCell ref="J173:K173"/>
    <mergeCell ref="J174:K174"/>
    <mergeCell ref="J177:K177"/>
    <mergeCell ref="J178:K178"/>
    <mergeCell ref="J179:K179"/>
    <mergeCell ref="J180:K180"/>
    <mergeCell ref="N177:O177"/>
    <mergeCell ref="N178:O178"/>
    <mergeCell ref="L178:M178"/>
    <mergeCell ref="AX4:BA4"/>
    <mergeCell ref="N203:O203"/>
    <mergeCell ref="C126:D126"/>
    <mergeCell ref="C125:D125"/>
    <mergeCell ref="H203:I203"/>
    <mergeCell ref="J203:K203"/>
    <mergeCell ref="L203:M203"/>
    <mergeCell ref="H202:I202"/>
    <mergeCell ref="J202:K202"/>
    <mergeCell ref="C127:D127"/>
    <mergeCell ref="C128:D128"/>
    <mergeCell ref="C129:D129"/>
    <mergeCell ref="L202:M202"/>
    <mergeCell ref="N202:O202"/>
    <mergeCell ref="H200:I200"/>
    <mergeCell ref="J200:K200"/>
    <mergeCell ref="H196:I196"/>
    <mergeCell ref="J196:K196"/>
    <mergeCell ref="L196:M196"/>
    <mergeCell ref="N196:O196"/>
    <mergeCell ref="H197:I197"/>
    <mergeCell ref="J197:K197"/>
    <mergeCell ref="L197:M197"/>
    <mergeCell ref="N197:O197"/>
    <mergeCell ref="AT4:AW4"/>
    <mergeCell ref="H204:I204"/>
    <mergeCell ref="J204:K204"/>
    <mergeCell ref="L204:M204"/>
    <mergeCell ref="N204:O204"/>
    <mergeCell ref="N200:O200"/>
    <mergeCell ref="H201:I201"/>
    <mergeCell ref="J201:K201"/>
    <mergeCell ref="L201:M201"/>
    <mergeCell ref="N201:O201"/>
    <mergeCell ref="H198:I198"/>
    <mergeCell ref="J198:K198"/>
    <mergeCell ref="L198:M198"/>
    <mergeCell ref="N198:O198"/>
    <mergeCell ref="H199:I199"/>
    <mergeCell ref="J199:K199"/>
    <mergeCell ref="L199:M199"/>
    <mergeCell ref="L190:M190"/>
    <mergeCell ref="L191:M191"/>
    <mergeCell ref="L192:M192"/>
    <mergeCell ref="L193:M193"/>
    <mergeCell ref="L194:M194"/>
    <mergeCell ref="N170:O170"/>
    <mergeCell ref="N171:O171"/>
    <mergeCell ref="C130:D130"/>
    <mergeCell ref="C131:D131"/>
    <mergeCell ref="H205:I205"/>
    <mergeCell ref="J205:K205"/>
    <mergeCell ref="L205:M205"/>
    <mergeCell ref="N205:O205"/>
    <mergeCell ref="J184:K184"/>
    <mergeCell ref="J185:K185"/>
    <mergeCell ref="J186:K186"/>
    <mergeCell ref="H195:I195"/>
    <mergeCell ref="J195:K195"/>
    <mergeCell ref="L195:M195"/>
    <mergeCell ref="N195:O195"/>
    <mergeCell ref="N193:O193"/>
    <mergeCell ref="N194:O194"/>
    <mergeCell ref="N187:O187"/>
    <mergeCell ref="N191:O191"/>
    <mergeCell ref="N192:O192"/>
    <mergeCell ref="H190:I190"/>
    <mergeCell ref="H191:I191"/>
    <mergeCell ref="H192:I192"/>
    <mergeCell ref="L182:M182"/>
    <mergeCell ref="L183:M183"/>
    <mergeCell ref="L172:M172"/>
    <mergeCell ref="C138:D138"/>
    <mergeCell ref="C139:D139"/>
    <mergeCell ref="H208:I208"/>
    <mergeCell ref="L208:M208"/>
    <mergeCell ref="N208:O208"/>
    <mergeCell ref="J208:K208"/>
    <mergeCell ref="H206:I206"/>
    <mergeCell ref="J206:K206"/>
    <mergeCell ref="L206:M206"/>
    <mergeCell ref="H193:I193"/>
    <mergeCell ref="H194:I194"/>
    <mergeCell ref="H188:I188"/>
    <mergeCell ref="H189:I189"/>
    <mergeCell ref="J193:K193"/>
    <mergeCell ref="J194:K194"/>
    <mergeCell ref="J190:K190"/>
    <mergeCell ref="J191:K191"/>
    <mergeCell ref="J192:K192"/>
    <mergeCell ref="N206:O206"/>
    <mergeCell ref="L200:M200"/>
    <mergeCell ref="N199:O199"/>
    <mergeCell ref="L173:M173"/>
    <mergeCell ref="J181:K181"/>
    <mergeCell ref="J182:K182"/>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Microsoft Office User</cp:lastModifiedBy>
  <cp:lastPrinted>2014-09-26T08:25:19Z</cp:lastPrinted>
  <dcterms:created xsi:type="dcterms:W3CDTF">2005-12-13T12:13:00Z</dcterms:created>
  <dcterms:modified xsi:type="dcterms:W3CDTF">2021-11-04T12:12:10Z</dcterms:modified>
</cp:coreProperties>
</file>